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IA-99\Desktop\"/>
    </mc:Choice>
  </mc:AlternateContent>
  <xr:revisionPtr revIDLastSave="0" documentId="13_ncr:1_{0E7ADA53-FAAA-4984-B7C1-BC80D8B03529}" xr6:coauthVersionLast="47" xr6:coauthVersionMax="47" xr10:uidLastSave="{00000000-0000-0000-0000-000000000000}"/>
  <bookViews>
    <workbookView xWindow="1785" yWindow="645" windowWidth="21600" windowHeight="11295" xr2:uid="{00000000-000D-0000-FFFF-FFFF00000000}"/>
  </bookViews>
  <sheets>
    <sheet name="1901th" sheetId="2" r:id="rId1"/>
  </sheets>
  <definedNames>
    <definedName name="_xlnm._FilterDatabase" localSheetId="0" hidden="1">'1901th'!$A$1:$I$1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2" l="1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  <c r="E2041" i="2"/>
  <c r="E2042" i="2"/>
  <c r="E2043" i="2"/>
  <c r="E2044" i="2"/>
  <c r="E2045" i="2"/>
  <c r="E2046" i="2"/>
  <c r="E2047" i="2"/>
  <c r="E2048" i="2"/>
  <c r="E2049" i="2"/>
  <c r="E2050" i="2"/>
  <c r="E2051" i="2"/>
  <c r="E2052" i="2"/>
  <c r="E2053" i="2"/>
  <c r="E2054" i="2"/>
  <c r="E2055" i="2"/>
  <c r="E2056" i="2"/>
  <c r="E2057" i="2"/>
  <c r="E2058" i="2"/>
  <c r="E2059" i="2"/>
  <c r="E2060" i="2"/>
  <c r="E2061" i="2"/>
  <c r="E2062" i="2"/>
  <c r="E2063" i="2"/>
  <c r="E2064" i="2"/>
  <c r="E2065" i="2"/>
  <c r="E2066" i="2"/>
  <c r="E2067" i="2"/>
  <c r="E2068" i="2"/>
  <c r="E2069" i="2"/>
  <c r="E2070" i="2"/>
  <c r="E2071" i="2"/>
  <c r="E2072" i="2"/>
  <c r="E2073" i="2"/>
  <c r="E2074" i="2"/>
  <c r="E2075" i="2"/>
  <c r="E2076" i="2"/>
  <c r="E2077" i="2"/>
  <c r="E2078" i="2"/>
  <c r="E2079" i="2"/>
  <c r="E2080" i="2"/>
  <c r="E2081" i="2"/>
  <c r="E2082" i="2"/>
  <c r="E2083" i="2"/>
  <c r="E2084" i="2"/>
  <c r="E2085" i="2"/>
  <c r="E2086" i="2"/>
  <c r="E2087" i="2"/>
  <c r="E2088" i="2"/>
  <c r="E2089" i="2"/>
  <c r="E2090" i="2"/>
  <c r="E2091" i="2"/>
  <c r="E2092" i="2"/>
  <c r="E2093" i="2"/>
  <c r="E2094" i="2"/>
  <c r="E2095" i="2"/>
  <c r="E2096" i="2"/>
  <c r="E2097" i="2"/>
  <c r="E2098" i="2"/>
  <c r="E2099" i="2"/>
  <c r="E2100" i="2"/>
  <c r="E2101" i="2"/>
  <c r="E2102" i="2"/>
  <c r="E2103" i="2"/>
  <c r="E2104" i="2"/>
  <c r="E2105" i="2"/>
  <c r="E2106" i="2"/>
  <c r="E2107" i="2"/>
  <c r="E2108" i="2"/>
  <c r="E2109" i="2"/>
  <c r="E2110" i="2"/>
  <c r="E2111" i="2"/>
  <c r="E2112" i="2"/>
  <c r="E2113" i="2"/>
  <c r="E2114" i="2"/>
  <c r="E2115" i="2"/>
  <c r="E2116" i="2"/>
  <c r="E2117" i="2"/>
  <c r="E2118" i="2"/>
  <c r="E2119" i="2"/>
  <c r="E2120" i="2"/>
  <c r="E2121" i="2"/>
  <c r="E2122" i="2"/>
  <c r="E2123" i="2"/>
  <c r="E2124" i="2"/>
  <c r="E2125" i="2"/>
  <c r="E2126" i="2"/>
  <c r="E2127" i="2"/>
  <c r="E2128" i="2"/>
  <c r="E2129" i="2"/>
  <c r="E2130" i="2"/>
  <c r="E2131" i="2"/>
  <c r="E2132" i="2"/>
  <c r="E2133" i="2"/>
  <c r="E2134" i="2"/>
  <c r="E2135" i="2"/>
  <c r="E2136" i="2"/>
  <c r="E2137" i="2"/>
  <c r="E2138" i="2"/>
  <c r="E2139" i="2"/>
  <c r="E2140" i="2"/>
  <c r="E2141" i="2"/>
  <c r="E2142" i="2"/>
  <c r="E2143" i="2"/>
  <c r="E2144" i="2"/>
  <c r="E2145" i="2"/>
  <c r="E2146" i="2"/>
  <c r="E2147" i="2"/>
  <c r="E2148" i="2"/>
  <c r="E2149" i="2"/>
  <c r="E2150" i="2"/>
  <c r="E2151" i="2"/>
  <c r="E2152" i="2"/>
  <c r="E2153" i="2"/>
  <c r="E2154" i="2"/>
  <c r="E2155" i="2"/>
  <c r="E2156" i="2"/>
  <c r="E2157" i="2"/>
  <c r="E2158" i="2"/>
  <c r="E2159" i="2"/>
  <c r="E2160" i="2"/>
  <c r="E2161" i="2"/>
  <c r="E2162" i="2"/>
  <c r="E2163" i="2"/>
  <c r="E2164" i="2"/>
  <c r="E2165" i="2"/>
  <c r="E2166" i="2"/>
  <c r="E2167" i="2"/>
  <c r="E2168" i="2"/>
  <c r="E2169" i="2"/>
  <c r="E2170" i="2"/>
  <c r="E2171" i="2"/>
  <c r="E2172" i="2"/>
  <c r="E2173" i="2"/>
  <c r="E2174" i="2"/>
  <c r="E2175" i="2"/>
  <c r="E2176" i="2"/>
  <c r="E2177" i="2"/>
  <c r="E2178" i="2"/>
  <c r="E2179" i="2"/>
  <c r="E2180" i="2"/>
  <c r="E2181" i="2"/>
  <c r="E2182" i="2"/>
  <c r="E2183" i="2"/>
  <c r="E2184" i="2"/>
  <c r="E2185" i="2"/>
  <c r="E2186" i="2"/>
  <c r="E2187" i="2"/>
  <c r="E2188" i="2"/>
  <c r="E2189" i="2"/>
  <c r="E2190" i="2"/>
  <c r="E2191" i="2"/>
  <c r="E2192" i="2"/>
  <c r="E2193" i="2"/>
  <c r="E2194" i="2"/>
  <c r="E2195" i="2"/>
  <c r="E2196" i="2"/>
  <c r="E2197" i="2"/>
  <c r="E2198" i="2"/>
  <c r="E2199" i="2"/>
  <c r="E2200" i="2"/>
  <c r="E2201" i="2"/>
  <c r="E2202" i="2"/>
  <c r="E2203" i="2"/>
  <c r="E2204" i="2"/>
  <c r="E2205" i="2"/>
  <c r="E2206" i="2"/>
  <c r="E2207" i="2"/>
  <c r="E2208" i="2"/>
  <c r="E2209" i="2"/>
  <c r="E2210" i="2"/>
  <c r="E2211" i="2"/>
  <c r="E2212" i="2"/>
  <c r="E2213" i="2"/>
  <c r="E2214" i="2"/>
  <c r="E2215" i="2"/>
  <c r="E2216" i="2"/>
  <c r="E2217" i="2"/>
  <c r="E2218" i="2"/>
  <c r="E2219" i="2"/>
  <c r="E2220" i="2"/>
  <c r="E2221" i="2"/>
  <c r="E2222" i="2"/>
  <c r="E2223" i="2"/>
  <c r="E2224" i="2"/>
  <c r="E2225" i="2"/>
  <c r="E2226" i="2"/>
  <c r="E2227" i="2"/>
  <c r="E2228" i="2"/>
  <c r="E2229" i="2"/>
  <c r="E2230" i="2"/>
  <c r="E2231" i="2"/>
  <c r="E2232" i="2"/>
  <c r="E2233" i="2"/>
  <c r="E2234" i="2"/>
  <c r="E2235" i="2"/>
  <c r="E2236" i="2"/>
  <c r="E2237" i="2"/>
  <c r="E2238" i="2"/>
  <c r="E2239" i="2"/>
  <c r="E2240" i="2"/>
  <c r="E2241" i="2"/>
  <c r="E2242" i="2"/>
  <c r="E2243" i="2"/>
  <c r="E2244" i="2"/>
  <c r="E2245" i="2"/>
  <c r="E2246" i="2"/>
  <c r="E2247" i="2"/>
  <c r="E2248" i="2"/>
  <c r="E2249" i="2"/>
  <c r="E2250" i="2"/>
  <c r="E2251" i="2"/>
  <c r="E2252" i="2"/>
  <c r="E2253" i="2"/>
  <c r="E2254" i="2"/>
  <c r="E2255" i="2"/>
  <c r="E2256" i="2"/>
  <c r="E2257" i="2"/>
  <c r="E2258" i="2"/>
  <c r="E2259" i="2"/>
  <c r="E2260" i="2"/>
  <c r="E2261" i="2"/>
  <c r="E2262" i="2"/>
  <c r="E2263" i="2"/>
  <c r="E2264" i="2"/>
  <c r="E2265" i="2"/>
  <c r="E2266" i="2"/>
  <c r="E2267" i="2"/>
  <c r="E2268" i="2"/>
  <c r="E2269" i="2"/>
  <c r="E2270" i="2"/>
  <c r="E2271" i="2"/>
  <c r="E2272" i="2"/>
  <c r="E2273" i="2"/>
  <c r="E2274" i="2"/>
  <c r="E2275" i="2"/>
  <c r="E2276" i="2"/>
  <c r="E2277" i="2"/>
  <c r="E2278" i="2"/>
  <c r="E2279" i="2"/>
  <c r="E2280" i="2"/>
  <c r="E2281" i="2"/>
  <c r="E2282" i="2"/>
  <c r="E2283" i="2"/>
  <c r="E2284" i="2"/>
  <c r="E2285" i="2"/>
  <c r="E2286" i="2"/>
  <c r="E2287" i="2"/>
  <c r="E2288" i="2"/>
  <c r="E2289" i="2"/>
  <c r="E2290" i="2"/>
  <c r="E2291" i="2"/>
  <c r="E2292" i="2"/>
  <c r="E2293" i="2"/>
  <c r="E2294" i="2"/>
  <c r="E2295" i="2"/>
  <c r="E2296" i="2"/>
  <c r="E2297" i="2"/>
  <c r="E2298" i="2"/>
  <c r="E2299" i="2"/>
  <c r="E2300" i="2"/>
  <c r="E2301" i="2"/>
  <c r="E2302" i="2"/>
  <c r="E2303" i="2"/>
  <c r="E2304" i="2"/>
  <c r="E2305" i="2"/>
  <c r="E2306" i="2"/>
  <c r="E2307" i="2"/>
  <c r="E2308" i="2"/>
  <c r="E2309" i="2"/>
  <c r="E2310" i="2"/>
  <c r="E2311" i="2"/>
  <c r="E2312" i="2"/>
  <c r="E2313" i="2"/>
  <c r="E2314" i="2"/>
  <c r="E2315" i="2"/>
  <c r="E2316" i="2"/>
  <c r="E2317" i="2"/>
  <c r="E2318" i="2"/>
  <c r="E2319" i="2"/>
  <c r="E2320" i="2"/>
  <c r="E2321" i="2"/>
  <c r="E2322" i="2"/>
  <c r="E2323" i="2"/>
  <c r="E2324" i="2"/>
  <c r="E2325" i="2"/>
  <c r="E2326" i="2"/>
  <c r="E2327" i="2"/>
  <c r="E2328" i="2"/>
  <c r="E2329" i="2"/>
  <c r="E2330" i="2"/>
  <c r="E2331" i="2"/>
  <c r="E2332" i="2"/>
  <c r="E2333" i="2"/>
  <c r="E2334" i="2"/>
  <c r="E2335" i="2"/>
  <c r="E2336" i="2"/>
  <c r="E2337" i="2"/>
  <c r="E2338" i="2"/>
  <c r="E2339" i="2"/>
  <c r="E2340" i="2"/>
  <c r="E2341" i="2"/>
  <c r="E2342" i="2"/>
  <c r="E2343" i="2"/>
  <c r="E2344" i="2"/>
  <c r="E2345" i="2"/>
  <c r="E2346" i="2"/>
  <c r="E2347" i="2"/>
  <c r="E2348" i="2"/>
  <c r="E2349" i="2"/>
  <c r="E2350" i="2"/>
  <c r="E2351" i="2"/>
  <c r="E2352" i="2"/>
  <c r="E2353" i="2"/>
  <c r="E2354" i="2"/>
  <c r="E2355" i="2"/>
  <c r="E2356" i="2"/>
  <c r="E2357" i="2"/>
  <c r="E2358" i="2"/>
  <c r="E2359" i="2"/>
  <c r="E2360" i="2"/>
  <c r="E2361" i="2"/>
  <c r="E2362" i="2"/>
  <c r="E2363" i="2"/>
  <c r="E2364" i="2"/>
  <c r="E2365" i="2"/>
  <c r="E2366" i="2"/>
  <c r="E2367" i="2"/>
  <c r="E2368" i="2"/>
  <c r="E2369" i="2"/>
  <c r="E2370" i="2"/>
  <c r="E2371" i="2"/>
  <c r="E2372" i="2"/>
  <c r="E2373" i="2"/>
  <c r="E2374" i="2"/>
  <c r="E2375" i="2"/>
  <c r="E2376" i="2"/>
  <c r="E2377" i="2"/>
  <c r="E2378" i="2"/>
  <c r="E2379" i="2"/>
  <c r="E2380" i="2"/>
  <c r="E2381" i="2"/>
  <c r="E2382" i="2"/>
  <c r="E2383" i="2"/>
  <c r="E2384" i="2"/>
  <c r="E2385" i="2"/>
  <c r="E2386" i="2"/>
  <c r="E2387" i="2"/>
  <c r="E2388" i="2"/>
  <c r="E2389" i="2"/>
  <c r="E2390" i="2"/>
  <c r="E2391" i="2"/>
  <c r="E2392" i="2"/>
  <c r="E2393" i="2"/>
  <c r="E2394" i="2"/>
  <c r="E2395" i="2"/>
  <c r="E2396" i="2"/>
  <c r="E2397" i="2"/>
  <c r="E2398" i="2"/>
  <c r="E2399" i="2"/>
  <c r="E2400" i="2"/>
  <c r="E2401" i="2"/>
  <c r="E2402" i="2"/>
  <c r="E2403" i="2"/>
  <c r="E2404" i="2"/>
  <c r="E2405" i="2"/>
  <c r="E2406" i="2"/>
  <c r="E2407" i="2"/>
  <c r="E2408" i="2"/>
  <c r="E2409" i="2"/>
  <c r="E2410" i="2"/>
  <c r="E2411" i="2"/>
  <c r="E2412" i="2"/>
  <c r="E2413" i="2"/>
  <c r="E2414" i="2"/>
  <c r="E2415" i="2"/>
  <c r="E2416" i="2"/>
  <c r="E2417" i="2"/>
  <c r="E2418" i="2"/>
  <c r="E2419" i="2"/>
  <c r="E2420" i="2"/>
  <c r="E2421" i="2"/>
  <c r="E2422" i="2"/>
  <c r="E2423" i="2"/>
  <c r="E2424" i="2"/>
  <c r="E2425" i="2"/>
  <c r="E2426" i="2"/>
  <c r="E2427" i="2"/>
  <c r="E2428" i="2"/>
  <c r="E2429" i="2"/>
  <c r="E2430" i="2"/>
  <c r="E2431" i="2"/>
  <c r="E2432" i="2"/>
  <c r="E2433" i="2"/>
  <c r="E2434" i="2"/>
  <c r="E2435" i="2"/>
  <c r="E2436" i="2"/>
  <c r="E2437" i="2"/>
  <c r="E2438" i="2"/>
  <c r="E2439" i="2"/>
  <c r="E2440" i="2"/>
  <c r="E2441" i="2"/>
  <c r="E2442" i="2"/>
  <c r="E2443" i="2"/>
  <c r="E2444" i="2"/>
  <c r="E2445" i="2"/>
  <c r="E2446" i="2"/>
  <c r="E2447" i="2"/>
  <c r="E2448" i="2"/>
  <c r="E2449" i="2"/>
  <c r="E2450" i="2"/>
  <c r="E2451" i="2"/>
  <c r="E2452" i="2"/>
  <c r="E2453" i="2"/>
  <c r="E2454" i="2"/>
  <c r="E2455" i="2"/>
  <c r="E2456" i="2"/>
  <c r="E2457" i="2"/>
  <c r="E2458" i="2"/>
  <c r="E2459" i="2"/>
  <c r="E2460" i="2"/>
  <c r="E2461" i="2"/>
  <c r="E2462" i="2"/>
  <c r="E2463" i="2"/>
  <c r="E2464" i="2"/>
  <c r="E2465" i="2"/>
  <c r="E2466" i="2"/>
  <c r="E2467" i="2"/>
  <c r="E2468" i="2"/>
  <c r="E2469" i="2"/>
  <c r="E2470" i="2"/>
  <c r="E2471" i="2"/>
  <c r="E2472" i="2"/>
  <c r="E2473" i="2"/>
  <c r="E2474" i="2"/>
  <c r="E2475" i="2"/>
  <c r="E2476" i="2"/>
  <c r="E2477" i="2"/>
  <c r="E2478" i="2"/>
  <c r="E2479" i="2"/>
  <c r="E2480" i="2"/>
  <c r="E2481" i="2"/>
  <c r="E2482" i="2"/>
  <c r="E2483" i="2"/>
  <c r="E2484" i="2"/>
  <c r="E2485" i="2"/>
  <c r="E2486" i="2"/>
  <c r="E2487" i="2"/>
  <c r="E2488" i="2"/>
  <c r="E2489" i="2"/>
  <c r="E2490" i="2"/>
  <c r="E2491" i="2"/>
  <c r="E2492" i="2"/>
  <c r="E2493" i="2"/>
  <c r="E2494" i="2"/>
  <c r="E2495" i="2"/>
  <c r="E2496" i="2"/>
  <c r="E2497" i="2"/>
  <c r="E2498" i="2"/>
  <c r="E2499" i="2"/>
  <c r="E2500" i="2"/>
  <c r="E2501" i="2"/>
  <c r="E2502" i="2"/>
  <c r="E2503" i="2"/>
  <c r="E2504" i="2"/>
  <c r="E2505" i="2"/>
  <c r="E2506" i="2"/>
  <c r="E2507" i="2"/>
  <c r="E2508" i="2"/>
  <c r="E2509" i="2"/>
  <c r="E2510" i="2"/>
  <c r="E2511" i="2"/>
  <c r="E2512" i="2"/>
  <c r="E2513" i="2"/>
  <c r="E2514" i="2"/>
  <c r="E2515" i="2"/>
  <c r="E2516" i="2"/>
  <c r="E2517" i="2"/>
  <c r="E2518" i="2"/>
  <c r="E2519" i="2"/>
  <c r="E2520" i="2"/>
  <c r="E2521" i="2"/>
  <c r="E2522" i="2"/>
  <c r="E2523" i="2"/>
  <c r="E2524" i="2"/>
  <c r="E2525" i="2"/>
  <c r="E2526" i="2"/>
  <c r="E2527" i="2"/>
  <c r="E2528" i="2"/>
  <c r="E2529" i="2"/>
  <c r="E2530" i="2"/>
  <c r="E2531" i="2"/>
  <c r="E2532" i="2"/>
  <c r="E2533" i="2"/>
  <c r="E2534" i="2"/>
  <c r="E2535" i="2"/>
  <c r="E2536" i="2"/>
  <c r="E2537" i="2"/>
  <c r="E2538" i="2"/>
  <c r="E2539" i="2"/>
  <c r="E2540" i="2"/>
  <c r="E2541" i="2"/>
  <c r="E2542" i="2"/>
  <c r="E2543" i="2"/>
  <c r="E2544" i="2"/>
  <c r="E2545" i="2"/>
  <c r="E2546" i="2"/>
  <c r="E2547" i="2"/>
  <c r="E2548" i="2"/>
  <c r="E2549" i="2"/>
  <c r="E2550" i="2"/>
  <c r="E2551" i="2"/>
  <c r="E2552" i="2"/>
  <c r="E2553" i="2"/>
  <c r="E2554" i="2"/>
  <c r="E2555" i="2"/>
  <c r="E2556" i="2"/>
  <c r="E2557" i="2"/>
  <c r="E2558" i="2"/>
  <c r="E2559" i="2"/>
  <c r="E2560" i="2"/>
  <c r="E2561" i="2"/>
  <c r="E2562" i="2"/>
  <c r="E2563" i="2"/>
  <c r="E2564" i="2"/>
  <c r="E2565" i="2"/>
  <c r="E2566" i="2"/>
  <c r="E2567" i="2"/>
  <c r="E2568" i="2"/>
  <c r="E2569" i="2"/>
  <c r="E2570" i="2"/>
  <c r="E2571" i="2"/>
  <c r="E2572" i="2"/>
  <c r="E2573" i="2"/>
  <c r="E2574" i="2"/>
  <c r="E2575" i="2"/>
  <c r="E2576" i="2"/>
  <c r="E2577" i="2"/>
  <c r="E2578" i="2"/>
  <c r="E2579" i="2"/>
  <c r="E2580" i="2"/>
  <c r="E2581" i="2"/>
  <c r="E2582" i="2"/>
  <c r="E2583" i="2"/>
  <c r="E2584" i="2"/>
  <c r="E2585" i="2"/>
  <c r="E2586" i="2"/>
  <c r="E2587" i="2"/>
  <c r="E2588" i="2"/>
  <c r="E2589" i="2"/>
  <c r="E2590" i="2"/>
  <c r="E2591" i="2"/>
  <c r="E2592" i="2"/>
  <c r="E2593" i="2"/>
  <c r="E2594" i="2"/>
  <c r="E2595" i="2"/>
  <c r="E2596" i="2"/>
  <c r="E2597" i="2"/>
  <c r="E2598" i="2"/>
  <c r="E2599" i="2"/>
  <c r="E2600" i="2"/>
  <c r="E2601" i="2"/>
  <c r="E2602" i="2"/>
  <c r="E2603" i="2"/>
  <c r="E2604" i="2"/>
  <c r="E2605" i="2"/>
  <c r="E2606" i="2"/>
  <c r="E2607" i="2"/>
  <c r="E2608" i="2"/>
  <c r="E2609" i="2"/>
  <c r="E2610" i="2"/>
  <c r="E2611" i="2"/>
  <c r="E2612" i="2"/>
  <c r="E2613" i="2"/>
  <c r="E2614" i="2"/>
  <c r="E2615" i="2"/>
  <c r="E2616" i="2"/>
  <c r="E2617" i="2"/>
  <c r="E2618" i="2"/>
  <c r="E2619" i="2"/>
  <c r="E2620" i="2"/>
  <c r="E2621" i="2"/>
  <c r="E2622" i="2"/>
  <c r="E2623" i="2"/>
  <c r="E2624" i="2"/>
  <c r="E2625" i="2"/>
  <c r="E2626" i="2"/>
  <c r="E2627" i="2"/>
  <c r="E2628" i="2"/>
  <c r="E2629" i="2"/>
  <c r="E2630" i="2"/>
  <c r="E2631" i="2"/>
  <c r="E2632" i="2"/>
  <c r="E2633" i="2"/>
  <c r="E2634" i="2"/>
  <c r="E2635" i="2"/>
  <c r="E2636" i="2"/>
  <c r="E2637" i="2"/>
  <c r="E2638" i="2"/>
  <c r="E2639" i="2"/>
  <c r="E2640" i="2"/>
  <c r="E2641" i="2"/>
  <c r="E2642" i="2"/>
  <c r="E2643" i="2"/>
  <c r="E2644" i="2"/>
  <c r="E2645" i="2"/>
  <c r="E2646" i="2"/>
  <c r="E2647" i="2"/>
  <c r="E2648" i="2"/>
  <c r="E2649" i="2"/>
  <c r="E2650" i="2"/>
  <c r="E2651" i="2"/>
  <c r="E2652" i="2"/>
  <c r="E2653" i="2"/>
  <c r="E2654" i="2"/>
  <c r="E2655" i="2"/>
  <c r="E2656" i="2"/>
  <c r="E2657" i="2"/>
  <c r="E2658" i="2"/>
  <c r="E2659" i="2"/>
  <c r="E2660" i="2"/>
</calcChain>
</file>

<file path=xl/sharedStrings.xml><?xml version="1.0" encoding="utf-8"?>
<sst xmlns="http://schemas.openxmlformats.org/spreadsheetml/2006/main" count="18622" uniqueCount="7402">
  <si>
    <t>国名</t>
  </si>
  <si>
    <t>公告期</t>
  </si>
  <si>
    <t>発表日</t>
  </si>
  <si>
    <t>商標番号</t>
  </si>
  <si>
    <t>商標名称</t>
  </si>
  <si>
    <t>申請人</t>
  </si>
  <si>
    <t>商品</t>
  </si>
  <si>
    <t>申請日</t>
  </si>
  <si>
    <t>No.</t>
    <phoneticPr fontId="1"/>
  </si>
  <si>
    <t>中国</t>
  </si>
  <si>
    <t>贵州情景最藏酒业有限公司</t>
  </si>
  <si>
    <t>果酒（含酒精）;蒸馏饮料;葡萄酒;酒精饮料（啤酒除外）;⽩酒;预先混合的酒精饮料（以啤酒为主的除外）;汽酒;⻩酒;烧酒;⽶酒</t>
  </si>
  <si>
    <t>图形</t>
  </si>
  <si>
    <t>2023/05/19</t>
  </si>
  <si>
    <t>2023/05/23</t>
  </si>
  <si>
    <t>酒精饮料（啤酒除外）</t>
  </si>
  <si>
    <t>2023/06/05</t>
  </si>
  <si>
    <t>2023/06/15</t>
  </si>
  <si>
    <t>2023/08/01</t>
  </si>
  <si>
    <t/>
  </si>
  <si>
    <t>2023/09/08</t>
  </si>
  <si>
    <t>2023/09/13</t>
  </si>
  <si>
    <t>2023/10/08</t>
  </si>
  <si>
    <t>2023/10/09</t>
  </si>
  <si>
    <t>⽩酒;葡萄酒</t>
  </si>
  <si>
    <t>福建莱曼实业有限公司</t>
  </si>
  <si>
    <t>2024/02/18</t>
  </si>
  <si>
    <t>⽩酒</t>
  </si>
  <si>
    <t>2024/02/24</t>
  </si>
  <si>
    <t>2024/02/26</t>
  </si>
  <si>
    <t>2024/02/27</t>
  </si>
  <si>
    <t>2024/02/29</t>
  </si>
  <si>
    <t>2024/03/01</t>
  </si>
  <si>
    <t>2024/03/04</t>
  </si>
  <si>
    <t>斗十千</t>
  </si>
  <si>
    <t>杭州先智广告传播有限公司</t>
  </si>
  <si>
    <t>2024/03/11</t>
  </si>
  <si>
    <t>2024/03/13</t>
  </si>
  <si>
    <t>2024/03/14</t>
  </si>
  <si>
    <t>2024/03/18</t>
  </si>
  <si>
    <t>2024/03/21</t>
  </si>
  <si>
    <t>2024/03/24</t>
  </si>
  <si>
    <t>2024/03/26</t>
  </si>
  <si>
    <t>2024/03/28</t>
  </si>
  <si>
    <t>2024/03/29</t>
  </si>
  <si>
    <t>庄臣酿酒（福建）有限公司</t>
  </si>
  <si>
    <t>2024/04/01</t>
  </si>
  <si>
    <t>烟台公全商贸有限公司</t>
  </si>
  <si>
    <t>双喜（浙江）食品有限公司</t>
  </si>
  <si>
    <t>重庆江小白酒业有限公司</t>
  </si>
  <si>
    <t>2024/04/03</t>
  </si>
  <si>
    <t>上海茅董酱酒文化发展有限公司</t>
  </si>
  <si>
    <t>2024/04/07</t>
  </si>
  <si>
    <t>中国红双喜集团股份有限公司</t>
  </si>
  <si>
    <t>2024/04/08</t>
  </si>
  <si>
    <t>2024/04/10</t>
  </si>
  <si>
    <t>贵州京谭酒业有限责任公司</t>
  </si>
  <si>
    <t>许顺裔</t>
  </si>
  <si>
    <t>2024/04/11</t>
  </si>
  <si>
    <t>屈孝国</t>
  </si>
  <si>
    <t>刘万田</t>
  </si>
  <si>
    <t>2024/04/12</t>
  </si>
  <si>
    <t>亳州伯坛酒业有限公司</t>
  </si>
  <si>
    <t>2024/04/15</t>
  </si>
  <si>
    <t>北京华康投资管理顾问有限公司</t>
  </si>
  <si>
    <t>吴晓林</t>
  </si>
  <si>
    <t>2024/04/16</t>
  </si>
  <si>
    <t>2024/04/17</t>
  </si>
  <si>
    <t>2024/04/18</t>
  </si>
  <si>
    <t>中粱（遂宁）酒业有限公司</t>
  </si>
  <si>
    <t>萧小强</t>
  </si>
  <si>
    <t>2024/04/20</t>
  </si>
  <si>
    <t>亳州市生态坊酒业有限公司</t>
  </si>
  <si>
    <t>2024/04/23</t>
  </si>
  <si>
    <t>张军</t>
  </si>
  <si>
    <t>上海申囤商贸有限公司</t>
  </si>
  <si>
    <t>2024/04/25</t>
  </si>
  <si>
    <t>肖远昔</t>
  </si>
  <si>
    <t>2024/04/26</t>
  </si>
  <si>
    <t>帕高葡萄酒贸易（上海）有限公司</t>
  </si>
  <si>
    <t>广西霖溪供应链有限公司</t>
  </si>
  <si>
    <t>高士男</t>
  </si>
  <si>
    <t>智变赢道投资（南京）有限公司</t>
  </si>
  <si>
    <t>2024/04/28</t>
  </si>
  <si>
    <t>陆世权</t>
  </si>
  <si>
    <t>乔金生</t>
  </si>
  <si>
    <t>2024/04/29</t>
  </si>
  <si>
    <t>葡萄酒</t>
  </si>
  <si>
    <t>运城市虎标行商贸有限公司</t>
  </si>
  <si>
    <t>范杰</t>
  </si>
  <si>
    <t>2024/05/06</t>
  </si>
  <si>
    <t>绍兴酒城文化发展有限公司</t>
  </si>
  <si>
    <t>贵州省仁怀市茅台镇衡昌烧坊酿酒有限公司</t>
  </si>
  <si>
    <t>2024/05/07</t>
  </si>
  <si>
    <t>李付红</t>
  </si>
  <si>
    <t>广州德能科技发展有限公司</t>
  </si>
  <si>
    <t>贾江波</t>
  </si>
  <si>
    <t>浙江全民猫电子商务有限公司</t>
  </si>
  <si>
    <t>四川宜宾流杯池酒业有限公司</t>
  </si>
  <si>
    <t>纪庆坤</t>
  </si>
  <si>
    <t>云南七彩传媒有限公司</t>
  </si>
  <si>
    <t>胡丽</t>
  </si>
  <si>
    <t>刘先艳</t>
  </si>
  <si>
    <t>赣州秒店多项目管理有限公司</t>
  </si>
  <si>
    <t>徐艳</t>
  </si>
  <si>
    <t>贵州巨龙崛起贸易有限公司</t>
  </si>
  <si>
    <t>山西中安智能科技有限公司</t>
  </si>
  <si>
    <t>方桂荣</t>
  </si>
  <si>
    <t>西咸新区千秋雪传媒有限公司</t>
  </si>
  <si>
    <t>2024/05/08</t>
  </si>
  <si>
    <t>贵州八百科技有限公司</t>
  </si>
  <si>
    <t>美集美嘉(青岛)国际供应链有限公司</t>
  </si>
  <si>
    <t>郑勇</t>
  </si>
  <si>
    <t>世台科技集团有限公司</t>
  </si>
  <si>
    <t>李小兰</t>
  </si>
  <si>
    <t>关成</t>
  </si>
  <si>
    <t>2024/05/09</t>
  </si>
  <si>
    <t>贵州创梦酒业有限公司</t>
  </si>
  <si>
    <t>张兴旺</t>
  </si>
  <si>
    <t>贵州贝奇乐卫生用品有限公司</t>
  </si>
  <si>
    <t>贵州满坐酒业销售有限公司</t>
  </si>
  <si>
    <t>夏佳慧</t>
  </si>
  <si>
    <t>赵苗苗</t>
  </si>
  <si>
    <t>山东利欧文化发展有限公司</t>
  </si>
  <si>
    <t>贵州华威保安有限公司</t>
  </si>
  <si>
    <t>汪加豪</t>
  </si>
  <si>
    <t>河南荆牛商贸有限公司</t>
  </si>
  <si>
    <t>海南百冠国际贸易有限公司</t>
  </si>
  <si>
    <t>合肥小夫匠酒业有限公司</t>
  </si>
  <si>
    <t>海南原野投资有限公司</t>
  </si>
  <si>
    <t>仁富家（上海）杂志社有限公司</t>
  </si>
  <si>
    <t>2024/05/10</t>
  </si>
  <si>
    <t>齐齐哈尔市鹤程酒业有限公司</t>
  </si>
  <si>
    <t>李利</t>
  </si>
  <si>
    <t>顾玉红</t>
  </si>
  <si>
    <t>当阳市大雄建材有限责任公司</t>
  </si>
  <si>
    <t>徐世兵</t>
  </si>
  <si>
    <t>四川汇聚卓越品牌管理有限公司</t>
  </si>
  <si>
    <t>2024/05/11</t>
  </si>
  <si>
    <t>山东百脉泉酒业股份有限公司</t>
  </si>
  <si>
    <t>刘中原</t>
  </si>
  <si>
    <t>刘大阳</t>
  </si>
  <si>
    <t>国科文创发展(深圳)有限公司</t>
  </si>
  <si>
    <t>张六兵</t>
  </si>
  <si>
    <t>重庆市青琳酒业有限公司</t>
  </si>
  <si>
    <t>青岛负负得正贸易有限公司</t>
  </si>
  <si>
    <t>2024/05/12</t>
  </si>
  <si>
    <t>2024/05/13</t>
  </si>
  <si>
    <t>谢艾尔</t>
  </si>
  <si>
    <t>汤瑞如</t>
  </si>
  <si>
    <t>贵州涟江酿酒有限责任公司</t>
  </si>
  <si>
    <t>2024/05/14</t>
  </si>
  <si>
    <t>长沙酒巢酒业有限公司</t>
  </si>
  <si>
    <t>卓国明</t>
  </si>
  <si>
    <t>陈晓利</t>
  </si>
  <si>
    <t>刚察青湖农牧投资开发有限公司</t>
  </si>
  <si>
    <t>釜阳春酒业有限公司</t>
  </si>
  <si>
    <t>2024/05/15</t>
  </si>
  <si>
    <t>北京文雅之声文化传媒有限公司</t>
  </si>
  <si>
    <t>宝酝(天津)商业管理有限公司</t>
  </si>
  <si>
    <t>谢婉仪</t>
  </si>
  <si>
    <t>湖南云犇电子科技有限公司</t>
  </si>
  <si>
    <t>周旗</t>
  </si>
  <si>
    <t>2024/05/28</t>
  </si>
  <si>
    <t>1901</t>
  </si>
  <si>
    <t>2024/8/27</t>
  </si>
  <si>
    <t>陆牌</t>
  </si>
  <si>
    <t>刘靠娃</t>
  </si>
  <si>
    <t>睢酒醇</t>
  </si>
  <si>
    <t>河南睢王酒业有限公司</t>
  </si>
  <si>
    <t>利⼝酒;酒精饮料原汁;⽶酒;伏特加酒;果酒（含酒精）;⻩酒;烧酒;鸡尾酒;葡萄酒;⽩酒</t>
  </si>
  <si>
    <t>2021/01/21</t>
  </si>
  <si>
    <t>年份睢</t>
  </si>
  <si>
    <t>果酒（含酒精）;鸡尾酒;葡萄酒;利⼝酒;烧酒;⽶酒;伏特加酒;⽩酒;⻩酒;酒精饮料原汁</t>
  </si>
  <si>
    <t>2021/03/10</t>
  </si>
  <si>
    <t>陈酱睢</t>
  </si>
  <si>
    <t>鸡尾酒;葡萄酒;利⼝酒;⽶酒;酒精饮料原汁;⻩酒;烧酒;伏特加酒;果酒（含酒精）;⽩酒</t>
  </si>
  <si>
    <t>2021/10/20</t>
  </si>
  <si>
    <t>黄金酱酒</t>
  </si>
  <si>
    <t>上海黄金搭档生物科技有限公司</t>
  </si>
  <si>
    <t>烈酒（饮料）;烧酒;酒精饮料（啤酒除外）;⽶酒;⾷⽤酒精;⽩酒;⻩酒;汽酒;威⼠忌;葡萄酒</t>
  </si>
  <si>
    <t>2022/01/20</t>
  </si>
  <si>
    <t>酱益</t>
  </si>
  <si>
    <t>林子阳</t>
  </si>
  <si>
    <t>⽩酒;酒精饮料（啤酒除外）;⽶酒;烧酒;⾕物制蒸馏酒精饮料;⻩酒;葡萄酒;汽酒;清酒;果酒（含酒精）</t>
  </si>
  <si>
    <t>2022/04/01</t>
  </si>
  <si>
    <t>伯洱多</t>
  </si>
  <si>
    <t>张家港保税区拉菲红进出口有限公司</t>
  </si>
  <si>
    <t>烈酒（饮料）;⽶酒;⾷⽤酒精;果酒（含酒精）;⽩酒;⽩兰地;⻩酒;烧酒;蒸馏饮料;葡萄酒</t>
  </si>
  <si>
    <t>2022/05/13</t>
  </si>
  <si>
    <t>CHATEAUMADRAN</t>
  </si>
  <si>
    <t>梦特骑士农业公司</t>
  </si>
  <si>
    <t>⽩酒;葡萄酒;鸡尾酒;⽩兰地;烧酒;烈酒（饮料）;⽶酒;含⽔果酒精饮料;威⼠忌;开胃酒</t>
  </si>
  <si>
    <t>2022/06/02</t>
  </si>
  <si>
    <t>年真喜 嫁</t>
  </si>
  <si>
    <t>蒸馏饮料;葡萄酒;酒精饮料（啤酒除外）;⽶酒;果酒（含酒精）;汽酒;⻩酒;烧酒;⽩酒;预先混合的酒精饮料（以啤酒为主的除外）</t>
  </si>
  <si>
    <t>2022/06/24</t>
  </si>
  <si>
    <t>情景藏酒 年份真藏</t>
  </si>
  <si>
    <t>果酒（含酒精）;蒸馏饮料;葡萄酒;酒精饮料（啤酒除外）;⻩酒;预先混合的酒精饮料（以啤酒为主的除外）;汽酒;烧酒;⽩酒;⽶酒</t>
  </si>
  <si>
    <t>2022/08/03</t>
  </si>
  <si>
    <t>苋</t>
  </si>
  <si>
    <t>贵州红苋农业科技发展有限公司</t>
  </si>
  <si>
    <t>果酒（含酒精）;葡萄酒;酒精饮料原汁;⽶酒;五加⽪酒（中国混合烈酒）;⽩⼲酒（中国⽩酒）;甜酒;果酒;⽼酒（中国蒸馏烈酒）;⽩酒</t>
  </si>
  <si>
    <t>2022/08/24</t>
  </si>
  <si>
    <t>⽩⼲酒（中国⽩酒）;除啤酒外的酒精饮料;⽶酒;⻩酒;烧酒;鸡尾酒;⾼粱酒;⽩酒;烈酒;葡萄酒</t>
  </si>
  <si>
    <t>2022/10/08</t>
  </si>
  <si>
    <t>云顶</t>
  </si>
  <si>
    <t>北京榜样科技发展有限公司</t>
  </si>
  <si>
    <t>威⼠忌;伏特加酒;利⼝酒;蒸煮提取物（利⼝酒和烈酒）;蒸馏饮料;朗姆酒;⽩兰地;鸡尾酒;葡萄酒;杜松⼦酒</t>
  </si>
  <si>
    <t>2022/10/17</t>
  </si>
  <si>
    <t>小月半</t>
  </si>
  <si>
    <t>江苏南大耐雀生物技术有限公司</t>
  </si>
  <si>
    <t>果酒（含酒精）;鸡尾酒;葡萄酒;⽩兰地;⻩酒;⽶酒;烧酒;⽩酒;由⾕物蒸馏的⽩酒;酒精饮料（啤酒除外）</t>
  </si>
  <si>
    <t>2022/11/02</t>
  </si>
  <si>
    <t>岁真古</t>
  </si>
  <si>
    <t>果酒（含酒精）;烧酒;⻩酒;汽酒;⽩酒;⽶酒;酒精饮料（啤酒除外）;葡萄酒;蒸馏饮料;预先混合的酒精饮料（以啤酒为主的除外）</t>
  </si>
  <si>
    <t>2022/11/16</t>
  </si>
  <si>
    <t>傅</t>
  </si>
  <si>
    <t>肖绪全</t>
  </si>
  <si>
    <t>2022/11/18</t>
  </si>
  <si>
    <t>社贡</t>
  </si>
  <si>
    <t>裴慧效</t>
  </si>
  <si>
    <t>开胃酒;葡萄酒;⽩兰地;果酒（含酒精）;⽩酒;酒精饮料（啤酒除外）;⽶酒;⻩酒;烧酒;清酒（⽇本⽶酒）</t>
  </si>
  <si>
    <t>2022/11/28</t>
  </si>
  <si>
    <t>东 DONGJIANGJIU</t>
  </si>
  <si>
    <t>贵州东牌酒业有限公司</t>
  </si>
  <si>
    <t>2023/01/04</t>
  </si>
  <si>
    <t>宝鳄源</t>
  </si>
  <si>
    <t>广东宝鳄源餐饮管理有限公司</t>
  </si>
  <si>
    <t>⽩酒;果酒（含酒精）;⽶酒;鸡尾酒;朗姆酒;威⼠忌;烈酒（饮料）;酒精饮料（啤酒除外）;清酒（⽇本⽶酒）;葡萄酒</t>
  </si>
  <si>
    <t>2023/01/11</t>
  </si>
  <si>
    <t>康圣梦缘</t>
  </si>
  <si>
    <t>天津康圣梦缘科技发展有限公司</t>
  </si>
  <si>
    <t>⽩酒;烧酒;⾷⽤酒精;烈酒（饮料）;蒸馏饮料;利⼝酒;蒸煮提取物（利⼝酒和烈酒）;威⼠忌;果酒（含酒精）;开胃酒</t>
  </si>
  <si>
    <t>2023/03/16</t>
  </si>
  <si>
    <t>缘启赞</t>
  </si>
  <si>
    <t>钱赵薇</t>
  </si>
  <si>
    <t>⽩酒;⾼粱酒;葡萄酒;鸡尾酒;⽼酒（中国蒸馏烈酒）;⽶酒;朗姆酒;烧酒;⻘稞酒;含⽔果酒精饮料</t>
  </si>
  <si>
    <t>2023/03/20</t>
  </si>
  <si>
    <t>禹门春</t>
  </si>
  <si>
    <t>陕西天越龙川实业有限公司</t>
  </si>
  <si>
    <t>果酒（含酒精）;蒸煮提取物（利⼝酒和烈酒）;葡萄酒;⽩兰地;⻩酒;⽶酒;朗姆酒;⽩酒;汽酒;威⼠忌</t>
  </si>
  <si>
    <t>2023/03/23</t>
  </si>
  <si>
    <t>本甄</t>
  </si>
  <si>
    <t>安远本甄生态农业发展有限公司</t>
  </si>
  <si>
    <t>开胃酒;果酒（含酒精）;葡萄酒;烧酒;⾼粱酒;⽩酒;利⼝酒;⽶酒;⻩酒;⻘稞酒</t>
  </si>
  <si>
    <t>2023/04/13</t>
  </si>
  <si>
    <t>广东省食品检验所（广东省酒类检测中心）</t>
  </si>
  <si>
    <t>鸡尾酒;⾼粱酒;酒精饮料浓缩汁;⽼酒（中国蒸馏烈酒）;葡萄酒;⽩酒;酒精饮料（啤酒除外）;⾷⽤酒精;烈酒;果酒（含酒精）</t>
  </si>
  <si>
    <t>2023/04/26</t>
  </si>
  <si>
    <t>淳王金樽</t>
  </si>
  <si>
    <t>范李科</t>
  </si>
  <si>
    <t>酒精饮料（啤酒除外）;⽩⼲酒（中国⽩酒）;烧酒（烈酒）;⽼酒（中国蒸馏烈酒）;含酒精的饮料（啤酒除外）;⽩酒;由⾕物蒸馏的⽩酒;⾼粱酒;果酒;已调味的蒸馏酒</t>
  </si>
  <si>
    <t>2023/05/09</t>
  </si>
  <si>
    <t>大景·棒</t>
  </si>
  <si>
    <t>袁州区易多氏百货商行</t>
  </si>
  <si>
    <t>⽶酒;预先混合的酒精饮料（以啤酒为主的除外）;烧酒;⽩酒;汽酒;果酒（含酒精）;蒸馏饮料;⻩酒;葡萄酒;酒精饮料（啤酒除外）</t>
  </si>
  <si>
    <t>2023/05/10</t>
  </si>
  <si>
    <t>大咖国际</t>
  </si>
  <si>
    <t>大咖国际食品有限公司</t>
  </si>
  <si>
    <t>果酒（含酒精）;蒸煮提取物（利⼝酒和烈酒）;含⽔果酒精饮料;⽩酒;鸡尾酒;⽩兰地;⾷⽤酒精;葡萄酒;酒精饮料（啤酒除外）;蒸馏饮料</t>
  </si>
  <si>
    <t>2023/05/16</t>
  </si>
  <si>
    <t>塔乐送</t>
  </si>
  <si>
    <t>福州塔斯汀餐饮管理有限公司</t>
  </si>
  <si>
    <t>樱桃酒;清酒（⽇本⽶酒）;果酒（含酒精）;鸡尾酒;⽩酒;⽩兰地;葡萄酒;伏特加酒;⻩酒;威⼠忌</t>
  </si>
  <si>
    <t>乾功</t>
  </si>
  <si>
    <t>陈超</t>
  </si>
  <si>
    <t>葡萄酒;⽩⼲酒（中国⽩酒）;果酒（含酒精）;酒精饮料（啤酒除外）;⽩酒;⽼酒（中国蒸馏烈酒）;烈酒（饮料）;烧酒;⾷⽤酒精;⽶酒</t>
  </si>
  <si>
    <t>钰帝</t>
  </si>
  <si>
    <t>武夷山市禾水百货商行</t>
  </si>
  <si>
    <t>鸡尾酒;清酒（⽇本⽶酒）;⽶酒;⽩酒;威⼠忌;烈酒（饮料）;烧酒;果酒（含酒精）;⻩酒;葡萄酒</t>
  </si>
  <si>
    <t>飞池</t>
  </si>
  <si>
    <t>王兴龙</t>
  </si>
  <si>
    <t>⻩酒;葡萄酒;烧酒;酒精饮料（啤酒除外）;⽶酒;烈酒（饮料）;汽酒;威⼠忌;含⽔果酒精饮料;⽩酒</t>
  </si>
  <si>
    <t>2023/05/27</t>
  </si>
  <si>
    <t>未已</t>
  </si>
  <si>
    <t>四川丰椹园酒业有限公司</t>
  </si>
  <si>
    <t>⽩葡萄酒;杨梅酒;威⼠忌;⽩酒;樱桃酒;葡萄酒;鸡尾酒;⽩兰地;起泡红葡萄酒;果酒</t>
  </si>
  <si>
    <t>温岭市璨优贸易有限公司</t>
  </si>
  <si>
    <t>葡萄酒;烈酒（饮料）;预先混合的酒精饮料（以啤酒为主的除外）;酒精饮料浓缩汁;甜果酒;含⽔果酒精饮料;果酒（含酒精）;酒精饮料原汁;⽩酒;酒精饮料（啤酒除外）</t>
  </si>
  <si>
    <t>苗庄</t>
  </si>
  <si>
    <t>广州美台酒业有限公司</t>
  </si>
  <si>
    <t>⽶酒;烧酒;⻩酒;⽩酒;葡萄酒</t>
  </si>
  <si>
    <t>中圆春</t>
  </si>
  <si>
    <t>烟台市中圆酒业有限责任公司</t>
  </si>
  <si>
    <t>⻩酒;清酒（⽇本⽶酒）;⽶酒;果酒（含酒精）;葡萄酒;蒸馏饮料;⽩兰地;⽩酒;蒸煮提取物（利⼝酒和烈酒）;开胃酒</t>
  </si>
  <si>
    <t>2023/07/03</t>
  </si>
  <si>
    <t>玉兰</t>
  </si>
  <si>
    <t>乾坤福商贸有限公司</t>
  </si>
  <si>
    <t>餐后酒（利⼝酒和烈酒）;含⽔果酒精饮料;葡萄酒;果酒（含酒精）;酒精饮料（啤酒除外）;苹果酒;威⼠忌;⽩兰地;开胃酒;鸡尾酒</t>
  </si>
  <si>
    <t>2023/07/07</t>
  </si>
  <si>
    <t>双龙潭 青梅煮酒</t>
  </si>
  <si>
    <t>张家口龙潭酿酒有限责任公司</t>
  </si>
  <si>
    <t>⻘梅酒</t>
  </si>
  <si>
    <t>2023/07/12</t>
  </si>
  <si>
    <t>诤友</t>
  </si>
  <si>
    <t>北京两岸三地经济文化交流中心</t>
  </si>
  <si>
    <t>⾼粱酒;⽼酒（中国蒸馏烈酒）;⽶酒;烈酒;酒精饮料（啤酒除外）;烧酒;⽩酒;果酒;⻩酒;葡萄酒</t>
  </si>
  <si>
    <t>2023/07/19</t>
  </si>
  <si>
    <t>铮友社</t>
  </si>
  <si>
    <t>酒精饮料（啤酒除外）;⽩酒;⾼粱酒;⽶酒;葡萄酒;果酒;⻩酒;⽼酒（中国蒸馏烈酒）;烈酒;烧酒</t>
  </si>
  <si>
    <t>际华</t>
  </si>
  <si>
    <t>武汉猎鹰服饰有限责任公司</t>
  </si>
  <si>
    <t>蒸馏饮料;⽶酒;⾕物制蒸馏酒精饮料;茴芹酒（利⼝酒）;⽩酒;酒精饮料原汁;果酒（含酒精）;葡萄酒;鸡尾酒;烈酒（饮料）</t>
  </si>
  <si>
    <t>2023/07/20</t>
  </si>
  <si>
    <t>酝道岁月</t>
  </si>
  <si>
    <t>罗光玺</t>
  </si>
  <si>
    <t>⽼酒（中国蒸馏烈酒）;烧酒;露酒;⽩⼲酒（中国⽩酒）;⾷⽤酒精;蒸馏⽶酒（泡盛酒）;由⾕物蒸馏的⽩酒;已调味的蒸馏酒;⽩酒;⽶酒</t>
  </si>
  <si>
    <t>2023/07/28</t>
  </si>
  <si>
    <t>波阳春</t>
  </si>
  <si>
    <t>万清华</t>
  </si>
  <si>
    <t>威⼠忌;烧酒;⽶酒;⽩兰地;葡萄酒;⽩酒;⻩酒;⻘稞酒;果酒;⾷⽤酒精</t>
  </si>
  <si>
    <t>得意之城</t>
  </si>
  <si>
    <t>四川酱酒仁酒业有限公司</t>
  </si>
  <si>
    <t>利⼝酒;酒精饮料原汁;⽩酒;果酒（含酒精）;酒精饮料（啤酒除外）;烈酒;烧酒;蒸煮提取物（利⼝酒和烈酒）;⽶酒;⾷⽤酒精</t>
  </si>
  <si>
    <t>2023/08/04</t>
  </si>
  <si>
    <t>DA TANG HAN FANG</t>
  </si>
  <si>
    <t>河南大唐汉方酒业有限公司</t>
  </si>
  <si>
    <t>梨酒;伏特加酒;葡萄酒;酒精饮料（啤酒除外）;果酒;⽶酒;鸡尾酒;⻩酒;烧酒;⽩酒</t>
  </si>
  <si>
    <t>2023/08/08</t>
  </si>
  <si>
    <t>STH</t>
  </si>
  <si>
    <t>罗思柏丽葡萄酒私人有限公司</t>
  </si>
  <si>
    <t>起泡⽩葡萄酒;加烈葡萄酒;起泡红葡萄酒;葡萄汽酒;葡萄酒</t>
  </si>
  <si>
    <t>2023/08/10</t>
  </si>
  <si>
    <t>王</t>
  </si>
  <si>
    <t>张洵</t>
  </si>
  <si>
    <t>蜂蜜酒;果酒（含酒精）;蒸馏饮料;⽶酒;含酒精的⽔果鸡尾酒饮料;⻩酒;葡萄酒;⽩酒;开胃酒;烧酒</t>
  </si>
  <si>
    <t>2023/08/12</t>
  </si>
  <si>
    <t>好狮连连</t>
  </si>
  <si>
    <t>红狮博物馆（广州）有限公司</t>
  </si>
  <si>
    <t>⽩酒;葡萄酒;清酒（⽇本⽶酒）;果酒（含酒精）;烈酒（饮料）;鸡尾酒;威⼠忌;⽶酒;蒸馏饮料;⻩酒</t>
  </si>
  <si>
    <t>2023/08/14</t>
  </si>
  <si>
    <t>罗伯特威尔酒庄</t>
  </si>
  <si>
    <t>罗伯特威尔酒庄两合公司</t>
  </si>
  <si>
    <t>酒精饮料（啤酒除外）;葡萄酒</t>
  </si>
  <si>
    <t>2023/08/16</t>
  </si>
  <si>
    <t>古韵雄风</t>
  </si>
  <si>
    <t>贵酒集团有限公司</t>
  </si>
  <si>
    <t>葡萄酒;⽩酒;烈酒（饮料）;清酒（⽇本⽶酒）;果酒（含酒精）;⻩酒;利⼝酒;⽶酒;鸡尾酒;⻘稞酒</t>
  </si>
  <si>
    <t>2023/08/19</t>
  </si>
  <si>
    <t>京味酒坊</t>
  </si>
  <si>
    <t>北京首商控股有限公司</t>
  </si>
  <si>
    <t>酒精饮料（啤酒除外）;葡萄酒;烧酒;清酒（⽇本⽶酒）;⽩酒;鸡尾酒;果酒（含酒精）;樱桃酒;⻩酒;朗姆酒</t>
  </si>
  <si>
    <t>2023/08/23</t>
  </si>
  <si>
    <t>CLOS MARTIN</t>
  </si>
  <si>
    <t>玛芮莎饮品有限责任公司</t>
  </si>
  <si>
    <t>烈酒;威⼠忌;⽩兰地;含酒精的饮料（啤酒除外）</t>
  </si>
  <si>
    <t>2023/08/25</t>
  </si>
  <si>
    <t>曲径</t>
  </si>
  <si>
    <t>西安曲径实业有限公司</t>
  </si>
  <si>
    <t>欢生</t>
  </si>
  <si>
    <t>海南欢生科技健康食品研究院</t>
  </si>
  <si>
    <t>⽩酒;⻩酒;开胃酒;葡萄酒;苹果酒;果酒（含酒精）;酒精饮料（啤酒除外）;⽢蔗制酒精饮料;⾕物制蒸馏酒精饮料;含⽔果酒精饮料</t>
  </si>
  <si>
    <t>2023/08/29</t>
  </si>
  <si>
    <t>济南今朝酒业有限公司</t>
  </si>
  <si>
    <t>⽩酒;红葡萄酒;梅酒;烈酒;⾼粱酒;果酒;由⾕物蒸馏的⽩酒;⽩⼲酒（中国⽩酒）;⽩葡萄酒;已调味的蒸馏酒</t>
  </si>
  <si>
    <t>2023/09/01</t>
  </si>
  <si>
    <t>永洋</t>
  </si>
  <si>
    <t>河北永洋特钢集团有限公司</t>
  </si>
  <si>
    <t>果酒(含酒精);苹果酒;⽩兰地;酒精饮料(啤酒除外);⽩酒;汽酒;蒸馏饮料;薄荷酒;葡萄酒;含⽔果酒精饮料</t>
  </si>
  <si>
    <t>2023/09/07</t>
  </si>
  <si>
    <t>蒙拉莉萨</t>
  </si>
  <si>
    <t>厦门辛巴餐饮管理有限公司</t>
  </si>
  <si>
    <t>⽩兰地;⽩酒;⽶酒;⻘稞酒;⻩酒;威⼠忌;烧酒;葡萄酒;果酒（含酒精）;鸡尾酒</t>
  </si>
  <si>
    <t>观江海</t>
  </si>
  <si>
    <t>四川省盛世满江红餐饮管理有限公司</t>
  </si>
  <si>
    <t>烧酒;⽩酒;含⽔果酒精饮料;果酒（含酒精）;⻩酒;开胃酒;利⼝酒;烈酒（饮料）;⽶酒;酒精饮料（啤酒除外）</t>
  </si>
  <si>
    <t>搏克</t>
  </si>
  <si>
    <t>冬梅</t>
  </si>
  <si>
    <t>鸡尾酒;果酒（含酒精）;⽩兰地;苹果酒;烧酒;⽩酒;葡萄酒;酒精饮料（啤酒除外）;开胃酒;清酒（⽇本⽶酒）</t>
  </si>
  <si>
    <t>2023/09/21</t>
  </si>
  <si>
    <t>塔塔家</t>
  </si>
  <si>
    <t>姚潇龙</t>
  </si>
  <si>
    <t>果酒（含酒精）;利⼝酒;烈酒（饮料）;威⼠忌;葡萄酒;鸡尾酒;酒精饮料（啤酒除外）;含⽔果酒精饮料;以葡萄酒为主的饮料;⽩酒</t>
  </si>
  <si>
    <t>今疆</t>
  </si>
  <si>
    <t>阿克苏今疆酒业有限公司</t>
  </si>
  <si>
    <t>薄荷酒;⻩酒;烧酒（烈酒）;果酒（含酒精）;⽶酒;烧酒;烈酒;⽩酒;葡萄酒;利⼝酒</t>
  </si>
  <si>
    <t>2023/09/25</t>
  </si>
  <si>
    <t>莫汉父子</t>
  </si>
  <si>
    <t>博赛简化股份公司-优质的葡萄酒家庭</t>
  </si>
  <si>
    <t>起泡红葡萄酒;起泡⽩葡萄酒;不起泡葡萄酒</t>
  </si>
  <si>
    <t>2023/09/26</t>
  </si>
  <si>
    <t>金宝门</t>
  </si>
  <si>
    <t>深圳市华电光明投资有限公司</t>
  </si>
  <si>
    <t>开胃酒;威⼠忌;葡萄酒;烈酒（饮料）;鸡尾酒;果酒（含酒精）;⽩酒;蒸馏饮料;伏特加酒;⽩兰地</t>
  </si>
  <si>
    <t>2023/09/27</t>
  </si>
  <si>
    <t>普仙</t>
  </si>
  <si>
    <t>小糊涂仙酒业(集团)有限公司</t>
  </si>
  <si>
    <t>清酒;酒精饮料（啤酒除外）;⽩兰地;开胃酒;⻩酒;烧酒;葡萄酒;⽶酒;⽩酒;果酒</t>
  </si>
  <si>
    <t>蓝狐岛 BLUE FOX ISLAND</t>
  </si>
  <si>
    <t>北京和庆投资有限公司</t>
  </si>
  <si>
    <t>预先混合的酒精饮料（以啤酒为主的除外）;以葡萄酒为主的饮料;烧酒;⽩酒;威⼠忌;樱桃酒;蒸馏饮料;果酒（含酒精）;酒精饮料原汁;烈酒（饮料）</t>
  </si>
  <si>
    <t>2023/10/07</t>
  </si>
  <si>
    <t>兰岭烧坊</t>
  </si>
  <si>
    <t>李赢捷</t>
  </si>
  <si>
    <t>⽩酒;⻩酒;鸡尾酒;⽶酒;果酒（含酒精）;⾼粱酒;葡萄酒;⽼酒（中国蒸馏烈酒）;烧酒;⾷⽤酒精</t>
  </si>
  <si>
    <t>鸿标</t>
  </si>
  <si>
    <t>四川中太食品有限公司</t>
  </si>
  <si>
    <t>⽩酒;酒精饮料（啤酒除外）;五加⽪酒（中国混合烈酒）</t>
  </si>
  <si>
    <t>贵州宏声酒业有限责任公司</t>
  </si>
  <si>
    <t>⽶酒;⽩酒;烧酒;⻩酒;酒精饮料（啤酒除外）;清酒（⽇本⽶酒）;含⽔果酒精饮料;葡萄酒;蜂蜜酒;鸡尾酒</t>
  </si>
  <si>
    <t>永王坊</t>
  </si>
  <si>
    <t>海南酒帮酒业有限公司</t>
  </si>
  <si>
    <t>酒精饮料（啤酒除外）;烧酒;烈酒（饮料）;葡萄酒;⻩酒;鸡尾酒;蒸馏饮料;⽩酒;⽶酒;果酒（含酒精）</t>
  </si>
  <si>
    <t>延乡</t>
  </si>
  <si>
    <t>好天企业管理（大连）有限公司</t>
  </si>
  <si>
    <t>酒精饮料（啤酒除外）;利⼝酒;⽶酒;葡萄酒;马格利酒（朝鲜传统⽶酒）;汽酒;含⽔果酒精饮料;鸡尾酒;烧酒;⽩酒</t>
  </si>
  <si>
    <t>舞鹤</t>
  </si>
  <si>
    <t>葡萄酒;汽酒;鸡尾酒;酒精饮料（啤酒除外）;烧酒;⽶酒;⽩酒;马格利酒（朝鲜传统⽶酒）;含⽔果酒精饮料;利⼝酒</t>
  </si>
  <si>
    <t>2023/10/12</t>
  </si>
  <si>
    <t>敬天爱人</t>
  </si>
  <si>
    <t>北京恒宇畅通汽车贸易有限公司</t>
  </si>
  <si>
    <t>鸡尾酒;伏特加酒;朗姆酒;⽩酒;利⼝酒;⽩兰地;威⼠忌;葡萄酒;果酒（含酒精）;⽶酒</t>
  </si>
  <si>
    <t>盈宾</t>
  </si>
  <si>
    <t>香港糖业烟酒集团有限公司</t>
  </si>
  <si>
    <t>⻩酒;清酒;果酒;烈酒;⽩酒;烧酒;⾼粱酒;甜酒;烈性⼲酒;⽶酒</t>
  </si>
  <si>
    <t>2023/10/14</t>
  </si>
  <si>
    <t>中岳</t>
  </si>
  <si>
    <t>罗燕梅</t>
  </si>
  <si>
    <t>果酒（含酒精）;葡萄酒;⽶酒;⻘稞酒;清酒（⽇本⽶酒）;烧酒;鸡尾酒;⽩酒;⾼粱酒;⻩酒</t>
  </si>
  <si>
    <t>2023/10/19</t>
  </si>
  <si>
    <t>谷小二</t>
  </si>
  <si>
    <t>万安十二姨食品厂</t>
  </si>
  <si>
    <t>⽶酒;⾷⽤酒精;⻩酒;开胃酒;果酒（含酒精）;葡萄酒;烧酒;⽩酒;蜂蜜酒;利⼝酒</t>
  </si>
  <si>
    <t>2023/10/25</t>
  </si>
  <si>
    <t>遂安</t>
  </si>
  <si>
    <t>杭州千岛湖牌白酒业有限公司</t>
  </si>
  <si>
    <t>⽩酒;⽶酒;烧酒;威⼠忌;薄荷酒;⻩酒;汽酒;葡萄酒;樱桃酒;果酒（含酒精）</t>
  </si>
  <si>
    <t>2023/10/29</t>
  </si>
  <si>
    <t>FXF 富欣娜</t>
  </si>
  <si>
    <t>深圳市富欣娜服饰有限公司</t>
  </si>
  <si>
    <t>汽酒;⻘稞酒;⽶酒;葡萄酒;⻩酒;烧酒;果酒（含酒精）;烈酒（饮料）;⽩酒;含⽔果酒精饮料</t>
  </si>
  <si>
    <t>2023/11/02</t>
  </si>
  <si>
    <t>江小白农场 JIANGXIAOBAI FARM</t>
  </si>
  <si>
    <t>葡萄酒;烈酒（饮料）;⽩酒;酒精饮料（啤酒除外）;果酒（含酒精）;鸡尾酒;⽶酒;烧酒;⾼粱酒;威⼠忌</t>
  </si>
  <si>
    <t>2023/12/07</t>
  </si>
  <si>
    <t>羽见漓玥</t>
  </si>
  <si>
    <t>格登扎西</t>
  </si>
  <si>
    <t>⽩酒;鸡尾酒;梨酒;⽩兰地;开胃酒;⻩酒;⽶酒;烧酒;葡萄酒;果酒（含酒精）</t>
  </si>
  <si>
    <t>2023/12/17</t>
  </si>
  <si>
    <t>阿普索 APSO</t>
  </si>
  <si>
    <t>西藏松泽商贸有限公司</t>
  </si>
  <si>
    <t>⽶酒;葡萄酒;鸡尾酒;⽩酒;⾕物制蒸馏酒精饮料;果酒（含酒精）;开胃酒;⻘稞酒;烈酒（饮料）;⽩兰地</t>
  </si>
  <si>
    <t>2023/12/26</t>
  </si>
  <si>
    <t>心入水</t>
  </si>
  <si>
    <t>威⼠忌;⽶酒;烧酒;⽩酒;酒精饮料（啤酒除外）;葡萄酒;⾼粱酒;鸡尾酒;烈酒（饮料）;果酒（含酒精）</t>
  </si>
  <si>
    <t>2024/01/18</t>
  </si>
  <si>
    <t>BLUELIFE</t>
  </si>
  <si>
    <t>深圳市沣途网络科技有限公司</t>
  </si>
  <si>
    <t>威⼠忌;苹果酒;酒精饮料（啤酒除外）;薄荷酒;葡萄酒;⽩酒;⻩酒;果酒（含酒精）;烈酒（饮料）;⽶酒</t>
  </si>
  <si>
    <t>2024/02/07</t>
  </si>
  <si>
    <t>南酣</t>
  </si>
  <si>
    <t>邹伟</t>
  </si>
  <si>
    <t>⽩兰地;伏特加酒;葡萄酒;酒精饮料（啤酒除外）;⽩酒;鸡尾酒;利⼝酒;威⼠忌;朗姆酒;果酒</t>
  </si>
  <si>
    <t>景洋王</t>
  </si>
  <si>
    <t>山西景洋酒业股份有限公司</t>
  </si>
  <si>
    <t>果酒（含酒精）;烧酒;烈性⼲酒;⽩酒;⽶酒;⽩⼲酒（中国⽩酒）;葡萄酒;烈酒（饮料）;除啤酒外的酒精饮料;⻩酒</t>
  </si>
  <si>
    <t>2024/02/23</t>
  </si>
  <si>
    <t>素满香</t>
  </si>
  <si>
    <t>浙江素满香餐饮管理有限公司</t>
  </si>
  <si>
    <t>朗姆酒;蜂蜜酒;含酒精的⽓泡⽔;烈酒浓缩汁;烧酒;樱桃酒;⻘稞酒;柑⾹酒;⽢蔗制酒精饮料;⾷⽤酒精</t>
  </si>
  <si>
    <t>素满</t>
  </si>
  <si>
    <t>蒸馏饮料;⾕物制蒸馏酒精饮料;蜂蜜酒;⽩兰地;⻩酒;伏特加酒;葡萄酒;烈酒（饮料）;⻘稞酒;朗姆酒</t>
  </si>
  <si>
    <t>玄酣</t>
  </si>
  <si>
    <t>⽩酒;葡萄酒;朗姆酒;伏特加酒;酒精饮料（啤酒除外）;鸡尾酒;利⼝酒;⽩兰地;威⼠忌;果酒</t>
  </si>
  <si>
    <t>峡谷春华</t>
  </si>
  <si>
    <t>恩施好莱滋食品有限公司</t>
  </si>
  <si>
    <t>薄荷酒;果酒（含酒精）;蒸馏饮料;亚⼒酒;开胃酒;鸡尾酒;苦味酒;茴芹酒（利⼝酒）;茴⾹酒（利⼝酒）;苹果酒</t>
  </si>
  <si>
    <t>NIU LAN SHAN ER GUO TOU BAIJIU</t>
  </si>
  <si>
    <t>北京顺鑫农业股份有限公司牛栏山酒厂</t>
  </si>
  <si>
    <t>⽶酒;⻘稞酒;开胃酒;烈酒（饮料）;葡萄酒;⽩酒;酒精饮料（啤酒除外）;酒精饮料浓缩汁;⻩酒;含⽔果酒精饮料</t>
  </si>
  <si>
    <t>滋梨堂</t>
  </si>
  <si>
    <t>河北华泉食品有限公司</t>
  </si>
  <si>
    <t>⻩酒;⽩酒;葡萄酒;⽶酒;苹果酒;果酒（含酒精）;鸡尾酒;梨酒;酒精饮料（啤酒除外）;⻘稞酒</t>
  </si>
  <si>
    <t>2024/03/02</t>
  </si>
  <si>
    <t>DPLB</t>
  </si>
  <si>
    <t>伏特加酒;利⼝酒;⽩兰地;葡萄酒;酒精饮料（啤酒除外）;果酒;威⼠忌;⽩酒;鸡尾酒;朗姆酒</t>
  </si>
  <si>
    <t>⽶酒;清酒;⽩兰地;酒精饮料（啤酒除外）;威⼠忌;果酒（含酒精）;⻩酒;⽩酒;葡萄酒;烧酒</t>
  </si>
  <si>
    <t>丛乡王 丛乡王</t>
  </si>
  <si>
    <t>平原德通商贸有限公司</t>
  </si>
  <si>
    <t>果酒（含酒精）;清酒（⽇本⽶酒）;酒精饮料（啤酒除外）;鸡尾酒;⽩兰地;⾷⽤酒精;⽩酒;葡萄酒;烧酒;伏特加酒</t>
  </si>
  <si>
    <t>德合兴</t>
  </si>
  <si>
    <t>吴汉德</t>
  </si>
  <si>
    <t>⽩酒;⽶酒;果酒（含酒精）;葡萄酒;开胃酒;酒精饮料原汁;烈酒（饮料）;威⼠忌;茴⾹酒;烧酒</t>
  </si>
  <si>
    <t>祖拉康</t>
  </si>
  <si>
    <t>大昭寺</t>
  </si>
  <si>
    <t>鸡尾酒;清酒（⽇本⽶酒）;酒精饮料（啤酒除外）;⽩酒;烈酒（饮料）;含⽔果酒精饮料;果酒（含酒精）;⽶酒;⻘稞酒;葡萄酒</t>
  </si>
  <si>
    <t>惹萨楚郎</t>
  </si>
  <si>
    <t>⻘稞酒;果酒（含酒精）;葡萄酒;含⽔果酒精饮料;清酒（⽇本⽶酒）;鸡尾酒;酒精饮料（啤酒除外）;⽶酒;烈酒（饮料）;⽩酒</t>
  </si>
  <si>
    <t>全球候鸟 GLOBAL BIRDGO</t>
  </si>
  <si>
    <t>深圳市候鸟之家健康旅居研究院</t>
  </si>
  <si>
    <t>果酒（含酒精）;蒸煮提取物（利⼝酒和烈酒）;⽩酒;烈酒（饮料）;⻩酒;樱桃酒;葡萄酒;⽶酒;烧酒;蜂蜜酒</t>
  </si>
  <si>
    <t>MIEL</t>
  </si>
  <si>
    <t>杭州玫隆食品有限公司</t>
  </si>
  <si>
    <t>汽酒;除啤酒外的酒精饮料;含⽔果酒精饮料;⻩酒;葡萄酒;⽩酒;⽶酒;清酒;鸡尾酒;梅酒</t>
  </si>
  <si>
    <t>圆赞</t>
  </si>
  <si>
    <t>云南东方盛世商贸有限公司</t>
  </si>
  <si>
    <t>果酒（含酒精）;葡萄酒;烈酒（饮料）;⽩酒;⻩酒;以葡萄酒为主的饮料;⾷⽤酒精;预先混合的酒精饮料（以啤酒为主的除外）;含酒精的⽓泡⽔;⽶酒</t>
  </si>
  <si>
    <t>BOSS UHEALTH 博仕葆康</t>
  </si>
  <si>
    <t>上海博仕葆康科技有限公司</t>
  </si>
  <si>
    <t>葡萄酒;⽶酒;烧酒;果酒（含酒精）;⽩⼲酒（中国⽩酒）;⽩酒;威⼠忌;伏特加酒;⽇式甜⽶酒;⻩酒</t>
  </si>
  <si>
    <t>2024/03/16</t>
  </si>
  <si>
    <t>诗贝缇</t>
  </si>
  <si>
    <t>无锡市诗贝缇品牌管理有限公司</t>
  </si>
  <si>
    <t>含酒精的⽔果鸡尾酒饮料;含奶油利⼝酒;开胃酒;⽩酒;鸡尾酒;⻩酒;烧酒;含⽔果酒精饮料;天然汽酒;⻨芽威⼠忌</t>
  </si>
  <si>
    <t>白马湖喜事多</t>
  </si>
  <si>
    <t>淮安白马湖文化旅游发展有限公司</t>
  </si>
  <si>
    <t>⽶酒;⻩酒;酒精饮料（啤酒除外）;利⼝酒;烧酒;⽩酒;果酒（含酒精）;葡萄酒;酒精饮料浓缩汁;烈酒（饮料）</t>
  </si>
  <si>
    <t>姓氏传奇</t>
  </si>
  <si>
    <t>韶山兰亭文化科技有限公司</t>
  </si>
  <si>
    <t>⽩⼲酒（中国⽩酒）;烈酒;⽩酒;含酒精的饮料（啤酒除外）;⻩酒;⾼粱酒;烧酒（烈酒）;⽼酒（中国蒸馏烈酒）;烧酒;烈酒（饮料）</t>
  </si>
  <si>
    <t>2024/03/19</t>
  </si>
  <si>
    <t>中书兰亭（绍兴）教育科技有限公司</t>
  </si>
  <si>
    <t>⽶酒;果酒（含酒精）;⻩酒;⾕物制蒸馏酒精饮料</t>
  </si>
  <si>
    <t>小堂吉叶</t>
  </si>
  <si>
    <t>小堂吉叶（湖北）生物科技有限公司</t>
  </si>
  <si>
    <t>果酒（含酒精）;烧酒;烈酒（饮料）;⽢蔗制烈酒;⻩酒;⽶酒;鸡尾酒;⽩酒;酒精饮料（啤酒除外）;葡萄酒</t>
  </si>
  <si>
    <t>2024/03/22</t>
  </si>
  <si>
    <t>VQ OLD VINE WINE</t>
  </si>
  <si>
    <t>葡萄酒;红葡萄酒;起泡红葡萄酒;烈酒（饮料）;酒精饮料（啤酒除外）;以葡萄酒为主的开胃酒;加⾹料的热葡萄酒;咖啡利⼝酒;露酒;加烈葡萄酒</t>
  </si>
  <si>
    <t>N3+</t>
  </si>
  <si>
    <t>李强</t>
  </si>
  <si>
    <t>⾼粱酒;果酒;葡萄酒;梅酒;清酒;⽶酒;烧酒;预调甜酒;蒸馏饮料;⽩酒</t>
  </si>
  <si>
    <t>囍骄子</t>
  </si>
  <si>
    <t>五华区问魁百货店</t>
  </si>
  <si>
    <t>酒精饮料（啤酒除外）;⻩酒;烈酒;开胃酒;清酒（⽇本⽶酒）;鸡尾酒;威⼠忌;⽩酒;果酒（含酒精）;葡萄酒</t>
  </si>
  <si>
    <t>勋绩</t>
  </si>
  <si>
    <t>查银桃</t>
  </si>
  <si>
    <t>⻘稞酒;果酒（含酒精）;⽶酒;⽩酒;露酒;烧酒;⻩酒;烈酒;⾼粱酒;葡萄酒</t>
  </si>
  <si>
    <t>黔王</t>
  </si>
  <si>
    <t>贵州黔王匠王台酿酒有限公司</t>
  </si>
  <si>
    <t>蜂蜜酒;⽩酒;酒精饮料（啤酒除外）;⻩酒;葡萄酒;含⽔果酒精饮料;清酒（⽇本⽶酒）;烧酒;烈酒;⽼酒（中国蒸馏烈酒）</t>
  </si>
  <si>
    <t>友来红酒</t>
  </si>
  <si>
    <t>北京信永发商贸有限公司</t>
  </si>
  <si>
    <t>蒸馏饮料;烧酒;葡萄酒;果酒（含酒精）;酒精饮料（啤酒除外）;苹果酒;⽶酒;预先混合的酒精饮料（以啤酒为主的除外）;烈酒（饮料）;开胃酒</t>
  </si>
  <si>
    <t>老宾</t>
  </si>
  <si>
    <t>贵州省仁怀市联合企业管理有限公司</t>
  </si>
  <si>
    <t>酒精饮料原汁;⾼粱酒;酒精饮料浓缩汁;⽼酒（中国蒸馏烈酒）;⽩酒;葡萄酒;烧酒;蒸馏饮料;烈酒;果酒（含酒精）</t>
  </si>
  <si>
    <t>穂岁泉</t>
  </si>
  <si>
    <t>湖南隆平穗月情酒业贸易有限公司</t>
  </si>
  <si>
    <t>⾷⽤酒精;汽酒;酒精饮料（啤酒除外）;蒸馏饮料;烈酒（饮料）;⾕物制蒸馏酒精饮料;⻩酒;葡萄酒;酒精饮料原汁;果酒（含酒精）;清酒（⽇本⽶酒）;⽩酒</t>
  </si>
  <si>
    <t>凯里乐惠贸易有限公司</t>
  </si>
  <si>
    <t>葡萄酒;酒精饮料原汁;含⽔果酒精饮料;⻩酒;汽酒;⽩酒;酒精饮料浓缩汁;酒精饮料（啤酒除外）;果酒（含酒精）;⽶酒</t>
  </si>
  <si>
    <t>西凤唐晏</t>
  </si>
  <si>
    <t>陕西西凤酒股份有限公司</t>
  </si>
  <si>
    <t>含酒精的充⽓饮料（啤酒除外）;葡萄酒;蒸馏饮料;⽩酒;烧酒;烈酒（饮料）;酒精饮料原汁;果酒（含酒精）;含⽔果酒精饮料;⻩酒</t>
  </si>
  <si>
    <t>辉诚牌</t>
  </si>
  <si>
    <t>刘建青</t>
  </si>
  <si>
    <t>蒸馏⽶酒（泡盛酒）;⾼粱酒;⾷⽤酒精;⽼酒（中国蒸馏烈酒）;蝮蛇酒;酒精饮料（啤酒除外）;葡萄酒;⽶酒;果酒（含酒精）;⽩酒</t>
  </si>
  <si>
    <t>庄稼佬</t>
  </si>
  <si>
    <t>襄阳古牛文化产业发展有限公司</t>
  </si>
  <si>
    <t>蜂蜜酒;果酒;酒精饮料（啤酒除外）;烧酒;鸡尾酒;烈酒;⽩酒;⽶酒;蒸煮提取物（利⼝酒和烈酒）;葡萄酒</t>
  </si>
  <si>
    <t>金川博</t>
  </si>
  <si>
    <t>四川博源酒业有限公司</t>
  </si>
  <si>
    <t>烧酒;⽩酒;⾼粱酒;威⼠忌;⽶酒;开胃酒;鸡尾酒;⻩酒;薄荷酒;果酒</t>
  </si>
  <si>
    <t>大连东方视野文化传播有限公司</t>
  </si>
  <si>
    <t>烈酒（饮料）;果酒（含酒精）;⻩酒;烧酒;蒸馏饮料;⽶酒;开胃酒;酒精饮料（啤酒除外）;⽩酒;葡萄酒</t>
  </si>
  <si>
    <t>上天之子</t>
  </si>
  <si>
    <t>袁龙</t>
  </si>
  <si>
    <t>果酒（含酒精）;葡萄酒;⽶酒;烧酒;蒸馏饮料;⽩酒;烈酒;露酒;⾼粱酒;⻩酒</t>
  </si>
  <si>
    <t>谐和春</t>
  </si>
  <si>
    <t>烧酒;烈酒;果酒（含酒精）;⽶酒;⾼粱酒;蒸馏饮料;葡萄酒;⻩酒;露酒;⽩酒</t>
  </si>
  <si>
    <t>前味</t>
  </si>
  <si>
    <t>福州潮福前味食品有限公司</t>
  </si>
  <si>
    <t>⻩酒;⾕物制蒸馏酒精饮料;葡萄酒;烧酒;酒精饮料（啤酒除外）;⽩酒;含⽔果酒精饮料;⾷⽤酒精;果酒（含酒精）;⽶酒</t>
  </si>
  <si>
    <t>葡萄酒;烧酒;开胃酒;蒸馏饮料;酒精饮料（啤酒除外）;⽶酒;⻩酒;⽩酒;果酒（含酒精）;烈酒（饮料）</t>
  </si>
  <si>
    <t>THE PRECIOUS JEWEL ROYAL SALUTE</t>
  </si>
  <si>
    <t>芝华士控股（知识产权）有限公司</t>
  </si>
  <si>
    <t>祝先生</t>
  </si>
  <si>
    <t>河南荣瓴房地产营销策划有限公司</t>
  </si>
  <si>
    <t>含酒精的饮料（啤酒除外）;果酒;⽶酒;⽩酒;除啤酒外的酒精饮料;含酒精⽔果饮料;梨酒</t>
  </si>
  <si>
    <t>名全球</t>
  </si>
  <si>
    <t>广州辰昌贸易有限公司</t>
  </si>
  <si>
    <t>酒精饮料（啤酒除外）;葡萄酒;预先混合的酒精饮料（以啤酒为主的除外）;⽩酒;威⼠忌;果酒（含酒精）;烈酒;烧酒;⻩酒;清酒</t>
  </si>
  <si>
    <t>茶真珠</t>
  </si>
  <si>
    <t>威⼠忌;果酒（含酒精）;⽶酒;烧酒;⻩酒;朗姆酒;葡萄酒;清酒（⽇本⽶酒）;⽩酒;⽩兰地</t>
  </si>
  <si>
    <t>神墨洲 SHENMO INTERNATIONAL</t>
  </si>
  <si>
    <t>北京神墨文化传播有限公司</t>
  </si>
  <si>
    <t>苹果酒;清酒（⽇本⽶酒）;含⽔果酒精饮料;⽶酒;果酒（含酒精）;烧酒;⽩兰地;葡萄酒;酒精饮料（啤酒除外）;⽩酒</t>
  </si>
  <si>
    <t>不卸甲</t>
  </si>
  <si>
    <t>⽶酒;烈酒（饮料）;烧酒;⻩酒;葡萄酒;⾕物制蒸馏酒精饮料;⽩酒;酒精饮料（啤酒除外）;⻘稞酒;鸡尾酒</t>
  </si>
  <si>
    <t>灯顶</t>
  </si>
  <si>
    <t>陕西桂平柿柿红黄酒有限公司</t>
  </si>
  <si>
    <t>⽩酒;烈酒（饮料）;⻩酒;果酒（含酒精）;甜酒;梅酒;葡萄酒;⽶酒;烧酒;⻘稞酒</t>
  </si>
  <si>
    <t>含⽔果酒精饮料;清酒（⽇本⽶酒）;⻩酒;葡萄酒;蜂蜜酒;⽩酒;酒精饮料（啤酒除外）;烧酒;烈酒;⽼酒（中国蒸馏烈酒）</t>
  </si>
  <si>
    <t>茉上头</t>
  </si>
  <si>
    <t>广西金麦田文化传播有限公司</t>
  </si>
  <si>
    <t>⽩酒;葡萄酒;⾼粱酒;果酒;以葡萄酒为主的饮料;开胃酒;桃红葡萄酒;烧酒;⽶酒;甜酒</t>
  </si>
  <si>
    <t>南粵逸品</t>
  </si>
  <si>
    <t>佛山莱薪实业有限公司</t>
  </si>
  <si>
    <t>果酒（含酒精）;烈酒（饮料）;⽩酒;⾷⽤酒精;烧酒;蜂蜜酒;⻩酒;预先混合的酒精饮料（以啤酒为主的除外）;葡萄酒;⽶酒</t>
  </si>
  <si>
    <t>沃盾酒业（广州）有限公司</t>
  </si>
  <si>
    <t>⽩兰地;⻩酒;利⼝酒;苹果酒;威⼠忌;葡萄酒;烧酒;烈酒（饮料）;⽶酒;鸡尾酒</t>
  </si>
  <si>
    <t>金窖底</t>
  </si>
  <si>
    <t>黑龙江鹤城酒业有限公司</t>
  </si>
  <si>
    <t>⽩酒;烧酒;⻩酒;酒精饮料原汁;葡萄酒;开胃酒;果酒（含酒精）;酒精饮料（啤酒除外）;苹果酒;⾷⽤酒精</t>
  </si>
  <si>
    <t>贵州省酒谦懿酒业有限责任公司</t>
  </si>
  <si>
    <t>开胃酒;蒸煮提取物（利⼝酒和烈酒）;梅酒;葡萄酒;利⼝酒;酒精饮料（啤酒除外）;酒精饮料原汁;⽩酒;果酒（含酒精）;⻩酒</t>
  </si>
  <si>
    <t>书斋</t>
  </si>
  <si>
    <t>于雷</t>
  </si>
  <si>
    <t>烧酒;葡萄酒;⽩酒;酒精饮料（啤酒除外）;⽶酒;威⼠忌;清酒;⻩酒;果酒（含酒精）;鸡尾酒</t>
  </si>
  <si>
    <t>研黄普济</t>
  </si>
  <si>
    <t>安徽研黄生物科技有限公司</t>
  </si>
  <si>
    <t>汽酒;烈酒;葡萄酒;酒精饮料（啤酒除外）;清酒;果酒;⾷⽤酒精;⻘稞酒;烧酒;⽩酒</t>
  </si>
  <si>
    <t>古莒印章</t>
  </si>
  <si>
    <t>日照伊阁鲁商贸有限责任公司</t>
  </si>
  <si>
    <t>烈酒;⽩兰地;⽩酒;开胃酒;酒精饮料（啤酒除外）;⾼粱酒;甜酒;果酒;烧酒;葡萄酒</t>
  </si>
  <si>
    <t>酒都的李庄</t>
  </si>
  <si>
    <t>⽩酒;⽼酒（中国蒸馏烈酒）;五加⽪酒（中国混合烈酒）;汽酒;⽶酒;果酒;清酒;烧酒（烈酒）;葡萄酒;含⽔果酒精饮料</t>
  </si>
  <si>
    <t>水市王</t>
  </si>
  <si>
    <t>烈酒（饮料）;⻩酒;果酒（含酒精）;酒精饮料（啤酒除外）;蒸馏饮料;鸡尾酒;⽼酒（中国蒸馏烈酒）;葡萄酒;汽酒;⽩酒</t>
  </si>
  <si>
    <t>⽼酒（中国蒸馏烈酒）;⻩酒;酒精饮料（啤酒除外）;烈酒;含⽔果酒精饮料;清酒（⽇本⽶酒）;蜂蜜酒;葡萄酒;⽩酒;烧酒</t>
  </si>
  <si>
    <t>口粮陈</t>
  </si>
  <si>
    <t>保定古遂春酿酒有限公司</t>
  </si>
  <si>
    <t>含⽔果酒精饮料;烧酒;餐后酒（利⼝酒和烈酒）;鸡尾酒;葡萄酒;酒精饮料（啤酒除外）;预先混合的酒精饮料（以啤酒为主的除外）;⽩酒;果酒（含酒精）;清酒（⽇本⽶酒）</t>
  </si>
  <si>
    <t>遵故里</t>
  </si>
  <si>
    <t>开胃酒;果酒;朗姆酒;酒精饮料（啤酒除外）;利⼝酒;鸡尾酒;葡萄酒;清酒（⽇本⽶酒）;烧酒;⽩酒</t>
  </si>
  <si>
    <t>杨顺海</t>
  </si>
  <si>
    <t>果酒（含酒精）;烈酒（饮料）;⽶酒;烧酒;酒精饮料（啤酒除外）;鸡尾酒;⽩酒;⻩酒;葡萄酒;蒸馏饮料</t>
  </si>
  <si>
    <t>端燕</t>
  </si>
  <si>
    <t>山东贡胶阿胶集团股份有限公司</t>
  </si>
  <si>
    <t>⽶酒;⻩酒;葡萄酒;⽩兰地;⽩酒;烈酒（饮料）;薄荷酒;烧酒;果酒（含酒精）;威⼠忌</t>
  </si>
  <si>
    <t>I AM 花花牛</t>
  </si>
  <si>
    <t>河南花花牛乳业集团股份有限公司</t>
  </si>
  <si>
    <t>酒精饮料（啤酒除外）;汽酒;⾷⽤酒精;⽩酒;利⼝酒;烧酒;清酒;含⽔果酒精饮料;⻩酒;蒸馏饮料</t>
  </si>
  <si>
    <t>遵往事</t>
  </si>
  <si>
    <t>鸡尾酒;果酒;利⼝酒;⽩酒;开胃酒;烧酒;葡萄酒;清酒（⽇本⽶酒）;酒精饮料（啤酒除外）;朗姆酒</t>
  </si>
  <si>
    <t>赣粮香</t>
  </si>
  <si>
    <t>赣粮液（江西）酿酒有限公司</t>
  </si>
  <si>
    <t>烧酒;开胃酒;果酒（含酒精）;⻩酒;酒精饮料（啤酒除外）;酒精饮料浓缩汁;⽩酒;⽶酒;⾷⽤酒精;蒸馏饮料</t>
  </si>
  <si>
    <t>MP9QWD6B ZNZN</t>
  </si>
  <si>
    <t>酒精饮料原汁;⽶酒;蒸馏饮料;烧酒;果酒（含酒精）;威⼠忌;酒精饮料（啤酒除外）;⻩酒;⽩酒;葡萄酒</t>
  </si>
  <si>
    <t>株式会社麹醇堂</t>
  </si>
  <si>
    <t>马格利酒（朝鲜传统⽶酒）;朝鲜烧酒;含⽔果酒精饮料;⽶酒;清酒;含酒精⽔果饮料;⽇式甜⽶酒;鸡尾酒;烧酒（烈酒）;蒸馏⽶酒（泡盛酒）</t>
  </si>
  <si>
    <t>问点</t>
  </si>
  <si>
    <t>上海汇味食品有限公司</t>
  </si>
  <si>
    <t>⻘梅酒;鸡尾酒;葡萄酒;果酒（含酒精）;⽩兰地;果酒;⽇本松针酒;酒精饮料（啤酒除外）;⽩酒;清酒（⽇本⽶酒）</t>
  </si>
  <si>
    <t>赤彩</t>
  </si>
  <si>
    <t>廉要昌</t>
  </si>
  <si>
    <t>果酒;鸡尾酒;⻘稞酒;⽩酒;烈酒;葡萄酒;⻩酒;⽶酒;烧酒;⾼粱酒</t>
  </si>
  <si>
    <t>CIZL</t>
  </si>
  <si>
    <t>北京周林频谱科技有限公司</t>
  </si>
  <si>
    <t>烧酒（烈酒）;葡萄酒;红葡萄酒;⽩葡萄酒;⽼酒（中国蒸馏烈酒）;⾼粱酒;含⽔果酒精饮料;果酒;⽩⼲酒（中国⽩酒）;⽔果汽酒</t>
  </si>
  <si>
    <t>泰沁香</t>
  </si>
  <si>
    <t>泰州市润港供销有限公司</t>
  </si>
  <si>
    <t>烈酒（饮料）;⻩酒;⽶酒;葡萄酒;含酒精的⽓泡⽔;⽩酒;已调味的⻨芽酿制的酒精饮料（啤酒除外）;烧酒;以葡萄酒为主的饮料;果酒（含酒精）</t>
  </si>
  <si>
    <t>BRACHYCHITON RUPESTRIS</t>
  </si>
  <si>
    <t>森滨利（深圳）信息科技有限公司</t>
  </si>
  <si>
    <t>红葡萄酒;起泡⽩葡萄酒;不起泡葡萄酒;⽩葡萄酒;以葡萄酒为主的饮料;桃红葡萄酒;葡萄酒;起泡红葡萄酒;葡萄汽酒;加烈葡萄酒</t>
  </si>
  <si>
    <t>川香今氿</t>
  </si>
  <si>
    <t>伏秀花</t>
  </si>
  <si>
    <t>汽酒;⽩酒;开胃酒;⻩酒;酒精饮料（啤酒除外）;烈酒;利⼝酒;葡萄酒;威⼠忌;⽶酒</t>
  </si>
  <si>
    <t>顶喔 DEEHOO</t>
  </si>
  <si>
    <t>贺淼淼供应链科技(上海)有限公司</t>
  </si>
  <si>
    <t>⻩酒;酒精饮料（啤酒除外）;葡萄酒;鸡尾酒;⾷⽤酒精;⽶酒;⾼粱酒;⽩酒;清酒;果酒（含酒精）</t>
  </si>
  <si>
    <t>金六红宴 酒</t>
  </si>
  <si>
    <t>金六酿酒（四川）有限公司</t>
  </si>
  <si>
    <t>酒精饮料（啤酒除外）;⾷⽤酒精;⽼酒（中国蒸馏烈酒）;⾼粱酒;葡萄酒;露酒;烧酒（烈酒）;⽩⼲酒（中国⽩酒）;烧酒;⻩酒</t>
  </si>
  <si>
    <t>润翔福鹿阁</t>
  </si>
  <si>
    <t>长春市润翔鹿业有限公司</t>
  </si>
  <si>
    <t>烈酒（饮料）;汽酒;果酒（含酒精）;酒精饮料（啤酒除外）;露酒;烧酒;葡萄酒;蒸馏饮料;预先混合的酒精饮料（以啤酒为主的除外）;⽩酒</t>
  </si>
  <si>
    <t>九黎村</t>
  </si>
  <si>
    <t>彭水县古裔白酒酿造厂</t>
  </si>
  <si>
    <t>葡萄酒;甜酒;⽼酒（中国蒸馏烈酒）;烈酒;⽩酒;⽶酒;除啤酒外的酒精饮料;⾼粱酒;果酒;烧酒</t>
  </si>
  <si>
    <t>乔国军</t>
  </si>
  <si>
    <t>果酒;含酒精⽔果饮料;⾼粱酒;含酒精的⽔果鸡尾酒饮料;酒精饮料原汁;以葡萄酒为主的饮料;⽩酒;⽩葡萄酒;威⼠忌;⽶酒</t>
  </si>
  <si>
    <t>衡昌互联</t>
  </si>
  <si>
    <t>烧酒;开胃酒;⾼粱酒;含⽔果酒精饮料;⻘稞酒;⽩⼲酒（中国⽩酒）;蒸煮提取物（利⼝酒和烈酒）;⻩酒;⽶酒;⽩酒</t>
  </si>
  <si>
    <t>怀渡台</t>
  </si>
  <si>
    <t>胡淙胜522130********0417</t>
  </si>
  <si>
    <t>果酒（含酒精）;烧酒;鸡尾酒;⽩酒;葡萄酒;酒精饮料（啤酒除外）;⻘稞酒;烈酒（饮料）;汽酒;⽩兰地</t>
  </si>
  <si>
    <t>CYJF 长运玖福 LONG LUCK JIU FU</t>
  </si>
  <si>
    <t>贵阳市南明区茅河酒业经营部</t>
  </si>
  <si>
    <t>苹果酒;⾕物制蒸馏酒精饮料;烧酒;以葡萄酒为主的饮料;⻩酒;果酒（含酒精）;葡萄酒;⽶酒;蒸馏饮料;⽩酒</t>
  </si>
  <si>
    <t>今麦澄</t>
  </si>
  <si>
    <t>刘国庆</t>
  </si>
  <si>
    <t>⽶酒;⽩酒;果酒;清酒;⾼粱酒;露酒;⻩酒;葡萄酒;酒精饮料（啤酒除外）;汽酒</t>
  </si>
  <si>
    <t>觅蜂纪</t>
  </si>
  <si>
    <t>黄瑞隆</t>
  </si>
  <si>
    <t>葡萄酒;威⼠忌;烈酒;果酒（含酒精）;开胃酒;清酒（⽇本⽶酒）;酒精饮料（啤酒除外）;⻩酒;⽩酒;鸡尾酒</t>
  </si>
  <si>
    <t>玍台</t>
  </si>
  <si>
    <t>果酒（含酒精）;葡萄酒;清酒（⽇本⽶酒）;⻩酒;蒸馏饮料;⻘稞酒;⽩酒;⽶酒;酒精饮料（啤酒除外）;烧酒</t>
  </si>
  <si>
    <t>ZF</t>
  </si>
  <si>
    <t>烟台张孚酿酒有限公司</t>
  </si>
  <si>
    <t>甜酒;⽩酒;葡萄酒;⽩兰地;露酒;⾷⽤酒精;威⼠忌;酒精饮料（啤酒除外）;伏特加酒;朗姆酒</t>
  </si>
  <si>
    <t>佛山市食品物资集团有限公司</t>
  </si>
  <si>
    <t>伏特加酒;⻩酒;⽶酒;酒精饮料（啤酒除外）;清酒（⽇本⽶酒）;果酒（含酒精）;葡萄酒;酒精饮料原汁;烈酒（饮料）;⽩酒</t>
  </si>
  <si>
    <t>药王井</t>
  </si>
  <si>
    <t>刘永峰</t>
  </si>
  <si>
    <t>⽩酒;烧酒;烈酒;威⼠忌;⻩酒;含酒精的饮料（啤酒除外）;⽶酒;露酒;果酒;鸡尾酒</t>
  </si>
  <si>
    <t>阿达西朋酉</t>
  </si>
  <si>
    <t>萨达木·麦麦提</t>
  </si>
  <si>
    <t>蜂蜜酒;威⼠忌;开胃酒;葡萄酒;伏特加酒;⽩酒;苹果酒;果酒（含酒精）;⽶酒;烈酒（饮料）</t>
  </si>
  <si>
    <t>凌云淮竹</t>
  </si>
  <si>
    <t>广东泽山生物科技有限公司</t>
  </si>
  <si>
    <t>⽩酒;酒精饮料浓缩汁;清酒;烧酒（烈酒）;烈酒;除啤酒外的酒精饮料;开胃酒;葡萄酒;利⼝酒;果酒（含酒精）</t>
  </si>
  <si>
    <t>大恒德祥</t>
  </si>
  <si>
    <t>范志明</t>
  </si>
  <si>
    <t>⽩酒;葡萄酒;清酒（⽇本⽶酒）;⽶酒;含⽔果酒精饮料;果酒;开胃酒;酒精饮料原汁;除啤酒外的酒精饮料;⽔果汽酒</t>
  </si>
  <si>
    <t>六陆六</t>
  </si>
  <si>
    <t>常福华</t>
  </si>
  <si>
    <t>伏特加酒;⽩酒;⾷⽤酒精;鸡尾酒;酒精饮料（啤酒除外）;⽶酒;葡萄酒;果酒（含酒精）;蜂蜜酒;烧酒</t>
  </si>
  <si>
    <t>科万隆酒庄</t>
  </si>
  <si>
    <t>黄有生</t>
  </si>
  <si>
    <t>威⼠忌;伏特加酒;葡萄酒;酸酒（低等葡萄酒）;烧酒;含⽔果酒精饮料;⽩酒;利⼝酒;果酒（含酒精）;以葡萄酒为主的饮料</t>
  </si>
  <si>
    <t>尧玺</t>
  </si>
  <si>
    <t>贵州玺酒酒业有限责任公司</t>
  </si>
  <si>
    <t>果酒（含酒精）;葡萄酒;清酒（⽇本⽶酒）;⻩酒;酒精饮料（啤酒除外）;果酒;鸡尾酒;⽶酒;烈酒（饮料）;⽩酒</t>
  </si>
  <si>
    <t>冯贵堂</t>
  </si>
  <si>
    <t>⽢蔗制酒精饮料;烧酒;⽶酒;⻩酒;餐后酒（利⼝酒和烈酒）;⾕物制蒸馏酒精饮料;以葡萄酒为主的饮料;⽩酒;汽酒;葡萄酒</t>
  </si>
  <si>
    <t>蜀国雄霸</t>
  </si>
  <si>
    <t>⽩酒;果酒（含酒精）;鸡尾酒;清酒（⽇本⽶酒）;威⼠忌;烧酒;葡萄酒;⻩酒;⽩兰地;酒精饮料（啤酒除外）</t>
  </si>
  <si>
    <t>黔大者</t>
  </si>
  <si>
    <t>邓安佳</t>
  </si>
  <si>
    <t>⽼酒（中国蒸馏烈酒）;酒精饮料（啤酒除外）;⽩酒;蜂蜜酒;⽩⼲酒（中国⽩酒）;果酒（含酒精）;果酒</t>
  </si>
  <si>
    <t>MAIC ARA 麦卡拉</t>
  </si>
  <si>
    <t>泉州市瑞福祥酒业贸易有限公司</t>
  </si>
  <si>
    <t>果酒;清酒;⽩兰地;⽶酒;威⼠忌;酒精饮料（啤酒除外）;⻩酒;烧酒（烈酒）;⽩酒;葡萄酒</t>
  </si>
  <si>
    <t>开言开颜</t>
  </si>
  <si>
    <t>安康市大地之子生物科技有限公司</t>
  </si>
  <si>
    <t>酒精饮料（啤酒除外）;⾷⽤酒精;葡萄酒;烧酒;⻘稞酒;⽩酒;含⽔果酒精饮料;⽶酒;鸡尾酒;⻩酒</t>
  </si>
  <si>
    <t>猎奔洋酒</t>
  </si>
  <si>
    <t>派得乐东方珍品烈酒贸易有限公司</t>
  </si>
  <si>
    <t>葡萄酒;威⼠忌;⽩兰地;烈酒（饮料）;酒精饮料（啤酒除外）;酒精饮料原汁;朗姆酒;以葡萄酒为主的饮料;果酒（含酒精）;鸡尾酒</t>
  </si>
  <si>
    <t>敬闲师</t>
  </si>
  <si>
    <t>王兴琴</t>
  </si>
  <si>
    <t>⻘稞酒;⽩酒;鸡尾酒;⽶酒;威⼠忌;烈酒;⽩兰地;⻩酒;烧酒;葡萄酒</t>
  </si>
  <si>
    <t>唐朝不夜城</t>
  </si>
  <si>
    <t>四川唐朝老窖(集团)有限公司</t>
  </si>
  <si>
    <t>甜酒;⽩酒;蒸煮提取物（利⼝酒和烈酒）;⾼粱酒;⻘稞酒;葡萄酒;⽶酒;已调味的蒸馏酒;果酒;烧酒</t>
  </si>
  <si>
    <t>仁长酉</t>
  </si>
  <si>
    <t>宋晓会</t>
  </si>
  <si>
    <t>果酒（含酒精）;葡萄酒;酒精饮料（啤酒除外）;蒸馏饮料;⽩酒;烈酒（饮料）;⽶酒;烧酒;⻩酒;鸡尾酒</t>
  </si>
  <si>
    <t>亳尊</t>
  </si>
  <si>
    <t>安徽曲酿酒业有限公司</t>
  </si>
  <si>
    <t>朗姆酒;⻩酒;烧酒;葡萄酒;⽩兰地;伏特加酒;威⼠忌;烈酒（饮料）;⽩酒;鸡尾酒</t>
  </si>
  <si>
    <t>中原十五</t>
  </si>
  <si>
    <t>⽩酒;酒精饮料（啤酒除外）;利⼝酒;鸡尾酒;烧酒;朗姆酒;葡萄酒;清酒（⽇本⽶酒）;果酒;开胃酒</t>
  </si>
  <si>
    <t>柠季</t>
  </si>
  <si>
    <t>湖南三发餐饮管理有限公司</t>
  </si>
  <si>
    <t>葡萄酒;含⽔果酒精饮料;鸡尾酒;⻩酒;⽔果汽酒;清酒（⽇本⽶酒）;含酒精⽔果饮料;⽩酒;烈酒（饮料）;果酒</t>
  </si>
  <si>
    <t>漫驼铃</t>
  </si>
  <si>
    <t>上海调笙文化科技有限公司</t>
  </si>
  <si>
    <t>露酒;果酒;⽩酒;葡萄酒;⾼粱酒;烧酒;⾷⽤酒精;烈酒;⻩酒;酒精饮料原汁</t>
  </si>
  <si>
    <t>允醍</t>
  </si>
  <si>
    <t>滨海县八滩镇滨纷有味土特产经营部</t>
  </si>
  <si>
    <t>⽶酒;⻩酒;烧酒（烈酒）;开胃酒;酒精饮料（啤酒除外）;⽩酒;果酒（含酒精）;清酒（⽇本⽶酒）;葡萄酒;鸡尾酒</t>
  </si>
  <si>
    <t>仡飨酬</t>
  </si>
  <si>
    <t>石阡县绿之缘生态食品开发有限公司</t>
  </si>
  <si>
    <t>蒸馏饮料;酒精饮料（啤酒除外）;餐后酒（利⼝酒和烈酒）;烧酒;酒精饮料浓缩汁;果酒（含酒精）;⾷⽤酒精;蜂蜜酒;烈酒（饮料）;⽩酒</t>
  </si>
  <si>
    <t>抓马小久</t>
  </si>
  <si>
    <t>罗虎</t>
  </si>
  <si>
    <t>开胃酒;⽶酒;含⽔果酒精饮料;利⼝酒;酒精饮料（啤酒除外）;威⼠忌;预先混合的酒精饮料（以啤酒为主的除外）;果酒（含酒精）;烈酒（饮料）;鸡尾酒</t>
  </si>
  <si>
    <t>大恒盛世</t>
  </si>
  <si>
    <t>开胃酒;⽩酒;⽔果汽酒;果酒;葡萄酒;清酒（⽇本⽶酒）;除啤酒外的酒精饮料;含⽔果酒精饮料;⽶酒;酒精饮料原汁</t>
  </si>
  <si>
    <t>滇畔</t>
  </si>
  <si>
    <t>李进文</t>
  </si>
  <si>
    <t>威⼠忌;蒸馏饮料;酒精饮料（啤酒除外）;果酒（含酒精）;⻩酒;葡萄酒;⾕物制蒸馏酒精饮料;鸡尾酒;⽶酒;⽩酒</t>
  </si>
  <si>
    <t>贵王道 大哥告诉二哥 贵王道酒得喝</t>
  </si>
  <si>
    <t>赵庆康371322********2298</t>
  </si>
  <si>
    <t>清酒（⽇本⽶酒）;鸡尾酒;葡萄酒;酒精饮料（啤酒除外）;⽩酒;威⼠忌;开胃酒;果酒（含酒精）;烈酒;⻩酒</t>
  </si>
  <si>
    <t>东极杏婲红</t>
  </si>
  <si>
    <t>佳木斯市艺航影视文化传媒有限公司</t>
  </si>
  <si>
    <t>烧酒;甜酒;⾷⽤酒精;⽩⼲酒（中国⽩酒）;⾼粱酒;⽶酒;酒精饮料（啤酒除外）;⾕物制蒸馏酒精饮料;⽩酒;果酒</t>
  </si>
  <si>
    <t>KVETERA</t>
  </si>
  <si>
    <t>上海格窖酒业有限公司</t>
  </si>
  <si>
    <t>果酒（含酒精）;⽶酒;⽩酒;⻩酒;⽩兰地;葡萄酒;威⼠忌;清酒（⽇本⽶酒）;鸡尾酒;蒸馏饮料</t>
  </si>
  <si>
    <t>徽小新</t>
  </si>
  <si>
    <t>安徽徽本色文化科技有限公司</t>
  </si>
  <si>
    <t>鸡尾酒;⻩酒;烧酒;⾷⽤酒精;⻘稞酒;汽酒;酒精饮料（啤酒除外）;⽩酒;果酒（含酒精）;⽶酒</t>
  </si>
  <si>
    <t>晋腔</t>
  </si>
  <si>
    <t>井焕娜</t>
  </si>
  <si>
    <t>⽶酒;朗姆酒;烧酒;⽩酒;伏特加酒;餐后酒（利⼝酒和烈酒）;葡萄酒;⻘稞酒;果酒（含酒精）;预先混合的酒精饮料（以啤酒为主的除外）</t>
  </si>
  <si>
    <t>嫦娥悦</t>
  </si>
  <si>
    <t>世旅旅游开发（武汉）有限公司</t>
  </si>
  <si>
    <t>蜂蜜酒;酒精饮料（啤酒除外）;⽩酒;鸡尾酒;威⼠忌;⻩酒;果酒（含酒精）;清酒（⽇本⽶酒）;⽶酒;葡萄酒</t>
  </si>
  <si>
    <t>CONNOR&amp;CO</t>
  </si>
  <si>
    <t>吉夫特有限公司</t>
  </si>
  <si>
    <t>含酒精的饮料（啤酒除外）;伏特加酒</t>
  </si>
  <si>
    <t>GCTC-MT 曼田</t>
  </si>
  <si>
    <t>曼田国际控股集团有限公司</t>
  </si>
  <si>
    <t>薄荷酒;果酒（含酒精）;亚⼒酒;鸡尾酒;茴芹酒（利⼝酒）;苦味酒;开胃酒;蒸馏饮料;苹果酒;茴⾹酒（利⼝酒）</t>
  </si>
  <si>
    <t>大正汉方</t>
  </si>
  <si>
    <t>云科医药生物科技（深圳）有限公司</t>
  </si>
  <si>
    <t>鸡尾酒;⽶酒;梨酒;⽩酒;⻘稞酒;威⼠忌;⻩酒;⾷⽤酒精;烧酒;果酒（含酒精）</t>
  </si>
  <si>
    <t>福建禄虎食品有限公司</t>
  </si>
  <si>
    <t>葡萄酒;⽶酒;烧酒;果酒（含酒精）;威⼠忌;蒸煮提取物（利⼝酒和烈酒）;⽩酒;酒精饮料（啤酒除外）;⽩兰地;鸡尾酒</t>
  </si>
  <si>
    <t>黑龙江久合盛商贸有限公司</t>
  </si>
  <si>
    <t>汽酒;⽩酒;蒸馏饮料;蜂蜜酒;烧酒;果酒（含酒精）;开胃酒;⾷⽤酒精;烈酒;含酒精的充⽓饮料（啤酒除外）</t>
  </si>
  <si>
    <t>广州宏度纺织品有限公司</t>
  </si>
  <si>
    <t>⻩酒;果酒（含酒精）;⽩兰地;⽩酒;苹果酒;清酒（⽇本⽶酒）;⻘稞酒;⽶酒;⾕物制蒸馏酒精饮料;鸡尾酒</t>
  </si>
  <si>
    <t>甲骨文 正</t>
  </si>
  <si>
    <t>贵州回归赖酒有限公司</t>
  </si>
  <si>
    <t>⾷⽤酒精;⽶酒;葡萄酒;酒精饮料（啤酒除外）;⾕物制蒸馏酒精饮料;⽼酒（中国蒸馏烈酒）;烧酒;果酒（含酒精）;鸡尾酒;⽩酒</t>
  </si>
  <si>
    <t>深圳国硒科技有限公司</t>
  </si>
  <si>
    <t>⽩酒;烈酒（饮料）;烈酒;甜酒;烧酒（烈酒）;果酒;⻩酒;含酒精⽔果饮料;⽩⼲酒（中国⽩酒）;开胃酒</t>
  </si>
  <si>
    <t>SNOW SWEET</t>
  </si>
  <si>
    <t>稼沃（杭州）生态农业有限公司</t>
  </si>
  <si>
    <t>薄荷酒;蜂蜜酒;酒精饮料浓缩汁;含⽔果酒精饮料;酒精饮料原汁;樱桃酒;果酒（含酒精）;汽酒;葡萄酒;开胃酒</t>
  </si>
  <si>
    <t>梨小憨</t>
  </si>
  <si>
    <t>许瑞波</t>
  </si>
  <si>
    <t>⽶酒;酒精饮料浓缩汁;开胃酒;⽩酒;蜂蜜酒;果酒（含酒精）;苹果酒;含⽔果酒精饮料;梨酒;樱桃酒</t>
  </si>
  <si>
    <t>蜀之源 318</t>
  </si>
  <si>
    <t>成都蜀之源酒业有限公司</t>
  </si>
  <si>
    <t>葡萄酒;⽩酒;蒸煮提取物（利⼝酒和烈酒）;烧酒;果酒;⽶酒;烈酒（饮料）;汽酒;⾷⽤酒精;酒精饮料（啤酒除外）</t>
  </si>
  <si>
    <t>山西大盛魁酒业有限公司</t>
  </si>
  <si>
    <t>烧酒;酒精饮料（啤酒除外）;⽶酒;汽酒;烈酒（饮料）;⾷⽤酒精;⽩酒;果酒（含酒精）;⻩酒;葡萄酒</t>
  </si>
  <si>
    <t>旺晋清花</t>
  </si>
  <si>
    <t>⽩酒;⻩酒;酒精饮料（啤酒除外）;⽶酒;葡萄酒;果酒（含酒精）;梅酒;⽼酒（中国蒸馏烈酒）;⾕物制蒸馏酒精饮料;⾼粱酒</t>
  </si>
  <si>
    <t>SHAN CHENG YU</t>
  </si>
  <si>
    <t>山成玉（吉林）商贸有限公司</t>
  </si>
  <si>
    <t>蜂蜜酒;烧酒;甜酒;酒精饮料（啤酒除外）;果酒;⽼酒（中国蒸馏烈酒）;葡萄酒;⽩酒;烈酒;⽶酒</t>
  </si>
  <si>
    <t>中博联</t>
  </si>
  <si>
    <t>贵州仁怀中博酒业销售有限公司</t>
  </si>
  <si>
    <t>⽶酒;蒸馏饮料;苹果酒;葡萄酒;⾕物制蒸馏酒精饮料;露酒;烈酒（饮料）;果酒（含酒精）;⽩酒;餐后酒（利⼝酒和烈酒）</t>
  </si>
  <si>
    <t>对眼</t>
  </si>
  <si>
    <t>刘赵兵</t>
  </si>
  <si>
    <t>⽼酒（中国蒸馏烈酒）;露酒;蜂蜜酒;⽶酒;果酒;清酒;烈酒;松叶酒;⾼粱酒;⽩酒</t>
  </si>
  <si>
    <t>TTJY</t>
  </si>
  <si>
    <t>贵州田田酒业有限公司</t>
  </si>
  <si>
    <t>威⼠忌;⾼粱酒;⽩葡萄酒;⾷⽤酒精;⻩酒;甜酒;果酒;清酒;⽩酒;烧酒</t>
  </si>
  <si>
    <t>财兴源</t>
  </si>
  <si>
    <t>葫芦岛百年酒业有限公司</t>
  </si>
  <si>
    <t>葡萄酒;⽩酒;露酒;⽶酒;清酒（⽇本⽶酒）;⻘稞酒;⻩酒;烈酒;果酒;烧酒</t>
  </si>
  <si>
    <t>赖鼎 826</t>
  </si>
  <si>
    <t>烧酒;⾕物制蒸馏酒精饮料;果酒（含酒精）;鸡尾酒;酒精饮料（啤酒除外）;⾷⽤酒精;⽶酒;⽩酒;葡萄酒;⽼酒（中国蒸馏烈酒）</t>
  </si>
  <si>
    <t>朗蒂菲（上海）酒业发展有限公司</t>
  </si>
  <si>
    <t>⽩兰地;含酒精的⽔果鸡尾酒饮料;⻩酒;含酒精的鸡尾酒混合饮品;樱桃⽩兰地;酒精饮料（啤酒除外）;果酒;葡萄酒;伏特加酒;清酒</t>
  </si>
  <si>
    <t>蕴山仙</t>
  </si>
  <si>
    <t>肖董</t>
  </si>
  <si>
    <t>⽩酒;蒸馏饮料;烈酒（饮料）;⾷⽤酒精;葡萄酒;⽶酒;汽酒;果酒（含酒精）;酒精饮料（啤酒除外）;清酒（⽇本⽶酒）</t>
  </si>
  <si>
    <t>哦嘞嘞</t>
  </si>
  <si>
    <t>亳州市帝龙文化传媒有限公司</t>
  </si>
  <si>
    <t>含⽔果酒精饮料;⾷⽤酒精;⻩酒;果酒;露酒;⽩酒;⽶酒;烧酒;烈酒;葡萄酒</t>
  </si>
  <si>
    <t>密鉴</t>
  </si>
  <si>
    <t>四川省宜宾五粮液集团有限公司</t>
  </si>
  <si>
    <t>⽩酒;鸡尾酒;蒸馏饮料;葡萄酒;果酒（含酒精）;威⼠忌;酒精饮料（啤酒除外）;含⽔果酒精饮料;汽酒;烧酒</t>
  </si>
  <si>
    <t>華香風</t>
  </si>
  <si>
    <t>上海华湘贸易发展有限公司</t>
  </si>
  <si>
    <t>⽩酒;鸡尾酒;酒精饮料（啤酒除外）;⻩酒;⾷⽤酒精;烧酒;清酒;葡萄酒;果酒（含酒精）;含⽔果酒精饮料</t>
  </si>
  <si>
    <t>满坐赤</t>
  </si>
  <si>
    <t>深华源</t>
  </si>
  <si>
    <t>杨谦深</t>
  </si>
  <si>
    <t>葡萄酒;⽶酒;⽩酒;果酒;烧酒;⻩酒;⾷⽤酒精;酒精饮料（啤酒除外）;含酒精的⽓泡⽔;蒸煮提取物（利⼝酒和烈酒）</t>
  </si>
  <si>
    <t>王 虎丫</t>
  </si>
  <si>
    <t>郑州虎虎生威企业管理有限公司</t>
  </si>
  <si>
    <t>开胃酒;果酒;薄荷酒;烧酒;葡萄酒;⽩酒;鸡尾酒;蒸馏饮料;烈酒;⽶酒</t>
  </si>
  <si>
    <t>杏王华</t>
  </si>
  <si>
    <t>卢华周</t>
  </si>
  <si>
    <t>烧酒;果酒（含酒精）;⻩酒;⽶酒;葡萄酒;⽩酒;⾷⽤酒精;威⼠忌;酒精饮料（啤酒除外）;烈酒</t>
  </si>
  <si>
    <t>贝伽汀堡</t>
  </si>
  <si>
    <t>⽩兰地;葡萄酒;⽶酒;⽩酒;⻩酒;鸡尾酒;烈酒（饮料）;酒精饮料（啤酒除外）;果酒（含酒精）;苹果酒</t>
  </si>
  <si>
    <t>刘缘酒</t>
  </si>
  <si>
    <t>蔡永锋</t>
  </si>
  <si>
    <t>⽩酒;⽼酒（中国蒸馏烈酒）;⽶酒;烧酒（烈酒）;⻩酒;果酒;露酒;烧酒;⾼粱酒;烈酒</t>
  </si>
  <si>
    <t>两乡月 LIANGXIANGYIYUE</t>
  </si>
  <si>
    <t>张志贺</t>
  </si>
  <si>
    <t>⽩酒;果酒;含酒精的饮料（啤酒除外）;烧酒;含⽔果酒精饮料;⾼粱酒;葡萄酒;含酒精的充⽓饮料（啤酒除外）;⽶酒;汽酒</t>
  </si>
  <si>
    <t>垠匠</t>
  </si>
  <si>
    <t>厦门南海小珊瑚餐饮有限公司</t>
  </si>
  <si>
    <t>鸡尾酒;⽶酒;酒精饮料原汁;⻩酒;⾼粱酒;葡萄酒;威⼠忌;烧酒;⽩酒;开胃酒</t>
  </si>
  <si>
    <t>沽城荆品</t>
  </si>
  <si>
    <t>荆门吉谷田商贸有限公司</t>
  </si>
  <si>
    <t>清酒（⽇本⽶酒）;酒精饮料（啤酒除外）;⻘稞酒;⽩酒;烧酒;⾷⽤酒精;果酒（含酒精）;蒸馏饮料;葡萄酒;⽶酒</t>
  </si>
  <si>
    <t>局儿有憙局儿</t>
  </si>
  <si>
    <t>利⼝酒;由⾕物蒸馏的⽩酒;含⽔果酒精饮料;佐餐酒;蝮蛇酒;酒精饮料（啤酒除外）;果酒;⽩酒;⽼酒（中国蒸馏烈酒）;开胃酒</t>
  </si>
  <si>
    <t>PATRIALE</t>
  </si>
  <si>
    <t>德努特匹克西尼股份公司</t>
  </si>
  <si>
    <t>畲香凰腾酒</t>
  </si>
  <si>
    <t>钟玉莲</t>
  </si>
  <si>
    <t>烧酒;⽩酒</t>
  </si>
  <si>
    <t>成皮酒</t>
  </si>
  <si>
    <t>杭州老匠坊食品有限公司</t>
  </si>
  <si>
    <t>烈酒（饮料）;苦味酒;含⽔果酒精饮料;⽶酒;朗姆酒;⻘稞酒;烧酒;葡萄酒;⽩酒;开胃酒</t>
  </si>
  <si>
    <t>盘古开天 18000</t>
  </si>
  <si>
    <t>胡晓彬510521********5872</t>
  </si>
  <si>
    <t>已调味的蒸馏酒;葡萄酒;酒精饮料（啤酒除外）;⻩酒;鸡尾酒;烧酒;⻘稞酒;⽩酒;果酒（含酒精）;⽶酒</t>
  </si>
  <si>
    <t>糯小黑</t>
  </si>
  <si>
    <t>蒸馏饮料;酒精饮料（啤酒除外）;威⼠忌;果酒（含酒精）;烈酒（饮料）;⽩酒;⽩兰地;葡萄酒;露酒;⽶酒</t>
  </si>
  <si>
    <t>书香桂子流金岁月</t>
  </si>
  <si>
    <t>⻩酒;⽩酒;烧酒;果酒（含酒精）;清酒（⽇本⽶酒）;葡萄酒;酒精饮料（啤酒除外）;⽶酒;烈酒（饮料）;鸡尾酒</t>
  </si>
  <si>
    <t>那席</t>
  </si>
  <si>
    <t>海南坎达尔投资有限公司</t>
  </si>
  <si>
    <t>开胃酒;葡萄酒;果酒（含酒精）;蒸馏饮料;含⽔果酒精饮料;酒精饮料（啤酒除外）;薄荷酒;⻩酒;⽩酒;威⼠忌</t>
  </si>
  <si>
    <t>美致全甄选</t>
  </si>
  <si>
    <t>浙江品选电子商务有限公司</t>
  </si>
  <si>
    <t>⻩酒;烈酒（饮料）;利⼝酒;蒸馏饮料;果酒（含酒精）;酒精饮料（啤酒除外）;葡萄酒;⽶酒;⽩酒;烧酒</t>
  </si>
  <si>
    <t>宽窄欧根纱</t>
  </si>
  <si>
    <t>上海酉米酒业有限公司</t>
  </si>
  <si>
    <t>⽩兰地;⻩酒;⾷⽤酒精;葡萄酒;伏特加酒;朗姆酒;果酒（含酒精）;烈酒（饮料）;威⼠忌;⽩酒</t>
  </si>
  <si>
    <t>九宫格搭子</t>
  </si>
  <si>
    <t>湖南湘见精酿啤酒有限公司</t>
  </si>
  <si>
    <t>清酒（⽇本⽶酒）;⻩酒;⾷⽤酒精;⽩酒;酒精饮料（啤酒除外）;鸡尾酒;葡萄酒;⽶酒;以葡萄酒为主的饮料;烧酒</t>
  </si>
  <si>
    <t>理想蔚来</t>
  </si>
  <si>
    <t>深圳市金铭加工有限公司</t>
  </si>
  <si>
    <t>烧酒（烈酒）;⻩酒;餐后酒（利⼝酒和烈酒）;伏特加酒;蒸煮提取物（利⼝酒和烈酒）;⽩酒;烧酒;⽶酒;⽩兰地;葡萄酒</t>
  </si>
  <si>
    <t>裕黄</t>
  </si>
  <si>
    <t>利⼝酒;威⼠忌;清酒（⽇本⽶酒）;⽩酒;⽶酒;烧酒;⻘稞酒;⻩酒;以葡萄酒为主的饮料;酒精饮料原汁</t>
  </si>
  <si>
    <t>糯小嘿</t>
  </si>
  <si>
    <t>果酒（含酒精）;酒精饮料（啤酒除外）;葡萄酒;露酒;⽩酒;烈酒（饮料）;⽩兰地;威⼠忌;蒸馏饮料;⽶酒</t>
  </si>
  <si>
    <t>革小</t>
  </si>
  <si>
    <t>葡萄酒;⽩酒;甜酒;⾷⽤酒精;⾼粱酒;果酒（含酒精）;鸡尾酒;烈酒;露酒;⽼酒（中国蒸馏烈酒）</t>
  </si>
  <si>
    <t>黔园春</t>
  </si>
  <si>
    <t>天津金樽映月商贸有限公司</t>
  </si>
  <si>
    <t>⽶酒;果酒（含酒精）;蒸馏饮料;葡萄酒;烈酒（饮料）;酒精饮料（啤酒除外）;烧酒;⻩酒;⽩酒;利⼝酒</t>
  </si>
  <si>
    <t>叙泸春</t>
  </si>
  <si>
    <t>王亭</t>
  </si>
  <si>
    <t>⻩酒;⾷⽤酒精;酒精饮料（啤酒除外）;⽩酒;果酒（含酒精）;烧酒;鸡尾酒;葡萄酒;烈酒（饮料）;清酒</t>
  </si>
  <si>
    <t>清照壹号种子</t>
  </si>
  <si>
    <t>果酒（含酒精）;酒精饮料（啤酒除外）;⽶酒;⽩酒;⻩酒;苹果酒;酸酒（低等葡萄酒）;汽酒;葡萄酒;开胃酒</t>
  </si>
  <si>
    <t>冰雪龙泉</t>
  </si>
  <si>
    <t>赵志军</t>
  </si>
  <si>
    <t>葡萄酒;⽶酒;⾕物制蒸馏酒精饮料;汽酒;果酒（含酒精）;⻩酒;蜂蜜酒;烧酒;朝鲜族⽶酒;⽩酒</t>
  </si>
  <si>
    <t>IONCOS</t>
  </si>
  <si>
    <t>北京雪域红景生物科技有限公司</t>
  </si>
  <si>
    <t>烧酒;⾷⽤酒精;酒精饮料（啤酒除外）;果酒（含酒精）;⽩兰地;汽酒;⽩酒;开胃酒;葡萄酒;清酒（⽇本⽶酒）</t>
  </si>
  <si>
    <t>乔和</t>
  </si>
  <si>
    <t>一八九八秦皇岛科技有限公司</t>
  </si>
  <si>
    <t>葡萄酒;⽩兰地;含⽔果酒精饮料;果酒（含酒精）;梨酒;威⼠忌;樱桃酒;⽩酒;葡萄汽酒;汽酒</t>
  </si>
  <si>
    <t>氿滘王</t>
  </si>
  <si>
    <t>卢小林</t>
  </si>
  <si>
    <t>果酒（含酒精）;酒精饮料（啤酒除外）;威⼠忌;开胃酒;酒精饮料浓缩汁;⽩酒;酒精饮料原汁;⽶酒;葡萄酒;烈酒（饮料）</t>
  </si>
  <si>
    <t>仙波怡顺油粿店</t>
  </si>
  <si>
    <t>刘鸿杰</t>
  </si>
  <si>
    <t>威⼠忌;清酒（⽇本⽶酒）;⾷⽤酒精;葡萄酒;⽶酒;酒精饮料（啤酒除外）;⽩酒;果酒（含酒精）;⻩酒;鸡尾酒</t>
  </si>
  <si>
    <t>斯密斯</t>
  </si>
  <si>
    <t>含⽔果酒精饮料;⽩酒;威⼠忌;葡萄酒;果酒（含酒精）;含酒精的饮料（啤酒除外）;梨酒;汽酒;⽩兰地;樱桃酒</t>
  </si>
  <si>
    <t>谦溪山</t>
  </si>
  <si>
    <t>上海健起实业有限公司</t>
  </si>
  <si>
    <t>果酒（含酒精）;烧酒;⾼粱酒;汽酒;⽩酒;葡萄酒;清酒;⽼酒（中国蒸馏烈酒）;⽶酒;⻩酒</t>
  </si>
  <si>
    <t>吸牛角（深圳）科技有限公司</t>
  </si>
  <si>
    <t>烈酒</t>
  </si>
  <si>
    <t>一坛春</t>
  </si>
  <si>
    <t>赵太芬</t>
  </si>
  <si>
    <t>由⾕物蒸馏的⽩酒;烧酒（烈酒）;露酒;⽶酒;朗姆酒（酒精饮料）;烧酒;⽩⼲酒（中国⽩酒）;蒸馏⽶酒（泡盛酒）;果酒（含酒精）;⽩酒</t>
  </si>
  <si>
    <t>源济堂</t>
  </si>
  <si>
    <t>汽酒;清酒;甜酒;开胃酒;⾷⽤酒精;⻩酒;果酒;⽩酒;⽶酒;葡萄酒</t>
  </si>
  <si>
    <t>查克松</t>
  </si>
  <si>
    <t>⽩兰地;威⼠忌;葡萄汽酒;含⽔果酒精饮料;汽酒;果酒（含酒精）;梨酒;葡萄酒;樱桃酒;⽩酒</t>
  </si>
  <si>
    <t>四川中易百年酿酒科技有限公司</t>
  </si>
  <si>
    <t>鸡尾酒;⽶酒;烈酒（饮料）;果酒（含酒精）;⾷⽤酒精;⽩酒;威⼠忌;酒精饮料原汁;酒精饮料（啤酒除外）;烧酒</t>
  </si>
  <si>
    <t>伯语</t>
  </si>
  <si>
    <t>蒸馏饮料;果酒（含酒精）;威⼠忌;鸡尾酒;酒精饮料（啤酒除外）;葡萄酒;⻩酒;⽩酒;⽶酒;烧酒</t>
  </si>
  <si>
    <t>郝仁平商</t>
  </si>
  <si>
    <t>世纪郝仁(武汉市)商贸有限公司</t>
  </si>
  <si>
    <t>果酒（含酒精）;⽶酒;苹果酒;鸡尾酒;含酒精⽔果饮料;葡萄酒;⽩酒;烈酒（饮料）;⽩兰地;烧酒</t>
  </si>
  <si>
    <t>科龙</t>
  </si>
  <si>
    <t>海信家电集团股份有限公司</t>
  </si>
  <si>
    <t>葡萄酒;蜂蜜酒;薄荷酒;含⽔果酒精饮料;鸡尾酒;烧酒;⽶酒;果酒（含酒精）;酒精饮料原汁;⽩酒</t>
  </si>
  <si>
    <t>KELON</t>
  </si>
  <si>
    <t>薄荷酒;烧酒;酒精饮料原汁;鸡尾酒;⽩酒;果酒（含酒精）;葡萄酒;蜂蜜酒;含⽔果酒精饮料;⽶酒</t>
  </si>
  <si>
    <t>古李鲜黄</t>
  </si>
  <si>
    <t>邓州市四好酒业有限公司</t>
  </si>
  <si>
    <t>⽶酒;果酒（含酒精）;清酒（⽇本⽶酒）;⽩酒;露酒;葡萄酒;烧酒;朝鲜族⽶酒;⻩酒;酒精饮料（啤酒除外）</t>
  </si>
  <si>
    <t>日睿隆康 DARE TO BE GREAT 活出你的精彩</t>
  </si>
  <si>
    <t>不拒本心（上海）文化科技有限公司</t>
  </si>
  <si>
    <t>酒精饮料（啤酒除外）;苹果酒;⽩酒;果酒（含酒精）;葡萄酒;⾕物制蒸馏酒精饮料;威⼠忌;含⽔果酒精饮料;伏特加酒;⽶酒</t>
  </si>
  <si>
    <t>壹呺村荘</t>
  </si>
  <si>
    <t>四川省奥飞佳瑞建筑装饰有限公司</t>
  </si>
  <si>
    <t>⾼粱酒;⻩酒;⽩兰地;⽶酒;清酒;⽩酒;杨梅酒;葡萄酒;酒精饮料原汁;烧酒</t>
  </si>
  <si>
    <t>一酌香</t>
  </si>
  <si>
    <t>洪国明</t>
  </si>
  <si>
    <t>葡萄酒;威⼠忌;⽶酒;果酒（含酒精）;鸡尾酒;⽩兰地;⻘稞酒;烧酒;⽩酒;⻩酒</t>
  </si>
  <si>
    <t>高荐</t>
  </si>
  <si>
    <t>南京大光酒业有限公司</t>
  </si>
  <si>
    <t>酒师黄金家族·郑祖烧坊</t>
  </si>
  <si>
    <t>贵州郑记茅酒酒业有限公司</t>
  </si>
  <si>
    <t>⽼酒（中国蒸馏烈酒）;果酒（含酒精）;蒸馏饮料;鸡尾酒;酒精饮料（啤酒除外）;汽酒;烧酒;⽩酒;葡萄酒;⻩酒</t>
  </si>
  <si>
    <t>新农方</t>
  </si>
  <si>
    <t>赵宪铭</t>
  </si>
  <si>
    <t>果酒（含酒精）;鸡尾酒;葡萄酒;红葡萄酒;烧酒;⽶酒;酒精饮料（啤酒除外）;⻩酒;⾕物制蒸馏酒精饮料;⽩酒</t>
  </si>
  <si>
    <t>礼仪三千</t>
  </si>
  <si>
    <t>山西祥云即配科技有限责任公司</t>
  </si>
  <si>
    <t>⽶酒;利⼝酒;⾕物制蒸馏酒精饮料;⻩酒;烧酒;烈酒（饮料）;葡萄酒;开胃酒;酒精饮料（啤酒除外）;⽩酒</t>
  </si>
  <si>
    <t>邀聆晤 茶圣</t>
  </si>
  <si>
    <t>福建名珩茶文化发展有限公司</t>
  </si>
  <si>
    <t>起泡⽩葡萄酒;不起泡葡萄酒;红葡萄酒;⽩⼲酒（中国⽩酒）;以葡萄酒为主的饮料;以葡萄酒为主的开胃酒;⽩葡萄酒;由⾕物蒸馏的⽩酒;葡萄酒;⽩酒;起泡红葡萄酒</t>
  </si>
  <si>
    <t>侨爱之家</t>
  </si>
  <si>
    <t>谌海燕</t>
  </si>
  <si>
    <t>⽶酒;⻩酒;果酒（含酒精）;葡萄酒;鸡尾酒;清酒;酒精饮料（啤酒除外）;⽩兰地;⽩酒;威⼠忌</t>
  </si>
  <si>
    <t>碉情</t>
  </si>
  <si>
    <t>汪锡宏</t>
  </si>
  <si>
    <t>果酒（含酒精）;酒精饮料（啤酒除外）;⽩酒;葡萄酒;烈酒（饮料）;烧酒;⽶酒;⽩兰地;鸡尾酒;清酒（⽇本⽶酒）</t>
  </si>
  <si>
    <t>汤楚</t>
  </si>
  <si>
    <t>连云港市遇梦缘酒业贸易有限公司</t>
  </si>
  <si>
    <t>烈酒（饮料）;苹果酒;⽩酒;烧酒;利⼝酒;果酒（含酒精）;樱桃酒;葡萄酒;⽶酒;⻩酒</t>
  </si>
  <si>
    <t>岢口岢味</t>
  </si>
  <si>
    <t>山西清墨汇源文化传媒有限公司</t>
  </si>
  <si>
    <t>烧酒;⽶酒;茴⾹酒（利⼝酒）;鸡尾酒;果酒;甜酒;酒精饮料原汁;含酒精⽔果饮料;⽩酒;葡萄酒</t>
  </si>
  <si>
    <t>LAIRMO 来一杯么</t>
  </si>
  <si>
    <t>深圳市莱尔莫餐饮管理有限公司</t>
  </si>
  <si>
    <t>葡萄酒;果酒（含酒精）;蒸馏饮料;酒精饮料原汁;含⽔果酒精饮料;薄荷酒;苹果酒;鸡尾酒;酒精饮料（啤酒除外）;酒精饮料浓缩汁</t>
  </si>
  <si>
    <t>汀州三宝</t>
  </si>
  <si>
    <t>龙岩市汀州酒业有限公司</t>
  </si>
  <si>
    <t>梨酒;⻩酒;酒精饮料原汁;葡萄酒;酒精饮料（啤酒除外）;烧酒;果酒（含酒精）;汽酒;⽩酒;⽶酒</t>
  </si>
  <si>
    <t>威杯</t>
  </si>
  <si>
    <t>陈云飞</t>
  </si>
  <si>
    <t>⻩酒;果酒（含酒精）;⽩酒;鸡尾酒;葡萄酒;酒精饮料（啤酒除外）;威⼠忌;清酒（⽇本⽶酒）;开胃酒;烈酒</t>
  </si>
  <si>
    <t>瑞安海怡云贸易有限公司</t>
  </si>
  <si>
    <t>葡萄酒;蜂蜜酒;酒精饮料（啤酒除外）;⻩酒;⽩兰地;清酒（⽇本⽶酒）;鸡尾酒;⽩酒;烧酒;果酒（含酒精）</t>
  </si>
  <si>
    <t>月宫贵宾北极村鼎阔酒</t>
  </si>
  <si>
    <t>黑龙江省润林建筑装饰装修工程有限公司</t>
  </si>
  <si>
    <t>烧酒（烈酒）;烈酒（饮料）;⻩酒;开胃酒;⻘稞酒;葡萄酒;果酒（含酒精）;⽩酒;酒精饮料（啤酒除外）;⽶酒</t>
  </si>
  <si>
    <t>朱晓琳</t>
  </si>
  <si>
    <t>吉林呦呦鸣文化传播有限公司</t>
  </si>
  <si>
    <t>薄荷酒;鸡尾酒;⽩兰地;果酒（含酒精）;⽩酒;葡萄酒;利⼝酒;威⼠忌;⻩酒;开胃酒</t>
  </si>
  <si>
    <t>CHATEAU LES TUNELIES</t>
  </si>
  <si>
    <t>赵日增</t>
  </si>
  <si>
    <t>杜松⼦酒;苹果酒;开胃酒;葡萄酒;烈酒（饮料）;薄荷酒;鸡尾酒;果酒（含酒精）;苦味酒;⽩兰地</t>
  </si>
  <si>
    <t>状元鳌</t>
  </si>
  <si>
    <t>利⼝酒;⽩兰地;酒精饮料（啤酒除外）;葡萄酒;烈酒;⽩酒;清酒（⽇本⽶酒）;威⼠忌;含⽔果酒精饮料;⻩酒</t>
  </si>
  <si>
    <t>俊国西域</t>
  </si>
  <si>
    <t>四川俊国西域良品商贸有限公司</t>
  </si>
  <si>
    <t>⻩酒;⽩酒;蒸馏⽶酒（泡盛酒）;餐后酒（利⼝酒和烈酒）;⽶酒;烧酒;果酒（含酒精）;葡萄酒;⾷⽤酒精;⽩兰地</t>
  </si>
  <si>
    <t>慨尘 酒</t>
  </si>
  <si>
    <t>福清市玉融合沐实业贸易有限公司</t>
  </si>
  <si>
    <t>鸡尾酒;酒精饮料（啤酒除外）;蒸煮提取物（利⼝酒和烈酒）;⽩酒;蒸馏饮料;果酒（含酒精）;酒精饮料原汁;含⽔果酒精饮料;葡萄酒;⾷⽤酒精</t>
  </si>
  <si>
    <t>威涌</t>
  </si>
  <si>
    <t>鸡尾酒;清酒（⽇本⽶酒）;果酒（含酒精）;酒精饮料（啤酒除外）;威⼠忌;烈酒;⽩酒;开胃酒;⻩酒;葡萄酒</t>
  </si>
  <si>
    <t>鸡五泽</t>
  </si>
  <si>
    <t>河北深情敬梨酒类销售有限公司</t>
  </si>
  <si>
    <t>桑葚酒;葡萄酒;酒精饮料（啤酒除外）;⻩酒;⽼酒（中国蒸馏烈酒）;⽶酒;⾼粱酒;⽩酒;果酒（含酒精）;露酒</t>
  </si>
  <si>
    <t>贵州省仁怀市文壶酒业有限公司</t>
  </si>
  <si>
    <t>⻘稞酒;果酒;烈酒（饮料）;⻩酒;⽩酒;伏特加酒;烧酒;餐后酒（利⼝酒和烈酒）;⽶酒;酒精饮料（啤酒除外）</t>
  </si>
  <si>
    <t>笠客</t>
  </si>
  <si>
    <t>杨玉力</t>
  </si>
  <si>
    <t>威⼠忌;朗姆酒;⻩酒;葡萄酒;朗姆酒（酒精饮料）;⽩酒;⽶酒;利⼝酒;烈酒（饮料）;⽩兰地</t>
  </si>
  <si>
    <t>师说众帅</t>
  </si>
  <si>
    <t>贵州师说酒业有限公司</t>
  </si>
  <si>
    <t>酒精饮料原汁;烧酒;⻩酒;烈酒;露酒;葡萄酒;果酒;⽩酒;⾷⽤酒精;⾼粱酒;开胃酒</t>
  </si>
  <si>
    <t>窖粮藏</t>
  </si>
  <si>
    <t>宿迁朝歌酒业有限公司</t>
  </si>
  <si>
    <t>露酒;⽩酒;⽼酒（中国蒸馏烈酒）;⾼粱酒;烧酒（烈酒）;⽩⼲酒（中国⽩酒）;烧酒;烈酒;葡萄酒;鸡尾酒</t>
  </si>
  <si>
    <t>贵探花</t>
  </si>
  <si>
    <t>买红霞</t>
  </si>
  <si>
    <t>果酒（含酒精）;葡萄酒;⽶酒;烧酒;威⼠忌;鸡尾酒;⻩酒;蒸馏饮料;⽩兰地;⽩酒</t>
  </si>
  <si>
    <t>贵州私封酒业集团电子商务有限公司</t>
  </si>
  <si>
    <t>⽶酒;含⽔果酒精饮料;酒精饮料（啤酒除外）;以葡萄酒为主的饮料;⾼粱酒;⻩酒;烧酒;果酒;露酒;⽩酒</t>
  </si>
  <si>
    <t>胥振影</t>
  </si>
  <si>
    <t>葡萄酒;⽩酒;甜果酒;蒸馏饮料;⻩酒;烈酒（饮料）;⽩兰地;⽶酒;含⽔果酒精饮料;酒精饮料原汁</t>
  </si>
  <si>
    <t>OLD PENOLA ESTATE</t>
  </si>
  <si>
    <t>上海岚丰酒业有限公司</t>
  </si>
  <si>
    <t>利⼝酒;以葡萄酒为主的饮料;以朗姆酒为主的饮料;⽩兰地;红葡萄酒;葡萄酒;酒精饮料原汁;果酒（含酒精）;含酒精的饮料（啤酒除外）;威⼠忌</t>
  </si>
  <si>
    <t>华司</t>
  </si>
  <si>
    <t>罗鸿</t>
  </si>
  <si>
    <t>⻩酒;⽩酒;葡萄酒;清酒（⽇本⽶酒）;烈酒（饮料）;⽶酒;烧酒;鸡尾酒;蜂蜜酒;果酒（含酒精）</t>
  </si>
  <si>
    <t>JINGVIVI 敬威</t>
  </si>
  <si>
    <t>邓中奎</t>
  </si>
  <si>
    <t>果酒（含酒精）;⽩酒;鸡尾酒;清酒（⽇本⽶酒）;开胃酒;葡萄酒;烈酒;酒精饮料（啤酒除外）;⻩酒;威⼠忌</t>
  </si>
  <si>
    <t>酒精饮料原汁;葡萄酒;威⼠忌;利⼝酒;含酒精的饮料（啤酒除外）;红葡萄酒;⽩兰地;以朗姆酒为主的饮料;果酒（含酒精）;以葡萄酒为主的饮料</t>
  </si>
  <si>
    <t>AJE</t>
  </si>
  <si>
    <t>西安碑林爱吉尔医疗美容诊所有限公司</t>
  </si>
  <si>
    <t>葡萄酒;⽩兰地;鸡尾酒;伏特加酒;⾷⽤酒精;⻘稞酒;苹果酒;威⼠忌;⽩酒;烧酒</t>
  </si>
  <si>
    <t>GEMLCLOIS</t>
  </si>
  <si>
    <t>龙泉驿区奔图商贸经营部（个体工商户）</t>
  </si>
  <si>
    <t>葡萄酒;⽩酒;果酒（含酒精）;⽶酒;⽩兰地;鸡尾酒;酒精饮料（啤酒除外）;烈酒（饮料）;以葡萄酒为主的饮料;威⼠忌</t>
  </si>
  <si>
    <t>大武夷·勒溪福</t>
  </si>
  <si>
    <t>南平印象元和酒业有限公司</t>
  </si>
  <si>
    <t>酒精饮料（啤酒除外）;烧酒;⽶酒;⽩酒;烈酒;⾼粱酒;⽩⼲酒（中国⽩酒）;果酒（含酒精）;葡萄酒;⻩酒</t>
  </si>
  <si>
    <t>XIAN LE</t>
  </si>
  <si>
    <t>先乐百货（广东）有限公司</t>
  </si>
  <si>
    <t>⽩酒;⾷⽤酒精;蒸煮提取物（利⼝酒和烈酒）;薄荷酒;鸡尾酒;烈酒（饮料）;酒精饮料（啤酒除外）;蒸馏饮料;⽶酒;葡萄酒</t>
  </si>
  <si>
    <t>荣和聚义堂</t>
  </si>
  <si>
    <t>陕西聚义堂文化传媒有限公司</t>
  </si>
  <si>
    <t>烧酒;烈酒（饮料）;⽩酒;蒸馏饮料;⾕物制蒸馏酒精饮料;蒸煮提取物（利⼝酒和烈酒）;葡萄酒;⻩酒;清酒;酒精饮料（啤酒除外）</t>
  </si>
  <si>
    <t>海南泽栖文化传媒有限公司</t>
  </si>
  <si>
    <t>⽩酒;甜酒;蒸馏饮料;⾕物制蒸馏酒精饮料;清酒;露酒;汽酒;葡萄酒;酒精饮料（啤酒除外）;⽼酒（中国蒸馏烈酒）;已调味的蒸馏酒;烈酒;含酒精的饮料（啤酒除外）</t>
  </si>
  <si>
    <t>黔圃</t>
  </si>
  <si>
    <t>果酒（含酒精）;清酒（⽇本⽶酒）;葡萄酒;蜂蜜酒;⽩酒;鸡尾酒;烈酒（饮料）;烧酒;⻩酒;⽶酒</t>
  </si>
  <si>
    <t>朗宗 219</t>
  </si>
  <si>
    <t>西藏朗县启航贸易有限公司</t>
  </si>
  <si>
    <t>果酒（含酒精）;葡萄酒;⽩酒;⽩兰地;⻘稞酒;⾕物制蒸馏酒精饮料;威⼠忌;酒精饮料（啤酒除外）;以葡萄酒为主的饮料;含⽔果酒精饮料</t>
  </si>
  <si>
    <t>PETER'S BLOCK ESTATE GROWN</t>
  </si>
  <si>
    <t>酒精饮料原汁;果酒（含酒精）;以朗姆酒为主的饮料;⽩兰地;含酒精的饮料（啤酒除外）;红葡萄酒;葡萄酒;威⼠忌;利⼝酒;以葡萄酒为主的饮料</t>
  </si>
  <si>
    <t>西咸新区农匠绿色农业科技有限公司</t>
  </si>
  <si>
    <t>烈酒（饮料）;酒精饮料（啤酒除外）;⽶酒;酒精饮料原汁;蒸煮提取物（利⼝酒和烈酒）;⾕物制蒸馏酒精饮料;含⽔果酒精饮料;⽩酒;鸡尾酒;葡萄酒</t>
  </si>
  <si>
    <t>古龙洞小样</t>
  </si>
  <si>
    <t>四川省宜宾市怡宾酒业有限责任公司</t>
  </si>
  <si>
    <t>威⼠忌;⻩酒;利⼝酒;酒精饮料（啤酒除外）;蒸煮提取物（利⼝酒和烈酒）;⽩酒;果酒（含酒精）;⾷⽤酒精;清酒（⽇本⽶酒）;烧酒</t>
  </si>
  <si>
    <t>洋陶坊</t>
  </si>
  <si>
    <t>贵州莼酱酒业有限公司</t>
  </si>
  <si>
    <t>⽩酒;开胃酒;⻩酒;含酒精⽔果饮料;果酒（含酒精）;葡萄酒;利⼝酒;烧酒;蒸煮提取物（利⼝酒和烈酒）;⽼酒（中国蒸馏烈酒）</t>
  </si>
  <si>
    <t>戎州友明</t>
  </si>
  <si>
    <t>雷安权</t>
  </si>
  <si>
    <t>预先混合的酒精饮料（以啤酒为主的除外）;⽶酒;⾷⽤酒精;⾕物制蒸馏酒精饮料;⻩酒;葡萄酒;⻘稞酒;烧酒;⽩酒;果酒（含酒精）</t>
  </si>
  <si>
    <t>拜富廷·白垩山</t>
  </si>
  <si>
    <t>鸡尾酒;威⼠忌;果酒（含酒精）;葡萄酒;朗姆酒;⽩酒;伏特加酒;烈酒（饮料）;⽩兰地;杜松⼦酒</t>
  </si>
  <si>
    <t>嘢哠呷</t>
  </si>
  <si>
    <t>陈舟强</t>
  </si>
  <si>
    <t>鸡尾酒;果酒（含酒精）;蒸馏饮料;开胃酒;烈酒（饮料）;葡萄酒;餐后酒（利⼝酒和烈酒）;⽶酒;⾷⽤酒精;⽩酒</t>
  </si>
  <si>
    <t>王柠茶铺</t>
  </si>
  <si>
    <t>柠感（深圳）企业管理有限责任公司</t>
  </si>
  <si>
    <t>⽩酒;⽶酒;苹果酒;蒸馏饮料;含⽔果酒精饮料;果酒（含酒精）;烈酒（饮料）;酒精饮料（啤酒除外）;樱桃酒;鸡尾酒</t>
  </si>
  <si>
    <t>谷鸽下马</t>
  </si>
  <si>
    <t>江阴盛泰科技有限公司</t>
  </si>
  <si>
    <t>果酒（含酒精）;⽶酒;⻩酒;鸡尾酒;⾼粱酒;⽩酒;葡萄酒;烈酒（饮料）;清酒（⽇本⽶酒）;⽩葡萄酒</t>
  </si>
  <si>
    <t>景沁缘</t>
  </si>
  <si>
    <t>太原秦鼎商贸有限公司</t>
  </si>
  <si>
    <t>⻩酒;果酒（含酒精）;苹果酒;⾕物制蒸馏酒精饮料;⽶酒;烧酒;酒精饮料（啤酒除外）;⾷⽤酒精;葡萄酒;⽩酒</t>
  </si>
  <si>
    <t>羊煮饪</t>
  </si>
  <si>
    <t>内蒙古乌兰木伦科技有限公司</t>
  </si>
  <si>
    <t>葡萄酒;清酒（⽇本⽶酒）;烧酒;薄荷酒;鸡尾酒;⽩兰地;威⼠忌;果酒（含酒精）;开胃酒;利⼝酒</t>
  </si>
  <si>
    <t>益林郡</t>
  </si>
  <si>
    <t>鼎银鑫（上海）企业管理合伙企业（有限合伙）</t>
  </si>
  <si>
    <t>开胃酒;酒精饮料（啤酒除外）;⽶酒;果酒（含酒精）;⻩酒;威⼠忌;葡萄酒;⽩酒;烈酒（饮料）;鸡尾酒</t>
  </si>
  <si>
    <t>虞上红</t>
  </si>
  <si>
    <t>绍兴古乙茶业有限公司</t>
  </si>
  <si>
    <t>樱桃酒;⾼粱酒;葡萄酒;酒精饮料（啤酒除外）;⻘梅酒;⻩酒;果酒（含酒精）;由⾕物蒸馏的⽩酒;杨梅酒;果酒</t>
  </si>
  <si>
    <t>手艺人玖捌柒</t>
  </si>
  <si>
    <t>贵州手艺人酒业有限公司</t>
  </si>
  <si>
    <t>露酒;⽩酒;烈酒（饮料）;果酒（含酒精）;⾕物制蒸馏酒精饮料;蒸馏饮料;⽶酒;苹果酒;葡萄酒;餐后酒（利⼝酒和烈酒）</t>
  </si>
  <si>
    <t>易画</t>
  </si>
  <si>
    <t>贵州省茅乡洞寨酒业科技发展有限公司</t>
  </si>
  <si>
    <t>果酒（含酒精）;果酒;蒸馏⽶酒（泡盛酒）;⽶酒;烧酒;烧酒（烈酒）;⽼酒（中国蒸馏烈酒）;⾼粱酒;⾷⽤酒精;⽩酒</t>
  </si>
  <si>
    <t>黛尔河岸酒庄</t>
  </si>
  <si>
    <t>玺鹊（上海）国际贸易有限公司</t>
  </si>
  <si>
    <t>蒸馏饮料;⽩兰地;酒精饮料（啤酒除外）;鸡尾酒;葡萄酒;威⼠忌;⽩酒;烈酒;果酒（含酒精）;伏特加酒</t>
  </si>
  <si>
    <t>奥松酒业（上海）有限公司</t>
  </si>
  <si>
    <t>果酒（含酒精）;开胃酒;⽩兰地;伏特加酒;朗姆酒;葡萄酒;苹果酒;鸡尾酒;酒精饮料（啤酒除外）;⻩酒</t>
  </si>
  <si>
    <t>RR RUTHERFORD RANCH</t>
  </si>
  <si>
    <t>环山酒窖公司</t>
  </si>
  <si>
    <t>利⼝酒;以葡萄酒为主的饮料;酒精饮料原汁;鸡尾酒;酒精饮料（啤酒除外）;⽩兰地;葡萄酒;果酒（含酒精）;含⽔果酒精饮料;烈酒（饮料）</t>
  </si>
  <si>
    <t>宁波禾益家庭农场有限公司</t>
  </si>
  <si>
    <t>葡萄酒;⽶酒;⾕物制蒸馏酒精饮料;⻩酒;鸡尾酒;蒸馏饮料;酒精饮料浓缩汁;果酒（含酒精）;⽩酒;汽酒</t>
  </si>
  <si>
    <t>BLUE LIGHTHOUSE</t>
  </si>
  <si>
    <t>上海三巡电子商务有限公司</t>
  </si>
  <si>
    <t>鸡尾酒;汽酒;⽩酒;⻩酒;烧酒;果酒（含酒精）;葡萄酒;⽩兰地;威⼠忌;清酒（⽇本⽶酒）</t>
  </si>
  <si>
    <t>喜大头</t>
  </si>
  <si>
    <t>山阴县喜瑞农业专业合作社</t>
  </si>
  <si>
    <t>⽶酒;果酒（含酒精）;酒精饮料（啤酒除外）;⽩酒;⻩酒;鸡尾酒;葡萄酒;烈酒（饮料）;威⼠忌;蜂蜜酒</t>
  </si>
  <si>
    <t>同源匠</t>
  </si>
  <si>
    <t>贵州省仁怀市汉鼎坊酒业销售有限公司</t>
  </si>
  <si>
    <t>汽酒;葡萄酒;果酒（含酒精）;酒精饮料（啤酒除外）;烧酒;烈酒（饮料）;鸡尾酒;⻩酒;⽩酒;⽶酒</t>
  </si>
  <si>
    <t>黔久明</t>
  </si>
  <si>
    <t>天长市唛叮电子商务有限公司</t>
  </si>
  <si>
    <t>果酒;清酒（⽇本⽶酒）;酒精饮料（啤酒除外）;鸡尾酒;开胃酒;威⼠忌;⻩酒;烈酒;葡萄酒;⽩酒</t>
  </si>
  <si>
    <t>炫彩潭</t>
  </si>
  <si>
    <t>宋慧敏</t>
  </si>
  <si>
    <t>果酒（含酒精）;烧酒;开胃酒;蜂蜜酒;⾷⽤酒精;⽶酒;⻩酒;利⼝酒;葡萄酒;⽩酒</t>
  </si>
  <si>
    <t>秦益镇</t>
  </si>
  <si>
    <t>⽩酒;烈酒（饮料）;果酒（含酒精）;⻩酒;⽶酒;开胃酒;威⼠忌;酒精饮料（啤酒除外）;葡萄酒;鸡尾酒</t>
  </si>
  <si>
    <t>知香人</t>
  </si>
  <si>
    <t>⻘稞酒;⻩酒;⽩酒;烧酒;⽶酒;清酒;葡萄酒;⾼粱酒</t>
  </si>
  <si>
    <t>郎 酒</t>
  </si>
  <si>
    <t>古蔺县久盛投资有限公司</t>
  </si>
  <si>
    <t>威⼠忌;含⽔果酒精饮料;⻩酒;⾷⽤酒精;烧酒;⽶酒;果酒（含酒精）;酒精饮料（啤酒除外）;开胃酒;⽩酒</t>
  </si>
  <si>
    <t>府藏玉</t>
  </si>
  <si>
    <t>简洪飞</t>
  </si>
  <si>
    <t>⻩酒;烈酒;开胃酒;酒精饮料（啤酒除外）;葡萄酒;清酒（⽇本⽶酒）;威⼠忌;⽩酒;果酒（含酒精）;鸡尾酒</t>
  </si>
  <si>
    <t>5号隆记</t>
  </si>
  <si>
    <t>林良河</t>
  </si>
  <si>
    <t>鸡尾酒;⽶酒;预先混合的酒精饮料（以啤酒为主的除外）;⾷⽤酒精;含酒精的⽓泡⽔;果酒（含酒精）;薄荷酒;酒精饮料原汁;烧酒;开胃酒</t>
  </si>
  <si>
    <t>范蠡诚西施罐</t>
  </si>
  <si>
    <t>范新林</t>
  </si>
  <si>
    <t>⽩兰地;清酒（⽇本⽶酒）;⽩酒;鸡尾酒;开胃酒;⻘稞酒;果酒（含酒精）;含⽔果酒精饮料;蜂蜜酒;葡萄酒</t>
  </si>
  <si>
    <t>八千粟</t>
  </si>
  <si>
    <t>北京柏之洋医药科技有限公司</t>
  </si>
  <si>
    <t>⻩酒;烈酒（饮料）;葡萄酒;⽩酒;利⼝酒;蒸馏饮料;⽶酒;⽩兰地;果酒（含酒精）;烧酒</t>
  </si>
  <si>
    <t>2024/05/16</t>
  </si>
  <si>
    <t>魅力十竹</t>
  </si>
  <si>
    <t>长沙竹享健酒业有限公司</t>
  </si>
  <si>
    <t>果酒（含酒精）;鸡尾酒;⻩酒;⽩兰地;⽩酒;烧酒;烈酒（饮料）;汽酒;葡萄酒;酒精饮料（啤酒除外）</t>
  </si>
  <si>
    <t>樾澜庄</t>
  </si>
  <si>
    <t>上海樾澜庄餐饮管理有限公司</t>
  </si>
  <si>
    <t>鸡尾酒;葡萄酒;烈酒（饮料）;⾷⽤酒精;⻩酒;⽩兰地;威⼠忌;酒精饮料（啤酒除外）;含酒精的⽓泡⽔;⽩酒</t>
  </si>
  <si>
    <t>德如阳柔正兴</t>
  </si>
  <si>
    <t>绵竹市众辉仲能商贸有限公司</t>
  </si>
  <si>
    <t>⾕物制蒸馏酒精饮料;⽩酒;烧酒;酒精饮料（啤酒除外）;伏特加酒;果酒（含酒精）;⽶酒;葡萄酒;含⽔果酒精饮料;烈酒（饮料）</t>
  </si>
  <si>
    <t>邛崃山臻酿</t>
  </si>
  <si>
    <t>四川珑昶酒业有限公司</t>
  </si>
  <si>
    <t>果酒（含酒精）;⽶酒;⻘稞酒;⽩酒;⽩兰地;清酒（⽇本⽶酒）;烧酒;葡萄酒;酒精饮料（啤酒除外）;⻩酒</t>
  </si>
  <si>
    <t>同福清花</t>
  </si>
  <si>
    <t>蔺瑞华</t>
  </si>
  <si>
    <t>⽩酒;⽩⼲酒（中国⽩酒）;⽼酒（中国蒸馏烈酒）;⾼粱酒;露酒;烈酒（饮料）;烧酒（烈酒）;烧酒;果酒（含酒精）;由⾕物蒸馏的⽩酒</t>
  </si>
  <si>
    <t>武昌</t>
  </si>
  <si>
    <t>葡萄酒;⻘稞酒;⻩酒;鸡尾酒;酒精饮料（啤酒除外）;⽶酒;烧酒;⽩酒;果酒（含酒精）;威⼠忌</t>
  </si>
  <si>
    <t>近鸟龙</t>
  </si>
  <si>
    <t>辽宁世星药化有限公司</t>
  </si>
  <si>
    <t>彝之语</t>
  </si>
  <si>
    <t>童杰春</t>
  </si>
  <si>
    <t>果酒（含酒精）;利⼝酒;酒精饮料（啤酒除外）;⽶酒;⽩酒;汽酒;烈酒（饮料）;⻩酒;含酒精的充⽓饮料（啤酒除外）;露酒</t>
  </si>
  <si>
    <t>壹陶坊</t>
  </si>
  <si>
    <t>郑州市苏博商贸有限公司</t>
  </si>
  <si>
    <t>⽩酒;烈酒（饮料）;威⼠忌;葡萄酒;甜酒;⻩酒;果酒（含酒精）;⽶酒;酒精饮料（啤酒除外）;鸡尾酒</t>
  </si>
  <si>
    <t>沂贺</t>
  </si>
  <si>
    <t>金凤娥</t>
  </si>
  <si>
    <t>果酒（含酒精）;蒸馏饮料;⽩兰地;果酒;烧酒;烈酒（饮料）;⽩酒;葡萄酒;⽶酒;鸡尾酒</t>
  </si>
  <si>
    <t>倒水坊巡影司</t>
  </si>
  <si>
    <t>广州三易健康科技有限公司</t>
  </si>
  <si>
    <t>⽶酒;烧酒（烈酒）;⽩葡萄酒;鸡尾酒;梅酒;含酒精⽔果饮料;⽩酒;伏特加酒;果酒;⻩酒</t>
  </si>
  <si>
    <t>恒福清花</t>
  </si>
  <si>
    <t>烈酒（饮料）;果酒（含酒精）;露酒;⽩酒;烧酒;由⾕物蒸馏的⽩酒;⾼粱酒;⽩⼲酒（中国⽩酒）;⽼酒（中国蒸馏烈酒）;烧酒（烈酒）</t>
  </si>
  <si>
    <t>活力十竹</t>
  </si>
  <si>
    <t>⽩兰地;果酒（含酒精）;酒精饮料（啤酒除外）;⻩酒;烧酒;鸡尾酒;葡萄酒;烈酒（饮料）;汽酒;⽩酒</t>
  </si>
  <si>
    <t>谧花</t>
  </si>
  <si>
    <t>管泽峰</t>
  </si>
  <si>
    <t>鸡尾酒;烧酒;酒精饮料（啤酒除外）;⽩酒;烈酒（饮料）;⽶酒;⾷⽤酒精;果酒（含酒精）;葡萄酒;酒精饮料原汁</t>
  </si>
  <si>
    <t>金栋粮</t>
  </si>
  <si>
    <t>粮王精酿自动化技术（山东）有限公司</t>
  </si>
  <si>
    <t>果酒（含酒精）;酒精饮料（啤酒除外）;⽩酒;含⽔果酒精饮料;烧酒;葡萄酒;威⼠忌;汽酒;鸡尾酒;蒸馏饮料</t>
  </si>
  <si>
    <t>卓蜂堂</t>
  </si>
  <si>
    <t>河南卓宇蜂业有限公司</t>
  </si>
  <si>
    <t>酒精饮料（啤酒除外）;⽶酒;果酒（含酒精）;葡萄酒;⻩酒;蒸馏饮料;烧酒;蜂蜜酒;鸡尾酒;利⼝酒</t>
  </si>
  <si>
    <t>蔺门将酒</t>
  </si>
  <si>
    <t>蔺正伟</t>
  </si>
  <si>
    <t>⽶酒;⾕物制蒸馏酒精饮料;⽩酒;蒸馏饮料;烈酒（饮料）;餐后酒（利⼝酒和烈酒）;果酒（含酒精）;苹果酒;葡萄酒;露酒</t>
  </si>
  <si>
    <t>拴整</t>
  </si>
  <si>
    <t>王观明</t>
  </si>
  <si>
    <t>烈酒;⻩酒;汽酒;清酒;烧酒;⽩酒;⾼粱酒;果酒;开胃酒;⾷⽤酒精</t>
  </si>
  <si>
    <t>赤脚苗老金</t>
  </si>
  <si>
    <t>金娥</t>
  </si>
  <si>
    <t>⽩酒;露酒;甜酒;⾷⽤酒精;⾕物制蒸馏酒精饮料;果酒（含酒精）;⻩酒;⽶酒;⾼粱酒;烧酒</t>
  </si>
  <si>
    <t>佐尔尼</t>
  </si>
  <si>
    <t>吴波</t>
  </si>
  <si>
    <t>果酒（含酒精）;含⽔果酒精饮料;酒精饮料（啤酒除外）;鸡尾酒;葡萄酒;酒精饮料原汁;薄荷酒;烈酒（饮料）;⽩酒;以葡萄酒为主的饮料</t>
  </si>
  <si>
    <t>邛崃山商务酒</t>
  </si>
  <si>
    <t>⽩酒;葡萄酒;⽩兰地;⽶酒;烧酒;果酒（含酒精）;酒精饮料（啤酒除外）;清酒（⽇本⽶酒）;⻩酒;⻘稞酒</t>
  </si>
  <si>
    <t>动力十竹</t>
  </si>
  <si>
    <t>酒精饮料（啤酒除外）;汽酒;葡萄酒;⻩酒;⽩兰地;鸡尾酒;烧酒;果酒（含酒精）;烈酒（饮料）;⽩酒</t>
  </si>
  <si>
    <t>道博·星空黑</t>
  </si>
  <si>
    <t>贵州易生无忧酒业有限公司</t>
  </si>
  <si>
    <t>葡萄酒;烧酒;⽩⼲酒（中国⽩酒）;蒸煮提取物（利⼝酒和烈酒）;⾼粱酒;⽩酒;鸡尾酒;由⾕物蒸馏的⽩酒;⾕物制蒸馏酒精饮料;⽶酒</t>
  </si>
  <si>
    <t>格朗美景</t>
  </si>
  <si>
    <t>朗姆酒;杜松⼦酒;鸡尾酒;威⼠忌;⽩酒;葡萄酒;烈酒（饮料）;⽩兰地;伏特加酒;果酒（含酒精）</t>
  </si>
  <si>
    <t>顺福清花</t>
  </si>
  <si>
    <t>⽩酒;⾼粱酒;烧酒（烈酒）;烈酒（饮料）;烧酒;露酒;⽩⼲酒（中国⽩酒）;果酒（含酒精）;⽼酒（中国蒸馏烈酒）;由⾕物蒸馏的⽩酒</t>
  </si>
  <si>
    <t>鄢医</t>
  </si>
  <si>
    <t>鄢天令</t>
  </si>
  <si>
    <t>由⾕物蒸馏的⽩酒;⾼粱酒;⽩⼲酒（中国⽩酒）;烧酒（烈酒）;清酒;⾕物制蒸馏酒精饮料;烈酒（饮料）;已调味的蒸馏酒;⽩酒;烧酒</t>
  </si>
  <si>
    <t>子悦台</t>
  </si>
  <si>
    <t>邹平市兆美文化传播工作室</t>
  </si>
  <si>
    <t>⻩酒;酒精饮料（啤酒除外）;⾕物制蒸馏酒精饮料;已调味的蒸馏酒;烧酒（烈酒）;⾼粱酒;露酒;⽩酒;由⾕物蒸馏的⽩酒;⽼酒（中国蒸馏烈酒）</t>
  </si>
  <si>
    <t>泸新二曲</t>
  </si>
  <si>
    <t>赵飞龙</t>
  </si>
  <si>
    <t>鸡尾酒;⻩酒;⽼酒（中国蒸馏烈酒）;葡萄酒;烧酒;果酒（含酒精）;酒精饮料（啤酒除外）;烈酒（饮料）;⽩酒;⽶酒</t>
  </si>
  <si>
    <t>如梦长安</t>
  </si>
  <si>
    <t>陕西绿浪环保科技有限公司</t>
  </si>
  <si>
    <t>⾷⽤酒精;果酒（含酒精）;利⼝酒;⻩酒;烧酒;⽩酒;烈酒;⽩兰地;葡萄酒;⽶酒</t>
  </si>
  <si>
    <t>淮员外</t>
  </si>
  <si>
    <t>蒸馏饮料;葡萄酒;烧酒;果酒;烈酒（饮料）;⽶酒;⽩酒;果酒（含酒精）;鸡尾酒;⽩兰地</t>
  </si>
  <si>
    <t>诗小红</t>
  </si>
  <si>
    <t>维多仙（新乡）生物药业有限公司</t>
  </si>
  <si>
    <t>庄上画语</t>
  </si>
  <si>
    <t>王晓婷</t>
  </si>
  <si>
    <t>清酒（⽇本⽶酒）;果酒（含酒精）;⽩酒;⽼酒（中国蒸馏烈酒）;⽶酒;葡萄酒;烈酒（饮料）;烧酒;鸡尾酒;⾼粱酒</t>
  </si>
  <si>
    <t>烈赋</t>
  </si>
  <si>
    <t>烈酒（饮料）;⽩兰地;⽩酒;果酒（含酒精）;⽶酒;果酒;鸡尾酒;烧酒;蒸馏饮料;葡萄酒</t>
  </si>
  <si>
    <t>道博·宣纸白</t>
  </si>
  <si>
    <t>⾕物制蒸馏酒精饮料;由⾕物蒸馏的⽩酒;鸡尾酒;⽩酒;⽩⼲酒（中国⽩酒）;葡萄酒;烧酒;蒸煮提取物（利⼝酒和烈酒）;⽶酒;⾼粱酒</t>
  </si>
  <si>
    <t>庆尚顺</t>
  </si>
  <si>
    <t>湖南古传酒业有限公司</t>
  </si>
  <si>
    <t>烧酒;薄荷酒;⽩兰地;⻩酒;果酒（含酒精）;酒精饮料（啤酒除外）;⽶酒;⽩酒;烈酒（饮料）;葡萄酒</t>
  </si>
  <si>
    <t>邹氏同根</t>
  </si>
  <si>
    <t>贵州邹旺酒业（集团）有限公司</t>
  </si>
  <si>
    <t>蜂蜜酒;烧酒;酸酒（低等葡萄酒）;⻘稞酒;⻩酒;果酒;葡萄酒;⽩酒;⽶酒;烈酒</t>
  </si>
  <si>
    <t>金友粮</t>
  </si>
  <si>
    <t>鸡尾酒;葡萄酒;酒精饮料（啤酒除外）;含⽔果酒精饮料;果酒（含酒精）;蒸馏饮料;汽酒;威⼠忌;⽩酒;烧酒</t>
  </si>
  <si>
    <t>萱铭喜</t>
  </si>
  <si>
    <t>重庆萱铭健健康管理有限公司</t>
  </si>
  <si>
    <t>⽩酒;清酒（⽇本⽶酒）;威⼠忌;预先混合的酒精饮料（以啤酒为主的除外）;⽶酒;葡萄酒;⽩兰地;以葡萄酒为主的饮料;果酒（含酒精）;⻘稞酒</t>
  </si>
  <si>
    <t>屹世缘</t>
  </si>
  <si>
    <t>郓城卓屹商贸有限公司</t>
  </si>
  <si>
    <t>⽼酒（中国蒸馏烈酒）;甜果酒;⻩酒;烧酒（烈酒）;烈酒（饮料）;⻘稞酒;⽩酒;⾼粱酒;⽩⼲酒（中国⽩酒）;杨梅酒;烈性⼲酒;⽶酒</t>
  </si>
  <si>
    <t>福贵鱼</t>
  </si>
  <si>
    <t>罗善</t>
  </si>
  <si>
    <t>含⽔果酒精饮料;利⼝酒;烈酒（饮料）;开胃酒;烧酒;⽶酒;⽩酒;葡萄酒;鸡尾酒;⻩酒</t>
  </si>
  <si>
    <t>十七的四季</t>
  </si>
  <si>
    <t>王纯婧</t>
  </si>
  <si>
    <t>葡萄酒;酒精饮料（啤酒除外）;含⽔果酒精饮料;果酒（含酒精）;烧酒;梨酒;⽩酒;蜂蜜酒;烈酒（饮料）;⽩兰地</t>
  </si>
  <si>
    <t>益义仟禧宴</t>
  </si>
  <si>
    <t>谢向前</t>
  </si>
  <si>
    <t>鸡尾酒;⽩酒;苦味酒;含⽔果酒精饮料;⻩酒;烈酒;果酒（含酒精）;开胃酒;葡萄酒;⽶酒</t>
  </si>
  <si>
    <t>蔺门骄子</t>
  </si>
  <si>
    <t>⽩酒;餐后酒（利⼝酒和烈酒）;烈酒（饮料）;⾕物制蒸馏酒精饮料;苹果酒;蒸馏饮料;⽶酒;露酒;果酒（含酒精）;葡萄酒</t>
  </si>
  <si>
    <t>遇媞婠</t>
  </si>
  <si>
    <t>熊倩倩</t>
  </si>
  <si>
    <t>烧酒;⽩酒;苹果酒;⻩酒;甜果酒;⾼粱酒;鸡尾酒;果酒（含酒精）;葡萄酒;清酒</t>
  </si>
  <si>
    <t>怀匠氿</t>
  </si>
  <si>
    <t>贵州南兴酒业（集团）有限公司</t>
  </si>
  <si>
    <t>酒精饮料（啤酒除外）;葡萄酒;烧酒;蒸馏饮料;⽩酒;含⽔果酒精饮料;果酒（含酒精）;烈酒（饮料）;⽶酒;酒精饮料浓缩汁</t>
  </si>
  <si>
    <t>BOMBOM</t>
  </si>
  <si>
    <t>深圳市鼎鼎酒业有限公司</t>
  </si>
  <si>
    <t>葡萄酒;⽩兰地;烈酒（饮料）;⽶酒;伏特加酒;威⼠忌;⻩酒;⽩酒;鸡尾酒;烧酒</t>
  </si>
  <si>
    <t>亿安晟</t>
  </si>
  <si>
    <t>山西亿安晟商贸有限责任公司</t>
  </si>
  <si>
    <t>葡萄酒;果酒（含酒精）;蒸馏饮料;烈酒（饮料）;酒精饮料（啤酒除外）;⽩酒;烧酒;鸡尾酒;威⼠忌;⽶酒</t>
  </si>
  <si>
    <t>邛崃山御品</t>
  </si>
  <si>
    <t>果酒（含酒精）;葡萄酒;⽶酒;清酒（⽇本⽶酒）;烧酒;⽩酒;酒精饮料（啤酒除外）;⽩兰地;⻘稞酒;⻩酒</t>
  </si>
  <si>
    <t>在酉里</t>
  </si>
  <si>
    <t>李乐乐</t>
  </si>
  <si>
    <t>含酒精的⽔果鸡尾酒饮料;除啤酒外的酒精饮料;威⼠忌;含酒精的饮料（啤酒除外）;含酒精的充⽓饮料（啤酒除外）;烈酒;鸡尾酒;酒精饮料（啤酒除外）;果酒;烈酒（饮料）;果酒（含酒精）</t>
  </si>
  <si>
    <t>2024/05/17</t>
  </si>
  <si>
    <t>北汀终南山酿</t>
  </si>
  <si>
    <t>田浩</t>
  </si>
  <si>
    <t>含⽔果酒精饮料;⽩酒;果酒（含酒精）;开胃酒;⻩酒;预先混合的酒精饮料（以啤酒为主的除外）;⽇式甜⽶酒;⽶酒;⾕物制蒸馏酒精饮料;清酒（⽇本⽶酒）</t>
  </si>
  <si>
    <t>蒙牧冠</t>
  </si>
  <si>
    <t>鄂尔多斯市蒙牧食品有限责任公司</t>
  </si>
  <si>
    <t>⽩酒;⻩酒;餐后酒（利⼝酒和烈酒）;葡萄酒;烧酒;果酒（含酒精）;开胃酒;鸡尾酒;⽶酒;⽩兰地</t>
  </si>
  <si>
    <t>米康之家</t>
  </si>
  <si>
    <t>稻仓晟节点科技（苏州）有限公司</t>
  </si>
  <si>
    <t>含⽔果酒精饮料;薄荷酒;葡萄酒;威⼠忌;酒精饮料（啤酒除外）;⽩酒;开胃酒;蒸馏饮料;⻩酒;果酒（含酒精）</t>
  </si>
  <si>
    <t>沧海赋杏林</t>
  </si>
  <si>
    <t>郑州海福星酒业有限公司</t>
  </si>
  <si>
    <t>开胃酒;果酒;鸡尾酒;⽩酒;蒸煮提取物（利⼝酒和烈酒）;酒精饮料（啤酒除外）;葡萄酒;烧酒;含⽔果酒精饮料;清酒</t>
  </si>
  <si>
    <t>忻清</t>
  </si>
  <si>
    <t>刘锁存</t>
  </si>
  <si>
    <t>⽩酒;酒精饮料（啤酒除外）;含⽔果酒精饮料;开胃酒;烧酒（烈酒）;葡萄酒;⽶酒;⻩酒;⾷⽤酒精;威⼠忌</t>
  </si>
  <si>
    <t>太山龙泉</t>
  </si>
  <si>
    <t>苏建伟</t>
  </si>
  <si>
    <t>⾷⽤酒精;烧酒（烈酒）;⽼酒（中国蒸馏烈酒）;开胃酒;⾼粱酒;威末酒;酒精饮料浓缩汁;草莓酒;天然汽酒;⽩酒</t>
  </si>
  <si>
    <t>九州伊尹文化</t>
  </si>
  <si>
    <t>淄博香根贸易有限公司</t>
  </si>
  <si>
    <t>⻩酒;果酒（含酒精）;葡萄酒;烈酒（饮料）;清酒（⽇本⽶酒）;⽶酒;⽩酒;烧酒;鸡尾酒;酒精饮料（啤酒除外）</t>
  </si>
  <si>
    <t>玄吧</t>
  </si>
  <si>
    <t>魏奇</t>
  </si>
  <si>
    <t>果酒（含酒精）;⽩酒;酒精饮料（啤酒除外）;烧酒;⻩酒;葡萄酒;⽶酒</t>
  </si>
  <si>
    <t>谭氏天壶醉</t>
  </si>
  <si>
    <t>贵州遵义天壶淳酒业有限公司</t>
  </si>
  <si>
    <t>⽩酒;红葡萄酒;鸡尾酒;烈酒;烈酒（饮料）;⽶酒;⾼粱酒;酒精饮料（啤酒除外）;⽼酒（中国蒸馏烈酒）;果酒</t>
  </si>
  <si>
    <t>高嘚兴</t>
  </si>
  <si>
    <t>贵州天子文化传媒有限公司</t>
  </si>
  <si>
    <t>含⽔果酒精饮料;汽酒;⾕物制蒸馏酒精饮料;果酒（含酒精）;葡萄酒;⽩酒;⽶酒;烈酒（饮料）;以葡萄酒为主的饮料;清酒（⽇本⽶酒）</t>
  </si>
  <si>
    <t>黔孝公</t>
  </si>
  <si>
    <t>贵州省仁怀市金榜题名酒业有限公司</t>
  </si>
  <si>
    <t>恒大爷</t>
  </si>
  <si>
    <t>阜阳市金鼎吉调味食品厂</t>
  </si>
  <si>
    <t>开胃酒;葡萄酒;含⽔果酒精饮料;⾼粱酒;利⼝酒;烧酒;⽩酒;⽶酒;⻩酒;⾷⽤酒精</t>
  </si>
  <si>
    <t>胜享</t>
  </si>
  <si>
    <t>王顺琴</t>
  </si>
  <si>
    <t>开胃酒;⽩酒;果酒（含酒精）;鸡尾酒;烈酒;清酒（⽇本⽶酒）;⻩酒;威⼠忌;酒精饮料（啤酒除外）;葡萄酒</t>
  </si>
  <si>
    <t>酉鉴</t>
  </si>
  <si>
    <t>郑伟轩</t>
  </si>
  <si>
    <t>果酒（含酒精）;威⼠忌;酒精饮料（啤酒除外）;开胃酒;⽩酒;葡萄酒;清酒（⽇本⽶酒）;烈酒;鸡尾酒;⻩酒</t>
  </si>
  <si>
    <t>喱</t>
  </si>
  <si>
    <t>宋元元</t>
  </si>
  <si>
    <t>清酒（⽇本⽶酒）;果酒;朗姆酒;葡萄酒;利⼝酒;开胃酒;酒精饮料（啤酒除外）;烧酒;⽩酒;鸡尾酒</t>
  </si>
  <si>
    <t>嚞喜</t>
  </si>
  <si>
    <t>赋能品牌运营（温州）有限公司</t>
  </si>
  <si>
    <t>⽩酒;蒸馏饮料;⻩酒;烈酒（饮料）;汽酒;⽶酒;烧酒;含酒精的⽓泡⽔;葡萄酒;果酒（含酒精）</t>
  </si>
  <si>
    <t>嚞众</t>
  </si>
  <si>
    <t>烈酒（饮料）;含酒精的⽓泡⽔;果酒（含酒精）;蒸馏饮料;⻩酒;⽩酒;⽶酒;烧酒;葡萄酒;汽酒</t>
  </si>
  <si>
    <t>甘陵春招待酒</t>
  </si>
  <si>
    <t>衡水甘陵酒业有限公司</t>
  </si>
  <si>
    <t>果酒;⻩酒;葡萄酒;烧酒;烈酒;酒精饮料（啤酒除外）;酒精饮料原汁;鸡尾酒;蒸馏饮料;⽩酒</t>
  </si>
  <si>
    <t>酒精饮料（啤酒除外）;⽩兰地;⽶酒;⽩酒;果酒（含酒精）;清酒（⽇本⽶酒）;⻩酒;⻘稞酒;烧酒;葡萄酒</t>
  </si>
  <si>
    <t>将中樽</t>
  </si>
  <si>
    <t>邹科</t>
  </si>
  <si>
    <t>果酒（含酒精）;清酒（⽇本⽶酒）;威⼠忌;⻩酒;酒精饮料（啤酒除外）;开胃酒;鸡尾酒;烈酒;葡萄酒;⽩酒</t>
  </si>
  <si>
    <t>吉吞吞</t>
  </si>
  <si>
    <t>潘烨多</t>
  </si>
  <si>
    <t>酒精饮料浓缩汁;酒精饮料原汁;梨酒;果酒（含酒精）;烈酒（饮料）;鸡尾酒;含⽔果酒精饮料;葡萄酒;酸酒（低等葡萄酒）;苹果酒</t>
  </si>
  <si>
    <t>白啧吭</t>
  </si>
  <si>
    <t>安徽省无不为商贸有限公司</t>
  </si>
  <si>
    <t>果酒（含酒精）;烧酒;⻩酒;⾷⽤酒精;⽩酒;酒精饮料（啤酒除外）;⽶酒;露酒;鸡尾酒;葡萄酒</t>
  </si>
  <si>
    <t>光明悦</t>
  </si>
  <si>
    <t>贵州白酒交易所股份有限公司</t>
  </si>
  <si>
    <t>酒精饮料（啤酒除外）;⽶酒;果酒（含酒精）;酒精饮料原汁;⻩酒;汽酒;⽩酒;鸡尾酒;烧酒;含⽔果酒精饮料</t>
  </si>
  <si>
    <t>英雄九五至尊</t>
  </si>
  <si>
    <t>南京美润生物科技有限公司</t>
  </si>
  <si>
    <t>⽩兰地;⾷⽤酒精;⽩酒;含⽔果酒精饮料;果酒;⻩酒;鸡尾酒;葡萄酒;酒精饮料（啤酒除外）;⽶酒</t>
  </si>
  <si>
    <t>TH12CITY</t>
  </si>
  <si>
    <t>上海麦胜数据科技有限公司</t>
  </si>
  <si>
    <t>甜酒;鸡尾酒;烈酒;⽩酒;葡萄酒;果酒;⽩兰地;酒精饮料（啤酒除外）;⽶酒;威⼠忌</t>
  </si>
  <si>
    <t>杏福柔</t>
  </si>
  <si>
    <t>郑广菊</t>
  </si>
  <si>
    <t>⽩兰地;烧酒;⻩酒;威⼠忌;伏特加酒;⽩酒;葡萄酒;⽶酒;果酒（含酒精）;鸡尾酒</t>
  </si>
  <si>
    <t>福曜万载</t>
  </si>
  <si>
    <t>贵州源头酱香酒业有限公司</t>
  </si>
  <si>
    <t>鸡尾酒;果酒（含酒精）;葡萄酒;烧酒;⽩酒;开胃酒;⽶酒;烈酒（饮料）;含⽔果酒精饮料;汽酒</t>
  </si>
  <si>
    <t>铃</t>
  </si>
  <si>
    <t>葡萄酒;开胃酒;果酒;酒精饮料（啤酒除外）;烧酒;利⼝酒;鸡尾酒;⽩酒;清酒（⽇本⽶酒）;朗姆酒</t>
  </si>
  <si>
    <t>巴兴强村</t>
  </si>
  <si>
    <t>重庆市巴南区接龙镇农业服务中心</t>
  </si>
  <si>
    <t>苦味酒;果酒;葡萄酒;烈酒;威⼠忌;⻘梅酒;苹果酒;利⼝酒;蒸煮提取物（利⼝酒和烈酒）</t>
  </si>
  <si>
    <t>盛德宇航</t>
  </si>
  <si>
    <t>李红星</t>
  </si>
  <si>
    <t>⽩兰地;⽩酒;杨梅酒;果酒（含酒精）;⾼粱酒;⻩酒;鸡尾酒;葡萄酒;⽶酒</t>
  </si>
  <si>
    <t>2024/05/18</t>
  </si>
  <si>
    <t>璟红醇源</t>
  </si>
  <si>
    <t>谭贤勇</t>
  </si>
  <si>
    <t>酒精饮料原汁;⾷⽤酒精;果酒（含酒精）;烈酒（饮料）;酒精饮料（啤酒除外）;⽩酒;葡萄酒;⽶酒;蒸馏饮料;烧酒</t>
  </si>
  <si>
    <t>粮贡天下</t>
  </si>
  <si>
    <t>范现立</t>
  </si>
  <si>
    <t>果酒;⽩酒;含酒精的饮料（啤酒除外）;烧酒（烈酒）;已调味的蒸馏酒;由⾕物蒸馏的⽩酒;酒精饮料（啤酒除外）;⽼酒（中国蒸馏烈酒）;⾼粱酒;⽩⼲酒（中国⽩酒）</t>
  </si>
  <si>
    <t>2024/05/20</t>
  </si>
  <si>
    <t>稻悟仙</t>
  </si>
  <si>
    <t>胡同善360121********2418</t>
  </si>
  <si>
    <t>蒸馏饮料;预先混合的酒精饮料（以啤酒为主的除外）;烧酒;⻩酒;烈酒;酒精饮料（啤酒除外）;⽶酒;⾷⽤酒精;⽩酒;果酒</t>
  </si>
  <si>
    <t>宋欢伯邸</t>
  </si>
  <si>
    <t>广西古鼎文化科技有限公司</t>
  </si>
  <si>
    <t>烧酒;葡萄酒;果酒;⽩酒;烈酒</t>
  </si>
  <si>
    <t>元福韵</t>
  </si>
  <si>
    <t>陈碧</t>
  </si>
  <si>
    <t>⽩酒;威⼠忌;开胃酒;葡萄酒;清酒（⽇本⽶酒）;果酒（含酒精）;鸡尾酒;⻩酒;烧酒;⽶酒</t>
  </si>
  <si>
    <t>GLENGYLE</t>
  </si>
  <si>
    <t>⽩兰地;酒精饮料（啤酒除外）;⽩酒;餐后酒（利⼝酒和烈酒）;葡萄酒;起泡红葡萄酒;烈酒（饮料）;加烈葡萄酒;起泡⽩葡萄酒;葡萄汽酒</t>
  </si>
  <si>
    <t>陈五爷</t>
  </si>
  <si>
    <t>楚燕华</t>
  </si>
  <si>
    <t>果酒;烧酒;⻩酒;威⼠忌;⽩酒;清酒;⽶酒;伏特加酒;蜂蜜酒;葡萄酒</t>
  </si>
  <si>
    <t>乾之梦</t>
  </si>
  <si>
    <t>李保辉</t>
  </si>
  <si>
    <t>葡萄酒;开胃酒;⽩酒;鸡尾酒;酒精饮料（啤酒除外）;果酒;烧酒;利⼝酒;朗姆酒;清酒（⽇本⽶酒）</t>
  </si>
  <si>
    <t>蚝事有你</t>
  </si>
  <si>
    <t>湛江市华妃科技有限公司</t>
  </si>
  <si>
    <t>果酒（含酒精）;利⼝酒;威⼠忌;⽩酒;酒精饮料（啤酒除外）;餐后酒（利⼝酒和烈酒）;酒精饮料浓缩汁;烈酒（饮料）;⽩兰地;蒸馏饮料</t>
  </si>
  <si>
    <t>萑台</t>
  </si>
  <si>
    <t>苏建祥</t>
  </si>
  <si>
    <t>⻩酒;葡萄酒;⽶酒;清酒;酒精饮料（啤酒除外）;⽩酒;烧酒;开胃酒;预先混合的酒精饮料（以啤酒为主的除外）;蒸煮提取物（利⼝酒和烈酒）</t>
  </si>
  <si>
    <t>GULMIRA</t>
  </si>
  <si>
    <t>时红洋</t>
  </si>
  <si>
    <t>调制好的葡萄酒鸡尾酒;清酒（⽇本⽶酒）;⽩兰地;烈酒（饮料）;酒精饮料浓缩汁;利⼝酒;鸡尾酒;葡萄酒;烧酒;酒精饮料（啤酒除外）;苹果酒</t>
  </si>
  <si>
    <t>花福仙</t>
  </si>
  <si>
    <t>鸡尾酒;⽶酒;开胃酒;清酒（⽇本⽶酒）;⻩酒;葡萄酒;⽩酒;烧酒;果酒（含酒精）;威⼠忌</t>
  </si>
  <si>
    <t>渡口老邓</t>
  </si>
  <si>
    <t>林金英</t>
  </si>
  <si>
    <t>甜酒;含⽔果酒精饮料;⽼酒（中国蒸馏烈酒）;果酒;⽩酒;⽶酒;梅酒;葡萄酒;⻩酒;烧酒</t>
  </si>
  <si>
    <t>BAI JIU YI JIANG</t>
  </si>
  <si>
    <t>迁安市栗吉发财商贸有限公司</t>
  </si>
  <si>
    <t>烈酒（饮料）;⻘稞酒;朗姆酒（酒精饮料）;果酒（含酒精）;威⼠忌;葡萄酒;⽩酒;⽩兰地;⽩葡萄酒;⻩酒</t>
  </si>
  <si>
    <t>玖壹玖玖</t>
  </si>
  <si>
    <t>扁担郎（江苏）供应链管理有限公司</t>
  </si>
  <si>
    <t>果酒（含酒精）;蒸馏饮料;葡萄酒;烈酒（饮料）;烧酒;⻩酒;⽩酒;鸡尾酒;酒精饮料（啤酒除外）;⽶酒</t>
  </si>
  <si>
    <t>涂东家</t>
  </si>
  <si>
    <t>仁怀市顺而为商业运营管理有限公司</t>
  </si>
  <si>
    <t>⽩酒;⽶酒;含酒精的饮料（啤酒除外）;烧酒;⻩酒;果酒;⽼酒（中国蒸馏烈酒）;露酒;⻘稞酒;⾼粱酒</t>
  </si>
  <si>
    <t>长顺亿昇</t>
  </si>
  <si>
    <t>北京长顺亿昇信息咨询有限公司</t>
  </si>
  <si>
    <t>以葡萄酒为主的饮料;茴芹酒（利⼝酒）;梨酒;果酒（含酒精）;烧酒;蜂蜜酒;烈酒（饮料）;⽶酒;酒精饮料（啤酒除外）;⽩酒</t>
  </si>
  <si>
    <t>蒋记龙府</t>
  </si>
  <si>
    <t>贵州临港经济文化旅游产业开发有限公司</t>
  </si>
  <si>
    <t>开胃酒;⽩兰地;酸酒（低等葡萄酒）;⽩酒;葡萄酒;餐后酒（利⼝酒和烈酒）;威⼠忌;烈酒（饮料）;果酒（含酒精）;酒精饮料浓缩汁</t>
  </si>
  <si>
    <t>惜古今</t>
  </si>
  <si>
    <t>清酒（⽇本⽶酒）;⽩酒;鸡尾酒;酒精饮料（啤酒除外）;开胃酒;果酒（含酒精）;烈酒;葡萄酒;⻩酒;威⼠忌</t>
  </si>
  <si>
    <t>岁皇</t>
  </si>
  <si>
    <t>刘杨</t>
  </si>
  <si>
    <t>烈酒;酒精饮料（啤酒除外）;⽩酒;⻩酒;威⼠忌;果酒（含酒精）;开胃酒;鸡尾酒;葡萄酒;清酒（⽇本⽶酒）</t>
  </si>
  <si>
    <t>ALL MIND</t>
  </si>
  <si>
    <t>圣继投资（海南）有限公司</t>
  </si>
  <si>
    <t>伏特加酒;⻘稞酒;果酒（含酒精）;葡萄酒;蒸馏饮料;⻩酒;⽩酒;苦味酒;杜松⼦酒;烈酒（饮料）</t>
  </si>
  <si>
    <t>火火圣女</t>
  </si>
  <si>
    <t>云南彝医彝药研究院(个人独资)</t>
  </si>
  <si>
    <t>蒸馏饮料;刺五加酒;由⾕物蒸馏的⽩酒;⽩⼲酒（中国⽩酒）;⾼粱酒;葡萄酒;松叶酒;⽇式甜⽶酒;黑覆盆⼦酒;苹果酒</t>
  </si>
  <si>
    <t>吮咂听</t>
  </si>
  <si>
    <t>王维锋</t>
  </si>
  <si>
    <t>葡萄酒;蜂蜜酒;含⽔果酒精饮料;烧酒;清酒（⽇本⽶酒）;甜酒;果酒;⽩酒;露酒;开胃酒</t>
  </si>
  <si>
    <t>JINZIZAI</t>
  </si>
  <si>
    <t>北京斟致酒业文化有限公司</t>
  </si>
  <si>
    <t>⻩酒;⽩酒;⽩兰地;烈酒（饮料）;威⼠忌;清酒（⽇本⽶酒）;鸡尾酒;果酒（含酒精）;⽶酒;葡萄酒</t>
  </si>
  <si>
    <t>剑爵</t>
  </si>
  <si>
    <t>乔红芹</t>
  </si>
  <si>
    <t>开胃酒;葡萄酒;清酒（⽇本⽶酒）;⻩酒;烈酒;果酒（含酒精）;鸡尾酒;酒精饮料（啤酒除外）;⽩酒;威⼠忌</t>
  </si>
  <si>
    <t>朗溪井相</t>
  </si>
  <si>
    <t>冉井相</t>
  </si>
  <si>
    <t>⽩酒;含酒精的饮料（啤酒除外）;⾕物制蒸馏酒精饮料;⾼粱酒;利⼝酒;⻩酒;⾷⽤酒精;⽼酒（中国蒸馏烈酒）;果酒（含酒精）;⻘稞酒</t>
  </si>
  <si>
    <t>观辞</t>
  </si>
  <si>
    <t>果酒;伏特加酒;葡萄酒;蜂蜜酒;⻩酒;⽩酒;⽶酒;清酒;烧酒;威⼠忌</t>
  </si>
  <si>
    <t>雅乡</t>
  </si>
  <si>
    <t>戴楠欣</t>
  </si>
  <si>
    <t>酸酒（低等葡萄酒）;⽶酒;柑⾹酒;酒精饮料浓缩汁;酒精饮料（啤酒除外）;⻩酒;⽩酒;鸡尾酒;葡萄酒;清酒（⽇本⽶酒）</t>
  </si>
  <si>
    <t>尊蜀</t>
  </si>
  <si>
    <t>粮王匠（广东）酒业股份有限公司</t>
  </si>
  <si>
    <t>⽶酒;果酒（含酒精）;鸡尾酒;⽩酒;威⼠忌;⻩酒;葡萄酒;伏特加酒;烧酒;酒精饮料（啤酒除外）</t>
  </si>
  <si>
    <t>尚水吉</t>
  </si>
  <si>
    <t>南京尚水康泉康养有限公司</t>
  </si>
  <si>
    <t>⽩酒;⽶酒;葡萄酒;预先混合的酒精饮料（以啤酒为主的除外）;鸡尾酒;果酒（含酒精）;烈酒（饮料）;烧酒;酒精饮料（啤酒除外）;⻘稞酒</t>
  </si>
  <si>
    <t>日力旺</t>
  </si>
  <si>
    <t>江西鑫顺康酒业有限公司</t>
  </si>
  <si>
    <t>清酒;⽩酒;葡萄酒;果酒;⽼酒（中国蒸馏烈酒）;⽩兰地;威⼠忌;⽶酒;蒸煮提取物（利⼝酒和烈酒）;⻩酒</t>
  </si>
  <si>
    <t>赣饶醇</t>
  </si>
  <si>
    <t>江西中诚科技集团有限公司</t>
  </si>
  <si>
    <t>烈酒;⻩酒;果酒;清酒（⽇本⽶酒）;预先混合的酒精饮料（以啤酒为主的除外）;烧酒;开胃酒;酒精饮料原汁;⽩酒;⽶酒</t>
  </si>
  <si>
    <t>烧园</t>
  </si>
  <si>
    <t>果酒;朗姆酒;利⼝酒;⽩酒;酒精饮料（啤酒除外）;葡萄酒;清酒（⽇本⽶酒）;烧酒;鸡尾酒;开胃酒</t>
  </si>
  <si>
    <t>塞伦巴赫</t>
  </si>
  <si>
    <t>济南悦容酒业有限责任公司</t>
  </si>
  <si>
    <t>鸡尾酒;酒精饮料（啤酒除外）;⽶酒;⽩酒;葡萄酒;甜果酒;烈酒（饮料）;烧酒;⾷⽤酒精;果酒（含酒精）</t>
  </si>
  <si>
    <t>运井</t>
  </si>
  <si>
    <t>苗文菁</t>
  </si>
  <si>
    <t>烈酒;鸡尾酒;⽩酒;开胃酒;果酒（含酒精）;清酒（⽇本⽶酒）;威⼠忌;酒精饮料（啤酒除外）;⻩酒;葡萄酒</t>
  </si>
  <si>
    <t>醉缘赢</t>
  </si>
  <si>
    <t>利⼝酒;⽩酒;开胃酒;葡萄酒;酒精饮料（啤酒除外）;清酒（⽇本⽶酒）;朗姆酒;烧酒;果酒;鸡尾酒</t>
  </si>
  <si>
    <t>善隆正养</t>
  </si>
  <si>
    <t>陈钦波</t>
  </si>
  <si>
    <t>⽶酒;果酒;葡萄酒;⻩酒;鸡尾酒;⾕物制蒸馏酒精饮料;预先混合的酒精饮料（以啤酒为主的除外）;酒精饮料（啤酒除外）;⽩酒;⽩兰地</t>
  </si>
  <si>
    <t>樽玖凤</t>
  </si>
  <si>
    <t>陈英61252********8402X</t>
  </si>
  <si>
    <t>⽩酒;开胃酒;果酒（含酒精）;⽶酒;烧酒;蒸馏饮料;葡萄酒;⻩酒;含酒精的⽔果鸡尾酒饮料;蜂蜜酒</t>
  </si>
  <si>
    <t>蚝上加囍</t>
  </si>
  <si>
    <t>蒸馏饮料;餐后酒（利⼝酒和烈酒）;果酒（含酒精）;烈酒（饮料）;酒精饮料浓缩汁;威⼠忌;酒精饮料（啤酒除外）;⽩酒;利⼝酒;⽩兰地</t>
  </si>
  <si>
    <t>博剑</t>
  </si>
  <si>
    <t>⽩酒;⽶酒;⻩酒;葡萄酒;鸡尾酒;威⼠忌;伏特加酒;烧酒;酒精饮料（啤酒除外）;果酒（含酒精）</t>
  </si>
  <si>
    <t>醉美籣祾</t>
  </si>
  <si>
    <t>兰陵九朝美酒业有限公司</t>
  </si>
  <si>
    <t>⽩酒;⾷⽤酒精;葡萄酒;酒精饮料（啤酒除外）;伏特加酒;利⼝酒;果酒（含酒精）;烈酒（饮料）;⽶酒;鸡尾酒</t>
  </si>
  <si>
    <t>中酒元长厚</t>
  </si>
  <si>
    <t>果酒（含酒精）;开胃酒;⽶酒;⾼粱酒;⽩酒;烈酒（饮料）;⻩酒;利⼝酒;⾷⽤酒精;葡萄酒</t>
  </si>
  <si>
    <t>皮耶帕洛·佩科拉里</t>
  </si>
  <si>
    <t>海南山海万润进出口贸易有限公司</t>
  </si>
  <si>
    <t>⽶酒;烧酒;威⼠忌;果酒（含酒精）;⽩酒;伏特加酒;鸡尾酒;⽩兰地;葡萄酒;⻩酒</t>
  </si>
  <si>
    <t>可汗贵族</t>
  </si>
  <si>
    <t>内蒙古沛妤商贸有限公司</t>
  </si>
  <si>
    <t>葡萄酒;清酒（⽇本⽶酒）;果酒（含酒精）;鸡尾酒;⽩酒;烈酒;开胃酒;梅酒;蒸馏饮料;⻩酒</t>
  </si>
  <si>
    <t>荷莲部落</t>
  </si>
  <si>
    <t>湖北荷莲部落文化产业发展有限公司</t>
  </si>
  <si>
    <t>果酒（含酒精）;蒸馏饮料;⾷⽤酒精;烧酒;清酒;酒精饮料（啤酒除外）;含⽔果酒精饮料;酒精饮料原汁;⽩酒;预先混合的酒精饮料（以啤酒为主的除外）</t>
  </si>
  <si>
    <t>山顶看底</t>
  </si>
  <si>
    <t>清酒（⽇本⽶酒）;烧酒;含⽔果酒精饮料;⽩酒;⻩酒;烈酒（饮料）;鸡尾酒;果酒（含酒精）;葡萄酒;威⼠忌</t>
  </si>
  <si>
    <t>名之福</t>
  </si>
  <si>
    <t>鸡尾酒;⽩酒;⽶酒;威⼠忌;⻩酒;烧酒;果酒（含酒精）;酒精饮料（啤酒除外）;葡萄酒;伏特加酒</t>
  </si>
  <si>
    <t>思邈秘芳</t>
  </si>
  <si>
    <t>班华叔</t>
  </si>
  <si>
    <t>⾷⽤酒精;开胃酒;汽酒;⽶酒;⻩酒;果酒;清酒;甜酒;⽩酒;葡萄酒</t>
  </si>
  <si>
    <t>黔在手</t>
  </si>
  <si>
    <t>陈紫钥</t>
  </si>
  <si>
    <t>⽶酒;⻩酒;⾷⽤酒精;⽩酒;⾼粱酒;烧酒;⽼酒（中国蒸馏烈酒）;⾕物制蒸馏酒精饮料;烈酒;汽酒</t>
  </si>
  <si>
    <t>寻道行德</t>
  </si>
  <si>
    <t>道本堂文化发展(上海)有限公司</t>
  </si>
  <si>
    <t>烧酒;果酒（含酒精）;鸡尾酒;⻩酒;葡萄酒;⽩酒;烈酒（饮料）;清酒（⽇本⽶酒）;酒精饮料（啤酒除外）;⽶酒</t>
  </si>
  <si>
    <t>世御福</t>
  </si>
  <si>
    <t>果酒（含酒精）;鸡尾酒;葡萄酒;烧酒;清酒（⽇本⽶酒）;威⼠忌;开胃酒;⽩酒;⽶酒;⻩酒</t>
  </si>
  <si>
    <t>俣玥酒坊</t>
  </si>
  <si>
    <t>洪鲁平</t>
  </si>
  <si>
    <t>茴⾹酒（利⼝酒）;果酒;烧酒;⽩⼲酒（中国⽩酒）;葡萄酒;蜂蜜酒;清酒（⽇本⽶酒）;⻩酒;⽩酒;⽶酒</t>
  </si>
  <si>
    <t>尙琼糺香</t>
  </si>
  <si>
    <t>上海市宝山区兰容食品店（个体工商户）</t>
  </si>
  <si>
    <t>烧酒;酒精饮料原汁;酒精饮料（啤酒除外）;⻩酒;开胃酒;⽩酒;汽酒;预先混合的酒精饮料（以啤酒为主的除外）;葡萄酒;含⽔果酒精饮料</t>
  </si>
  <si>
    <t>百坛贺</t>
  </si>
  <si>
    <t>尹传清</t>
  </si>
  <si>
    <t>清酒（⽇本⽶酒）;葡萄酒;⽩酒;烈酒;果酒（含酒精）;汽酒;蒸馏饮料;⽶酒;威⼠忌;酒精饮料（啤酒除外）</t>
  </si>
  <si>
    <t>轻筑筑家</t>
  </si>
  <si>
    <t>四川轻筑筑家装饰设计有限公司</t>
  </si>
  <si>
    <t>果酒;开胃酒;烈酒（饮料）;含⽔果酒精饮料;⽩酒;⽶酒;⾷⽤酒精;蒸馏饮料;鸡尾酒;葡萄酒</t>
  </si>
  <si>
    <t>昊澎贡酒 HAOPGJ</t>
  </si>
  <si>
    <t>吴和福</t>
  </si>
  <si>
    <t>⽩酒;烧酒;开胃酒;⻩酒;烈酒（饮料）;⽩兰地;葡萄酒;鸡尾酒;酒精饮料（啤酒除外）;⻘稞酒</t>
  </si>
  <si>
    <t>六洞谷</t>
  </si>
  <si>
    <t>贵州大黔庄洞藏酒业有限公司</t>
  </si>
  <si>
    <t>烧酒;葡萄酒;酒精饮料（啤酒除外）;鸡尾酒;⽶酒;⽩酒;⻩酒;⽢蔗制烈酒;果酒（含酒精）;烈酒（饮料）</t>
  </si>
  <si>
    <t>2024/05/21</t>
  </si>
  <si>
    <t>秒兔（福建）网络科技有限公司</t>
  </si>
  <si>
    <t>开胃酒;葡萄酒;果酒（含酒精）;烧酒;⽶酒;⻩酒;鸡尾酒;⽩酒;威⼠忌;汽酒</t>
  </si>
  <si>
    <t>陇意长</t>
  </si>
  <si>
    <t>甘肃佳源名优土特产品有限公司</t>
  </si>
  <si>
    <t>清酒（⽇本⽶酒）;酒精饮料（啤酒除外）;⽶酒;烈酒（饮料）;⽩兰地;酒精饮料浓缩汁;威⼠忌;⾷⽤酒精;含⽔果酒精饮料;⽩酒</t>
  </si>
  <si>
    <t>开平市潭江优联产业投资有限公司</t>
  </si>
  <si>
    <t>烧酒;含⽔果酒精饮料;酒精饮料（啤酒除外）;⻩酒;⽩兰地;⽶酒;果酒（含酒精）;葡萄酒;⾷⽤酒精;⽩酒</t>
  </si>
  <si>
    <t>FLEUR DE BOYD CANTENAC</t>
  </si>
  <si>
    <t>贝卡塔纳酒庄和宝爵庄园农用土地集团</t>
  </si>
  <si>
    <t>卧榻饮</t>
  </si>
  <si>
    <t>建德市磊圣电子商务工作室（个体工商户）</t>
  </si>
  <si>
    <t>鸡尾酒;含⽔果酒精饮料;果酒（含酒精）;葡萄酒;酒精饮料（啤酒除外）;威⼠忌;⽩酒;朗姆酒;烧酒;⻩酒</t>
  </si>
  <si>
    <t>HERITAGE DE POUGET</t>
  </si>
  <si>
    <t>川天炮 CHUANTIAN CANNON</t>
  </si>
  <si>
    <t>全自然</t>
  </si>
  <si>
    <t>果酒（含酒精）;酒精饮料原汁;鸡尾酒;烈酒（饮料）;⻘稞酒;⻩酒;⽩酒;葡萄酒;含⽔果酒精饮料;酒精饮料（啤酒除外）</t>
  </si>
  <si>
    <t>MATEO ART</t>
  </si>
  <si>
    <t>佛山市波盈科技有限公司</t>
  </si>
  <si>
    <t>果酒;葡萄酒;以蒸馏酒为主的开胃酒;清酒;烧酒;蒸馏饮料;酒精饮料（啤酒除外）;鸡尾酒;威⼠忌;⽩酒</t>
  </si>
  <si>
    <t>依辈子</t>
  </si>
  <si>
    <t>修水县依辈子农业产业发展有限公司</t>
  </si>
  <si>
    <t>葡萄酒;威⼠忌;烈酒;伏特加酒;果酒（含酒精）;⽩兰地;⾷⽤酒精;蒸煮提取物（利⼝酒和烈酒）;⽩酒;酒精饮料（啤酒除外）</t>
  </si>
  <si>
    <t>双王凤</t>
  </si>
  <si>
    <t>贵州双雄酒业集团有限公司</t>
  </si>
  <si>
    <t>果酒（含酒精）;⽩酒;果酒;葡萄酒;梅酒;⽶酒;⻘稞酒;甜果酒;⽼酒（中国蒸馏烈酒）;⻩酒</t>
  </si>
  <si>
    <t>和光玄同</t>
  </si>
  <si>
    <t>北京爱野农业科技有限公司</t>
  </si>
  <si>
    <t>⻩酒;威⼠忌;酒精饮料（啤酒除外）;葡萄酒;杜松⼦酒;烈酒（饮料）;果酒（含酒精）;鸡尾酒;⽩酒;清酒（⽇本⽶酒）</t>
  </si>
  <si>
    <t>京禧贵</t>
  </si>
  <si>
    <t>梅勇</t>
  </si>
  <si>
    <t>烧酒;⽶酒;酒精饮料（啤酒除外）;⻩酒;鸡尾酒;葡萄酒;果酒（含酒精）;⽩酒;烈酒（饮料）;⽢蔗制烈酒</t>
  </si>
  <si>
    <t>峪峦春</t>
  </si>
  <si>
    <t>广州腾远纸品有限公司</t>
  </si>
  <si>
    <t>⽩酒;果酒（含酒精）;鸡尾酒;蒸馏饮料;汽酒;葡萄酒;含⽔果酒精饮料;烈酒（饮料）;⽶酒;威⼠忌</t>
  </si>
  <si>
    <t>上华陈图</t>
  </si>
  <si>
    <t>贵州犟府酒业有限公司</t>
  </si>
  <si>
    <t>烧酒（烈酒）;威⼠忌;汽酒;⻩酒;葡萄酒;⽶酒;⽩酒;鸡尾酒;伏特加酒;除啤酒外的酒精饮料</t>
  </si>
  <si>
    <t>天运成ORIGINLUCK</t>
  </si>
  <si>
    <t>河南长尊企业管理有限公司</t>
  </si>
  <si>
    <t>⽶酒;葡萄酒;威⼠忌;果酒;清酒;⻩酒;烧酒;⽩兰地;⽩酒;⻘稞酒</t>
  </si>
  <si>
    <t>酥山茶铺</t>
  </si>
  <si>
    <t>金婵</t>
  </si>
  <si>
    <t>含酒精⽔果饮料;薄荷酒;鸡尾酒;汽酒;⻩酒;⽩兰地;⽩酒;蒸馏饮料;酒精饮料（啤酒除外）;果酒（含酒精）</t>
  </si>
  <si>
    <t>RESERVE DE BOYD CANTENAC</t>
  </si>
  <si>
    <t>皇尊鸿运</t>
  </si>
  <si>
    <t>⽼酒（中国蒸馏烈酒）;烧酒;⾼粱酒;苦荞酒;酒精饮料（啤酒除外）;伏特加酒;⾕物制蒸馏酒精饮料;梅酒;露酒;⽩兰地</t>
  </si>
  <si>
    <t>酥山记</t>
  </si>
  <si>
    <t>果酒（含酒精）;⽩兰地;蒸馏饮料;酒精饮料（啤酒除外）;汽酒;薄荷酒;鸡尾酒;⻩酒;含酒精⽔果饮料;⽩酒</t>
  </si>
  <si>
    <t>金卣</t>
  </si>
  <si>
    <t>河南金卣酒业有限公司</t>
  </si>
  <si>
    <t>葡萄酒;⻘稞酒;蒸馏饮料;⽶酒;⾷⽤酒精;果酒（含酒精）;烧酒;烈酒（饮料）;⽩酒;⾕物制蒸馏酒精饮料</t>
  </si>
  <si>
    <t>古民村</t>
  </si>
  <si>
    <t>罗城赋能企业管理服务有限公司</t>
  </si>
  <si>
    <t>开胃酒;蒸煮提取物（利⼝酒和烈酒）;酒精饮料（啤酒除外）;⽩酒;蒸馏饮料;葡萄酒;含⽔果酒精饮料;果酒;酒精饮料浓缩汁;烧酒</t>
  </si>
  <si>
    <t>胡光明</t>
  </si>
  <si>
    <t>葡萄酒;威⼠忌;烈酒（饮料）;⾷⽤酒精;⽩酒;清酒（⽇本⽶酒）;果酒（含酒精）;酒精饮料浓缩汁;酒精饮料（啤酒除外）;⽩兰地</t>
  </si>
  <si>
    <t>町和仁</t>
  </si>
  <si>
    <t>陕西香口缘食品有限公司</t>
  </si>
  <si>
    <t>薄荷酒;⾕物制蒸馏酒精饮料;果酒;蜂蜜酒;天然汽酒;酸酒（低等葡萄酒）;以葡萄酒为主的饮料;⽢蔗制烈酒;烈酒浓缩汁;蒸馏饮料</t>
  </si>
  <si>
    <t>欢乐云巴</t>
  </si>
  <si>
    <t>罗玉兰</t>
  </si>
  <si>
    <t>果酒（含酒精）;⻩酒;混合威⼠忌酒;⽩酒;含酒精的饮料（啤酒除外）;烈酒（饮料）;酒精饮料原汁;⽶酒;酒精饮料浓缩汁;鸡尾酒</t>
  </si>
  <si>
    <t>2024/05/22</t>
  </si>
  <si>
    <t>湘崛荟</t>
  </si>
  <si>
    <t>许阳辉</t>
  </si>
  <si>
    <t>葡萄酒;蜂蜜酒;清酒（⽇本⽶酒）;威⼠忌;⻩酒;⽶酒;苦味酒;⽩酒;烧酒;开胃酒</t>
  </si>
  <si>
    <t>神仙居消愁</t>
  </si>
  <si>
    <t>泮建飞</t>
  </si>
  <si>
    <t>鸡尾酒;除啤酒外的酒精饮料;烧酒;清酒;果酒（含酒精）;酒精饮料原汁;含⽔果酒精饮料;⽩酒</t>
  </si>
  <si>
    <t>荣小运</t>
  </si>
  <si>
    <t>海南中安科技有限公司</t>
  </si>
  <si>
    <t>含⽔果酒精饮料;威⼠忌;⽶酒;⻘稞酒;⽩酒;果酒（含酒精）;烈酒（饮料）;烧酒;⻩酒;⾷⽤酒精</t>
  </si>
  <si>
    <t>京甜</t>
  </si>
  <si>
    <t>唐奇410522********9331</t>
  </si>
  <si>
    <t>果酒（含酒精）;⻩酒;鸡尾酒;烈酒（饮料）;酒精饮料（啤酒除外）;⽶酒;烧酒;⽢蔗制烈酒;⽩酒;葡萄酒</t>
  </si>
  <si>
    <t>康毛润酒</t>
  </si>
  <si>
    <t>北京康茅酒业有限公司</t>
  </si>
  <si>
    <t>果酒（含酒精）;⽩酒;⻩酒;烧酒;⽩⼲酒（中国⽩酒）;烈酒;⽼酒（中国蒸馏烈酒）;烈酒（饮料）;烧酒（烈酒）;果酒</t>
  </si>
  <si>
    <t>酬粮山</t>
  </si>
  <si>
    <t>⾼粱酒;鸡尾酒;烧酒;⽩酒;葡萄酒;果酒（含酒精）;⽩兰地;⽶酒;威⼠忌;⻩酒</t>
  </si>
  <si>
    <t>周艳艳</t>
  </si>
  <si>
    <t>果酒（含酒精）;鸡尾酒;酒精饮料（啤酒除外）;⽩酒;烧酒;⻩酒;葡萄酒;烈酒（饮料）;清酒（⽇本⽶酒）;⽶酒</t>
  </si>
  <si>
    <t>DIAN ZUN LAO CHANG</t>
  </si>
  <si>
    <t>罗平县滇尊老厂酒业有限公司</t>
  </si>
  <si>
    <t>葡萄酒;蜂蜜酒;樱桃酒;酒精饮料（啤酒除外）;⻩酒;梨酒;⽶酒;⽩酒;酒精饮料浓缩汁;开胃酒</t>
  </si>
  <si>
    <t>陈透</t>
  </si>
  <si>
    <t>广州京品汇酒业有限公司</t>
  </si>
  <si>
    <t>葡萄酒;⽩兰地;蒸煮提取物（利⼝酒和烈酒）;⽩酒;酒精饮料（啤酒除外）;蜂蜜酒;⾷⽤酒精;⽶酒;果酒（含酒精）;⻩酒</t>
  </si>
  <si>
    <t>JIANSHIDAQU</t>
  </si>
  <si>
    <t>建始大曲酒业有限公司</t>
  </si>
  <si>
    <t>蜂蜜酒;以葡萄酒为主的饮料;⽶酒;⽩酒;果酒;果酒（含酒精）;开胃酒;清酒（⽇本⽶酒）;蒸煮提取物（利⼝酒和烈酒）;由⾕物蒸馏的⽩酒</t>
  </si>
  <si>
    <t>泰提颂</t>
  </si>
  <si>
    <t>上海泰芮餐饮管理有限公司</t>
  </si>
  <si>
    <t>葡萄酒;果酒（含酒精）;烈酒;清酒（⽇本⽶酒）;⻩酒;酒精饮料（啤酒除外）;开胃酒;威⼠忌;⽩酒;鸡尾酒</t>
  </si>
  <si>
    <t>同卓</t>
  </si>
  <si>
    <t>卓东岳</t>
  </si>
  <si>
    <t>⽩葡萄酒;露酒;⻘梅酒;⽩酒;威⼠忌;⽩兰地;⽶酒;果酒;葡萄酒;梅酒</t>
  </si>
  <si>
    <t>祁寨</t>
  </si>
  <si>
    <t>福州沙宝进出口贸易有限公司</t>
  </si>
  <si>
    <t>威⼠忌;⽶酒;鸡尾酒;⽩酒;烈酒（饮料）;⽩兰地;清酒（⽇本⽶酒）;果酒（含酒精）;葡萄酒;利⼝酒</t>
  </si>
  <si>
    <t>杨朝霞</t>
  </si>
  <si>
    <t>鸡尾酒;烈酒（饮料）;酒精饮料（啤酒除外）;⽶酒;⽩酒;果酒（含酒精）;葡萄酒;烧酒;含⽔果酒精饮料;汽酒</t>
  </si>
  <si>
    <t>库槟丰</t>
  </si>
  <si>
    <t>槟丰（深圳）酒业发展有限公司</t>
  </si>
  <si>
    <t>蒸馏饮料;果酒（含酒精）;葡萄酒;⽶酒;含⽔果酒精饮料;⽩酒;烧酒;烈酒（饮料）;汽酒;开胃酒</t>
  </si>
  <si>
    <t>玉武老虎油酒</t>
  </si>
  <si>
    <t>淮南玉武老虎油酒业有限公司</t>
  </si>
  <si>
    <t>蒸馏饮料;清酒;汽酒;⻩酒;含酒精蛋奶酒;果酒;烈酒（饮料）;葡萄酒;⽶酒;⽩酒</t>
  </si>
  <si>
    <t>特汁</t>
  </si>
  <si>
    <t>北京市炜衡（通州区）律师事务所</t>
  </si>
  <si>
    <t>炊味胡同</t>
  </si>
  <si>
    <t>衢州市炊味胡同农业科技发展有限公司</t>
  </si>
  <si>
    <t>果酒（含酒精）;烈酒（饮料）;含⽔果酒精饮料;⻩酒;酒精饮料（啤酒除外）;⽶酒;⽩酒;开胃酒;烧酒;利⼝酒</t>
  </si>
  <si>
    <t>湖北金仁旺食品有限公司</t>
  </si>
  <si>
    <t>酒精饮料原汁;⽶酒;⾷⽤酒精;酒精饮料（啤酒除外）;果酒（含酒精）;葡萄酒;⻩酒;甜酒;⽩酒;烧酒</t>
  </si>
  <si>
    <t>岁月遥</t>
  </si>
  <si>
    <t>许陈闯</t>
  </si>
  <si>
    <t>烈酒（饮料）;葡萄酒;果酒（含酒精）;⾼粱酒;酒精饮料（啤酒除外）;⽶酒;烧酒;⽩酒;⻩酒;⽼酒（中国蒸馏烈酒）</t>
  </si>
  <si>
    <t>贵令天下</t>
  </si>
  <si>
    <t>范艳伟</t>
  </si>
  <si>
    <t>⽼酒（中国蒸馏烈酒）;⾼粱酒;⽩⼲酒（中国⽩酒）;酒精饮料（啤酒除外）;已调味的蒸馏酒;果酒;含酒精的饮料（啤酒除外）;⽩酒;由⾕物蒸馏的⽩酒;烧酒（烈酒）</t>
  </si>
  <si>
    <t>秋晗酒业</t>
  </si>
  <si>
    <t>胡铭远</t>
  </si>
  <si>
    <t>⽼酒（中国蒸馏烈酒）;酒精饮料（啤酒除外）;⾼粱酒;利⼝酒;果酒;⽩酒;葡萄酒;烈酒;⽶酒;烧酒</t>
  </si>
  <si>
    <t>央创</t>
  </si>
  <si>
    <t>央创（深圳）时尚文化发展有限公司</t>
  </si>
  <si>
    <t>酒精饮料（啤酒除外）;酒精饮料原汁;⽩酒;葡萄酒;鸡尾酒;果酒（含酒精）;烈酒（饮料）</t>
  </si>
  <si>
    <t>今世缘金婚</t>
  </si>
  <si>
    <t>江苏今世缘酒业股份有限公司</t>
  </si>
  <si>
    <t>果酒（含酒精）;蒸煮提取物（利⼝酒和烈酒）;⽩酒;苦味酒;酒精饮料（啤酒除外）;鸡尾酒;杜松⼦酒;预先混合的酒精饮料（以啤酒为主的除外）;葡萄酒;开胃酒</t>
  </si>
  <si>
    <t>煮潭</t>
  </si>
  <si>
    <t>郑州上策图文设计有限公司</t>
  </si>
  <si>
    <t>酒精饮料（啤酒除外）;葡萄酒;鸡尾酒;含⽔果酒精饮料;果酒（含酒精）;伏特加酒;烧酒;⻩酒;⽩酒;⽶酒</t>
  </si>
  <si>
    <t>TIP C</t>
  </si>
  <si>
    <t>谷粟橙（上海）酒业有限公司</t>
  </si>
  <si>
    <t>葡萄酒;露酒;含酒精的⽔果鸡尾酒饮料;果酒（含酒精）;利⼝酒;⽩兰地;烧酒;清酒;调制好的葡萄酒鸡尾酒;鸡尾酒</t>
  </si>
  <si>
    <t>神仙居裕河</t>
  </si>
  <si>
    <t>酒精饮料原汁;烧酒;鸡尾酒;果酒（含酒精）;⽩酒;清酒;除啤酒外的酒精饮料;含⽔果酒精饮料</t>
  </si>
  <si>
    <t>骑寨</t>
  </si>
  <si>
    <t>利⼝酒;⽶酒;果酒（含酒精）;葡萄酒;鸡尾酒;威⼠忌;⽩酒;⽩兰地;清酒（⽇本⽶酒）;烈酒（饮料）</t>
  </si>
  <si>
    <t>知味季</t>
  </si>
  <si>
    <t>深圳市华荟天地餐饮管理有限公司</t>
  </si>
  <si>
    <t>酒精饮料（啤酒除外）;果酒（含酒精）;伏特加酒;⽩酒;⽶酒;开胃酒;烈酒;葡萄酒;烧酒;蒸馏饮料</t>
  </si>
  <si>
    <t>洺莘</t>
  </si>
  <si>
    <t>泗洪县双沟酥酒厂</t>
  </si>
  <si>
    <t>烧酒;⽩兰地;酒精饮料（啤酒除外）;威⼠忌;⽶酒;含⽔果酒精饮料;果酒（含酒精）;葡萄酒;⽩酒;开胃酒</t>
  </si>
  <si>
    <t>莓天见</t>
  </si>
  <si>
    <t>李肖颖</t>
  </si>
  <si>
    <t>威⼠忌;烈酒;果酒（含酒精）;开胃酒;葡萄酒;⽩酒;清酒（⽇本⽶酒）;⻩酒;鸡尾酒;酒精饮料（啤酒除外）</t>
  </si>
  <si>
    <t>春庭洞</t>
  </si>
  <si>
    <t>湖南海程自动化设备有限公司</t>
  </si>
  <si>
    <t>⽶酒;甜酒;⽩兰地;⽩酒;蜂蜜酒;清酒;果酒;鸡尾酒;葡萄酒;⻩酒</t>
  </si>
  <si>
    <t>半壁天</t>
  </si>
  <si>
    <t>湖南良誉建设有限公司</t>
  </si>
  <si>
    <t>⽶酒;葡萄酒;鸡尾酒;烧酒;⽩兰地;⽩酒;红葡萄酒;⻩酒;果酒（含酒精）;酒精饮料（啤酒除外）</t>
  </si>
  <si>
    <t>申君贡</t>
  </si>
  <si>
    <t>合肥鑫兰粮油食品有限公司</t>
  </si>
  <si>
    <t>酒精饮料原汁;果酒（含酒精）;开胃酒;蒸煮提取物（利⼝酒和烈酒）;清酒;烧酒;葡萄酒;⽩酒;⾷⽤酒精;酒精饮料（啤酒除外）</t>
  </si>
  <si>
    <t>君子•誉</t>
  </si>
  <si>
    <t>上官云龙</t>
  </si>
  <si>
    <t>⽶酒;烧酒;⽩酒;⻘梅酒;⻩酒;⾼粱酒;果酒（含酒精）;葡萄酒;烈酒（饮料）;汽酒</t>
  </si>
  <si>
    <t>YINLIAO</t>
  </si>
  <si>
    <t>内蒙古兄弟好事来商贸有限公司</t>
  </si>
  <si>
    <t>⽩酒;⽶酒;烈酒（饮料）;酒精饮料（啤酒除外）;已调味的⻨芽酿制的酒精饮料（啤酒除外）;葡萄酒;烧酒;⻨芽威⼠忌;鸡尾酒;果酒（含酒精）</t>
  </si>
  <si>
    <t>贵掌天下</t>
  </si>
  <si>
    <t>范现云</t>
  </si>
  <si>
    <t>烧酒（烈酒）;⾼粱酒;果酒;⽼酒（中国蒸馏烈酒）;酒精饮料（啤酒除外）;⽩⼲酒（中国⽩酒）;由⾕物蒸馏的⽩酒;已调味的蒸馏酒;含酒精的饮料（啤酒除外）;⽩酒</t>
  </si>
  <si>
    <t>懿发财</t>
  </si>
  <si>
    <t>杭州市拱墅区懿发财母婴生活馆（个体工商户）</t>
  </si>
  <si>
    <t>烈酒（饮料）;烧酒;⽶酒;果酒（含酒精）;葡萄酒;⻩酒;⽩酒;鸡尾酒;清酒（⽇本⽶酒）;酒精饮料（啤酒除外）</t>
  </si>
  <si>
    <t>昭麻王</t>
  </si>
  <si>
    <t>昭通智豪天麻生物科技有限公司</t>
  </si>
  <si>
    <t>苦荞酒;烈酒（饮料）;由⾕物蒸馏的⽩酒;⽩⼲酒（中国⽩酒）;蒸煮提取物（利⼝酒和烈酒）;烧酒（烈酒）;⽶酒;含⽔果酒精饮料;⾼粱酒;预先混合的酒精饮料（以啤酒为主的除外）</t>
  </si>
  <si>
    <t>达尔尕</t>
  </si>
  <si>
    <t>四川老窖达尔尕文化创意策划有限公司</t>
  </si>
  <si>
    <t>梨酒;⻘稞酒;含酒精的饮料（啤酒除外）;苹果酒;烧酒（烈酒）;由⾕物蒸馏的⽩酒;葡萄酒;⽩⼲酒（中国⽩酒）;⾼粱酒;⽩酒</t>
  </si>
  <si>
    <t>公主泡泡</t>
  </si>
  <si>
    <t>福建顺利投资有限公司</t>
  </si>
  <si>
    <t>酒精饮料（啤酒除外）;葡萄酒;朗姆酒;伏特加酒;威⼠忌;烧酒;⽩酒;⽩兰地;果酒（含酒精）;含酒精的⽓泡⽔</t>
  </si>
  <si>
    <t>晋杏衡</t>
  </si>
  <si>
    <t>王树楠</t>
  </si>
  <si>
    <t>烈酒（饮料）;露酒;⽶酒;⽩酒;⽼酒（中国蒸馏烈酒）;烈酒;烧酒;⻩酒;⾼粱酒;⽩⼲酒（中国⽩酒）</t>
  </si>
  <si>
    <t>乐君兮</t>
  </si>
  <si>
    <t>贵州省仁怀市红粮谷酒庄有限公司</t>
  </si>
  <si>
    <t>⽶酒;由⾕物蒸馏的⽩酒;苦味酒;⽩酒;烈酒（饮料）;⾕物制蒸馏酒精饮料;果酒（含酒精）;烧酒;葡萄酒;⻩酒</t>
  </si>
  <si>
    <t>梅斯基福酿</t>
  </si>
  <si>
    <t>杨国富</t>
  </si>
  <si>
    <t>⾼粱酒;由⾕物蒸馏的⽩酒;果酒（含酒精）;⽶酒;⽩⼲酒（中国⽩酒）;⽩酒;⻘稞酒;烧酒;⾕物制蒸馏酒精饮料;⽼酒（中国蒸馏烈酒）</t>
  </si>
  <si>
    <t>铭帆名惠</t>
  </si>
  <si>
    <t>王桂香</t>
  </si>
  <si>
    <t>⽶酒;⾼粱酒;果酒（含酒精）;鸡尾酒;⽩酒;烧酒;梅酒;烈酒;葡萄酒;⽩兰地</t>
  </si>
  <si>
    <t>河南多甜蜜实业集团有限公司</t>
  </si>
  <si>
    <t>蜂蜜酒;酒精饮料（啤酒除外）;葡萄酒;威⼠忌;果酒;鸡尾酒;⽩兰地;含⽔果酒精饮料;⽩酒;烈酒</t>
  </si>
  <si>
    <t>御丰和</t>
  </si>
  <si>
    <t>柴燕飞</t>
  </si>
  <si>
    <t>含酒精⽔果饮料;梅酒;⾷⽤酒精;果酒（含酒精）;烧酒（烈酒）;葡萄酒;⻩酒;⽩酒;⽶酒;威⼠忌</t>
  </si>
  <si>
    <t>澜酌曲</t>
  </si>
  <si>
    <t>李国俊</t>
  </si>
  <si>
    <t>⽩酒;含酒精的鸡尾酒混合饮品;⽩葡萄酒;含酒精的⽓泡⽔;鸡尾酒;果酒（含酒精）;葡萄酒;以葡萄酒为主的饮料</t>
  </si>
  <si>
    <t>贵倾天下</t>
  </si>
  <si>
    <t>陈亚文</t>
  </si>
  <si>
    <t>由⾕物蒸馏的⽩酒;已调味的蒸馏酒;⾼粱酒;酒精饮料（啤酒除外）;⽩⼲酒（中国⽩酒）;含酒精的饮料（啤酒除外）;⽼酒（中国蒸馏烈酒）;果酒;⽩酒;烧酒（烈酒）</t>
  </si>
  <si>
    <t>济小子</t>
  </si>
  <si>
    <t>贵州二酉科技有限公司</t>
  </si>
  <si>
    <t>⽶酒;⽩酒;餐后酒（利⼝酒和烈酒）;苹果酒;露酒;⾕物制蒸馏酒精饮料;蒸馏饮料;果酒（含酒精）;烈酒（饮料）;葡萄酒</t>
  </si>
  <si>
    <t>今庆坊</t>
  </si>
  <si>
    <t>韦庆干</t>
  </si>
  <si>
    <t>开胃酒;葡萄酒;威⼠忌;⻩酒;酒精饮料（啤酒除外）;烈酒;果酒（含酒精）;鸡尾酒;清酒（⽇本⽶酒）;⽩酒</t>
  </si>
  <si>
    <t>榔大帅</t>
  </si>
  <si>
    <t>榔大帅健康科技（广东）有限公司</t>
  </si>
  <si>
    <t>烧酒;⽶酒;⻘稞酒;汽酒;⾕物制蒸馏酒精饮料;⾷⽤酒精;⻩酒;酒精饮料（啤酒除外）;⽢蔗制酒精饮料;⽩酒</t>
  </si>
  <si>
    <t>贵轩心享</t>
  </si>
  <si>
    <t>贵州省仁怀市茅台镇国宝酒厂有限责任公司</t>
  </si>
  <si>
    <t>烈酒（饮料）;露酒;餐后酒（利⼝酒和烈酒）;⽶酒;葡萄酒;果酒（含酒精）;⽩酒;蒸馏饮料;苹果酒;⾕物制蒸馏酒精饮料</t>
  </si>
  <si>
    <t>张家门</t>
  </si>
  <si>
    <t>贵州封缸酒业有限公司</t>
  </si>
  <si>
    <t>梅酒;⽩⼲酒（中国⽩酒）;由⾕物蒸馏的⽩酒;烈酒（饮料）;烧酒;⻩酒;汽酒;果酒;⽶酒;⽩酒</t>
  </si>
  <si>
    <t>海岛壹禾</t>
  </si>
  <si>
    <t>海南壹禾农业有限公司</t>
  </si>
  <si>
    <t>⽶酒;果酒;⾷⽤酒精;烧酒;清酒;⻩酒;⽩酒;葡萄酒;⽩兰地;鸡尾酒</t>
  </si>
  <si>
    <t>申更</t>
  </si>
  <si>
    <t>五常市申更商贸有限公司</t>
  </si>
  <si>
    <t>酒精饮料原汁;⻩酒;鸡尾酒;葡萄酒;⽩酒;威⼠忌;酒精饮料（啤酒除外）;伏特加酒;烧酒;果酒（含酒精）</t>
  </si>
  <si>
    <t>2024/05/23</t>
  </si>
  <si>
    <t>逍遥世界</t>
  </si>
  <si>
    <t>贵州青案台酒业有限公司</t>
  </si>
  <si>
    <t>由⾕物蒸馏的⽩酒;⽩酒;酒精饮料（啤酒除外）;⾷⽤酒精;⾼粱酒;⽼酒（中国蒸馏烈酒）</t>
  </si>
  <si>
    <t>茶花公主 CAMELIAS PRINCESSE</t>
  </si>
  <si>
    <t>杭州萧久贸易有限公司</t>
  </si>
  <si>
    <t>木森仁汇优品</t>
  </si>
  <si>
    <t>十堰蓝氏实业有限公司</t>
  </si>
  <si>
    <t>威⼠忌;朗姆酒;含⽔果酒精饮料;以葡萄酒为主的饮料;⻩酒;酒精饮料（啤酒除外）;⽩酒;烈酒（饮料）;伏特加酒;⽩兰地</t>
  </si>
  <si>
    <t>紫承富业</t>
  </si>
  <si>
    <t>北京三珍食品有限公司</t>
  </si>
  <si>
    <t>烈酒（饮料）;⽩酒;开胃酒;酒精饮料原汁;酒精饮料（啤酒除外）;烧酒;葡萄酒;⽶酒;果酒（含酒精）;鸡尾酒</t>
  </si>
  <si>
    <t>罗玛皇宫</t>
  </si>
  <si>
    <t>奥玛拉有限公司</t>
  </si>
  <si>
    <t>果酒（含酒精）;⽶酒;利⼝酒;清酒（⽇本⽶酒）;⽩酒;鸡尾酒;⻩酒;葡萄酒;⻘稞酒;烈酒（饮料）</t>
  </si>
  <si>
    <t>赤酒溪</t>
  </si>
  <si>
    <t>碎茅酒业（江苏）有限公司</t>
  </si>
  <si>
    <t>烈酒（饮料）;烧酒;⽩⼲酒（中国⽩酒）;⻩酒;酒精饮料原汁;⽶酒;葡萄酒;酒精饮料（啤酒除外）;⽩酒;果酒</t>
  </si>
  <si>
    <t>武当兰亭</t>
  </si>
  <si>
    <t>十堰兰庭工贸有限公司</t>
  </si>
  <si>
    <t>果酒;草莓酒;⻩酒;烧酒;清酒;葡萄汽酒;⽩酒;露酒;甜酒;烈酒</t>
  </si>
  <si>
    <t>圳美好</t>
  </si>
  <si>
    <t>深圳马也投资控股有限公司</t>
  </si>
  <si>
    <t>餐后酒（利⼝酒和烈酒）;鸡尾酒;葡萄酒;预先混合的酒精饮料（以啤酒为主的除外）;⽩兰地;伏特加酒;清酒（⽇本⽶酒）;威⼠忌;⽩酒;果酒（含酒精）</t>
  </si>
  <si>
    <t>善济城邦</t>
  </si>
  <si>
    <t>贵州多圣富企业咨询有限公司</t>
  </si>
  <si>
    <t>烧酒;⽶酒;⽩酒;葡萄酒;⽼酒（中国蒸馏烈酒）;⾼粱酒;鸡尾酒;威⼠忌;酒精饮料（啤酒除外）;烈酒</t>
  </si>
  <si>
    <t>火洲葡城</t>
  </si>
  <si>
    <t>耍瑞国652101********0413</t>
  </si>
  <si>
    <t>果酒（含酒精）;葡萄酒;蜂蜜酒;⾼粱酒;果酒;⻘稞酒;⻩酒;烧酒（烈酒）;⾷⽤酒精;⽩酒</t>
  </si>
  <si>
    <t>HENRY HAMAXI 亨利爱马侍</t>
  </si>
  <si>
    <t>亿晟烈酒联合集团（香港）有限公司</t>
  </si>
  <si>
    <t>伏特加酒;利⼝酒;⽩兰地;⽩酒;蒸煮提取物（利⼝酒和烈酒）;以葡萄酒为主的饮料;鸡尾酒;葡萄酒;⻘稞酒;果酒（含酒精）</t>
  </si>
  <si>
    <t>细</t>
  </si>
  <si>
    <t>河南省校园文化艺术促进会</t>
  </si>
  <si>
    <t>⻩酒;⽶酒;果酒（含酒精）;开胃酒;烧酒;⻘稞酒;⽩酒;蒸煮提取物（利⼝酒和烈酒）;葡萄酒;清酒（⽇本⽶酒）</t>
  </si>
  <si>
    <t>上禧青酿</t>
  </si>
  <si>
    <t>王松</t>
  </si>
  <si>
    <t>⻩酒;⽶酒;伏特加酒;烧酒;果酒;烈酒;梅酒;⻘稞酒;⽩酒;⽩兰地</t>
  </si>
  <si>
    <t>黔旅</t>
  </si>
  <si>
    <t>贵州酱香馆酒业有限公司</t>
  </si>
  <si>
    <t>⾕物制蒸馏酒精饮料;蒸馏饮料;⽩酒;苹果酒;烈酒（饮料）;⽶酒;葡萄酒;餐后酒（利⼝酒和烈酒）;果酒（含酒精）;露酒</t>
  </si>
  <si>
    <t>粱盏长相思</t>
  </si>
  <si>
    <t>刘红丽</t>
  </si>
  <si>
    <t>朝鲜族⽶酒;⻩酒;⽩酒;葡萄酒;⾷⽤酒精;酒精饮料原汁;酒精饮料浓缩汁;酒精饮料（啤酒除外）;烧酒;烈酒（饮料）</t>
  </si>
  <si>
    <t>亦或</t>
  </si>
  <si>
    <t>贵州齐平酒文化发展中心（个人独资）</t>
  </si>
  <si>
    <t>⽩酒;⻘稞酒;含酒精⽔果饮料;⾕物制蒸馏酒精饮料;⾼粱酒;⽶酒;含酒精的饮料（啤酒除外）;含⽔果酒精饮料;酒精饮料（啤酒除外）;⻩酒</t>
  </si>
  <si>
    <t>华百尊</t>
  </si>
  <si>
    <t>王艾东</t>
  </si>
  <si>
    <t>餐后酒（利⼝酒和烈酒）;烧酒（烈酒）;烈酒;烧酒;⽩⼲酒（中国⽩酒）;⽩酒;⽶酒;利⼝酒;蒸馏饮料;含酒精的饮料（啤酒除外）</t>
  </si>
  <si>
    <t>天佑京铁惠购</t>
  </si>
  <si>
    <t>中铁世纪传媒广告有限公司</t>
  </si>
  <si>
    <t>⽩兰地;开胃酒;葡萄酒;鸡尾酒;威⼠忌;果酒（含酒精）;朗姆酒</t>
  </si>
  <si>
    <t>别恙赤</t>
  </si>
  <si>
    <t>仁怀市别恙酒业有限公司</t>
  </si>
  <si>
    <t>果酒;烈酒;⾼粱酒;烧酒;⻩酒;⽶酒;⽩酒;含酒精的饮料（啤酒除外）;果酒（含酒精）;梅酒</t>
  </si>
  <si>
    <t>黄龙鹤驻</t>
  </si>
  <si>
    <t>清酒（⽇本⽶酒）;⽶酒;葡萄酒;⽩酒;烧酒;果酒;酒精饮料（啤酒除外）;汽酒;⻩酒;威⼠忌</t>
  </si>
  <si>
    <t>别恙紫</t>
  </si>
  <si>
    <t>⽶酒;⽩酒;梅酒;果酒（含酒精）;⾼粱酒;含酒精的饮料（啤酒除外）;⻩酒;烈酒;果酒;烧酒</t>
  </si>
  <si>
    <t>贵柘</t>
  </si>
  <si>
    <t>王正龙</t>
  </si>
  <si>
    <t>果酒（含酒精）;⽶酒;烧酒;⻩酒;⽩兰地;葡萄酒;⽩酒;蒸馏饮料;威⼠忌;鸡尾酒</t>
  </si>
  <si>
    <t>妙济城邦</t>
  </si>
  <si>
    <t>烈酒;烧酒;⾼粱酒;酒精饮料（啤酒除外）;威⼠忌;⽩酒;葡萄酒;⽶酒;鸡尾酒;⽼酒（中国蒸馏烈酒）</t>
  </si>
  <si>
    <t>上禧青醇</t>
  </si>
  <si>
    <t>烈酒;梅酒;果酒;⽩兰地;⻩酒;⽩酒;⻘稞酒;烧酒;伏特加酒;⽶酒</t>
  </si>
  <si>
    <t>千恣</t>
  </si>
  <si>
    <t>贺州金尊食品科技有限公司</t>
  </si>
  <si>
    <t>清酒;预先混合的酒精饮料（以啤酒为主的除外）;葡萄酒;⾼粱酒;含酒精的⽓泡⽔;天然汽酒;鸡尾酒;⽩兰地;⽩⼲酒（中国⽩酒）;由⾕物蒸馏的⽩酒</t>
  </si>
  <si>
    <t>臻桦</t>
  </si>
  <si>
    <t>伊春市瀚巢电子商务有限公司</t>
  </si>
  <si>
    <t>果酒;葡萄酒;甜酒;朗姆酒;刺五加酒;甜果酒;⽩酒;⽩兰地;⾼粱酒;含⽔果酒精饮料</t>
  </si>
  <si>
    <t>露浒</t>
  </si>
  <si>
    <t>肖金波</t>
  </si>
  <si>
    <t>烧酒;薄荷酒;开胃酒;⽩酒;酒精饮料浓缩汁;伏特加酒;樱桃酒;⻩酒;鸡尾酒;利⼝酒</t>
  </si>
  <si>
    <t>亲水河</t>
  </si>
  <si>
    <t>中油华能（莆田）投资有限公司</t>
  </si>
  <si>
    <t>⻩酒;⻘梅酒;梅酒;烧酒;红葡萄酒;⾼粱酒;⽩葡萄酒;⽩酒;⻘稞酒;⽶酒</t>
  </si>
  <si>
    <t>蒋建亦</t>
  </si>
  <si>
    <t>⽶酒;⻩酒;⾷⽤酒精;⽩酒;酒精饮料（啤酒除外）;烧酒;果酒;烈酒;清酒;葡萄酒</t>
  </si>
  <si>
    <t>粱盏水龙吟</t>
  </si>
  <si>
    <t>烈酒（饮料）;酒精饮料浓缩汁;酒精饮料（啤酒除外）;烧酒;⻩酒;⽩酒;朝鲜族⽶酒;⾷⽤酒精;葡萄酒;酒精饮料原汁</t>
  </si>
  <si>
    <t>铂扎洛薇</t>
  </si>
  <si>
    <t>越西县商商酒业有限公司</t>
  </si>
  <si>
    <t>苦味酒;苹果酒;蜂蜜酒;⽩酒;⽶酒;烈酒（饮料）;薄荷酒;利⼝酒;开胃酒;鸡尾酒</t>
  </si>
  <si>
    <t>粱盏满庭芳</t>
  </si>
  <si>
    <t>酒精饮料原汁;葡萄酒;烈酒（饮料）;朝鲜族⽶酒;⻩酒;酒精饮料浓缩汁;烧酒;⽩酒;酒精饮料（啤酒除外）;⾷⽤酒精</t>
  </si>
  <si>
    <t>粱盏鹊桥仙</t>
  </si>
  <si>
    <t>酒精饮料原汁;烈酒（饮料）;酒精饮料浓缩汁;烧酒;⻩酒;朝鲜族⽶酒;酒精饮料（啤酒除外）;⾷⽤酒精;⽩酒;葡萄酒</t>
  </si>
  <si>
    <t>⻩酒;果酒;烈酒（饮料）;⽶酒;酒精饮料原汁;烧酒;⽩⼲酒（中国⽩酒）;⽩酒;酒精饮料（啤酒除外）;葡萄酒</t>
  </si>
  <si>
    <t>韩江口</t>
  </si>
  <si>
    <t>郑晓燕</t>
  </si>
  <si>
    <t>含酒精⽔果饮料;蝮蛇酒;甜酒;酒精饮料（啤酒除外）;清酒;果酒（含酒精）;葡萄酒;⻩酒;⽩酒;⽶酒</t>
  </si>
  <si>
    <t>闻柘</t>
  </si>
  <si>
    <t>⽶酒;果酒（含酒精）;鸡尾酒;⽩兰地;蒸馏饮料;⽩酒;葡萄酒;烧酒;⻩酒;威⼠忌</t>
  </si>
  <si>
    <t>沧州未加电子商务有限公司</t>
  </si>
  <si>
    <t>烧酒;⽩酒;含酒精⽔果饮料;清酒;露酒;⾼粱酒;⻩酒;葡萄酒;果酒;⽶酒</t>
  </si>
  <si>
    <t>吉历</t>
  </si>
  <si>
    <t>仁怀市颖怡酒类经营部</t>
  </si>
  <si>
    <t>苹果酒;⻘稞酒;清酒（⽇本⽶酒）;烧酒;⽶酒;⽩酒;甜果酒;朗姆酒;⻩酒;酸酒（低等葡萄酒）</t>
  </si>
  <si>
    <t>无中</t>
  </si>
  <si>
    <t>杭州九客供应链管理有限公司</t>
  </si>
  <si>
    <t>果酒（含酒精）;含⽔果酒精饮料;烧酒;蒸馏⽶酒（泡盛酒）;清酒;烈酒;⻩酒;⾼粱酒;甜酒;⽩酒</t>
  </si>
  <si>
    <t>付闺唐三镜</t>
  </si>
  <si>
    <t>王美红</t>
  </si>
  <si>
    <t>烈酒（饮料）;烧酒（烈酒）;⽩酒;酒精饮料（啤酒除外）;蒸馏⽶酒（泡盛酒）;开胃酒;烧酒;酒精饮料原汁;⾷⽤酒精;由⾕物蒸馏的⽩酒</t>
  </si>
  <si>
    <t>别恙蓝</t>
  </si>
  <si>
    <t>⻩酒;含酒精的饮料（啤酒除外）;果酒（含酒精）;烧酒;⾼粱酒;⽶酒;⽩酒;烈酒;梅酒;果酒</t>
  </si>
  <si>
    <t>别恙黄</t>
  </si>
  <si>
    <t>果酒（含酒精）;⽩酒;果酒;⾼粱酒;梅酒;烧酒;⻩酒;烈酒;含酒精的饮料（啤酒除外）;⽶酒</t>
  </si>
  <si>
    <t>邹小圆</t>
  </si>
  <si>
    <t>邹丽</t>
  </si>
  <si>
    <t>烈酒（饮料）;露酒;烧酒;⻩酒;汽酒;葡萄酒;开胃酒;⽩酒;⽶酒;果酒（含酒精）</t>
  </si>
  <si>
    <t>裕小福</t>
  </si>
  <si>
    <t>王坤</t>
  </si>
  <si>
    <t>⽶酒;清酒（⽇本⽶酒）;⻩酒;⽩酒;葡萄酒;果酒（含酒精）;伏特加酒;威⼠忌;含⽔果酒精饮料;酒精饮料（啤酒除外）</t>
  </si>
  <si>
    <t>安东零点健康农场</t>
  </si>
  <si>
    <t>丹东零点食品有限公司</t>
  </si>
  <si>
    <t>⽩酒;烧酒;果酒（含酒精）;开胃酒;⻩酒;汽酒;葡萄酒;鸡尾酒;利⼝酒;酒精饮料（啤酒除外）</t>
  </si>
  <si>
    <t>别恙红</t>
  </si>
  <si>
    <t>⻩酒;⽩酒;⽶酒;果酒（含酒精）;果酒;⾼粱酒;含酒精的饮料（啤酒除外）;梅酒;烈酒;烧酒</t>
  </si>
  <si>
    <t>繜鉎碲道</t>
  </si>
  <si>
    <t>香河锦阔软件开发工作室</t>
  </si>
  <si>
    <t>⾷⽤酒精;威⼠忌;果酒（含酒精）;烈酒（饮料）;⻘稞酒;⽶酒;⻩酒;含⽔果酒精饮料;⽩酒;烧酒</t>
  </si>
  <si>
    <t>怀品时代</t>
  </si>
  <si>
    <t>温县怀健元生物科技有限公司</t>
  </si>
  <si>
    <t>⻩酒;甜果酒;⽶酒;烈酒;含⽔果酒精饮料;葡萄酒;开胃酒;酒精饮料（啤酒除外）;⽩酒;⽼酒（中国蒸馏烈酒）</t>
  </si>
  <si>
    <t>七日满 酒</t>
  </si>
  <si>
    <t>深圳七日满文化有限公司</t>
  </si>
  <si>
    <t>烈酒（饮料）;酒精饮料（啤酒除外）;⽩酒;威⼠忌;清酒（⽇本⽶酒）;蜂蜜酒;⽶酒;葡萄酒;⾷⽤酒精;⽩兰地</t>
  </si>
  <si>
    <t>灵石神池酒业有限公司</t>
  </si>
  <si>
    <t>⽩酒;⾷⽤酒精;果酒（含酒精）;开胃酒;⻘稞酒;清酒（⽇本⽶酒）;⽶酒;葡萄酒;⻩酒;鸡尾酒</t>
  </si>
  <si>
    <t>酿匠者传承</t>
  </si>
  <si>
    <t>贵州酱时代酒业有限公司</t>
  </si>
  <si>
    <t>果酒;烈酒;⽼酒（中国蒸馏烈酒）;含酒精的充⽓饮料（啤酒除外）;⽩酒;⻩酒;⽩⼲酒（中国⽩酒）;鸡尾酒;⽶酒;葡萄酒</t>
  </si>
  <si>
    <t>原始金樽</t>
  </si>
  <si>
    <t>刘娇娇</t>
  </si>
  <si>
    <t>本督</t>
  </si>
  <si>
    <t>薄荷酒;⽶酒;利⼝酒;⻘稞酒;⽩⼲酒（中国⽩酒）;⽩酒;烧酒（烈酒）;由⾕物蒸馏的⽩酒;⽼酒（中国蒸馏烈酒）;⻩酒</t>
  </si>
  <si>
    <t>风露奇迹</t>
  </si>
  <si>
    <t>法国大酒窖股份有限公司</t>
  </si>
  <si>
    <t>烈酒;葡萄酒;利⼝酒;汽酒</t>
  </si>
  <si>
    <t>郑应贵烧坊</t>
  </si>
  <si>
    <t>贵州郑佑酒业集团有限公司</t>
  </si>
  <si>
    <t>开胃酒;烧酒（烈酒）;⻩酒;⽩酒;葡萄酒;酒精饮料（啤酒除外）;鸡尾酒;果酒（含酒精）;烧酒;⽶酒</t>
  </si>
  <si>
    <t>践行</t>
  </si>
  <si>
    <t>鸡尾酒;⽩酒;⽶酒;果酒（含酒精）;烧酒;清酒（⽇本⽶酒）;酒精饮料（啤酒除外）;⻩酒;烈酒（饮料）;葡萄酒</t>
  </si>
  <si>
    <t>王伟兵</t>
  </si>
  <si>
    <t>威⼠忌;果酒（含酒精）;杜松⼦酒;清酒（⽇本⽶酒）;烈酒（饮料）;酒精饮料（啤酒除外）;鸡尾酒;葡萄酒;⽩酒;⻩酒</t>
  </si>
  <si>
    <t>别恙青</t>
  </si>
  <si>
    <t>⽩酒;烈酒;果酒（含酒精）;⻩酒;⾼粱酒;含酒精的饮料（啤酒除外）;梅酒;⽶酒;烧酒;果酒</t>
  </si>
  <si>
    <t>康抱抱</t>
  </si>
  <si>
    <t>⽶酒;烧酒;⾷⽤酒精;果酒（含酒精）;⻩酒;烈酒（饮料）;酒精饮料原汁;酒精饮料（啤酒除外）;⽩酒;葡萄酒</t>
  </si>
  <si>
    <t>黔謽</t>
  </si>
  <si>
    <t>漆基荣</t>
  </si>
  <si>
    <t>葡萄酒;酒精饮料（啤酒除外）;果酒（含酒精）;烧酒;⽩酒;⻩酒;鸡尾酒;⽶酒;烈酒（饮料）;⻘稞酒</t>
  </si>
  <si>
    <t>裴小妹</t>
  </si>
  <si>
    <t>张兴燕</t>
  </si>
  <si>
    <t>果酒（含酒精）;蒸煮提取物（利⼝酒和烈酒）;葡萄酒;⾕物制蒸馏酒精饮料;⽩酒;蜂蜜酒;⽶酒;烧酒;⻘稞酒;⻩酒</t>
  </si>
  <si>
    <t>芙蓉花开</t>
  </si>
  <si>
    <t>湖南凤凰情品牌管理有限公司</t>
  </si>
  <si>
    <t>⽶酒;果酒;⽩酒;⾼粱酒;威⼠忌;含酒精的饮料（啤酒除外）;葡萄酒;⻩酒;梅酒;鸡尾酒</t>
  </si>
  <si>
    <t>敬生缘</t>
  </si>
  <si>
    <t>王永涛</t>
  </si>
  <si>
    <t>葡萄酒;开胃酒;果酒（含酒精）;鸡尾酒;清酒（⽇本⽶酒）;⽩酒;烈酒;⻩酒;酒精饮料（啤酒除外）;威⼠忌</t>
  </si>
  <si>
    <t>岳灵鸟</t>
  </si>
  <si>
    <t>合肥市庐阳区岳灵酒行（个体工商户）</t>
  </si>
  <si>
    <t>葡萄酒;⽩酒;⾷⽤酒精;伏特加酒;⽶酒;含酒精的饮料（啤酒除外）;烈酒;朗姆酒（酒精饮料）;酒精饮料原汁;果酒</t>
  </si>
  <si>
    <t>硬府</t>
  </si>
  <si>
    <t>黄丽丽</t>
  </si>
  <si>
    <t>威⼠忌;烈酒（饮料）;清酒;⽶酒;果酒;葡萄酒;烧酒;⽩兰地;⾷⽤酒精;⽩酒</t>
  </si>
  <si>
    <t>萃珀</t>
  </si>
  <si>
    <t>卢友康</t>
  </si>
  <si>
    <t>⾷⽤酒精;威⼠忌;⽩兰地;烈酒（饮料）;葡萄酒;伏特加酒;朗姆酒;⻩酒;⾕物制蒸馏酒精饮料;果酒（含酒精）</t>
  </si>
  <si>
    <t>巹㞼</t>
  </si>
  <si>
    <t>⽩酒;⾕物制蒸馏酒精饮料;⾼粱酒;⽶酒;酒精饮料（啤酒除外）;含酒精⽔果饮料;⻩酒;⻘稞酒;含⽔果酒精饮料;含酒精的饮料（啤酒除外）</t>
  </si>
  <si>
    <t>堰马</t>
  </si>
  <si>
    <t>烈酒（饮料）;含⽔果酒精饮料;朗姆酒;伏特加酒;酒精饮料（啤酒除外）;⽩酒;⽩兰地;威⼠忌;⻩酒;以葡萄酒为主的饮料</t>
  </si>
  <si>
    <t>裕泷舫</t>
  </si>
  <si>
    <t>赵艳春</t>
  </si>
  <si>
    <t>葡萄酒;烧酒;酒精饮料（啤酒除外）;利⼝酒;⻩酒;⽩酒;开胃酒;清酒;⽶酒;果酒</t>
  </si>
  <si>
    <t>半染</t>
  </si>
  <si>
    <t>北京万水泉酒文化有限公司</t>
  </si>
  <si>
    <t>⽩酒;蒸煮提取物（利⼝酒和烈酒）;除啤酒外的酒精饮料;清酒（⽇本⽶酒）;蒸馏⽶酒（泡盛酒）;⽶酒;威⼠忌;烧酒;烧酒（烈酒）;朝鲜烧酒;汽酒;酒精饮料（啤酒除外）;清酒;⻩酒;酸酒（低等葡萄酒）;鸡尾酒;混合威⼠忌酒;⻨芽威⼠忌;蒸馏饮料;葡萄酒</t>
  </si>
  <si>
    <t>时代神行</t>
  </si>
  <si>
    <t>孙康升</t>
  </si>
  <si>
    <t>烈酒（饮料）;以葡萄酒为主的饮料;酒精饮料（啤酒除外）;烧酒;果酒（含酒精）;葡萄酒;清酒（⽇本⽶酒）;⽶酒;⻩酒;⽩酒</t>
  </si>
  <si>
    <t>亏</t>
  </si>
  <si>
    <t>开胃酒;⽶酒;⽩酒;⻘稞酒;蒸煮提取物（利⼝酒和烈酒）;葡萄酒;烧酒;⻩酒;清酒（⽇本⽶酒）;果酒（含酒精）</t>
  </si>
  <si>
    <t>榕江口</t>
  </si>
  <si>
    <t>王婵玲</t>
  </si>
  <si>
    <t>汽酒;清酒;果酒（含酒精）;⽶酒;蝮蛇酒;⽩酒;⻩酒;蜂蜜酒;甜酒;烧酒</t>
  </si>
  <si>
    <t>别恙橙</t>
  </si>
  <si>
    <t>⽶酒;烈酒;⾼粱酒;果酒;含酒精的饮料（啤酒除外）;烧酒;⻩酒;梅酒;⽩酒;果酒（含酒精）</t>
  </si>
  <si>
    <t>紫圣坤之德</t>
  </si>
  <si>
    <t>威⼠忌;⾷⽤酒精;⻩酒;果酒（含酒精）;⽶酒;⽩酒;⻘稞酒;含⽔果酒精饮料;烈酒（饮料）;烧酒</t>
  </si>
  <si>
    <t>九门口 酒</t>
  </si>
  <si>
    <t>葫芦岛市九江酒业有限责任公司</t>
  </si>
  <si>
    <t>蒸馏饮料;酒精饮料（啤酒除外）;酒精饮料原汁;烈酒（饮料）;⽩酒;⽶酒;⾷⽤酒精;果酒（含酒精）;烧酒;含⽔果酒精饮料</t>
  </si>
  <si>
    <t>京东首关</t>
  </si>
  <si>
    <t>酒精饮料（啤酒除外）;⾷⽤酒精;酒精饮料原汁;蒸馏饮料;烧酒;⽶酒;⽩酒;果酒（含酒精）;含⽔果酒精饮料;烈酒（饮料）</t>
  </si>
  <si>
    <t>淏</t>
  </si>
  <si>
    <t>开胃酒;葡萄酒;⻘稞酒;烧酒;蒸煮提取物（利⼝酒和烈酒）;果酒（含酒精）;清酒（⽇本⽶酒）;⽶酒;⽩酒;⻩酒</t>
  </si>
  <si>
    <t>静叶匠仁</t>
  </si>
  <si>
    <t>王春兰</t>
  </si>
  <si>
    <t>开胃酒;⾼粱酒;葡萄酒;⽶酒;⽩酒;果酒;含酒精的饮料（啤酒除外）;⽩⼲酒（中国⽩酒）;烈酒（饮料）;⻩酒</t>
  </si>
  <si>
    <t>汇仁</t>
  </si>
  <si>
    <t>汇仁酒业（河南）集团有限公司</t>
  </si>
  <si>
    <t>含⽔果酒精饮料;酒精饮料（啤酒除外）;果酒（含酒精）;威⼠忌;⻩酒;葡萄酒;蒸馏饮料;⽶酒;蒸煮提取物（利⼝酒和烈酒）;⽩兰地</t>
  </si>
  <si>
    <t>⾼粱酒;⽩兰地;由⾕物蒸馏的⽩酒;清酒;预先混合的酒精饮料（以啤酒为主的除外）;葡萄酒;含酒精的⽓泡⽔;天然汽酒;⽩⼲酒（中国⽩酒）;鸡尾酒</t>
  </si>
  <si>
    <t>馥谷春</t>
  </si>
  <si>
    <t>秦新春</t>
  </si>
  <si>
    <t>⽩酒;烧酒;利⼝酒;⽶酒;⽩⼲酒（中国⽩酒）;⾼粱酒;酒精饮料原汁;果酒（含酒精）;烈酒（饮料）;酒精饮料（啤酒除外）</t>
  </si>
  <si>
    <t>贵州福星高赵酒业有限公司</t>
  </si>
  <si>
    <t>⽶酒;露酒;餐后酒（利⼝酒和烈酒）;⾕物制蒸馏酒精饮料;烈酒（饮料）;⽩酒;蒸馏饮料;果酒（含酒精）;葡萄酒;苹果酒</t>
  </si>
  <si>
    <t>馸马槐</t>
  </si>
  <si>
    <t>刘春文</t>
  </si>
  <si>
    <t>果酒（含酒精）;鸡尾酒;烈酒（饮料）;⻩酒;⽩酒;烧酒;葡萄酒;酒精饮料（啤酒除外）;⽶酒;⽢蔗制烈酒</t>
  </si>
  <si>
    <t>大德缘之州</t>
  </si>
  <si>
    <t>德州德翊诚商贸有限公司</t>
  </si>
  <si>
    <t>鸡尾酒;酒精饮料（啤酒除外）;⽶酒;烧酒;⻩酒;⽩酒;果酒（含酒精）;蒸馏饮料;葡萄酒;⾷⽤酒精</t>
  </si>
  <si>
    <t>弘膳喜</t>
  </si>
  <si>
    <t>刘改霞</t>
  </si>
  <si>
    <t>鸡尾酒;⽶酒;酒精饮料（啤酒除外）;烈酒（饮料）;⽩酒;烧酒;果酒（含酒精）;葡萄酒;红葡萄酒;威⼠忌</t>
  </si>
  <si>
    <t>浆小年</t>
  </si>
  <si>
    <t>张国帅</t>
  </si>
  <si>
    <t>鸡尾酒;葡萄酒;酒精饮料（啤酒除外）;烧酒;⻩酒;开胃酒;⽶酒;烈酒（饮料）;⽩兰地;⽩酒</t>
  </si>
  <si>
    <t>规实</t>
  </si>
  <si>
    <t>陈跃</t>
  </si>
  <si>
    <t>梨酒;⽶酒;⾼粱酒;⽩酒;⽼酒（中国蒸馏烈酒）;红葡萄酒;⻩酒;烧酒;果酒;⾷⽤酒精</t>
  </si>
  <si>
    <t>蠡庄同山烧</t>
  </si>
  <si>
    <t>烧酒;⽩酒;清酒;⾷⽤酒精;葡萄酒;⻩酒;果酒;烈酒;酒精饮料（啤酒除外）;⽶酒</t>
  </si>
  <si>
    <t>酒州道</t>
  </si>
  <si>
    <t>清酒（⽇本⽶酒）;⽶酒;⽩酒;酸酒（低等葡萄酒）;甜果酒;苹果酒;朗姆酒;烧酒;⻘稞酒;⻩酒</t>
  </si>
  <si>
    <t>飞愿</t>
  </si>
  <si>
    <t>苹果酒;朗姆酒;⻘稞酒;清酒（⽇本⽶酒）;酸酒（低等葡萄酒）;烧酒;⻩酒;⽩酒;甜果酒;⽶酒</t>
  </si>
  <si>
    <t>杜麦伦</t>
  </si>
  <si>
    <t>福建佰见酒业集团有限公司</t>
  </si>
  <si>
    <t>⽩酒;⻩酒;蜂蜜酒;威⼠忌;⽶酒;⽩兰地;开胃酒;果酒（含酒精）;葡萄酒;利⼝酒</t>
  </si>
  <si>
    <t>广东古泉酒厂（个人独资）</t>
  </si>
  <si>
    <t>酒精饮料原汁;⻩酒;烧酒;果酒（含酒精）;⽩酒;葡萄酒;蒸煮提取物（利⼝酒和烈酒）;五加⽪酒（中国混合烈酒）;⽶酒;蒸馏饮料</t>
  </si>
  <si>
    <t>䔿琞銋道</t>
  </si>
  <si>
    <t>⽶酒;⾷⽤酒精;烧酒;⻘稞酒;⻩酒;烈酒（饮料）;⽩酒;含⽔果酒精饮料;果酒（含酒精）;威⼠忌</t>
  </si>
  <si>
    <t>君吟客</t>
  </si>
  <si>
    <t>威⼠忌;⽶酒;⻩酒;⽩酒;酒精饮料（啤酒除外）;清酒（⽇本⽶酒）;伏特加酒;含⽔果酒精饮料;果酒（含酒精）;葡萄酒</t>
  </si>
  <si>
    <t>枫孤溪</t>
  </si>
  <si>
    <t>彭一波</t>
  </si>
  <si>
    <t>开胃酒;葡萄酒;烈酒（饮料）;⽶酒;烧酒;⽩酒;果酒（含酒精）;苹果酒;⽩兰地;⻩酒</t>
  </si>
  <si>
    <t>FC 龙凤巢</t>
  </si>
  <si>
    <t>陕西心合兄弟酒业有限公司</t>
  </si>
  <si>
    <t>烧酒（烈酒）;烈酒;利⼝酒;梨酒;烈酒（饮料）;⽩酒;⽶酒;清酒（⽇本⽶酒）;清酒;⽼酒（中国蒸馏烈酒）</t>
  </si>
  <si>
    <t>淮初</t>
  </si>
  <si>
    <t>贵阳凤雅坊食品有限公司</t>
  </si>
  <si>
    <t>果酒（含酒精）;⽶酒;鸡尾酒;柑⾹酒;⽩酒;樱桃酒;葡萄酒;⻩酒;露酒;含⽔果酒精饮料</t>
  </si>
  <si>
    <t>鹤驻黄龙</t>
  </si>
  <si>
    <t>果酒;汽酒;威⼠忌;清酒（⽇本⽶酒）;烧酒;⽩酒;葡萄酒;⽶酒;⻩酒;酒精饮料（啤酒除外）</t>
  </si>
  <si>
    <t>智谷超充</t>
  </si>
  <si>
    <t>⾷⽤酒精;⽩酒;烈酒;清酒;果酒;⽶酒;⻩酒;酒精饮料（啤酒除外）;烧酒;葡萄酒</t>
  </si>
  <si>
    <t>敬天门</t>
  </si>
  <si>
    <t>开胃酒;果酒（含酒精）;⽩酒;清酒（⽇本⽶酒）;威⼠忌;⻩酒;酒精饮料（啤酒除外）;鸡尾酒;葡萄酒;烈酒</t>
  </si>
  <si>
    <t>瑞曜至选</t>
  </si>
  <si>
    <t>赞巴拉（山东）智慧科技有限公司</t>
  </si>
  <si>
    <t>葡萄酒;含⽔果酒精饮料;⽶酒;以葡萄酒为主的饮料;起泡⽩葡萄酒;果酒;⻩酒;⽩酒;果酒（含酒精）;含酒精⽔果饮料</t>
  </si>
  <si>
    <t>别恙绿</t>
  </si>
  <si>
    <t>⻩酒;果酒;梅酒;⽶酒;果酒（含酒精）;⽩酒;含酒精的饮料（啤酒除外）;烈酒;⾼粱酒;烧酒</t>
  </si>
  <si>
    <t>蕴菲渀富</t>
  </si>
  <si>
    <t>袁功春</t>
  </si>
  <si>
    <t>鸡尾酒;清酒（⽇本⽶酒）;⽶酒;烧酒;酒精饮料（啤酒除外）;烈酒（饮料）;果酒（含酒精）;⻩酒;⽩酒;葡萄酒</t>
  </si>
  <si>
    <t>2024/05/24</t>
  </si>
  <si>
    <t>豫练氏家酒</t>
  </si>
  <si>
    <t>练礼先</t>
  </si>
  <si>
    <t>葡萄酒;酒精饮料（啤酒除外）;鸡尾酒;⽢蔗制烈酒;烈酒（饮料）;⽶酒;烧酒;⻩酒;⽩酒;果酒（含酒精）</t>
  </si>
  <si>
    <t>9139</t>
  </si>
  <si>
    <t>上海渝皖众合品牌管理有限公司</t>
  </si>
  <si>
    <t>⽶酒;⾕物制蒸馏酒精饮料;烧酒;⻩酒;果酒（含酒精）;葡萄酒;⽢蔗制酒精饮料;⾷⽤酒精;⽩酒;柑⾹酒</t>
  </si>
  <si>
    <t>琛顺</t>
  </si>
  <si>
    <t>宜宾琛顺酒水商贸有限公司</t>
  </si>
  <si>
    <t>⽩酒;⾕物制蒸馏酒精饮料;⽼酒（中国蒸馏烈酒）;⻘稞酒;果酒（含酒精）;⾼粱酒;⽩⼲酒（中国⽩酒）;由⾕物蒸馏的⽩酒;烧酒;⽶酒</t>
  </si>
  <si>
    <t>拾锦里</t>
  </si>
  <si>
    <t>如皋市金鼎置业有限公司</t>
  </si>
  <si>
    <t>威⼠忌;⽩酒;含酒精的充⽓饮料（啤酒除外）;葡萄酒;甜酒;果酒;开胃酒;蜂蜜酒;⽩兰地;⽶酒</t>
  </si>
  <si>
    <t>GETRICHCAT</t>
  </si>
  <si>
    <t>胡凯</t>
  </si>
  <si>
    <t>⽶酒;酒精饮料（啤酒除外）;酒精饮料原汁;烈酒（饮料）;威⼠忌;⽩酒;清酒（⽇本⽶酒）;伏特加酒;鸡尾酒;葡萄酒</t>
  </si>
  <si>
    <t>八喜九久</t>
  </si>
  <si>
    <t>蔡松华</t>
  </si>
  <si>
    <t>⾷⽤酒精;蜂蜜酒;葡萄酒;⽶酒;朗姆酒;⽩酒;鸡尾酒;伏特加酒;酒精饮料（啤酒除外）;威⼠忌</t>
  </si>
  <si>
    <t>龙轩天来</t>
  </si>
  <si>
    <t>珠海市龙轩天来饮食有限公司</t>
  </si>
  <si>
    <t>蒸馏饮料;清酒（⽇本⽶酒）;⻘稞酒;⽶酒;⻩酒;烧酒;⽩酒;威⼠忌;伏特加酒;烈酒（饮料）</t>
  </si>
  <si>
    <t>尉佗将军</t>
  </si>
  <si>
    <t>龙川金鹤农业科技发展有限公司</t>
  </si>
  <si>
    <t>果酒（含酒精）;⽩酒;⻩酒;已调味的蒸馏酒;烧酒;酒精饮料（啤酒除外）;黑醋栗酒;以葡萄酒为主的饮料;预先混合的酒精饮料（以啤酒为主的除外）;含酒精的鸡尾酒混合饮品</t>
  </si>
  <si>
    <t>炎黄东方韵</t>
  </si>
  <si>
    <t>吴江经济技术开发区网尚贸易商行</t>
  </si>
  <si>
    <t>⽩酒;⾷⽤酒精;利⼝酒;⽶酒;烧酒;葡萄酒;蜂蜜酒;⻩酒;果酒（含酒精）;开胃酒</t>
  </si>
  <si>
    <t>抱财猫</t>
  </si>
  <si>
    <t>烈酒（饮料）;⽶酒;葡萄酒;⽩酒;鸡尾酒;伏特加酒;酒精饮料（啤酒除外）;酒精饮料原汁;威⼠忌;清酒（⽇本⽶酒）</t>
  </si>
  <si>
    <t>卧风湶</t>
  </si>
  <si>
    <t>濮阳市强龙商贸有限公司</t>
  </si>
  <si>
    <t>果酒（含酒精）;鸡尾酒;葡萄酒;⽩兰地;⽩酒;蒸馏饮料;烧酒;威⼠忌;⽶酒;⻩酒</t>
  </si>
  <si>
    <t>绿盒子空间</t>
  </si>
  <si>
    <t>绿盒子空间(北京)科技发展有限公司</t>
  </si>
  <si>
    <t>果酒（含酒精）;烈酒（饮料）;酒精饮料（啤酒除外）;⻩酒;清酒（⽇本⽶酒）;⽶酒;⽩酒;烧酒;葡萄酒;鸡尾酒</t>
  </si>
  <si>
    <t>鹿客岛</t>
  </si>
  <si>
    <t>汪永政</t>
  </si>
  <si>
    <t>烈酒;鸡尾酒;果酒;⽩酒;⽶酒;葡萄酒;开胃酒;⻩酒;果酒（含酒精）;含⽔果酒精饮料</t>
  </si>
  <si>
    <t>倘塘酿</t>
  </si>
  <si>
    <t>尚善堂生物科技河北有限公司</t>
  </si>
  <si>
    <t>⻩酒;⽩葡萄酒;烈性⼲酒;含⽔果酒精饮料;⽩酒;预调甜酒;果酒;伏特加酒;蜂蜜酒;混合威⼠忌酒</t>
  </si>
  <si>
    <t>五黔台</t>
  </si>
  <si>
    <t>蒋红</t>
  </si>
  <si>
    <t>果酒（含酒精）;清酒（⽇本⽶酒）;酒精饮料（啤酒除外）;⻩酒;烧酒;烈酒（饮料）;⽶酒;⽩酒;葡萄酒;鸡尾酒</t>
  </si>
  <si>
    <t>闪魂</t>
  </si>
  <si>
    <t>胡莎莎</t>
  </si>
  <si>
    <t>酒精饮料原汁;酒精饮料（啤酒除外）;⻩酒;⽩酒;烧酒;餐后酒（利⼝酒和烈酒）;葡萄酒;烈酒（饮料）;⽶酒;果酒（含酒精）</t>
  </si>
  <si>
    <t>夜神十香园</t>
  </si>
  <si>
    <t>上海特洛特国际贸易有限公司</t>
  </si>
  <si>
    <t>威⼠忌;加烈葡萄酒;⽩兰地;不起泡葡萄酒;烈酒;葡萄酒;⽩葡萄酒;除啤酒外的酒精饮料;红葡萄酒;⻨芽威⼠忌</t>
  </si>
  <si>
    <t>老非特</t>
  </si>
  <si>
    <t>老非特品牌管理（河北）有限公司</t>
  </si>
  <si>
    <t>蒸馏饮料;葡萄酒;烈酒（饮料）;⽩酒;烧酒;⻩酒;清酒（⽇本⽶酒）;果酒（含酒精）;酒精饮料（啤酒除外）;⽶酒</t>
  </si>
  <si>
    <t>葛护卫</t>
  </si>
  <si>
    <t>米燕</t>
  </si>
  <si>
    <t>烧酒;⻩酒;果酒;含酒精的饮料（啤酒除外）;甜酒;⾼粱酒;葡萄酒;⽶酒;汽酒;⽩酒</t>
  </si>
  <si>
    <t>鸿溪卢酒</t>
  </si>
  <si>
    <t>纳雍鸿元酒业有限责任公司</t>
  </si>
  <si>
    <t>烈酒;⽩酒;⽩⼲酒（中国⽩酒）;⻩酒;烧酒（烈酒）;果酒（含酒精）;⽶酒;露酒;甜酒;含⽔果酒精饮料</t>
  </si>
  <si>
    <t>沐江韵</t>
  </si>
  <si>
    <t>⽩酒;烧酒;苦味酒;⽩⼲酒（中国⽩酒）;⻩酒;果酒（含酒精）;⽶酒;⾕物制蒸馏酒精饮料;由⾕物蒸馏的⽩酒;⾼粱酒</t>
  </si>
  <si>
    <t>捷字井</t>
  </si>
  <si>
    <t>王胜捷</t>
  </si>
  <si>
    <t>葡萄酒;蜂蜜酒;烧酒;⽩酒;酒精饮料（啤酒除外）;⽶酒;汽酒;⻩酒;⾷⽤酒精;果酒（含酒精）</t>
  </si>
  <si>
    <t>相忘忧</t>
  </si>
  <si>
    <t>⽩酒;清酒（⽇本⽶酒）;烈酒;开胃酒;果酒（含酒精）;⻩酒;威⼠忌;葡萄酒;鸡尾酒;酒精饮料（啤酒除外）</t>
  </si>
  <si>
    <t>衡满坊</t>
  </si>
  <si>
    <t>简祥发</t>
  </si>
  <si>
    <t>⻩酒;⽩酒;清酒（⽇本⽶酒）;威⼠忌;果酒（含酒精）;葡萄酒;开胃酒;酒精饮料（啤酒除外）;鸡尾酒;烈酒</t>
  </si>
  <si>
    <t>酒位</t>
  </si>
  <si>
    <t>贵州圣锦企业管理有限公司</t>
  </si>
  <si>
    <t>⻩酒;⽼酒（中国蒸馏烈酒）;⽩酒;烧酒;烈酒（饮料）;果酒（含酒精）;清酒（⽇本⽶酒）;葡萄酒;烈酒;酒精饮料（啤酒除外）</t>
  </si>
  <si>
    <t>箸仁堂</t>
  </si>
  <si>
    <t>上海箸阳食品发展有限公司</t>
  </si>
  <si>
    <t>甜酒;开胃酒;⽩兰地;⻩酒;清酒;⾼粱酒;⽶酒;⽼酒（中国蒸馏烈酒）;⽩⼲酒（中国⽩酒）;⽩酒</t>
  </si>
  <si>
    <t>麦三次方</t>
  </si>
  <si>
    <t>龙芊（苏州）餐饮管理有限公司</t>
  </si>
  <si>
    <t>⽩酒;⽶酒;⻩酒;伏特加酒;葡萄酒;果酒（含酒精）;鸡尾酒;开胃酒;威⼠忌;酒精饮料（啤酒除外）</t>
  </si>
  <si>
    <t>池亭州</t>
  </si>
  <si>
    <t>琼中好汇农产品有限公司</t>
  </si>
  <si>
    <t>开胃酒;威⼠忌;⽔果汽酒;⽶酒;鸡尾酒;⽩酒;烧酒;⻩酒;葡萄酒;果酒（含酒精）</t>
  </si>
  <si>
    <t>中另</t>
  </si>
  <si>
    <t>西咸新区沣东新城朝南屿百货店</t>
  </si>
  <si>
    <t>葡萄酒;⽶酒;烧酒;⽩酒;⻩酒;果酒（含酒精）;酒精饮料（啤酒除外）;⾼粱酒;⽩⼲酒（中国⽩酒）;烈酒</t>
  </si>
  <si>
    <t>魏好鲜</t>
  </si>
  <si>
    <t>魏寿川510229********3297</t>
  </si>
  <si>
    <t>⾼粱酒;露酒;酒精饮料（啤酒除外）;烧酒;⽶酒;⽩⼲酒（中国⽩酒）;⽩酒;蒸煮提取物（利⼝酒和烈酒）;烈酒;果酒</t>
  </si>
  <si>
    <t>功名江山</t>
  </si>
  <si>
    <t>胡小丽</t>
  </si>
  <si>
    <t>露酒;⾷⽤酒精;⽩酒;梅酒;⾼粱酒;果酒;⽶酒;⻩酒;烧酒;清酒</t>
  </si>
  <si>
    <t>金双宝典</t>
  </si>
  <si>
    <t>泗洪县双沟镇金双酒厂</t>
  </si>
  <si>
    <t>⻩酒;⽩酒;葡萄酒;⽶酒;鸡尾酒;烧酒;威⼠忌;果酒;利⼝酒;⻘稞酒</t>
  </si>
  <si>
    <t>赤雪拎壶冲</t>
  </si>
  <si>
    <t>李正</t>
  </si>
  <si>
    <t>⽩酒;⻩酒;葡萄酒;开胃酒;烧酒;⻘稞酒;⽶酒;鸡尾酒;利⼝酒;烈酒（饮料）</t>
  </si>
  <si>
    <t>一梦饶安</t>
  </si>
  <si>
    <t>孟村回族自治县壹牌酒业有限公司</t>
  </si>
  <si>
    <t>酒精饮料原汁;⽶酒;⻩酒;酒精饮料浓缩汁;⽩酒;蒸馏饮料;苹果酒;酒精饮料（啤酒除外）;烧酒;含⽔果酒精饮料</t>
  </si>
  <si>
    <t>乔 乔大侠</t>
  </si>
  <si>
    <t>郑仰华</t>
  </si>
  <si>
    <t>蒸馏饮料;烧酒;⽩酒;酒精饮料（啤酒除外）;⻩酒;含⽔果酒精饮料;果酒（含酒精）;葡萄酒;梨酒;利⼝酒</t>
  </si>
  <si>
    <t>朗故</t>
  </si>
  <si>
    <t>上海天纬食品科技有限公司</t>
  </si>
  <si>
    <t>⽶酒;含⽔果酒精饮料;预先混合的酒精饮料（以啤酒为主的除外）;清酒;⽩酒;酒精饮料（啤酒除外）;⻩酒;葡萄酒;烧酒;果酒</t>
  </si>
  <si>
    <t>尕阿吾</t>
  </si>
  <si>
    <t>魏得家</t>
  </si>
  <si>
    <t>果酒（含酒精）;烈酒（饮料）;⽼酒（中国蒸馏烈酒）;酒精饮料（啤酒除外）;⽩酒;烧酒;蒸馏饮料;⽶酒;葡萄酒;⻘稞酒</t>
  </si>
  <si>
    <t>义梅祯虹</t>
  </si>
  <si>
    <t>江门百宏庄酒业有限公司</t>
  </si>
  <si>
    <t>开胃酒;烈酒（饮料）;⽶酒;烧酒;葡萄酒;⽩酒;⻩酒;果酒（含酒精）;以葡萄酒为主的饮料;酒精饮料（啤酒除外）</t>
  </si>
  <si>
    <t>有文道</t>
  </si>
  <si>
    <t>深圳市微艺文化数字传媒有限公司</t>
  </si>
  <si>
    <t>烧酒;由⾕物蒸馏的⽩酒;鸡尾酒;葡萄酒;蒸煮提取物（利⼝酒和烈酒）;⽩酒;⾷⽤酒精;杜松⼦酒;⻩酒;⽶酒</t>
  </si>
  <si>
    <t>鹤普</t>
  </si>
  <si>
    <t>天津酒分享文化传播有限公司</t>
  </si>
  <si>
    <t>葡萄酒;酒精饮料（啤酒除外）;清酒（⽇本⽶酒）;伏特加酒;烈酒;朗姆酒;⽩酒;⽩兰地;⽩⼲酒（中国⽩酒）;以葡萄酒为主的饮料;⽶酒;清酒</t>
  </si>
  <si>
    <t>蓝镜曼波</t>
  </si>
  <si>
    <t>上海圆容企业发展有限公司</t>
  </si>
  <si>
    <t>以葡萄酒为主的饮料;汽酒;蒸馏饮料;⽩酒;果酒（含酒精）;鸡尾酒;预先混合的酒精饮料（以啤酒为主的除外）;⽶酒;葡萄酒;酒精饮料（啤酒除外）</t>
  </si>
  <si>
    <t>千佳厨</t>
  </si>
  <si>
    <t>百吉兴（浙江）供应链管理有限公司</t>
  </si>
  <si>
    <t>果酒</t>
  </si>
  <si>
    <t>⽶酒;果酒;葡萄酒;伏特加酒;鸡尾酒;酒精饮料（啤酒除外）;⻩酒;开胃酒;威⼠忌;⽩酒</t>
  </si>
  <si>
    <t>68</t>
  </si>
  <si>
    <t>浙江笃台酒业有限公司</t>
  </si>
  <si>
    <t>威⼠忌;⽶酒;果酒（含酒精）;⽩兰地;葡萄酒;⽩酒;伏特加酒;鸡尾酒;蒸煮提取物（利⼝酒和烈酒）;除啤酒外的酒精饮料</t>
  </si>
  <si>
    <t>藏仚古坊</t>
  </si>
  <si>
    <t>杭州多趣购电子商务有限公司</t>
  </si>
  <si>
    <t>酒精饮料（啤酒除外）;清酒（⽇本⽶酒）;烧酒;⽶酒;⻩酒;开胃酒;葡萄酒;果酒（含酒精）;⽩酒;蒸煮提取物（利⼝酒和烈酒）</t>
  </si>
  <si>
    <t>久邻团</t>
  </si>
  <si>
    <t>⻩酒;烧酒;葡萄酒;酒精饮料（啤酒除外）;清酒（⽇本⽶酒）;蒸煮提取物（利⼝酒和烈酒）;开胃酒;果酒（含酒精）;⽩酒;⽶酒</t>
  </si>
  <si>
    <t>BEAU NICELET</t>
  </si>
  <si>
    <t>山东京方丹酒业有限公司</t>
  </si>
  <si>
    <t>葡萄酒;⻩酒;利⼝酒;⽩酒;伏特加酒;威⼠忌;酒精饮料（啤酒除外）;朗姆酒;含⽔果酒精饮料;⽩兰地</t>
  </si>
  <si>
    <t>柏年山河</t>
  </si>
  <si>
    <t>⾼粱酒;⽩酒;露酒;烧酒;清酒;果酒;⽶酒;⾷⽤酒精;⻩酒;梅酒</t>
  </si>
  <si>
    <t>散花女神</t>
  </si>
  <si>
    <t>石狮市奥诺西卡服饰有限公司</t>
  </si>
  <si>
    <t>⽶酒;⽩兰地;清酒;⽩酒;葡萄酒;⻩酒;威⼠忌;果酒;鸡尾酒;烈酒</t>
  </si>
  <si>
    <t>ZFW</t>
  </si>
  <si>
    <t>罗玉满</t>
  </si>
  <si>
    <t>蒸馏饮料;⾼粱酒;烈酒（饮料）;酒精饮料原汁;⽩酒;酒精饮料（啤酒除外）;烧酒;果酒（含酒精）;葡萄酒;酒精饮料浓缩汁</t>
  </si>
  <si>
    <t>2024/05/25</t>
  </si>
  <si>
    <t>槐墅书院</t>
  </si>
  <si>
    <t>缑丽丽</t>
  </si>
  <si>
    <t>⾷⽤酒精;葡萄酒;果酒（含酒精）;⻘稞酒;⻩酒;以葡萄酒为主的饮料;⽩酒;蒸馏饮料;酒精饮料（啤酒除外）;⽶酒</t>
  </si>
  <si>
    <t>果知晓</t>
  </si>
  <si>
    <t>苏莹莹</t>
  </si>
  <si>
    <t>果酒（含酒精）;威⼠忌;⻩酒;烈酒;酒精饮料（啤酒除外）;葡萄酒;⽩酒;开胃酒;清酒（⽇本⽶酒）;鸡尾酒</t>
  </si>
  <si>
    <t>鲜开佳</t>
  </si>
  <si>
    <t>山东合邦农牧科技有限公司</t>
  </si>
  <si>
    <t>苹果酒;烧酒;⽩酒;果酒;以葡萄酒为主的饮料;葡萄酒;⽶酒;⻩酒;蒸馏饮料;清酒</t>
  </si>
  <si>
    <t>炫武台</t>
  </si>
  <si>
    <t>贵州炫武台酒业有限公司</t>
  </si>
  <si>
    <t>葡萄酒;清酒;伏特加酒;烧酒;果酒（含酒精）;酒精饮料（啤酒除外）;⽶酒;⽩⼲酒（中国⽩酒）;威⼠忌;鸡尾酒</t>
  </si>
  <si>
    <t>澞匠公</t>
  </si>
  <si>
    <t>王岩</t>
  </si>
  <si>
    <t>⻩酒;⽶酒;烧酒;⾼粱酒;⽼酒（中国蒸馏烈酒）;由⾕物蒸馏的⽩酒;含酒精的饮料（啤酒除外）;葡萄酒;露酒;⽩酒</t>
  </si>
  <si>
    <t>纪苡澄</t>
  </si>
  <si>
    <t>纪明维</t>
  </si>
  <si>
    <t>果酒（含酒精）;⽩酒;葡萄酒;蜂蜜酒;酒精饮料（啤酒除外）;烧酒;⻩酒;甜酒;鸡尾酒;⽶酒</t>
  </si>
  <si>
    <t>青云·扶摇</t>
  </si>
  <si>
    <t>绥中县久兴贸易有限公司</t>
  </si>
  <si>
    <t>梨酒;红葡萄酒;烈酒;露酒;含酒精的⽓泡⽔;苹果酒;酒精饮料（啤酒除外）;调制好的葡萄酒鸡尾酒;⾼粱酒;含⽔果酒精饮料;果酒;⽩葡萄酒;杨梅酒;⻘梅酒;鸡尾酒;葡萄酒;果酒（含酒精）;梅酒;⽩酒</t>
  </si>
  <si>
    <t>复俞</t>
  </si>
  <si>
    <t>大连龙崎仕酒业有限公司</t>
  </si>
  <si>
    <t>蜂蜜酒;果酒（含酒精）;威⼠忌;⻩酒;烧酒;⽩兰地;伏特加酒;烈酒（饮料）;朗姆酒;⽩酒</t>
  </si>
  <si>
    <t>将滴</t>
  </si>
  <si>
    <t>聂修磊</t>
  </si>
  <si>
    <t>烧酒;果酒;葡萄酒;⽶酒;烈酒;⽩酒;⻩酒;露酒;清酒;⻘稞酒</t>
  </si>
  <si>
    <t>卜江湖</t>
  </si>
  <si>
    <t>青岛柯扬仕图酒业有限公司</t>
  </si>
  <si>
    <t>⾕物制蒸馏酒精饮料;烧酒;⽩酒;⽼酒（中国蒸馏烈酒）;蒸馏饮料;⻩酒;⽩⼲酒（中国⽩酒）;⽶酒;由⾕物蒸馏的⽩酒;酒精饮料（啤酒除外）</t>
  </si>
  <si>
    <t>CALMAGGIORE</t>
  </si>
  <si>
    <t>马索蒂娜公司</t>
  </si>
  <si>
    <t>酸酒（低等葡萄酒）;葡萄酒;酒精饮料（啤酒除外）;果酒（含酒精）;以葡萄酒为主的饮料;含⽔果酒精饮料;⾕物制蒸馏酒精饮料;烈酒（饮料）;⽩兰地;威⼠忌</t>
  </si>
  <si>
    <t>2024/05/26</t>
  </si>
  <si>
    <t>VIRAGE</t>
  </si>
  <si>
    <t>酒精饮料（啤酒除外）;酸酒（低等葡萄酒）;烈酒（饮料）;⾕物制蒸馏酒精饮料;含⽔果酒精饮料;果酒（含酒精）;葡萄酒;⽩兰地;威⼠忌;以葡萄酒为主的饮料</t>
  </si>
  <si>
    <t>钱酒钱</t>
  </si>
  <si>
    <t>逸夫科技（集团）有限公司</t>
  </si>
  <si>
    <t>鸡尾酒;⽩酒;⽶酒;含酒精的饮料（啤酒除外）;葡萄酒;果酒;烧酒;梅酒;⾼粱酒;⻘稞酒;⻩酒</t>
  </si>
  <si>
    <t>UCASER</t>
  </si>
  <si>
    <t>葡萄酒;⽩兰地;⽶酒;⾼粱酒;烧酒（烈酒）;威⼠忌;⻩酒;⽩酒;开胃酒;鸡尾酒</t>
  </si>
  <si>
    <t>醉法酟</t>
  </si>
  <si>
    <t>深圳巨人天下网络科技有限公司</t>
  </si>
  <si>
    <t>汽酒;鸡尾酒;葡萄酒;果酒（含酒精）;⻩酒;威⼠忌;酒精饮料（啤酒除外）;伏特加酒;⽩酒;⽩兰地</t>
  </si>
  <si>
    <t>BAI JWEI</t>
  </si>
  <si>
    <t>曲阜市百加威酒业有限公司</t>
  </si>
  <si>
    <t>烧酒;⽩酒;鸡尾酒;含⽔果酒精饮料;葡萄酒;利⼝酒;⽶酒;⻩酒;烈酒（饮料）;开胃酒</t>
  </si>
  <si>
    <t>CONTRADAGRANDA</t>
  </si>
  <si>
    <t>含⽔果酒精饮料;葡萄酒;⽩兰地;威⼠忌;酒精饮料（啤酒除外）;果酒（含酒精）;⾕物制蒸馏酒精饮料;以葡萄酒为主的饮料;烈酒（饮料）;酸酒（低等葡萄酒）</t>
  </si>
  <si>
    <t>1314.9</t>
  </si>
  <si>
    <t>贵州大唐丞天下酒业有限公司</t>
  </si>
  <si>
    <t>烈酒（饮料）;清酒（⽇本⽶酒）;酒精饮料（啤酒除外）;苦味酒;⾼粱酒;⽶酒;⽩酒;由⾕物蒸馏的⽩酒;⽼酒（中国蒸馏烈酒）;⾕物制蒸馏酒精饮料</t>
  </si>
  <si>
    <t>VIAVENTI</t>
  </si>
  <si>
    <t>含⽔果酒精饮料;葡萄酒;烈酒（饮料）;⽩兰地;以葡萄酒为主的饮料;果酒（含酒精）;威⼠忌;酒精饮料（啤酒除外）;⾕物制蒸馏酒精饮料;酸酒（低等葡萄酒）</t>
  </si>
  <si>
    <t>学艳佳酿</t>
  </si>
  <si>
    <t>齐学艳</t>
  </si>
  <si>
    <t>酒精饮料（啤酒除外）;⻩酒;⾕物制蒸馏酒精饮料;⽶酒;已调味的蒸馏酒;烧酒;葡萄酒;⽩酒;果酒（含酒精）;⾷⽤酒精</t>
  </si>
  <si>
    <t>BLV DASH</t>
  </si>
  <si>
    <t>哈尔滨冰钝啤酒有限公司</t>
  </si>
  <si>
    <t>含⽔果酒精饮料;酒精饮料（啤酒除外）;⽩兰地;⽶酒;含酒精的⽓泡⽔;开胃酒;果酒（含酒精）;⽩酒;鸡尾酒;威⼠忌</t>
  </si>
  <si>
    <t>衡纯</t>
  </si>
  <si>
    <t>衡水衡纯酒业品牌运营管理有限公司</t>
  </si>
  <si>
    <t>烈酒（饮料）;酒精饮料原汁;樱桃酒;汽酒;烧酒;蜂蜜酒;⻘稞酒;⾷⽤酒精;利⼝酒;⽩酒</t>
  </si>
  <si>
    <t>2024/05/27</t>
  </si>
  <si>
    <t>璋玺</t>
  </si>
  <si>
    <t>鸡尾酒;葡萄酒;⽶酒;⽩酒;果酒（含酒精）;⻩酒;烈酒（饮料）;清酒（⽇本⽶酒）;酒精饮料（啤酒除外）;果酒</t>
  </si>
  <si>
    <t>金小戈</t>
  </si>
  <si>
    <t>刘鹏</t>
  </si>
  <si>
    <t>⽶酒;除啤酒外的酒精饮料;含酒精的饮料（啤酒除外）;薄荷酒;⾕物制蒸馏酒精饮料;⽇本梅⼦酒;威⼠忌;⻩酒;露酒;⽩酒</t>
  </si>
  <si>
    <t>TRUSTLENA</t>
  </si>
  <si>
    <t>义乌怒马贸易有限公司</t>
  </si>
  <si>
    <t>利⼝酒;⽶酒;开胃酒;⻩酒;烈酒;葡萄酒;果酒;⽩酒;烧酒;除啤酒外的酒精饮料</t>
  </si>
  <si>
    <t>旗爵峰</t>
  </si>
  <si>
    <t>谷中缘（安徽）供应链管理有限公司</t>
  </si>
  <si>
    <t>葡萄酒;⽶酒;⽩酒;⽩⼲酒（中国⽩酒）;梅酒;⻩酒;⾼粱酒;⻘梅酒;烧酒;果酒</t>
  </si>
  <si>
    <t>黔辣公主</t>
  </si>
  <si>
    <t>贵州粤润农业科技有限公司</t>
  </si>
  <si>
    <t>⽩酒;葡萄酒;烈酒;⽶酒;烧酒;酒精饮料（啤酒除外）;⻩酒;开胃酒;清酒;果酒</t>
  </si>
  <si>
    <t>黔王匠王台</t>
  </si>
  <si>
    <t>⻩酒;烈酒;⽼酒（中国蒸馏烈酒）;烧酒;⽩⼲酒（中国⽩酒）;⽩酒;酒精饮料（啤酒除外）;⽶酒;杜松⼦酒;烈性⼲酒</t>
  </si>
  <si>
    <t>深圳传祺文化科技有限公司</t>
  </si>
  <si>
    <t>烈酒（饮料）;葡萄酒;⽶酒;⻩酒;酒精饮料（啤酒除外）;果酒（含酒精）;⽩酒;烧酒;鸡尾酒;清酒</t>
  </si>
  <si>
    <t>大秦英雄女王</t>
  </si>
  <si>
    <t>贵州省仁怀市秦将酒业销售有限公司</t>
  </si>
  <si>
    <t>⽩酒;⻩酒;预先混合的酒精饮料（以啤酒为主的除外）;果酒（含酒精）;鸡尾酒;葡萄酒;⽩兰地;含⽔果酒精饮料;⽶酒;烧酒</t>
  </si>
  <si>
    <t>晋好友</t>
  </si>
  <si>
    <t>胡波</t>
  </si>
  <si>
    <t>⾷⽤酒精;含⽔果酒精饮料;⻘稞酒;⽩酒;烈酒（饮料）;⽶酒;果酒（含酒精）;威⼠忌;烧酒;⻩酒</t>
  </si>
  <si>
    <t>杏绵情</t>
  </si>
  <si>
    <t>黄生金</t>
  </si>
  <si>
    <t>⻩酒;含⽔果酒精饮料;⽶酒;⻘稞酒;烈酒（饮料）;⾷⽤酒精;威⼠忌;烧酒;果酒（含酒精）;⽩酒</t>
  </si>
  <si>
    <t>毕沙</t>
  </si>
  <si>
    <t>贵州粮投粮油集团有限公司</t>
  </si>
  <si>
    <t>果酒（含酒精）;烈酒（饮料）;⽩兰地;⻩酒;葡萄酒;⽩酒;⽶酒;蒸馏饮料;酒精饮料（啤酒除外）;威⼠忌</t>
  </si>
  <si>
    <t>守愚慢酿汉清贡酒</t>
  </si>
  <si>
    <t>北京十方界酒业有限公司</t>
  </si>
  <si>
    <t>葡萄酒;⽶酒;⻩酒;⽩酒;樱桃酒;梨酒;果酒（含酒精）;苹果酒;鸡尾酒;蜂蜜酒</t>
  </si>
  <si>
    <t>苏舟渡</t>
  </si>
  <si>
    <t>朱文祥</t>
  </si>
  <si>
    <t>蒸煮提取物（利⼝酒和烈酒）;威⼠忌;酒精饮料原汁;⽩酒;⻩酒;酒精饮料（啤酒除外）;鸡尾酒;葡萄酒;⽩兰地;果酒（含酒精）</t>
  </si>
  <si>
    <t>圳里大雅</t>
  </si>
  <si>
    <t>深圳酒圳酒业有限公司</t>
  </si>
  <si>
    <t>圳里喜酒</t>
  </si>
  <si>
    <t>一生禧酒</t>
  </si>
  <si>
    <t>刘晓璐</t>
  </si>
  <si>
    <t>⻩酒;果酒（含酒精）;蒸馏饮料;鸡尾酒;⽩酒;⽩兰地;烧酒;酸酒（低等葡萄酒）;酒精饮料（啤酒除外）;葡萄酒</t>
  </si>
  <si>
    <t>民壹佳</t>
  </si>
  <si>
    <t>贵阳民壹佳企业管理有限责任公司</t>
  </si>
  <si>
    <t>餐后酒（利⼝酒和烈酒）;葡萄酒;鸡尾酒;果酒（含酒精）;烧酒;⽩酒;酒精饮料（啤酒除外）;⻩酒;⾷⽤酒精;苦味酒</t>
  </si>
  <si>
    <t>张仁卓</t>
  </si>
  <si>
    <t>赵巧梅410325********0526</t>
  </si>
  <si>
    <t>苹果酒;⽶酒;⾼粱酒;葡萄酒;⻩酒;⻘稞酒;⽩酒;烧酒;鸡尾酒;开胃酒</t>
  </si>
  <si>
    <t>拾粟派</t>
  </si>
  <si>
    <t>刘保垒</t>
  </si>
  <si>
    <t>预先混合的酒精饮料（以啤酒为主的除外）;预调甜酒;果酒;含酒精的饮料（啤酒除外）;含酒精⽔果饮料;甜酒;汽酒;含酒精的鸡尾酒混合饮品;蒸馏饮料;⽔果汽酒</t>
  </si>
  <si>
    <t>饮中客</t>
  </si>
  <si>
    <t>胡雄帮</t>
  </si>
  <si>
    <t>⽩酒;⻩酒;威⼠忌;烧酒;⽶酒;烈酒（饮料）;⻘稞酒;⾷⽤酒精;含⽔果酒精饮料;果酒（含酒精）</t>
  </si>
  <si>
    <t>果之域</t>
  </si>
  <si>
    <t>⻩酒;威⼠忌;烈酒（饮料）;⽩酒;⽶酒;含⽔果酒精饮料;果酒（含酒精）;⻘稞酒;⾷⽤酒精;烧酒</t>
  </si>
  <si>
    <t>辣七侠</t>
  </si>
  <si>
    <t>白振飞</t>
  </si>
  <si>
    <t>苹果酒;威⼠忌;鸡尾酒;酒精饮料（啤酒除外）;葡萄酒;⾼粱酒;利⼝酒;⽶酒;⽩酒;含⽔果酒精饮料</t>
  </si>
  <si>
    <t>沃耀旺</t>
  </si>
  <si>
    <t>赣州沃时光食品有限公司</t>
  </si>
  <si>
    <t>⽩酒;薄荷酒;⽶酒;开胃酒;杨梅酒;烧酒;⾼粱酒;红葡萄酒;⻩酒;烈酒（饮料）</t>
  </si>
  <si>
    <t>馨连馨</t>
  </si>
  <si>
    <t>张焕正</t>
  </si>
  <si>
    <t>利⼝酒;伏特加酒;酒精饮料浓缩汁;⽩酒;烧酒;鸡尾酒;开胃酒;⻩酒;樱桃酒;薄荷酒</t>
  </si>
  <si>
    <t>黔欢馨</t>
  </si>
  <si>
    <t>贵州黔灵奇方苗侗医药有限公司</t>
  </si>
  <si>
    <t>餐后酒（利⼝酒和烈酒）;烈酒（饮料）;预先混合的酒精饮料（以啤酒为主的除外）;已调味的⻨芽酿制的酒精饮料（啤酒除外）;烧酒;蒸馏饮料;⽩酒;⽶酒;⾕物制蒸馏酒精饮料;茴⾹酒（利⼝酒）</t>
  </si>
  <si>
    <t>守愚慢酿皇家贡酒</t>
  </si>
  <si>
    <t>⽩酒;鸡尾酒;葡萄酒;樱桃酒;⻩酒;苹果酒;蜂蜜酒;果酒（含酒精）;梨酒;⽶酒</t>
  </si>
  <si>
    <t>波浪路</t>
  </si>
  <si>
    <t>贵州省阿西里西旅游开发有限公司</t>
  </si>
  <si>
    <t>鸡尾酒;蜂蜜酒;⻩酒;⽩酒;⻘稞酒;葡萄酒;利⼝酒;⽶酒;果酒;烧酒</t>
  </si>
  <si>
    <t>嘉力高</t>
  </si>
  <si>
    <t>贵州省仁怀市嘉力高酒业有限公司</t>
  </si>
  <si>
    <t>烈酒;果酒（含酒精）;⽩葡萄酒;伏特加酒;开胃酒;⽩酒;⾼粱酒;朗姆酒;利⼝酒;威⼠忌</t>
  </si>
  <si>
    <t>壹栋村庄</t>
  </si>
  <si>
    <t>葡萄酒;烧酒;⾼粱酒;⻩酒;⽩酒;杨梅酒;⽩兰地;酒精饮料原汁;⽶酒;清酒</t>
  </si>
  <si>
    <t>YS</t>
  </si>
  <si>
    <t>贵州壹生实业有限公司</t>
  </si>
  <si>
    <t>烧酒（烈酒）;⽩酒;由⾕物蒸馏的⽩酒;蒸煮提取物（利⼝酒和烈酒）;⽼酒（中国蒸馏烈酒）;果酒;果酒（含酒精）;烧酒;葡萄酒;以蒸馏酒为主的开胃酒</t>
  </si>
  <si>
    <t>鹿头银龙湾</t>
  </si>
  <si>
    <t>湖北琥珀湾旅游开发有限公司</t>
  </si>
  <si>
    <t>⽶酒;蜂蜜酒;酒精饮料（啤酒除外）;含⽔果酒精饮料;葡萄酒;以葡萄酒为主的饮料;⽩酒;酒精饮料原汁;⻩酒;苹果酒</t>
  </si>
  <si>
    <t>西柏雅</t>
  </si>
  <si>
    <t>路秀玲410223********3523</t>
  </si>
  <si>
    <t>鸡尾酒;开胃酒;⽩酒;⻘稞酒;⻩酒;葡萄酒;⾼粱酒;苹果酒;⽶酒;烧酒</t>
  </si>
  <si>
    <t>映象闽南</t>
  </si>
  <si>
    <t>泉州市和诺电子科技有限公司</t>
  </si>
  <si>
    <t>鸡尾酒;薄荷酒;蜂蜜酒;威⼠忌;烧酒;松叶酒;甜酒;伏特加酒;⻘稞酒;朗姆酒</t>
  </si>
  <si>
    <t>会泉蓝光</t>
  </si>
  <si>
    <t>刘小会</t>
  </si>
  <si>
    <t>⽶酒;开胃酒;烈酒（饮料）;⻩酒;果酒;威⼠忌;葡萄酒;烧酒;伏特加酒;蒸馏饮料</t>
  </si>
  <si>
    <t>单车天使</t>
  </si>
  <si>
    <t>深圳爱都文化传播有限公司</t>
  </si>
  <si>
    <t>⽶酒;⻩酒;烧酒;⽩酒;果酒;汽酒;⻘稞酒;⾕物制蒸馏酒精饮料;葡萄酒;⾷⽤酒精</t>
  </si>
  <si>
    <t>香爷</t>
  </si>
  <si>
    <t>九州（海南）农林集团有限公司</t>
  </si>
  <si>
    <t>葡萄酒;蜂蜜酒;⽼酒（中国蒸馏烈酒）;烈酒;由⾕物蒸馏的⽩酒;⾕物制蒸馏酒精饮料;⽶酒;⽩酒;含酒精的饮料（啤酒除外）;预先混合的酒精饮料（以啤酒为主的除外）</t>
  </si>
  <si>
    <t>聚林优品</t>
  </si>
  <si>
    <t>辽宁聚林优品大健康有限公司</t>
  </si>
  <si>
    <t>酒精饮料原汁;鸡尾酒;威⼠忌;伏特加酒;酒精饮料（啤酒除外）;葡萄酒;⽩酒;⽶酒;清酒（⽇本⽶酒）;烈酒（饮料）</t>
  </si>
  <si>
    <t>宝古斋无忧</t>
  </si>
  <si>
    <t>贵州省仁怀市民为酒业有限公司</t>
  </si>
  <si>
    <t>葡萄酒;⽩酒;酒精饮料（啤酒除外）;含酒精的饮料（啤酒除外）;⽶酒;⾼粱酒;餐后酒（利⼝酒和烈酒）;烧酒（烈酒）;⾕物制蒸馏酒精饮料;⽩⼲酒（中国⽩酒）</t>
  </si>
  <si>
    <t>密进</t>
  </si>
  <si>
    <t>杨晓莉</t>
  </si>
  <si>
    <t>果酒（含酒精）;⽩酒;烧酒;鸡尾酒;⻩酒;烈酒（饮料）;清酒（⽇本⽶酒）;酒精饮料（啤酒除外）;⽶酒;葡萄酒</t>
  </si>
  <si>
    <t>涂氏犹未晚</t>
  </si>
  <si>
    <t>罗虎耀</t>
  </si>
  <si>
    <t>⽩酒;⻩酒;果酒（含酒精）;葡萄酒;苹果酒;⽩兰地;⽶酒;烧酒;清酒（⽇本⽶酒）;烈酒（饮料）</t>
  </si>
  <si>
    <t>京鑫门</t>
  </si>
  <si>
    <t>祁鹏新</t>
  </si>
  <si>
    <t>清酒（⽇本⽶酒）;预先混合的酒精饮料（以啤酒为主的除外）;烧酒;⽩酒;含⽔果酒精饮料;酒精饮料（啤酒除外）;果酒（含酒精）;餐后酒（利⼝酒和烈酒）;葡萄酒;鸡尾酒</t>
  </si>
  <si>
    <t>圳里美酒</t>
  </si>
  <si>
    <t>白浆翁</t>
  </si>
  <si>
    <t>杨岸其</t>
  </si>
  <si>
    <t>威⼠忌;果酒（含酒精）;烈酒;酒精饮料（啤酒除外）;⽩酒;清酒（⽇本⽶酒）;葡萄酒;鸡尾酒;⻩酒;开胃酒</t>
  </si>
  <si>
    <t>独孤令</t>
  </si>
  <si>
    <t>⽶酒;葡萄酒;烈酒（饮料）;⻘稞酒;开胃酒;⻩酒;鸡尾酒;利⼝酒;烧酒;⽩酒</t>
  </si>
  <si>
    <t>沪迹</t>
  </si>
  <si>
    <t>沈巨场</t>
  </si>
  <si>
    <t>⽩酒;烧酒;酒精饮料（啤酒除外）;⽶酒;⽩兰地;果酒（含酒精）;威⼠忌;鸡尾酒;烈酒（饮料）;葡萄酒</t>
  </si>
  <si>
    <t>纵横经纬</t>
  </si>
  <si>
    <t>成都红方印品牌策划有限公司</t>
  </si>
  <si>
    <t>⽶酒;薄荷酒;开胃酒;葡萄酒;⽩酒;果酒（含酒精）;清酒（⽇本⽶酒）;酒精饮料（啤酒除外）;含⽔果酒精饮料;⻩酒</t>
  </si>
  <si>
    <t>忆洪</t>
  </si>
  <si>
    <t>怀化市洪江区忆洪商贸发展有限公司</t>
  </si>
  <si>
    <t>⽩酒;⽶酒;含⽔果酒精饮料;果酒;蜂蜜酒;⽼酒（中国蒸馏烈酒）;以蒸馏酒为主的开胃酒;⽩⼲酒（中国⽩酒）;烈酒;烧酒</t>
  </si>
  <si>
    <t>敷道堂</t>
  </si>
  <si>
    <t>南京敷道中医研究有限公司</t>
  </si>
  <si>
    <t>开胃酒;蒸煮提取物（利⼝酒和烈酒）;酒精饮料（啤酒除外）;⽩酒;⻩酒;⽶酒;露酒;葡萄酒;预先混合的酒精饮料（以啤酒为主的除外）;鸡尾酒</t>
  </si>
  <si>
    <t>释心阅</t>
  </si>
  <si>
    <t>湖南释心堂酒业有限公司</t>
  </si>
  <si>
    <t>⽶酒;利⼝酒;烈酒（饮料）;酒精饮料原汁;⾕物制蒸馏酒精饮料;开胃酒;⽩酒;⽼酒（中国蒸馏烈酒）;蒸馏饮料;⾷⽤酒精</t>
  </si>
  <si>
    <t>甲摆不摆</t>
  </si>
  <si>
    <t>陆贵波</t>
  </si>
  <si>
    <t>开胃酒;五加⽪酒（中国混合烈酒）;⻩酒;烧酒;葡萄酒;⽶酒;⽩酒;果酒（含酒精）;蒸煮提取物（利⼝酒和烈酒）;蒸馏饮料</t>
  </si>
  <si>
    <t>淋㗇觅</t>
  </si>
  <si>
    <t>泉州静发酒业有限公司</t>
  </si>
  <si>
    <t>葡萄酒;威⼠忌;烧酒;⽩酒;鸡尾酒;蒸馏饮料;果酒（含酒精）;烈酒（饮料）;酒精饮料（啤酒除外）;⽶酒</t>
  </si>
  <si>
    <t>酒食酒芬</t>
  </si>
  <si>
    <t>南京久时九分科技有限公司</t>
  </si>
  <si>
    <t>⽶酒;烧酒;⽩酒;开胃酒;鸡尾酒;⻩酒;葡萄酒;威⼠忌;苹果酒;清酒（⽇本⽶酒）</t>
  </si>
  <si>
    <t>超猩壹号</t>
  </si>
  <si>
    <t>深圳市奔跑向上科技有限公司</t>
  </si>
  <si>
    <t>梨酒;含⽔果酒精饮料;苦味酒;酒精饮料原汁;酒精饮料浓缩汁;酒精饮料（啤酒除外）;果酒（含酒精）;薄荷酒;苹果酒;清酒（⽇本⽶酒）</t>
  </si>
  <si>
    <t>圳里福酒</t>
  </si>
  <si>
    <t>进养</t>
  </si>
  <si>
    <t>北京国闻文化发展有限公司</t>
  </si>
  <si>
    <t>果酒（含酒精）;含⽔果酒精饮料;含酒精的⽓泡⽔;蒸馏饮料;已调味的⻨芽酿制的酒精饮料（啤酒除外）;汽酒;酒精饮料原汁;酒精饮料浓缩汁;酒精饮料（啤酒除外）;预先混合的酒精饮料（以啤酒为主的除外）</t>
  </si>
  <si>
    <t>金来贯之</t>
  </si>
  <si>
    <t>山西汾州大院酒业有限公司</t>
  </si>
  <si>
    <t>⽶酒;酒精饮料（啤酒除外）;⻩酒;⽩⼲酒（中国⽩酒）;烈酒;烧酒;⽩酒;⽼酒（中国蒸馏烈酒）;果酒;鸡尾酒</t>
  </si>
  <si>
    <t>谭英潮</t>
  </si>
  <si>
    <t>山东中擎食品科技有限公司</t>
  </si>
  <si>
    <t>⽩酒;果酒（含酒精）;葡萄酒;烧酒;⾕物制蒸馏酒精饮料;以葡萄酒为主的饮料;⻩酒;蒸馏饮料;⽶酒;鸡尾酒</t>
  </si>
  <si>
    <t>承纳</t>
  </si>
  <si>
    <t>贵州吾逍遥酒业有限公司</t>
  </si>
  <si>
    <t>鸡尾酒;威⼠忌;葡萄酒;⽩酒;⽶酒;⽩兰地;朗姆酒;清酒（⽇本⽶酒）;果酒;⻩酒</t>
  </si>
  <si>
    <t>态索</t>
  </si>
  <si>
    <t>态索食品有限责任公司</t>
  </si>
  <si>
    <t>葡萄酒;酒精饮料（啤酒除外）;烧酒;⽩酒;⻘稞酒;⻩酒;果酒（含酒精）;开胃酒;⽶酒;烈酒（饮料）</t>
  </si>
  <si>
    <t>传承双禧</t>
  </si>
  <si>
    <t>李雪晴</t>
  </si>
  <si>
    <t>⽶酒;葡萄酒;烧酒;⽩酒;⻩酒;以葡萄酒为主的饮料;果酒（含酒精）;酒精饮料（啤酒除外）;汽酒;含酒精的⽓泡⽔</t>
  </si>
  <si>
    <t>大槐树乡里乡亲</t>
  </si>
  <si>
    <t>山西槐乡情酒业有限公司</t>
  </si>
  <si>
    <t>汽酒;葡萄酒;果酒;⻩酒;酒精饮料（啤酒除外）;⽶酒;烧酒;甜酒;⽩酒;烈酒</t>
  </si>
  <si>
    <t>蜀上禾</t>
  </si>
  <si>
    <t>夏荣华</t>
  </si>
  <si>
    <t>酒精饮料（啤酒除外）;⽩酒;餐后酒（利⼝酒和烈酒）;烧酒;含⽔果酒精饮料;⾷⽤酒精;果酒（含酒精）;⽶酒;烈酒（饮料）;⻩酒</t>
  </si>
  <si>
    <t>曹百灵</t>
  </si>
  <si>
    <t>北京一扁二针中医药研究院</t>
  </si>
  <si>
    <t>⻩酒;⽶酒;葡萄酒;烈酒（饮料）;清酒（⽇本⽶酒）;烧酒;⽩酒;果酒（含酒精）;鸡尾酒;酒精饮料（啤酒除外）</t>
  </si>
  <si>
    <t>老乡哥</t>
  </si>
  <si>
    <t>梁育成</t>
  </si>
  <si>
    <t>葡萄酒;⽩兰地;开胃酒;佐餐酒;梅酒;含奶油利⼝酒;酒精饮料（啤酒除外）;⽶酒;⽩酒;冷冻凝胶状的鸡尾酒</t>
  </si>
  <si>
    <t>姜琴楼</t>
  </si>
  <si>
    <t>罗通513127********1619</t>
  </si>
  <si>
    <t>果酒（含酒精）;⻩酒;清酒（⽇本⽶酒）;鸡尾酒;⽩兰地;开胃酒;葡萄酒;⽩酒;预先混合的酒精饮料（以啤酒为主的除外）;⽶酒</t>
  </si>
  <si>
    <t>香归砚</t>
  </si>
  <si>
    <t>山东金联帕斯卡酒业有限公司</t>
  </si>
  <si>
    <t>⽩葡萄酒;⽼酒（中国蒸馏烈酒）;红葡萄酒;⽩酒;威⼠忌;果酒（含酒精）;⽩兰地;⾼粱酒;鸡尾酒;预调甜酒</t>
  </si>
  <si>
    <t>茜施妹</t>
  </si>
  <si>
    <t>贵州宏图九州生态农贸有限公司</t>
  </si>
  <si>
    <t>苹果酒;⻘稞酒;果酒（含酒精）;⽶酒;⾷⽤酒精;⻩酒;葡萄酒;含⽔果酒精饮料;烧酒;⽩酒</t>
  </si>
  <si>
    <t>聚德粮</t>
  </si>
  <si>
    <t>孟威</t>
  </si>
  <si>
    <t>预先混合的酒精饮料（以啤酒为主的除外）;酒精饮料（啤酒除外）;⽶酒;⾷⽤酒精;烧酒;⾼粱酒;鸡尾酒;果酒;葡萄酒;⽩酒</t>
  </si>
  <si>
    <t>天空宝藏</t>
  </si>
  <si>
    <t>蔡雪坤</t>
  </si>
  <si>
    <t>果酒（含酒精）;烧酒;清酒（⽇本⽶酒）;烈酒（饮料）;⻩酒;⽶酒;开胃酒;酒精饮料（啤酒除外）;⾷⽤酒精;⽩酒</t>
  </si>
  <si>
    <t>喻贤堂</t>
  </si>
  <si>
    <t>贵州喻贤堂康养有限公司</t>
  </si>
  <si>
    <t>开胃酒;⽶酒;葡萄酒;烧酒;⻩酒;⽩酒;蒸馏⽶酒（泡盛酒）;梅酒;⾼粱酒;果酒（含酒精）</t>
  </si>
  <si>
    <t>巡柔</t>
  </si>
  <si>
    <t>蒙全发</t>
  </si>
  <si>
    <t>葡萄酒;⻩酒;威⼠忌;烧酒;⽩酒;蒸馏饮料;⽶酒;鸡尾酒;酒精饮料（啤酒除外）;果酒（含酒精）</t>
  </si>
  <si>
    <t>望海山</t>
  </si>
  <si>
    <t>张正亮</t>
  </si>
  <si>
    <t>蜂蜜酒;⽩酒;⽩兰地;威⼠忌;鸡尾酒;果酒（含酒精）;葡萄酒;烧酒;蒸煮提取物（利⼝酒和烈酒）;酒精饮料（啤酒除外）</t>
  </si>
  <si>
    <t>鑫恒旺</t>
  </si>
  <si>
    <t>苏州鑫恒旺商贸有限公司</t>
  </si>
  <si>
    <t>⽶酒;朗姆酒;含⽔果酒精饮料;⾷⽤酒精;伏特加酒;烧酒;⻩酒;鸡尾酒;葡萄酒;⽩酒</t>
  </si>
  <si>
    <t>乾隆明珠</t>
  </si>
  <si>
    <t>⽩酒;苹果酒;鸡尾酒;葡萄酒;⻩酒;梨酒;樱桃酒;果酒（含酒精）;⽶酒;蜂蜜酒</t>
  </si>
  <si>
    <t>誉浆竹</t>
  </si>
  <si>
    <t>李虎</t>
  </si>
  <si>
    <t>烈酒;⽩酒;烧酒;⾼粱酒;果酒;预先混合的酒精饮料（以啤酒为主的除外）;甜酒;葡萄酒;蒸馏饮料;酒精饮料原汁</t>
  </si>
  <si>
    <t>颜源乐</t>
  </si>
  <si>
    <t>贵州省仁怀市升邦物流服务有限公司</t>
  </si>
  <si>
    <t>⾼粱酒;⽶酒;⻩酒;清酒;葡萄酒;威⼠忌;烧酒;⽩兰地;⽩酒;由⾕物蒸馏的⽩酒</t>
  </si>
  <si>
    <t>英士顿</t>
  </si>
  <si>
    <t>福建省南安市玟斐食品有限公司</t>
  </si>
  <si>
    <t>威⼠忌;鸡尾酒;果酒;葡萄酒;伏特加酒;清酒（⽇本⽶酒）;⽩兰地;朗姆酒;汽酒;甜酒</t>
  </si>
  <si>
    <t>宁榕虹</t>
  </si>
  <si>
    <t>宁榕红酒庄（宁夏）有限公司</t>
  </si>
  <si>
    <t>葡萄酒;鸡尾酒;开胃酒;苹果酒;蒸煮提取物（利⼝酒和烈酒）;⽶酒;⻩酒;⽩酒;杜松⼦酒;蒸馏饮料</t>
  </si>
  <si>
    <t>圳里旺酒</t>
  </si>
  <si>
    <t>宝古斋庆余年</t>
  </si>
  <si>
    <t>含酒精的饮料（啤酒除外）;⽩酒;酒精饮料（啤酒除外）;烧酒（烈酒）;餐后酒（利⼝酒和烈酒）;⾼粱酒;葡萄酒;⾕物制蒸馏酒精饮料;⽶酒;⽩⼲酒（中国⽩酒）</t>
  </si>
  <si>
    <t>朱舍里</t>
  </si>
  <si>
    <t>李玉春</t>
  </si>
  <si>
    <t>⽩酒;蒸馏饮料;鸡尾酒;葡萄酒;⻩酒;⽶酒;酒精饮料（啤酒除外）;烧酒;烈酒（饮料）;果酒（含酒精）</t>
  </si>
  <si>
    <t>莉莉公主 PRINCESSE LILY</t>
  </si>
  <si>
    <t>吴联旺360722********2114</t>
  </si>
  <si>
    <t>威⼠忌;烈酒（饮料）;⾷⽤酒精;除啤酒外的酒精饮料;果酒;⽩兰地;⽶酒;⽩酒;葡萄酒;烧酒</t>
  </si>
  <si>
    <t>车马湖</t>
  </si>
  <si>
    <t>苏州康贝尔生物科技有限公司</t>
  </si>
  <si>
    <t>⽶酒;含酒精的饮料（啤酒除外）;含酒精⽔果饮料;果酒;⽩酒;⾼粱酒;烧酒;⻩酒;含⽔果酒精饮料;葡萄酒</t>
  </si>
  <si>
    <t>水浒林冲</t>
  </si>
  <si>
    <t>樊星星</t>
  </si>
  <si>
    <t>汽酒;⻩酒;⽩酒;伏特加酒;果酒（含酒精）;清酒（⽇本⽶酒）;酒精饮料（啤酒除外）;葡萄酒;烈酒（饮料）;⽩兰地</t>
  </si>
  <si>
    <t>谦友</t>
  </si>
  <si>
    <t>丑鹏</t>
  </si>
  <si>
    <t>鸡尾酒;酒精饮料（啤酒除外）;烧酒;⽩酒;葡萄酒;苹果酒;果酒（含酒精）;茴⾹酒（利⼝酒）;酒精饮料原汁;⽶酒</t>
  </si>
  <si>
    <t>天复强</t>
  </si>
  <si>
    <t>王福印</t>
  </si>
  <si>
    <t>⽩酒;⻩酒;鸡尾酒;蒸煮提取物（利⼝酒和烈酒）;酒精饮料（啤酒除外）;威⼠忌;果酒（含酒精）;⽩兰地;酒精饮料原汁;葡萄酒</t>
  </si>
  <si>
    <t>润亨</t>
  </si>
  <si>
    <t>甘诚锦</t>
  </si>
  <si>
    <t>⽩兰地;⽶酒;⽩酒;清酒;梅酒;烧酒;⻘稞酒;⻩酒;⾼粱酒;葡萄酒</t>
  </si>
  <si>
    <t>杏中仙</t>
  </si>
  <si>
    <t>葡萄酒;清酒;果酒;⽩酒;⻩酒;烧酒;除啤酒外的酒精饮料;鸡尾酒;烈酒;⽶酒</t>
  </si>
  <si>
    <t>迂直</t>
  </si>
  <si>
    <t>万德军</t>
  </si>
  <si>
    <t>苦味酒;利⼝酒;开胃酒;果酒（含酒精）;⻩酒;葡萄酒;鸡尾酒;烧酒;⻘稞酒;⽩酒</t>
  </si>
  <si>
    <t>云飞</t>
  </si>
  <si>
    <t>内蒙古云飞酒业有限公司</t>
  </si>
  <si>
    <t>⽩酒;烧酒;⽩兰地;开胃酒;葡萄酒;清酒;⾷⽤酒精;酒精饮料（啤酒除外）;利⼝酒;果酒（含酒精）</t>
  </si>
  <si>
    <t>梅循</t>
  </si>
  <si>
    <t>厦门享东来品牌管理有限公司</t>
  </si>
  <si>
    <t>鸡尾酒;葡萄酒;⽩酒;果酒（含酒精）;除啤酒外的酒精饮料;⻩酒;烧酒;清酒（⽇本⽶酒）;⽶酒;梅酒</t>
  </si>
  <si>
    <t>黔水章</t>
  </si>
  <si>
    <t>⾼粱酒;⽼酒（中国蒸馏烈酒）;清酒;由⾕物蒸馏的⽩酒;苦荞酒;苦味酒;开胃酒;烈酒;茴⾹酒;⽩酒</t>
  </si>
  <si>
    <t>苏红袖</t>
  </si>
  <si>
    <t>冯伟</t>
  </si>
  <si>
    <t>蜂蜜酒;⽶酒;清酒;果酒（含酒精）;烈酒（饮料）;烧酒;⽩酒;⻩酒;汽酒;葡萄酒</t>
  </si>
  <si>
    <t>过酒州</t>
  </si>
  <si>
    <t>陈国东</t>
  </si>
  <si>
    <t>烈酒;酒精饮料（啤酒除外）;葡萄酒;清酒（⽇本⽶酒）;开胃酒;鸡尾酒;果酒（含酒精）;⻩酒;⽩酒;威⼠忌</t>
  </si>
  <si>
    <t>疆茫茫</t>
  </si>
  <si>
    <t>河南庞杨科技集团有限公司</t>
  </si>
  <si>
    <t>烈酒;利⼝酒;⽩酒;汽酒;⽶酒;开胃酒;威⼠忌;酒精饮料（啤酒除外）;⻩酒;葡萄酒</t>
  </si>
  <si>
    <t>安昌有禧</t>
  </si>
  <si>
    <t>绍兴师爷文化旅游投资有限公司</t>
  </si>
  <si>
    <t>开胃酒;清酒;伏特加酒;威⼠忌;烧酒;⽶酒;⻩酒;果酒（含酒精）;朗姆酒;⽩兰地</t>
  </si>
  <si>
    <t>贵泱河</t>
  </si>
  <si>
    <t>吕鑫洋</t>
  </si>
  <si>
    <t>烧酒;葡萄酒;⽩酒;⻩酒;餐后酒（利⼝酒和烈酒）;烈酒（饮料）;果酒（含酒精）;⽶酒;酒精饮料原汁;酒精饮料（啤酒除外）</t>
  </si>
  <si>
    <t>词峯</t>
  </si>
  <si>
    <t>果酒（含酒精）;鸡尾酒;利⼝酒;⻩酒;苦味酒;开胃酒;烧酒;⽩酒;葡萄酒;⻘稞酒</t>
  </si>
  <si>
    <t>印在通</t>
  </si>
  <si>
    <t>丹江口市印在通电子商务有限公司</t>
  </si>
  <si>
    <t>烧酒（烈酒）;烈酒;松叶酒;⽩⼲酒（中国⽩酒）;鸡尾酒;果酒（含酒精）;苹果酒;威⼠忌;⾼粱酒;⻩酒</t>
  </si>
  <si>
    <t>班魁 BJBANQ</t>
  </si>
  <si>
    <t>北京国兴合兴商贸有限公司</t>
  </si>
  <si>
    <t>烧酒;葡萄酒;⽶酒;⽩酒;果酒（含酒精）;鸡尾酒;烈酒（饮料）;威⼠忌;酒精饮料（啤酒除外）;蒸馏饮料</t>
  </si>
  <si>
    <t>黔鸿锦</t>
  </si>
  <si>
    <t>上海沣淳酒业有限公司</t>
  </si>
  <si>
    <t>利⼝酒;果酒（含酒精）;清酒（⽇本⽶酒）;威⼠忌;⽩酒;伏特加酒;葡萄酒;鸡尾酒;⽶酒;⽩兰地</t>
  </si>
  <si>
    <t>晋王赋</t>
  </si>
  <si>
    <t>赵金凤</t>
  </si>
  <si>
    <t>⻩酒;⽩酒;⽩⼲酒（中国⽩酒）;清酒（⽇本⽶酒）;⽶酒;⽩兰地;烈酒;由⾕物蒸馏的⽩酒</t>
  </si>
  <si>
    <t>猿族高手</t>
  </si>
  <si>
    <t>石亮</t>
  </si>
  <si>
    <t>朗姆酒;烈酒（饮料）;威⼠忌;⻩酒;葡萄酒;⽩兰地;果酒（含酒精）;⾷⽤酒精;伏特加酒;⽩酒</t>
  </si>
  <si>
    <t>JKHQ</t>
  </si>
  <si>
    <t>君康芪业（固阳）科技有限公司</t>
  </si>
  <si>
    <t>MOX</t>
  </si>
  <si>
    <t>施崇贤</t>
  </si>
  <si>
    <t>葡萄酒;烈酒（饮料）;⽩兰地;预先混合的酒精饮料（以啤酒为主的除外）;⽩酒;清酒（⽇本⽶酒）;威⼠忌;酒精饮料（啤酒除外）;杜松⼦酒;果酒（含酒精）</t>
  </si>
  <si>
    <t>永太乐</t>
  </si>
  <si>
    <t>上海榕仁贸易有限公司</t>
  </si>
  <si>
    <t>酒精饮料浓缩汁;⽩酒;⽶酒;酒精饮料（啤酒除外）;酒精饮料原汁;⾷⽤酒精;烧酒;⻩酒;蒸馏饮料;葡萄酒</t>
  </si>
  <si>
    <t>松老板</t>
  </si>
  <si>
    <t>胡松</t>
  </si>
  <si>
    <t>⽼酒（中国蒸馏烈酒）;含酒精的饮料（啤酒除外）;烧酒（烈酒）;⾼粱酒;果酒（含酒精）;蒸馏⽶酒（泡盛酒）;⽩⼲酒（中国⽩酒）;红葡萄酒;⾕物制蒸馏酒精饮料;鸡尾酒</t>
  </si>
  <si>
    <t>新码</t>
  </si>
  <si>
    <t>新码（中山）品牌管理有限公司</t>
  </si>
  <si>
    <t>鸡尾酒;⽶酒;⽩兰地;苹果酒;⽩酒;⾕物制蒸馏酒精饮料;酒精饮料原汁;蒸馏饮料;含⽔果酒精饮料;葡萄酒</t>
  </si>
  <si>
    <t>邮连心田</t>
  </si>
  <si>
    <t>中国邮政集团有限公司南宁市分公司</t>
  </si>
  <si>
    <t>含⽔果酒精饮料;烧酒;酒精饮料浓缩汁;开胃酒;酒精饮料（啤酒除外）;蒸馏饮料;果酒（含酒精）;⽩酒;蒸煮提取物（利⼝酒和烈酒）;葡萄酒</t>
  </si>
  <si>
    <t>EPHIRONY</t>
  </si>
  <si>
    <t>九银汇聚(宁波)国际贸易有限公司</t>
  </si>
  <si>
    <t>葡萄酒;⽩酒;鸡尾酒;伏特加酒;以葡萄酒为主的饮料;红葡萄酒;含酒精的饮料（啤酒除外）;威⼠忌;⽶酒;⻩酒</t>
  </si>
  <si>
    <t>楚山峡</t>
  </si>
  <si>
    <t>周琼</t>
  </si>
  <si>
    <t>⽼酒（中国蒸馏烈酒）;苦荞酒;烈酒;⽶酒;利⼝酒;⽩酒;⻩酒;⽩⼲酒（中国⽩酒）;⾼粱酒;烧酒（烈酒）</t>
  </si>
  <si>
    <t>黔沙洲喜上眉梢</t>
  </si>
  <si>
    <t>江苏聚好玖商贸有限公司</t>
  </si>
  <si>
    <t>⻩酒;酒精饮料（啤酒除外）;开胃酒;葡萄酒;⽩酒;⽩兰地;果酒（含酒精）;鸡尾酒;清酒（⽇本⽶酒）;威⼠忌</t>
  </si>
  <si>
    <t>波哥达春玺酒店</t>
  </si>
  <si>
    <t>山东波哥达投资有限公司</t>
  </si>
  <si>
    <t>抡才</t>
  </si>
  <si>
    <t>长沙贰壹文化创意有限公司</t>
  </si>
  <si>
    <t>烧酒;⽩酒;葡萄酒;⻩酒;⾷⽤酒精;⽶酒;清酒;酒精饮料（啤酒除外）;蜂蜜酒;果酒（含酒精）</t>
  </si>
  <si>
    <t>范范都掂</t>
  </si>
  <si>
    <t>广东石湾酒厂集团有限公司</t>
  </si>
  <si>
    <t>⽩兰地;含⽔果酒精饮料;⻩酒;蒸馏饮料;酒精饮料（啤酒除外）;⽶酒;烧酒;葡萄酒;威⼠忌;⽩酒</t>
  </si>
  <si>
    <t>虹然</t>
  </si>
  <si>
    <t>北京虹然建材科技有限公司</t>
  </si>
  <si>
    <t>得亦德</t>
  </si>
  <si>
    <t>百尺台酒业有限公司</t>
  </si>
  <si>
    <t>⽶酒;果酒（含酒精）;⻩酒;酒精饮料（啤酒除外）;烧酒;清酒;预先混合的酒精饮料（以啤酒为主的除外）;⽩酒;葡萄酒;含⽔果酒精饮料</t>
  </si>
  <si>
    <t>MORGAN ROY</t>
  </si>
  <si>
    <t>鸡尾酒;葡萄酒;⽩兰地;朗姆酒;烈酒;威⼠忌;酒精饮料（啤酒除外）;伏特加酒;利⼝酒;⽩酒</t>
  </si>
  <si>
    <t>祥中祥</t>
  </si>
  <si>
    <t>肖池</t>
  </si>
  <si>
    <t>果酒（含酒精）;⽩兰地;蒸煮提取物（利⼝酒和烈酒）;⻩酒;鸡尾酒;威⼠忌;⽩酒;酒精饮料原汁;葡萄酒;酒精饮料（啤酒除外）</t>
  </si>
  <si>
    <t>粱盏天酿</t>
  </si>
  <si>
    <t>酒精饮料（啤酒除外）;⻩酒;酒精饮料原汁;酒精饮料浓缩汁;⾷⽤酒精;烈酒（饮料）;朝鲜族⽶酒;⽩酒;烧酒;葡萄酒</t>
  </si>
  <si>
    <t>宴晶 BJBANQ</t>
  </si>
  <si>
    <t>酒精饮料（啤酒除外）;果酒（含酒精）;葡萄酒;蒸馏饮料;⽩酒;烈酒（饮料）;烧酒;⽶酒;威⼠忌;鸡尾酒</t>
  </si>
  <si>
    <t>葵动力</t>
  </si>
  <si>
    <t>河北葵克生物科技有限公司</t>
  </si>
  <si>
    <t>果酒（含酒精）;樱桃酒;以葡萄酒为主的饮料;酒精饮料（啤酒除外）;含⽔果酒精饮料;⽶酒;开胃酒;苹果酒;梨酒;⾕物制蒸馏酒精饮料</t>
  </si>
  <si>
    <t>绥兰古酿</t>
  </si>
  <si>
    <t>绥化市金鹤乳业有限公司</t>
  </si>
  <si>
    <t>开胃酒;⽩酒;苹果酒;樱桃酒;果酒（含酒精）;葡萄酒;蜂蜜酒;梨酒;烧酒;⻩酒</t>
  </si>
  <si>
    <t>舌殿下</t>
  </si>
  <si>
    <t>郭潇</t>
  </si>
  <si>
    <t>含⽔果酒精饮料;⽩酒;鸡尾酒;利⼝酒;酒精饮料（啤酒除外）;朗姆酒;威⼠忌;开胃酒;果酒（含酒精）;葡萄酒</t>
  </si>
  <si>
    <t>花间寻</t>
  </si>
  <si>
    <t>秦阳俊</t>
  </si>
  <si>
    <t>酒精饮料（啤酒除外）;⻘稞酒;⽩酒;烧酒;葡萄酒;果酒（含酒精）;⻩酒;清酒（⽇本⽶酒）;⽶酒;朗姆酒</t>
  </si>
  <si>
    <t>众爱康亿度</t>
  </si>
  <si>
    <t>贵州省仁怀市程润陈香酒业有限公司</t>
  </si>
  <si>
    <t>葡萄酒;果酒（含酒精）;⽶酒;利⼝酒;⽼酒（中国蒸馏烈酒）;酒精饮料（啤酒除外）;⻩酒;开胃酒;清酒（⽇本⽶酒）;⽩酒</t>
  </si>
  <si>
    <t>橙意向金</t>
  </si>
  <si>
    <t>资中县君子泉酒厂</t>
  </si>
  <si>
    <t>汽酒;⽩酒;酒（利⼝酒）;⽶酒;酒精饮料（啤酒除外）;烧酒;葡萄酒;果酒（含酒精）;⻩酒;清酒</t>
  </si>
  <si>
    <t>雪色山脉</t>
  </si>
  <si>
    <t>田印</t>
  </si>
  <si>
    <t>果酒（含酒精）;鸡尾酒;酒精饮料原汁;蒸煮提取物（利⼝酒和烈酒）;⽩酒;葡萄酒;威⼠忌;酒精饮料（啤酒除外）;⻩酒;⽩兰地</t>
  </si>
  <si>
    <t>江东来</t>
  </si>
  <si>
    <t>福州日兴水产食品有限公司</t>
  </si>
  <si>
    <t>烧酒;葡萄酒;酒精饮料（啤酒除外）;⽩酒;利⼝酒;果酒（含酒精）;⽶酒;开胃酒;清酒（⽇本⽶酒）;⻩酒</t>
  </si>
  <si>
    <t>焕江红</t>
  </si>
  <si>
    <t>苏州焕江红供应链管理服务有限公司</t>
  </si>
  <si>
    <t>酒精饮料（啤酒除外）;葡萄酒;⾷⽤酒精;⽼酒（中国蒸馏烈酒）;⽩酒;⾕物制蒸馏酒精饮料;⽩兰地;鸡尾酒;⽶酒;果酒（含酒精）</t>
  </si>
  <si>
    <t>鹿适元</t>
  </si>
  <si>
    <t>都市休闲餐饮有限公司</t>
  </si>
  <si>
    <t>⾷⽤酒精;⻩酒;鸡尾酒;含⽔果酒精饮料;⽶酒;⽩酒;果酒（含酒精）;酒精饮料（啤酒除外）;⽩兰地;葡萄酒</t>
  </si>
  <si>
    <t>润轩</t>
  </si>
  <si>
    <t>丰泽区宽亚百货商行</t>
  </si>
  <si>
    <t>朗姆酒（酒精饮料）;烧酒（烈酒）;开胃酒;⻘梅酒;葡萄酒;清酒（⽇本⽶酒）;⽩酒;奶油利⼝酒;鸡尾酒;苹果酒</t>
  </si>
  <si>
    <t>天壤传承</t>
  </si>
  <si>
    <t>环球佳酿酒业集团有限公司</t>
  </si>
  <si>
    <t>蒸煮提取物（利⼝酒和烈酒）;烧酒;⽩⼲酒（中国⽩酒）;⽩酒;⻩酒;由⾕物蒸馏的⽩酒;⻘稞酒;开胃酒;五加⽪酒（中国混合烈酒）;⾼粱酒</t>
  </si>
  <si>
    <t>陈氏春秋陈府家酒</t>
  </si>
  <si>
    <t>陈良勇522101********2812</t>
  </si>
  <si>
    <t>烧酒;清酒;酒精饮料（啤酒除外）;开胃酒;烈酒;⽶酒;⽩⼲酒（中国⽩酒）;⽩酒;由⾕物蒸馏的⽩酒;利⼝酒</t>
  </si>
  <si>
    <t>本佼</t>
  </si>
  <si>
    <t>刘文林</t>
  </si>
  <si>
    <t>酒精饮料（啤酒除外）;果酒（含酒精）;⽩酒;蜂蜜酒;烧酒;⻩酒;烈酒（饮料）;蒸煮提取物（利⼝酒和烈酒）;⽶酒;葡萄酒</t>
  </si>
  <si>
    <t>烟釜</t>
  </si>
  <si>
    <t>上海东鎏企业管理集团有限公司</t>
  </si>
  <si>
    <t>⽩酒;酒精饮料（啤酒除外）;果酒（含酒精）;清酒（⽇本⽶酒）;威⼠忌;梅酒;苹果酒;葡萄酒;含⽔果酒精饮料;起泡红葡萄酒</t>
  </si>
  <si>
    <t>粱盏天赐</t>
  </si>
  <si>
    <t>酒精饮料（啤酒除外）;葡萄酒;⽩酒;烈酒（饮料）;⾷⽤酒精;⻩酒;酒精饮料浓缩汁;朝鲜族⽶酒;烧酒;酒精饮料原汁</t>
  </si>
  <si>
    <t>无畏山</t>
  </si>
  <si>
    <t>中萤（上海）信息科技有限公司</t>
  </si>
  <si>
    <t>⻩酒;清酒（⽇本⽶酒）;鸡尾酒;酒精饮料（啤酒除外）;⽩兰地;⽩酒;葡萄酒;⽶酒;⾕物制蒸馏酒精饮料;威⼠忌</t>
  </si>
  <si>
    <t>株醴甘露</t>
  </si>
  <si>
    <t>湖南臻心文化传播有限公司</t>
  </si>
  <si>
    <t>清酒（⽇本⽶酒）;⽩⼲酒（中国⽩酒）;⽩酒;⻩酒;鸡尾酒;葡萄酒;烧酒;威⼠忌;⽶酒;开胃酒</t>
  </si>
  <si>
    <t>富善宴</t>
  </si>
  <si>
    <t>贵州酋长酒业有限公司</t>
  </si>
  <si>
    <t>葡萄酒;烈酒;烧酒;⾼粱酒;⽩酒;果酒;含酒精的饮料（啤酒除外）;以葡萄酒为主的开胃酒;⻘稞酒;⽼酒（中国蒸馏烈酒）</t>
  </si>
  <si>
    <t>洋凌 洋凌酒业</t>
  </si>
  <si>
    <t>河北洋凌酒业有限公司</t>
  </si>
  <si>
    <t>⻘稞酒;⻩酒;清酒（⽇本⽶酒）;烧酒（烈酒）;果酒（含酒精）;⽩酒;⽶酒;葡萄酒;鸡尾酒;伏特加酒</t>
  </si>
  <si>
    <t>小芬说车</t>
  </si>
  <si>
    <t>北京小芬说车网络科技有限公司</t>
  </si>
  <si>
    <t>⽩酒;葡萄酒;鸡尾酒;烧酒;⻩酒;烈酒（饮料）;利⼝酒;⽶酒;开胃酒;蜂蜜酒</t>
  </si>
  <si>
    <t>广印天下</t>
  </si>
  <si>
    <t>秦浩鑫</t>
  </si>
  <si>
    <t>果酒（含酒精）;⽶酒;烧酒;⽩酒;威⼠忌;葡萄酒;鸡尾酒;酒精饮料（啤酒除外）;清酒（⽇本⽶酒）;烈酒</t>
  </si>
  <si>
    <t>JL GUOCHAO REN</t>
  </si>
  <si>
    <t>上海庭华文化传播有限公司</t>
  </si>
  <si>
    <t>烈酒;⽩酒;⻩酒;烧酒;开胃酒;蒸馏饮料;酒精饮料（啤酒除外）;果酒;葡萄酒;⽶酒</t>
  </si>
  <si>
    <t>果字头</t>
  </si>
  <si>
    <t>王振平</t>
  </si>
  <si>
    <t>果酒（含酒精）;葡萄酒;酒精饮料（啤酒除外）;⽩酒;樱桃酒;鸡尾酒;朗姆酒;含⽔果酒精饮料;苹果酒;清酒（⽇本⽶酒）</t>
  </si>
  <si>
    <t>付琼</t>
  </si>
  <si>
    <t>陈付琼532301********2520</t>
  </si>
  <si>
    <t>⽩酒;⻩酒;果酒（含酒精）;烈酒;烧酒;⽶酒;葡萄酒;酒精饮料（啤酒除外）;⾷⽤酒精;汽酒</t>
  </si>
  <si>
    <t>舒颂康源</t>
  </si>
  <si>
    <t>舒国栋</t>
  </si>
  <si>
    <t>⻘稞酒;⽩酒;酒精饮料（啤酒除外）;⽶酒;果酒（含酒精）;以葡萄酒为主的饮料;⾕物制蒸馏酒精饮料;⻩酒;⾷⽤酒精;蜂蜜酒</t>
  </si>
  <si>
    <t>辣小丫</t>
  </si>
  <si>
    <t>辣小鸭食品有限公司</t>
  </si>
  <si>
    <t>薄荷酒;⽩酒;苹果酒;果酒（含酒精）;烈酒（饮料）;茴芹酒（利⼝酒）;蒸馏饮料;亚⼒酒;鸡尾酒;苦味酒</t>
  </si>
  <si>
    <t>鸿程似锦</t>
  </si>
  <si>
    <t>刘九发</t>
  </si>
  <si>
    <t>含⽔果酒精饮料;⽩酒;葡萄酒;⻩酒;⾼粱酒;烧酒;⽶酒;威⼠忌;烈酒（饮料）;果酒</t>
  </si>
  <si>
    <t>太木太</t>
  </si>
  <si>
    <t>郑州乐旅商贸有限公司</t>
  </si>
  <si>
    <t>果酒（含酒精）;葡萄酒;含⽔果酒精饮料;⽩兰地;鸡尾酒;⽩酒;烧酒;⽶酒;预先混合的酒精饮料（以啤酒为主的除外）;⻩酒</t>
  </si>
  <si>
    <t>CPE HEBEKOBBI</t>
  </si>
  <si>
    <t>陈晓宇</t>
  </si>
  <si>
    <t>葡萄酒;果酒（含酒精）;⽩酒;⽶酒;烈酒（饮料）;鸡尾酒;以葡萄酒为主的开胃酒;酒精饮料（啤酒除外）;⻩酒;烧酒</t>
  </si>
  <si>
    <t>曹均春</t>
  </si>
  <si>
    <t>果酒（含酒精）;酒精饮料原汁;烧酒;烈酒（饮料）;⽶酒;⾷⽤酒精;蒸馏饮料;酒精饮料（啤酒除外）;⽩酒;葡萄酒</t>
  </si>
  <si>
    <t>黔门宗</t>
  </si>
  <si>
    <t>吴代波</t>
  </si>
  <si>
    <t>⽩酒;果酒（含酒精）;烈酒（饮料）;⻩酒;烧酒;开胃酒;梨酒;清酒（⽇本⽶酒）;⽶酒;葡萄酒</t>
  </si>
  <si>
    <t>PEXNPOWER</t>
  </si>
  <si>
    <t>秦皇岛恒天商贸有限公司</t>
  </si>
  <si>
    <t>清酒;葡萄酒;鸡尾酒;果酒（含酒精）;蒸煮提取物（利⼝酒和烈酒）;伏特加酒;威⼠忌;烧酒;汽酒;⽩兰地</t>
  </si>
  <si>
    <t>桂穗香</t>
  </si>
  <si>
    <t>黄浩源</t>
  </si>
  <si>
    <t>酒精饮料浓缩汁;烧酒（烈酒）;⽶酒;⻩酒;酒精饮料（啤酒除外）;⻘稞酒;果酒（含酒精）;蒸馏饮料;⽩酒;酒精饮料原汁</t>
  </si>
  <si>
    <t>遗良品</t>
  </si>
  <si>
    <t>临清清源正本生物医药科技有限公司</t>
  </si>
  <si>
    <t>⽩酒;葡萄酒;⽶酒;酒精饮料浓缩汁;鸡尾酒;含⽔果酒精饮料;含酒精的饮料（啤酒除外）;露酒;果酒（含酒精）;烈酒（饮料）</t>
  </si>
  <si>
    <t>鸣潮 WUTHERING WAVES</t>
  </si>
  <si>
    <t>广州库洛科技有限公司</t>
  </si>
  <si>
    <t>葡萄酒;利⼝酒;预先混合的酒精饮料（以啤酒为主的除外）;果酒（含酒精）;蒸馏饮料;鸡尾酒;⽼酒（中国蒸馏烈酒）;烈酒（饮料）;薄荷酒;含⽔果酒精饮料</t>
  </si>
  <si>
    <t>粱盏天成</t>
  </si>
  <si>
    <t>葡萄酒;烈酒（饮料）;⻩酒;酒精饮料原汁;烧酒;朝鲜族⽶酒;⽩酒;酒精饮料浓缩汁;⾷⽤酒精;酒精饮料（啤酒除外）</t>
  </si>
  <si>
    <t>JLRGC</t>
  </si>
  <si>
    <t>果酒;蒸馏饮料;酒精饮料（啤酒除外）;⻩酒;⽶酒;葡萄酒;⽩酒;烧酒;烈酒;开胃酒</t>
  </si>
  <si>
    <t>金种子贵运</t>
  </si>
  <si>
    <t>安徽金种子酒业股份有限公司</t>
  </si>
  <si>
    <t>⽩酒;⽶酒;含⽔果酒精饮料;烈酒（饮料）;鸡尾酒;⻩酒;果酒（含酒精）;烧酒;葡萄酒;酒精饮料浓缩汁</t>
  </si>
  <si>
    <t>CAPPUCCETTO ROSSO</t>
  </si>
  <si>
    <t>加福得食品（北京）有限公司</t>
  </si>
  <si>
    <t>苦味酒;烈酒（饮料）;鸡尾酒;酒精饮料（啤酒除外）;果酒（含酒精）;葡萄酒;含⽔果酒精饮料;开胃酒</t>
  </si>
  <si>
    <t>爱之吻</t>
  </si>
  <si>
    <t>椿茗国际贸易（上海）有限公司</t>
  </si>
  <si>
    <t>烈酒;⽩酒;清酒;⽼酒（中国蒸馏烈酒）;露酒;除啤酒外的酒精饮料;马格利酒（朝鲜传统⽶酒）;⻩酒;⼲型苹果酒;烧酒</t>
  </si>
  <si>
    <t>酨启</t>
  </si>
  <si>
    <t>义乌市再启酒业有限公司</t>
  </si>
  <si>
    <t>⾕物制蒸馏酒精饮料;⻩酒;已调味的⻨芽酿制的酒精饮料（啤酒除外）;⽩酒;葡萄酒;预先混合的酒精饮料（以啤酒为主的除外）;含酒精的饮料（啤酒除外）;蜂蜜酒;⽶酒;餐后酒（利⼝酒和烈酒）</t>
  </si>
  <si>
    <t>东蜀宋瓷</t>
  </si>
  <si>
    <t>鸡尾酒;酒精饮料（啤酒除外）;汽酒;⻩酒;果酒;⽩酒;烧酒（烈酒）;葡萄酒;蒸馏饮料;⾷⽤酒精</t>
  </si>
  <si>
    <t>PIZARRAS</t>
  </si>
  <si>
    <t>维内多家族查德威克有限公司</t>
  </si>
  <si>
    <t>3TIMELESSTOP</t>
  </si>
  <si>
    <t>广东省三泰投资集团有限公司</t>
  </si>
  <si>
    <t>豹尾</t>
  </si>
  <si>
    <t>鸡尾酒;利⼝酒;⻘稞酒;苦味酒;⻩酒;薄荷酒;烧酒;⽩酒;果酒（含酒精）;葡萄酒</t>
  </si>
  <si>
    <t>富元亨</t>
  </si>
  <si>
    <t>烧酒（烈酒）;鸡尾酒;烈酒;烧酒;⻘梅酒;开胃酒;清酒;⻘稞酒;⾼粱酒;⽩酒</t>
  </si>
  <si>
    <t>御道醉仙</t>
  </si>
  <si>
    <t>宿迁市云盛昌酒业有限公司</t>
  </si>
  <si>
    <t>⽶酒;⽼酒（中国蒸馏烈酒）;⾕物制蒸馏酒精饮料;⽩酒;由⾕物蒸馏的⽩酒;⽩⼲酒（中国⽩酒）;烧酒;清酒;⻩酒;汽酒</t>
  </si>
  <si>
    <t>清花高照</t>
  </si>
  <si>
    <t>田丹英</t>
  </si>
  <si>
    <t>⽩酒;烈酒;烧酒;除啤酒外的酒精饮料;⽶酒;⻩酒;果酒;清酒;葡萄酒;鸡尾酒</t>
  </si>
  <si>
    <t>蒙客福</t>
  </si>
  <si>
    <t>内蒙古新启航国际贸易有限公司</t>
  </si>
  <si>
    <t>薄荷酒;葡萄酒;含⽔果酒精饮料;威⼠忌;果酒（含酒精）;开胃酒;蒸馏饮料;酒精饮料（啤酒除外）;⻩酒;⽩酒</t>
  </si>
  <si>
    <t>陈腊群</t>
  </si>
  <si>
    <t>陈曦妍</t>
  </si>
  <si>
    <t>果酒（含酒精）;开胃酒;威⼠忌;鸡尾酒;甜酒;含⽔果酒精饮料;樱桃酒;⻩酒;⽩酒;葡萄酒</t>
  </si>
  <si>
    <t>小鲸无忧</t>
  </si>
  <si>
    <t>上海复医天健医疗服务产业股份有限公司</t>
  </si>
  <si>
    <t>葡萄酒;⾕物制蒸馏酒精饮料;烧酒;⽶酒;含⽔果酒精饮料;⾼粱酒;⽩酒;酒精饮料（啤酒除外）;⻩酒;果酒（含酒精）</t>
  </si>
  <si>
    <t>七食二铺</t>
  </si>
  <si>
    <t>吴振宇</t>
  </si>
  <si>
    <t>蒸馏饮料;苹果酒;葡萄酒;酒精饮料（啤酒除外）;⽶酒;⽩酒;含⽔果酒精饮料;烧酒;果酒（含酒精）;⻩酒</t>
  </si>
  <si>
    <t>大卫古思克</t>
  </si>
  <si>
    <t>金提</t>
  </si>
  <si>
    <t>以葡萄酒为主的饮料;烈酒;露酒;鸡尾酒;除啤酒外的酒精饮料;果酒;含酒精⽔果饮料;⽩兰地;威⼠忌;葡萄酒</t>
  </si>
  <si>
    <t>2024/05/29</t>
  </si>
  <si>
    <t>牛大胖</t>
  </si>
  <si>
    <t>龚灵华</t>
  </si>
  <si>
    <t>鸡尾酒;果酒（含酒精）;蒸馏饮料;⽩兰地;⽩酒;以葡萄酒为主的饮料;威⼠忌;含⽔果酒精饮料;⽶酒;⾕物制蒸馏酒精饮料</t>
  </si>
  <si>
    <t>福如海福酒</t>
  </si>
  <si>
    <t>兴宁市福如海酒业有限公司</t>
  </si>
  <si>
    <t>烈酒;露酒;⽩酒;⾼粱酒;酒精饮料原汁;果酒;甜酒;汽酒;⻩酒;混合威⼠忌酒</t>
  </si>
  <si>
    <t>佳酣</t>
  </si>
  <si>
    <t>张雨林</t>
  </si>
  <si>
    <t>鸡尾酒;⽩酒;果酒（含酒精）;开胃酒;烈酒;葡萄酒;威⼠忌;酒精饮料（啤酒除外）;⻩酒;清酒（⽇本⽶酒）</t>
  </si>
  <si>
    <t>江山已秋</t>
  </si>
  <si>
    <t>蜂蜜酒;⽩兰地;威⼠忌;鸡尾酒;⽶酒;⽩酒;葡萄酒;果酒（含酒精）;蒸馏饮料;含⽔果酒精饮料</t>
  </si>
  <si>
    <t>骄之年</t>
  </si>
  <si>
    <t>王明刚</t>
  </si>
  <si>
    <t>⽶酒;⽩酒;葡萄酒;清酒（⽇本⽶酒）;烈酒（饮料）;烧酒;⻩酒;果酒（含酒精）;鸡尾酒;酒精饮料（啤酒除外）</t>
  </si>
  <si>
    <t>卫誉祥</t>
  </si>
  <si>
    <t>扬州市美飞再生资源有限公司</t>
  </si>
  <si>
    <t>果酒（含酒精）;苦味酒;酒精饮料原汁;茴芹酒（利⼝酒）;酒精饮料浓缩汁;樱桃酒;烈酒（饮料）;⽩兰地;威⼠忌;蜂蜜酒</t>
  </si>
  <si>
    <t>酉廿</t>
  </si>
  <si>
    <t>姚震斐</t>
  </si>
  <si>
    <t>⽩酒;烈酒;烧酒;葡萄酒;⽼酒（中国蒸馏烈酒）;蒸馏饮料;酒精饮料（啤酒除外）;⾼粱酒;果酒</t>
  </si>
  <si>
    <t>破奴</t>
  </si>
  <si>
    <t>硬黑科技（河北）有限公司</t>
  </si>
  <si>
    <t>烧酒;⻩酒;⽩酒;以葡萄酒为主的饮料;烧酒（烈酒）;⽶酒;⾼粱酒;由⾕物蒸馏的⽩酒;果酒;⽩⼲酒（中国⽩酒）</t>
  </si>
  <si>
    <t>健花醇</t>
  </si>
  <si>
    <t>鸡尾酒;清酒（⽇本⽶酒）;葡萄酒;果酒（含酒精）;⻩酒;酒精饮料（啤酒除外）;⽩酒;烈酒（饮料）;烧酒;⽶酒</t>
  </si>
  <si>
    <t>古思克</t>
  </si>
  <si>
    <t>威⼠忌;烈酒;除啤酒外的酒精饮料;鸡尾酒;含酒精⽔果饮料;果酒;葡萄酒;⽩兰地;露酒;以葡萄酒为主的饮料</t>
  </si>
  <si>
    <t>耶气满满</t>
  </si>
  <si>
    <t>林晓娜</t>
  </si>
  <si>
    <t>果酒;⽩酒;蒸馏饮料;含酒精的充⽓饮料（啤酒除外）;鸡尾酒;含⽔果酒精饮料;含酒精的⽔果鸡尾酒饮料;朗姆酒（酒精饮料）;含酒精蛋奶酒;含酒精⽔果饮料</t>
  </si>
  <si>
    <t>澍樽台</t>
  </si>
  <si>
    <t>上海巅峰酱酒业有限公司</t>
  </si>
  <si>
    <t>⽶酒;烧酒;葡萄酒;⻩酒;⽩酒;烈酒;⽼酒（中国蒸馏烈酒）;开胃酒;⾼粱酒;甜酒</t>
  </si>
  <si>
    <t>浙甄鲜</t>
  </si>
  <si>
    <t>浙甄鲜供应链管理（宁波）有限公司</t>
  </si>
  <si>
    <t>酒精饮料（啤酒除外）;⽩⼲酒（中国⽩酒）;葡萄酒;⽩酒;开胃酒;⽶酒;烧酒;⻩酒;果酒;⽼酒（中国蒸馏烈酒）</t>
  </si>
  <si>
    <t>火州美农</t>
  </si>
  <si>
    <t>新疆西域科技有限公司</t>
  </si>
  <si>
    <t>鸡尾酒;蜂蜜酒;蒸馏饮料;含酒精⽔果饮料;⽩酒;果酒（含酒精）;⾷⽤酒精;烧酒;葡萄酒;⽩兰地</t>
  </si>
  <si>
    <t>酿台坊</t>
  </si>
  <si>
    <t>贵州省仁怀市利君酿酒作坊</t>
  </si>
  <si>
    <t>开胃酒;鸡尾酒;⽶酒;果酒;甜酒;⻘稞酒;⾼粱酒;⾷⽤酒精;⽩酒;葡萄酒</t>
  </si>
  <si>
    <t>MOORISH CEDAR</t>
  </si>
  <si>
    <t>张程茗</t>
  </si>
  <si>
    <t>蒸煮提取物（利⼝酒和烈酒）;威⼠忌;预先混合的酒精饮料（以啤酒为主的除外）;果酒（含酒精）;鸡尾酒;利⼝酒;伏特加酒;朗姆酒;葡萄酒;⽩兰地</t>
  </si>
  <si>
    <t>粉红极光</t>
  </si>
  <si>
    <t>天幕(香港)国际酒业有限公司</t>
  </si>
  <si>
    <t>⽩酒;含⽔果酒精饮料;葡萄酒;鸡尾酒;威⼠忌;⽶酒;清酒;⽩兰地;烈酒;酒精饮料（啤酒除外）</t>
  </si>
  <si>
    <t>怀缨</t>
  </si>
  <si>
    <t>贵州国缨酒业有限公司</t>
  </si>
  <si>
    <t>含酒精⽔果饮料;⽶酒;鸡尾酒;烧酒（烈酒）;果酒;由⾕物蒸馏的⽩酒;⽩酒;葡萄酒;⾼粱酒;酒精饮料（啤酒除外）</t>
  </si>
  <si>
    <t>崂特金脉</t>
  </si>
  <si>
    <t>王琮凯</t>
  </si>
  <si>
    <t>⽩酒;葡萄酒;鸡尾酒;果酒（含酒精）;酒精饮料（啤酒除外）;⽩兰地;烧酒;⽶酒;威⼠忌;清酒（⽇本⽶酒）</t>
  </si>
  <si>
    <t>粤鑫贵</t>
  </si>
  <si>
    <t>惠东县睿鑫农业有限公司</t>
  </si>
  <si>
    <t>⽩酒;葡萄酒;由⾕物蒸馏的⽩酒;⽶酒;甜酒;⽩兰地;伏特加酒;威⼠忌;⻩酒;果酒</t>
  </si>
  <si>
    <t>贺兴红</t>
  </si>
  <si>
    <t>宁夏建兴环保科技有限公司</t>
  </si>
  <si>
    <t>葡萄酒;利⼝酒;威⼠忌;酒精饮料（啤酒除外）;⽩酒;果酒（含酒精）;⽩兰地;⽩葡萄酒;鸡尾酒;汽酒</t>
  </si>
  <si>
    <t>三万荆</t>
  </si>
  <si>
    <t>贵州宏城光供应链管理有限公司</t>
  </si>
  <si>
    <t>⽩酒;鸡尾酒;葡萄酒;酒精饮料（啤酒除外）;烈酒（饮料）;⻩酒;果酒（含酒精）;⽶酒;蒸馏饮料;烧酒</t>
  </si>
  <si>
    <t>杉诺</t>
  </si>
  <si>
    <t>北京麦朴论道科技有限公司</t>
  </si>
  <si>
    <t>起泡红葡萄酒;烧酒;葡萄酒;烈酒（饮料）;威⼠忌;⽩兰地;⽩酒;杜松⼦酒;朗姆酒;利⼝酒</t>
  </si>
  <si>
    <t>色皮口厚德载物</t>
  </si>
  <si>
    <t>新疆山粮糜子酒有限责任公司</t>
  </si>
  <si>
    <t>开胃酒;酒精饮料（啤酒除外）;⽶酒;葡萄酒;⻩酒;含⽔果酒精饮料;⽩酒;果酒（含酒精）;烧酒;烈酒</t>
  </si>
  <si>
    <t>着野</t>
  </si>
  <si>
    <t>苏州有味清欢酒业有限公司</t>
  </si>
  <si>
    <t>果酒（含酒精）;清酒（⽇本⽶酒）;清酒;酒精饮料（啤酒除外）;⾷⽤酒精;佐餐酒;⽶酒;⾕物制蒸馏酒精饮料;⻩酒;烧酒</t>
  </si>
  <si>
    <t>修茸堂</t>
  </si>
  <si>
    <t>王刚</t>
  </si>
  <si>
    <t>汽酒;开胃酒;清酒;甜酒;葡萄酒;⽩酒;⽶酒;⾷⽤酒精;果酒;⻩酒</t>
  </si>
  <si>
    <t>唯愿心</t>
  </si>
  <si>
    <t>江苏金禾水环境科技股份有限公司</t>
  </si>
  <si>
    <t>鸡尾酒;威⼠忌;葡萄酒;烈酒（饮料）;蜂蜜酒;⻩酒;酒精饮料（啤酒除外）;果酒（含酒精）;⽶酒;⽩酒</t>
  </si>
  <si>
    <t>匠传成</t>
  </si>
  <si>
    <t>酒精饮料（啤酒除外）;⽶酒;果酒（含酒精）;葡萄酒;⻩酒;烧酒;⽩酒;鸡尾酒;清酒（⽇本⽶酒）;烈酒（饮料）</t>
  </si>
  <si>
    <t>哈哈荟</t>
  </si>
  <si>
    <t>黑龙江万耐思家居集团有限责任公司</t>
  </si>
  <si>
    <t>鸡尾酒;葡萄酒;⽩兰地;果酒（含酒精）;⻩酒;⽩酒;烈酒（饮料）;⽶酒;烧酒;苹果酒</t>
  </si>
  <si>
    <t>绯月</t>
  </si>
  <si>
    <t>嘉兴市中钦贸易有限公司</t>
  </si>
  <si>
    <t>烈酒;⽩酒;果酒（含酒精）;烈酒浓缩汁;烈酒(饮料);清酒;葡萄酒;威⼠忌;加烈葡萄酒;烧酒（烈酒）</t>
  </si>
  <si>
    <t>陇上西凉</t>
  </si>
  <si>
    <t>武威市凉州区金希望农业发展有限公司</t>
  </si>
  <si>
    <t>葡萄酒;苹果酒;开胃酒;红葡萄酒;蒸馏饮料;⽩葡萄酒;含⽔果酒精饮料;酒精饮料（啤酒除外）;果酒;利⼝酒</t>
  </si>
  <si>
    <t>臻伊美尚</t>
  </si>
  <si>
    <t>广州市锦熙健康产业有限公司</t>
  </si>
  <si>
    <t>杏醇秋</t>
  </si>
  <si>
    <t>张扬志</t>
  </si>
  <si>
    <t>烈酒;酒精饮料（啤酒除外）;果酒（含酒精）;开胃酒;威⼠忌;⻩酒;⽩酒;葡萄酒;清酒（⽇本⽶酒）;鸡尾酒</t>
  </si>
  <si>
    <t>老谢潮</t>
  </si>
  <si>
    <t>杭州市拱墅区杭硕餐饮店</t>
  </si>
  <si>
    <t>果酒（含酒精）;葡萄酒;酒精饮料（啤酒除外）;⻩酒;⽩酒;烧酒;威⼠忌;蜂蜜酒;烈酒（饮料）;⽶酒</t>
  </si>
  <si>
    <t>蒿乡情</t>
  </si>
  <si>
    <t>保定市浙业商贸有限公司</t>
  </si>
  <si>
    <t>红葡萄酒;⽩葡萄酒;⽩酒;朗姆酒;含⽔果酒精饮料;鸡尾酒;葡萄酒;烧酒;酒精饮料（啤酒除外）;果酒（含酒精）</t>
  </si>
  <si>
    <t>爱橙姐姐的农场</t>
  </si>
  <si>
    <t>江西博鑫农业有限公司</t>
  </si>
  <si>
    <t>⽩酒;蒸煮提取物（利⼝酒和烈酒）;果酒（含酒精）;酒精饮料（啤酒除外）;烧酒;⻩酒;⻘稞酒;清酒（⽇本⽶酒）;⽶酒;汽酒</t>
  </si>
  <si>
    <t>杨嘉桥展同</t>
  </si>
  <si>
    <t>湘潭县杨嘉桥镇展同酒庄坊</t>
  </si>
  <si>
    <t>⽩酒;由⾕物蒸馏的⽩酒;以葡萄酒为主的饮料;⾕物制蒸馏酒精饮料;烧酒;酒精饮料（啤酒除外）;⽶酒;⾷⽤酒精;蒸馏饮料;果酒（含酒精）</t>
  </si>
  <si>
    <t>珑宝珍</t>
  </si>
  <si>
    <t>四川美拓信息科技有限公司</t>
  </si>
  <si>
    <t>果酒（含酒精）;葡萄酒;⽩兰地;汽酒;⽶酒;威⼠忌;朗姆酒;果酒;鸡尾酒;⽩酒</t>
  </si>
  <si>
    <t>湖北灵狐投资有限公司</t>
  </si>
  <si>
    <t>香威</t>
  </si>
  <si>
    <t>张浩然</t>
  </si>
  <si>
    <t>果酒（含酒精）;葡萄酒;烈酒;威⼠忌;鸡尾酒;⻩酒;清酒（⽇本⽶酒）;酒精饮料（啤酒除外）;开胃酒;⽩酒</t>
  </si>
  <si>
    <t>津门千城宴</t>
  </si>
  <si>
    <t>天津津门千城宴餐饮文化有限公司</t>
  </si>
  <si>
    <t>酒精饮料（啤酒除外）;汽酒;⾕物制蒸馏酒精饮料;⽩酒;⻩酒;果酒（含酒精）;鸡尾酒;葡萄酒;含⽔果酒精饮料;⾷⽤酒精</t>
  </si>
  <si>
    <t>仁殿</t>
  </si>
  <si>
    <t>张林曦</t>
  </si>
  <si>
    <t>果酒（含酒精）;清酒（⽇本⽶酒）;⻩酒;开胃酒;酒精饮料（啤酒除外）;鸡尾酒;威⼠忌;⽩酒;烈酒;葡萄酒</t>
  </si>
  <si>
    <t>YEJAJE</t>
  </si>
  <si>
    <t>扬州市飞杰旅游用品有限公司</t>
  </si>
  <si>
    <t>⾷⽤酒精;烈酒（饮料）;酒精饮料（啤酒除外）;葡萄酒;⽶酒;⾕物制蒸馏酒精饮料;预先混合的酒精饮料（以啤酒为主的除外）;⽩酒;⻩酒;⻘稞酒</t>
  </si>
  <si>
    <t>金汉苐</t>
  </si>
  <si>
    <t>贵州省仁怀市矛康酒业有限公司</t>
  </si>
  <si>
    <t>鸡尾酒;果酒;威⼠忌;清酒;⽶酒;⽩兰地;⽩酒;⻩酒;葡萄酒;烈酒</t>
  </si>
  <si>
    <t>吾餂</t>
  </si>
  <si>
    <t>李玉芬</t>
  </si>
  <si>
    <t>⽶酒;⽼酒（中国蒸馏烈酒）;鸡尾酒;⽩酒;甜酒;果酒（含酒精）;葡萄酒;酒精饮料（啤酒除外）;⻩酒;烧酒</t>
  </si>
  <si>
    <t>旭馗</t>
  </si>
  <si>
    <t>金志眉</t>
  </si>
  <si>
    <t>果酒（含酒精）;⻘稞酒;⾕物制蒸馏酒精饮料;含酒精的⽓泡⽔;⻩酒;⾼粱酒;利⼝酒;⽶酒;烧酒;⽩酒</t>
  </si>
  <si>
    <t>朤䲜</t>
  </si>
  <si>
    <t>孙艳华</t>
  </si>
  <si>
    <t>薄荷酒;开胃酒;葡萄酒;⽩酒;酒精饮料（啤酒除外）;威⼠忌;果酒（含酒精）;⻩酒;蒸馏饮料;含⽔果酒精饮料</t>
  </si>
  <si>
    <t>皋鹿缘</t>
  </si>
  <si>
    <t>郭飞飞</t>
  </si>
  <si>
    <t>烧酒（烈酒）;⽶酒;汽酒;⽩酒;⻘稞酒;⻩酒;清酒;梅酒;⾼粱酒;果酒</t>
  </si>
  <si>
    <t>果知沁</t>
  </si>
  <si>
    <t>栗向均</t>
  </si>
  <si>
    <t>⽩酒;烈酒;鸡尾酒;果酒（含酒精）;⻩酒;开胃酒;威⼠忌;葡萄酒;清酒（⽇本⽶酒）;酒精饮料（啤酒除外）</t>
  </si>
  <si>
    <t>斟养林</t>
  </si>
  <si>
    <t>蒸馏饮料;蜂蜜酒;⽩兰地;果酒（含酒精）;鸡尾酒;威⼠忌;含⽔果酒精饮料;⽶酒;⽩酒;葡萄酒</t>
  </si>
  <si>
    <t>元上空野</t>
  </si>
  <si>
    <t>烧酒;⻩酒;果酒（含酒精）;酒精饮料（啤酒除外）;⾷⽤酒精;⾕物制蒸馏酒精饮料;清酒（⽇本⽶酒）;⽶酒;清酒;佐餐酒</t>
  </si>
  <si>
    <t>想容</t>
  </si>
  <si>
    <t>江苏泰阳森贸易有限公司</t>
  </si>
  <si>
    <t>果酒（含酒精）;⽩酒;葡萄酒;烈酒（饮料）;⻩酒;酒精饮料（啤酒除外）;清酒（⽇本⽶酒）;⽶酒;烧酒;甜酒</t>
  </si>
  <si>
    <t>惠达兴</t>
  </si>
  <si>
    <t>陈裕水</t>
  </si>
  <si>
    <t>烈酒（饮料）;露酒;⽶酒;⻩酒;杨梅酒;⽩酒;⾼粱酒;⻘梅酒;果酒（含酒精）;酒精饮料（啤酒除外）</t>
  </si>
  <si>
    <t>侬醉卿</t>
  </si>
  <si>
    <t>宁波市阿拉吃货餐饮服务有限公司</t>
  </si>
  <si>
    <t>酒精饮料原汁;清酒（⽇本⽶酒）;葡萄酒;⽶酒;果酒（含酒精）;开胃酒;⻩酒;烈酒（饮料）;鸡尾酒;⽩酒</t>
  </si>
  <si>
    <t>百草旭</t>
  </si>
  <si>
    <t>贵州董酒股份有限公司</t>
  </si>
  <si>
    <t>开胃酒;梨酒;清酒（⽇本⽶酒）;果酒（含酒精）;烧酒;⽶酒;餐后酒（利⼝酒和烈酒）;葡萄酒;酒精饮料（啤酒除外）;⽩酒</t>
  </si>
  <si>
    <t>庚丰楼</t>
  </si>
  <si>
    <t>海口多利时投资有限公司</t>
  </si>
  <si>
    <t>果酒;果酒（含酒精）;⽩酒;含⽔果酒精饮料</t>
  </si>
  <si>
    <t>库里兰伯爵</t>
  </si>
  <si>
    <t>威⼠忌;含酒精⽔果饮料;鸡尾酒;果酒;露酒;葡萄酒;⽩兰地;以葡萄酒为主的饮料;烈酒;除啤酒外的酒精饮料</t>
  </si>
  <si>
    <t>勾章</t>
  </si>
  <si>
    <t>宁波勾章商业管理有限公司</t>
  </si>
  <si>
    <t>葡萄酒;已调味的⻨芽酿制的酒精饮料（啤酒除外）;朗姆酒;⽩兰地;清酒（⽇本⽶酒）;⽶酒;预先混合的酒精饮料（以啤酒为主的除外）;⻘稞酒;⽩酒;烈酒（饮料）;⻩酒;酒精饮料（啤酒除外）;含⽔果酒精饮料;伏特加酒;烧酒;含酒精的⽓泡⽔;威⼠忌</t>
  </si>
  <si>
    <t>匠品佳</t>
  </si>
  <si>
    <t>刘俊</t>
  </si>
  <si>
    <t>果酒（含酒精）;开胃酒;葡萄酒;清酒（⽇本⽶酒）;烈酒;鸡尾酒;⽩酒;威⼠忌;酒精饮料（啤酒除外）;⻩酒</t>
  </si>
  <si>
    <t>六哥故事会</t>
  </si>
  <si>
    <t>广州鸿森投资发展有限公司</t>
  </si>
  <si>
    <t>鸡尾酒;⽩酒;⽩兰地;⻩酒;果酒;威⼠忌;⽶酒;烧酒;⾼粱酒;葡萄酒</t>
  </si>
  <si>
    <t>理想山谷</t>
  </si>
  <si>
    <t>林小华</t>
  </si>
  <si>
    <t>含酒精⽔果饮料;酒精饮料（啤酒除外）;果酒（含酒精）;葡萄酒;梅酒;⽶酒;⽔果汽酒;开胃酒;含⽔果酒精饮料;蜂蜜酒</t>
  </si>
  <si>
    <t>山珍玖韵</t>
  </si>
  <si>
    <t>黑龙江省山珍久味山特产有限责任公司</t>
  </si>
  <si>
    <t>⻩酒;⽩酒;果酒;清酒;⾼粱酒;开胃酒;含⽔果酒精饮料;⽶酒;鸡尾酒;葡萄酒</t>
  </si>
  <si>
    <t>庆成王 贡酒</t>
  </si>
  <si>
    <t>汾阳市庆成王酒业有限公司</t>
  </si>
  <si>
    <t>以葡萄酒为主的饮料;草莓酒;薄荷酒;果酒（含酒精）;⾼粱酒;蜂蜜酒;梨酒;⽶酒;⽩酒;鸡尾酒</t>
  </si>
  <si>
    <t>健花青</t>
  </si>
  <si>
    <t>烧酒;鸡尾酒;⽩酒;果酒（含酒精）;清酒（⽇本⽶酒）;⽶酒;酒精饮料（啤酒除外）;烈酒（饮料）;⻩酒;葡萄酒</t>
  </si>
  <si>
    <t>磨芳</t>
  </si>
  <si>
    <t>魔方酒类销售（重庆）有限公司</t>
  </si>
  <si>
    <t>苹果酒;葡萄酒;酒精饮料（啤酒除外）;⽶酒;烈酒（饮料）;鸡尾酒;⽩酒;⽩兰地;樱桃酒;果酒（含酒精）</t>
  </si>
  <si>
    <t>牛游潭</t>
  </si>
  <si>
    <t>林建平</t>
  </si>
  <si>
    <t>⽶酒;朗姆酒;葡萄酒;果酒（含酒精）;鸡尾酒;⽩酒;酒精饮料原汁;酒精饮料（啤酒除外）;烧酒;蜂蜜酒</t>
  </si>
  <si>
    <t>聚味小友</t>
  </si>
  <si>
    <t>含⽔果酒精饮料;以葡萄酒为主的饮料;⽩酒;⽶酒;⽩兰地;⾕物制蒸馏酒精饮料;果酒（含酒精）;蒸馏饮料;鸡尾酒;威⼠忌</t>
  </si>
  <si>
    <t>锦正（内蒙古）食品有限公司</t>
  </si>
  <si>
    <t>汽酒;⻘稞酒;⽩酒;⾷⽤酒精;餐后酒（利⼝酒和烈酒）;⽶酒;⻩酒;⾼粱酒;⽩⼲酒（中国⽩酒）;葡萄酒</t>
  </si>
  <si>
    <t>匠之酝</t>
  </si>
  <si>
    <t>保定大年肥料制造有限公司</t>
  </si>
  <si>
    <t>果酒;葡萄酒;⽶酒;⽩酒;⻘稞酒;露酒;⻩酒;烧酒（烈酒）;⾼粱酒;⽼酒（中国蒸馏烈酒）</t>
  </si>
  <si>
    <t>珍王爷</t>
  </si>
  <si>
    <t>清酒（⽇本⽶酒）;⽩酒;开胃酒;鸡尾酒;烈酒;威⼠忌;酒精饮料（啤酒除外）;果酒（含酒精）;⻩酒;葡萄酒</t>
  </si>
  <si>
    <t>四时吉祥</t>
  </si>
  <si>
    <t>亳州本来工坊酒业有限公司</t>
  </si>
  <si>
    <t>果酒（含酒精）;蒸馏饮料;烈酒（饮料）;苹果酒;⾕物制蒸馏酒精饮料;⾷⽤酒精;鸡尾酒;威⼠忌;酒精饮料（啤酒除外）;⽩酒</t>
  </si>
  <si>
    <t>固芝林</t>
  </si>
  <si>
    <t>极坐标酒业有限公司</t>
  </si>
  <si>
    <t>果酒（含酒精）;⽩酒;⽶酒;酒精饮料（啤酒除外）;⽩兰地;鸡尾酒;⾷⽤酒精;葡萄酒;⻩酒;含⽔果酒精饮料</t>
  </si>
  <si>
    <t>程家城</t>
  </si>
  <si>
    <t>果酒（含酒精）;利⼝酒;威⼠忌;⽶酒;⻩酒;酒精饮料（啤酒除外）;餐后酒（利⼝酒和烈酒）;苦味酒;杜松⼦酒;鸡尾酒</t>
  </si>
  <si>
    <t>方太古</t>
  </si>
  <si>
    <t>金华市一壶生文旅发展有限公司</t>
  </si>
  <si>
    <t>果酒（含酒精）;⽩酒;⽶酒;⻩酒;蜂蜜酒;清酒;由⾕物蒸馏的⽩酒;酒精饮料原汁;烧酒;杨梅酒</t>
  </si>
  <si>
    <t>富居寨</t>
  </si>
  <si>
    <t>罗田县三里畈镇童家边专业合作社</t>
  </si>
  <si>
    <t>鸡尾酒;含酒精的⽓泡⽔;威⼠忌;利⼝酒;开胃酒;⽶酒;烧酒;⻩酒;⽩酒;伏特加酒</t>
  </si>
  <si>
    <t>君华隆</t>
  </si>
  <si>
    <t>程明名</t>
  </si>
  <si>
    <t>⻩酒;开胃酒;果酒;⽩兰地;蒸煮提取物（利⼝酒和烈酒）;⾷⽤酒精;鸡尾酒;果酒（含酒精）;⽶酒;⽩酒</t>
  </si>
  <si>
    <t>川艺</t>
  </si>
  <si>
    <t>四川省崇州市乐府酒厂</t>
  </si>
  <si>
    <t>⻘稞酒;葡萄酒;威⼠忌;苦味酒;开胃酒;烧酒;酒精饮料（啤酒除外）;⽩酒;果酒（含酒精）;⽩兰地</t>
  </si>
  <si>
    <t>珑宝真</t>
  </si>
  <si>
    <t>⽶酒;果酒;⽩兰地;威⼠忌;朗姆酒;汽酒;⽩酒;果酒（含酒精）;鸡尾酒;葡萄酒</t>
  </si>
  <si>
    <t>梵思野</t>
  </si>
  <si>
    <t>⾕物制蒸馏酒精饮料;⾷⽤酒精;清酒（⽇本⽶酒）;酒精饮料（啤酒除外）;清酒;烧酒;果酒（含酒精）;佐餐酒;⻩酒;⽶酒</t>
  </si>
  <si>
    <t>神农傲</t>
  </si>
  <si>
    <t>连云港创客汇信息科技有限公司</t>
  </si>
  <si>
    <t>⻘稞酒;⽶酒;酒精饮料（啤酒除外）;烧酒;鸡尾酒;清酒（⽇本⽶酒）;⽩酒;⻩酒;葡萄酒;烈酒（饮料）</t>
  </si>
  <si>
    <t>望隆乡里</t>
  </si>
  <si>
    <t>丹东丹醇酒业有限公司</t>
  </si>
  <si>
    <t>开胃酒;葡萄酒;烈酒;果酒（含酒精）;⽶酒;含酒精⽔果饮料;烧酒;汽酒;甜酒;⽩酒</t>
  </si>
  <si>
    <t>梵野</t>
  </si>
  <si>
    <t>烧酒;⻩酒;果酒（含酒精）;⽶酒;⾷⽤酒精;佐餐酒;清酒（⽇本⽶酒）;酒精饮料（啤酒除外）;⾕物制蒸馏酒精饮料;清酒</t>
  </si>
  <si>
    <t>粉色极光</t>
  </si>
  <si>
    <t>鸡尾酒;⽩酒;含⽔果酒精饮料;清酒;烈酒;⽶酒;葡萄酒;威⼠忌;⽩兰地;酒精饮料（啤酒除外）</t>
  </si>
  <si>
    <t>正道共进</t>
  </si>
  <si>
    <t>山西汾力特酒业股份有限公司</t>
  </si>
  <si>
    <t>⽩酒;酒精饮料（啤酒除外）;葡萄酒;果酒（含酒精）;烈酒;含⽔果酒精饮料;⽶酒;露酒;由⾕物蒸馏的⽩酒;预先混合的酒精饮料（以啤酒为主的除外）</t>
  </si>
  <si>
    <t>CRAZY LAND</t>
  </si>
  <si>
    <t>天津易醴商贸有限公司</t>
  </si>
  <si>
    <t>威⼠忌;伏特加酒;⽩酒;果酒（含酒精）;葡萄汽酒;起泡⽩葡萄酒;⾼粱酒;葡萄酒;⽶酒;⻩酒</t>
  </si>
  <si>
    <t>思浔</t>
  </si>
  <si>
    <t>陈石林</t>
  </si>
  <si>
    <t>以蒸馏酒为主的开胃酒;⾕物制蒸馏酒精饮料;果酒（含酒精）;⽶酒;⻘稞酒;⽩酒;蒸馏⽶酒（泡盛酒）;由⾕物蒸馏的⽩酒;烈酒;烧酒</t>
  </si>
  <si>
    <t>崇裕桂</t>
  </si>
  <si>
    <t>广西崇裕桂酒业有限公司</t>
  </si>
  <si>
    <t>果酒（含酒精）;酒精饮料（啤酒除外）;⾕物制蒸馏酒精饮料;果酒;甜酒;⽩酒;含酒精⽔果饮料;⽶酒;含⽔果酒精饮料</t>
  </si>
  <si>
    <t>郤邗台</t>
  </si>
  <si>
    <t>葡萄酒;⽩⼲酒（中国⽩酒）;含酒精的饮料（啤酒除外）;⽩酒;蒸馏饮料;鸡尾酒;果酒（含酒精）;酒精饮料（啤酒除外）;⻩酒;由⾕物蒸馏的⽩酒</t>
  </si>
  <si>
    <t>扬城有约</t>
  </si>
  <si>
    <t>扬州豆享人生供应链管理有限公司</t>
  </si>
  <si>
    <t>酒精饮料原汁;蒸馏饮料;酒精饮料（啤酒除外）;烈酒;开胃酒;⾕物制蒸馏酒精饮料;⽩酒;预先混合的酒精饮料（以啤酒为主的除外）;餐后酒（利⼝酒和烈酒）;果酒（含酒精）</t>
  </si>
  <si>
    <t>福如海大富</t>
  </si>
  <si>
    <t>混合威⼠忌酒;烈酒;酒精饮料原汁;⽩酒;⾼粱酒;汽酒;⻩酒;果酒;甜酒;露酒</t>
  </si>
  <si>
    <t>通御仙</t>
  </si>
  <si>
    <t>金礼宾牌礼宾老 老礼宾牌礼宾老礼宾白礼宾坛</t>
  </si>
  <si>
    <t>酒精饮料（啤酒除外）;⽼酒（中国蒸馏烈酒）;清酒;葡萄酒;⻩酒;⽩酒;烈酒;果酒;⽶酒;烧酒</t>
  </si>
  <si>
    <t>开魏枭雄</t>
  </si>
  <si>
    <t>徐华民</t>
  </si>
  <si>
    <t>果酒;烈酒;⻩酒;朗姆酒;鸡尾酒;⾷⽤酒精;伏特加酒;⽩酒;葡萄酒;烧酒</t>
  </si>
  <si>
    <t>乐视风暴</t>
  </si>
  <si>
    <t>维沃智能科技（深圳）有限公司</t>
  </si>
  <si>
    <t>威⼠忌;清酒;葡萄酒;鸡尾酒;酒精饮料（啤酒除外）;烈酒;⽩酒;果酒;⻩酒;开胃酒</t>
  </si>
  <si>
    <t>隆仕福</t>
  </si>
  <si>
    <t>新余张和贸易有限公司</t>
  </si>
  <si>
    <t>葡萄酒;⽩兰地;威⼠忌;鸡尾酒;伏特加酒;⽩酒;汽酒;果酒（含酒精）;烧酒;⽶酒</t>
  </si>
  <si>
    <t>甘陵春步步高</t>
  </si>
  <si>
    <t>⽩酒;酒精饮料（啤酒除外）;鸡尾酒;蒸馏饮料;酒精饮料原汁;烧酒;葡萄酒;⻩酒;果酒;烈酒</t>
  </si>
  <si>
    <t>鸽珑宝真</t>
  </si>
  <si>
    <t>果酒（含酒精）;鸡尾酒;⽩兰地;汽酒;果酒;威⼠忌;⽶酒;朗姆酒;⽩酒;葡萄酒</t>
  </si>
  <si>
    <t>野章</t>
  </si>
  <si>
    <t>⾷⽤酒精;烧酒;佐餐酒;清酒;⾕物制蒸馏酒精饮料;⽶酒;清酒（⽇本⽶酒）;⻩酒;果酒（含酒精）;酒精饮料（啤酒除外）</t>
  </si>
  <si>
    <t>明陈胜泉</t>
  </si>
  <si>
    <t>陈显明</t>
  </si>
  <si>
    <t>蒸馏饮料;烈酒（饮料）;酒精饮料（啤酒除外）;⽩酒;⽶酒;烧酒;⾷⽤酒精;葡萄酒;酒精饮料原汁;果酒（含酒精）</t>
  </si>
  <si>
    <t>矿客</t>
  </si>
  <si>
    <t>巨野昌志商贸有限公司</t>
  </si>
  <si>
    <t>果酒（含酒精）;鸡尾酒;利⼝酒;葡萄酒;⽩酒;⻩酒;清酒（⽇本⽶酒）;伏特加酒;⾷⽤酒精;烧酒</t>
  </si>
  <si>
    <t>向山野</t>
  </si>
  <si>
    <t>果酒（含酒精）;⽶酒;含酒精⽔果饮料;葡萄酒;⽔果汽酒;酒精饮料（啤酒除外）;梅酒;开胃酒;含⽔果酒精饮料;蜂蜜酒</t>
  </si>
  <si>
    <t>项燕</t>
  </si>
  <si>
    <t>杜建建</t>
  </si>
  <si>
    <t>薄荷酒;葡萄酒;酒精饮料原汁;酒精饮料（啤酒除外）;⽼酒（中国蒸馏烈酒）;⾼粱酒;⻩酒;⽩酒;⾷⽤酒精;⽶酒</t>
  </si>
  <si>
    <t>LAO ZIA TEO</t>
  </si>
  <si>
    <t>果酒（含酒精）;蜂蜜酒;威⼠忌;⻩酒;⽶酒;烧酒;葡萄酒;酒精饮料（啤酒除外）;烈酒（饮料）;⽩酒</t>
  </si>
  <si>
    <t>皇家帝爹拉</t>
  </si>
  <si>
    <t>葡萄酒;⽩兰地;威⼠忌;利⼝酒;⻩酒;果酒（含酒精）;⽩酒;开胃酒;⽶酒;蜂蜜酒</t>
  </si>
  <si>
    <t>花中情</t>
  </si>
  <si>
    <t>张丽云</t>
  </si>
  <si>
    <t>⽩酒;烈酒;开胃酒;果酒（含酒精）;酒精饮料（啤酒除外）;威⼠忌;⻩酒;葡萄酒;清酒（⽇本⽶酒）;鸡尾酒</t>
  </si>
  <si>
    <t>千驾</t>
  </si>
  <si>
    <t>陈廷佴</t>
  </si>
  <si>
    <t>果酒;果酒（含酒精）;烈酒（饮料）;鸡尾酒;烧酒;蒸馏饮料;⽩酒;葡萄酒;⽶酒;⽩兰地</t>
  </si>
  <si>
    <t>2024/05/30</t>
  </si>
  <si>
    <t>秋贡琼</t>
  </si>
  <si>
    <t>黎耀庆</t>
  </si>
  <si>
    <t>含⽔果酒精饮料;烧酒;清酒;烈酒（饮料）;果酒（含酒精）;鸡尾酒;酒精饮料原汁;蒸馏饮料;⽩酒;威⼠忌</t>
  </si>
  <si>
    <t>鹏程清花</t>
  </si>
  <si>
    <t>霍旭鹏</t>
  </si>
  <si>
    <t>⽩酒;⾼粱酒;⽼酒（中国蒸馏烈酒）;烈酒（饮料）;果酒（含酒精）;烧酒;烧酒（烈酒）;⽩⼲酒（中国⽩酒）;露酒;由⾕物蒸馏的⽩酒</t>
  </si>
  <si>
    <t>斟火</t>
  </si>
  <si>
    <t>郭思民</t>
  </si>
  <si>
    <t>⾷⽤酒精;葡萄酒;含⽔果酒精饮料;⽩酒;⽩兰地;⻩酒;⽶酒;鸡尾酒;酒精饮料（啤酒除外）;果酒（含酒精）</t>
  </si>
  <si>
    <t>决对（深圳）食品科技有限公司</t>
  </si>
  <si>
    <t>蒸馏饮料;鸡尾酒;烈酒（饮料）;⽩兰地;⻩酒;⽩酒;葡萄酒;威⼠忌;酒精饮料（啤酒除外）;⽶酒</t>
  </si>
  <si>
    <t>醇韵天成</t>
  </si>
  <si>
    <t>王长胜</t>
  </si>
  <si>
    <t>清酒;含⽔果酒精饮料;⽶酒;⽩酒;果酒;酒精饮料（啤酒除外）;⻘稞酒;酒精饮料原汁;⾷⽤酒精;葡萄酒</t>
  </si>
  <si>
    <t>悦饮东方酝</t>
  </si>
  <si>
    <t>东方酝（北京）文化发展有限公司</t>
  </si>
  <si>
    <t>清酒;⽼酒（中国蒸馏烈酒）;⽶酒;梅酒;⽩酒;烧酒（烈酒）;果酒;含酒精⽔果饮料;烈酒;露酒</t>
  </si>
  <si>
    <t>黔地七郎中</t>
  </si>
  <si>
    <t>贵州黔地七郎中中医诊所有限公司</t>
  </si>
  <si>
    <t>开胃酒;⾕物制蒸馏酒精饮料;烧酒;⾷⽤酒精;预先混合的酒精饮料（以啤酒为主的除外）;⽶酒;烈酒（饮料）;酒精饮料（啤酒除外）;⽩酒;果酒（含酒精）</t>
  </si>
  <si>
    <t>紫砂蟾</t>
  </si>
  <si>
    <t>仲跃</t>
  </si>
  <si>
    <t>果酒（含酒精）;葡萄酒;⽶酒;预先混合的酒精饮料（以啤酒为主的除外）;⻘稞酒;⾷⽤酒精;烈酒（饮料）;烧酒;⽩酒;⻩酒</t>
  </si>
  <si>
    <t>三航大道至简</t>
  </si>
  <si>
    <t>蒸馏饮料;⽩酒;酒精饮料（啤酒除外）;开胃酒;蜂蜜酒;鸡尾酒;葡萄酒;含⽔果酒精饮料;⽶酒;果酒（含酒精）</t>
  </si>
  <si>
    <t>四方至</t>
  </si>
  <si>
    <t>许冬惠</t>
  </si>
  <si>
    <t>威⼠忌;烈酒（饮料）;⽩酒;鸡尾酒;⾼粱酒;烧酒;葡萄酒;开胃酒;⽩兰地;⽶酒</t>
  </si>
  <si>
    <t>康熙双喜酒庄 康熙双喜</t>
  </si>
  <si>
    <t>⽶酒;烈酒;果酒;酒精饮料（啤酒除外）;⽼酒（中国蒸馏烈酒）;⻩酒;⽩酒;葡萄酒;清酒;烧酒</t>
  </si>
  <si>
    <t>春缘人和</t>
  </si>
  <si>
    <t>河南五谷春酒业股份有限公司</t>
  </si>
  <si>
    <t>果酒（含酒精）;葡萄酒;烈酒（饮料）;⽶酒;鸡尾酒;清酒（⽇本⽶酒）;⻩酒;酒精饮料（啤酒除外）;烧酒;⽩酒</t>
  </si>
  <si>
    <t>墨小匠功夫</t>
  </si>
  <si>
    <t>中喜投资（海南）有限公司</t>
  </si>
  <si>
    <t>烈性⼲酒;⽼酒（中国蒸馏烈酒）;含酒精的饮料（啤酒除外）;⽶酒;烈酒;⽩酒;烧酒;烈酒（饮料）;⻩酒;⽩⼲酒（中国⽩酒）</t>
  </si>
  <si>
    <t>油岩山</t>
  </si>
  <si>
    <t>葛宝生</t>
  </si>
  <si>
    <t>⽩酒;烈酒;⽩兰地;烧酒;由⾕物蒸馏的⽩酒;⽼酒（中国蒸馏烈酒）;蒸馏⽶酒（泡盛酒）;⽩⼲酒（中国⽩酒）;⾼粱酒;清酒</t>
  </si>
  <si>
    <t>雀潮</t>
  </si>
  <si>
    <t>雀潮科技（杭州）有限公司</t>
  </si>
  <si>
    <t>⽩酒;果酒;⽶酒;烧酒;酒精饮料（啤酒除外）;葡萄酒;清酒;⻩酒;威⼠忌;鸡尾酒</t>
  </si>
  <si>
    <t>喜托龙门</t>
  </si>
  <si>
    <t>烧酒;⽩酒;果酒（含酒精）;清酒（⽇本⽶酒）;酒精饮料（啤酒除外）;鸡尾酒;葡萄酒;烈酒（饮料）;⻩酒;⽶酒</t>
  </si>
  <si>
    <t>龙凤通宝</t>
  </si>
  <si>
    <t>酒精饮料（啤酒除外）;⽩酒;烧酒;果酒（含酒精）;清酒（⽇本⽶酒）;⽶酒;烈酒（饮料）;⻩酒;鸡尾酒;葡萄酒</t>
  </si>
  <si>
    <t>藏小酩</t>
  </si>
  <si>
    <t>拉萨隆瑞达商贸有限公司</t>
  </si>
  <si>
    <t>葡萄酒;⽶酒;⽩酒;烧酒;酒精饮料（啤酒除外）;果酒（含酒精）;预先混合的酒精饮料（以啤酒为主的除外）;酒精饮料原汁;烈酒（饮料）;⻩酒</t>
  </si>
  <si>
    <t>黄坚</t>
  </si>
  <si>
    <t>果酒（含酒精）;⽩酒;威⼠忌;鸡尾酒;酒精饮料（啤酒除外）;清酒（⽇本⽶酒）;⽶酒;蒸煮提取物（利⼝酒和烈酒）;烈酒（饮料）;葡萄酒</t>
  </si>
  <si>
    <t>洋英叶</t>
  </si>
  <si>
    <t>王嘉俊</t>
  </si>
  <si>
    <t>⽩酒;果酒（含酒精）;烈酒（饮料）;酒精饮料原汁;烧酒;含⽔果酒精饮料;威⼠忌;鸡尾酒;清酒;蒸馏饮料</t>
  </si>
  <si>
    <t>一周之恋</t>
  </si>
  <si>
    <t>如适健康产业（深圳）集团有限公司</t>
  </si>
  <si>
    <t>烧酒;果酒;葡萄酒;⽶酒;⻩酒;蒸馏饮料;⾷⽤酒精;酒精饮料（啤酒除外）;⻘稞酒;⽩酒</t>
  </si>
  <si>
    <t>独质</t>
  </si>
  <si>
    <t>玉罗</t>
  </si>
  <si>
    <t>果酒（含酒精）;蒸馏饮料;蜂蜜酒;⽩酒;葡萄酒;威⼠忌;含⽔果酒精饮料;⽶酒;鸡尾酒;⽩兰地</t>
  </si>
  <si>
    <t>双龙长瓦屋</t>
  </si>
  <si>
    <t>云阳县双龙镇三堂村经济联合社</t>
  </si>
  <si>
    <t>⽶酒;清酒;甜酒;果酒;蜂蜜酒;葡萄酒;烧酒;烈酒;⾼粱酒;⽩酒</t>
  </si>
  <si>
    <t>李佶逸</t>
  </si>
  <si>
    <t>李建军</t>
  </si>
  <si>
    <t>葡萄酒;威⼠忌;伏特加酒;⻩酒;⽩酒;烈酒（饮料）;果酒（含酒精）;酒精饮料（啤酒除外）;鸡尾酒;⽩兰地</t>
  </si>
  <si>
    <t>湜湜液</t>
  </si>
  <si>
    <t>中山市佰草香健康科技有限公司</t>
  </si>
  <si>
    <t>杨梅酒;⻘梅酒;清酒（⽇本⽶酒）;⽩酒;桃红葡萄酒;⻩酒;⻘稞酒;⽼酒（中国蒸馏烈酒）;烧酒（烈酒）;⾷⽤酒精</t>
  </si>
  <si>
    <t>晋王宗</t>
  </si>
  <si>
    <t>荣明洪</t>
  </si>
  <si>
    <t>蜂蜜酒;葡萄酒;⽩酒;⽶酒;鸡尾酒;含⽔果酒精饮料;烧酒;清酒（⽇本⽶酒）;果酒（含酒精）;酒精饮料（啤酒除外）</t>
  </si>
  <si>
    <t>南福昌</t>
  </si>
  <si>
    <t>林雪烟</t>
  </si>
  <si>
    <t>杨梅酒;⽩酒;酒精饮料（啤酒除外）;酒精饮料原汁;⻘梅酒;⽶酒;葡萄酒;⾼粱酒;⻘稞酒;⾷⽤酒精</t>
  </si>
  <si>
    <t>龙跃云津</t>
  </si>
  <si>
    <t>家缘盛意</t>
  </si>
  <si>
    <t>烈酒（饮料）;⻩酒;⽶酒;葡萄酒;酒精饮料（啤酒除外）;果酒（含酒精）;⽩酒;鸡尾酒;清酒（⽇本⽶酒）;烧酒</t>
  </si>
  <si>
    <t>北库仰望</t>
  </si>
  <si>
    <t>河北家兴商贸集团有限公司</t>
  </si>
  <si>
    <t>⻩酒;烧酒;⽶酒;⽩酒;蒸馏饮料;汽酒;果酒;含⽔果酒精饮料;葡萄酒;酒精饮料原汁</t>
  </si>
  <si>
    <t>衢味南孔宴好灶头</t>
  </si>
  <si>
    <t>毛丽琴</t>
  </si>
  <si>
    <t>⽩酒;葡萄酒;梨酒;含酒精的⽔果鸡尾酒饮料;伏特加酒;⻩酒;烧酒;⽩兰地;开胃酒;⽶酒</t>
  </si>
  <si>
    <t>金刚豹</t>
  </si>
  <si>
    <t>贵州佰酒汇酒业有限公司</t>
  </si>
  <si>
    <t>葡萄酒;⽶酒;烧酒;鸡尾酒;清酒;⽩酒;果酒（含酒精）;烈酒（饮料）;⻩酒;酒精饮料（啤酒除外）</t>
  </si>
  <si>
    <t>旭然散篓子</t>
  </si>
  <si>
    <t>衡水旭然金高粱酒庄有限公司</t>
  </si>
  <si>
    <t>葡萄酒;鸡尾酒;⽩酒;果酒（含酒精）;⾷⽤酒精;⽩兰地;酒精饮料（啤酒除外）;利⼝酒;苦味酒;烧酒</t>
  </si>
  <si>
    <t>滹溪</t>
  </si>
  <si>
    <t>王续军</t>
  </si>
  <si>
    <t>酒精饮料（啤酒除外）;⾕物制蒸馏酒精饮料;烈酒（饮料）;⽶酒;⻩酒;葡萄酒;梨酒;烧酒;以葡萄酒为主的饮料;⽩酒</t>
  </si>
  <si>
    <t>德之祖</t>
  </si>
  <si>
    <t>湖南千年德商品牌管理有限公司</t>
  </si>
  <si>
    <t>烧酒;⾷⽤酒精;⻩酒;⽩酒;朗姆酒;⽶酒;⻘稞酒;汽酒;果酒（含酒精）;薄荷酒</t>
  </si>
  <si>
    <t>挑水巷</t>
  </si>
  <si>
    <t>昭通牛厨餐饮服务有限公司</t>
  </si>
  <si>
    <t>烧酒;⻩酒;⽶酒;果酒（含酒精）;⽩兰地;威⼠忌;蒸馏饮料;⽩酒;鸡尾酒;葡萄酒</t>
  </si>
  <si>
    <t>川东仔</t>
  </si>
  <si>
    <t>南京川东仔企业管理合伙企业（有限合伙）</t>
  </si>
  <si>
    <t>烧酒;葡萄酒;含⽔果酒精饮料;酒精饮料（啤酒除外）;烈酒（饮料）;⾷⽤酒精;⽩酒;⽶酒;果酒（含酒精）;⻩酒</t>
  </si>
  <si>
    <t>耕芝堂</t>
  </si>
  <si>
    <t>安徽凤芝堂生物科技有限公司</t>
  </si>
  <si>
    <t>鸡尾酒;⽩兰地;威⼠忌;⽶酒;葡萄酒;酒精饮料（啤酒除外）;⻩酒;⾷⽤酒精;⽩酒;果酒（含酒精）</t>
  </si>
  <si>
    <t>斛园柏草</t>
  </si>
  <si>
    <t>王成林</t>
  </si>
  <si>
    <t>含⽔果酒精饮料;开胃酒;⽩酒;果酒（含酒精）;薄荷酒;葡萄酒;酒精饮料（啤酒除外）;威⼠忌;蒸馏饮料;⻩酒</t>
  </si>
  <si>
    <t>苏格登丰味花园</t>
  </si>
  <si>
    <t>黛尔吉奥苏格兰有限公司</t>
  </si>
  <si>
    <t>威⼠忌;酒精饮料（啤酒除外）</t>
  </si>
  <si>
    <t>沧辞</t>
  </si>
  <si>
    <t>林候娟</t>
  </si>
  <si>
    <t>开胃酒;酒精饮料（啤酒除外）;鸡尾酒;果酒（含酒精）;葡萄酒;⽩酒;清酒（⽇本⽶酒）;烈酒;威⼠忌;⻩酒</t>
  </si>
  <si>
    <t>云眸</t>
  </si>
  <si>
    <t>山西昕远建设科技有限公司</t>
  </si>
  <si>
    <t>⽶酒;开胃酒;蒸馏饮料;餐后酒（利⼝酒和烈酒）;清酒;⾕物制蒸馏酒精饮料;⾷⽤酒精;果酒（含酒精）;预先混合的酒精饮料（以啤酒为主的除外）;酒精饮料（啤酒除外）</t>
  </si>
  <si>
    <t>湜湜</t>
  </si>
  <si>
    <t>薄荷酒;⻩酒;⽩兰地;苹果酒;⽩酒;清酒（⽇本⽶酒）;威⼠忌;⽶酒;茴⾹酒（利⼝酒）;鸡尾酒</t>
  </si>
  <si>
    <t>苏木河</t>
  </si>
  <si>
    <t>黑龙江苏木河酿酒有限公司</t>
  </si>
  <si>
    <t>果酒;⻩酒;⽩酒;⽶酒;酒精饮料（啤酒除外）;烧酒;汽酒;⾷⽤酒精;清酒;葡萄酒</t>
  </si>
  <si>
    <t>菇小宝</t>
  </si>
  <si>
    <t>葡萄酒;果酒（含酒精）;含酒精的饮料（啤酒除外）;鸡尾酒;酒精饮料浓缩汁;露酒;⽩酒;含⽔果酒精饮料;⽶酒;烈酒（饮料）</t>
  </si>
  <si>
    <t>易精华</t>
  </si>
  <si>
    <t>呼和浩特市善诚生物有限责任公司</t>
  </si>
  <si>
    <t>清酒（⽇本⽶酒）;⽶酒;⻩酒;⽩酒;烈酒（饮料）;酒精饮料（啤酒除外）;果酒（含酒精）;烧酒;开胃酒;葡萄酒</t>
  </si>
  <si>
    <t>猫和老鼠</t>
  </si>
  <si>
    <t>特纳娱乐服务公司</t>
  </si>
  <si>
    <t>果酒（含酒精）;酒精饮料（啤酒除外）;含⽔果酒精饮料;含酒精的⽓泡⽔;朗姆酒;威⼠忌;鸡尾酒;⾷⽤酒精;酒精饮料原汁;葡萄酒</t>
  </si>
  <si>
    <t>华味妃</t>
  </si>
  <si>
    <t>美食家(嘉兴)食品科技有限公司</t>
  </si>
  <si>
    <t>⻩酒;果酒（含酒精）;含⽔果酒精饮料;杨梅酒;清酒;威⼠忌;含酒精的鸡尾酒混合饮品;⻘梅酒;鸡尾酒;⽩酒</t>
  </si>
  <si>
    <t>家湘乐</t>
  </si>
  <si>
    <t>谭波</t>
  </si>
  <si>
    <t>果酒;蒸煮提取物（利⼝酒和烈酒）;清酒;威⼠忌;⻩酒;⻘稞酒;鸡尾酒;⽩酒;开胃酒;葡萄酒</t>
  </si>
  <si>
    <t>洞中秘</t>
  </si>
  <si>
    <t>林志伟</t>
  </si>
  <si>
    <t>⽩酒;⻩酒;果酒（含酒精）;烧酒;威⼠忌;葡萄酒;⾷⽤酒精;鸡尾酒;⽶酒;⽩兰地</t>
  </si>
  <si>
    <t>醉盛欣</t>
  </si>
  <si>
    <t>水富盛欣商贸有限公司</t>
  </si>
  <si>
    <t>蜂蜜酒;⽶酒;⻘稞酒;⽩酒;⻩酒;果酒（含酒精）;杜松⼦酒;清酒（⽇本⽶酒）;含⽔果酒精饮料;葡萄酒</t>
  </si>
  <si>
    <t>金脉基</t>
  </si>
  <si>
    <t>赵子辰</t>
  </si>
  <si>
    <t>⽶酒;⽩酒;威⼠忌;烧酒;清酒;⽩兰地;果酒;⻩酒;汽酒;葡萄酒</t>
  </si>
  <si>
    <t>华鲁小白杨</t>
  </si>
  <si>
    <t>华利泰(山东)商贸经销有限公司</t>
  </si>
  <si>
    <t>葡萄酒;⻩酒;鸡尾酒;⽩兰地;果酒（含酒精）;⽩酒;威⼠忌;⽶酒;烧酒;蒸馏饮料</t>
  </si>
  <si>
    <t>龙度天门</t>
  </si>
  <si>
    <t>⽶酒;鸡尾酒;烈酒（饮料）;清酒（⽇本⽶酒）;⽩酒;果酒（含酒精）;葡萄酒;⻩酒;烧酒;酒精饮料（啤酒除外）</t>
  </si>
  <si>
    <t>金缘鳌头</t>
  </si>
  <si>
    <t>酒精饮料（啤酒除外）;⽩酒;果酒（含酒精）;葡萄酒;⽶酒;清酒（⽇本⽶酒）;烧酒;鸡尾酒;⻩酒;烈酒（饮料）</t>
  </si>
  <si>
    <t>瓦的</t>
  </si>
  <si>
    <t>海南易诺达科技有限公司</t>
  </si>
  <si>
    <t>果酒（含酒精）;鸡尾酒;葡萄酒;露酒;利⼝酒;⻩酒;苦荞酒;⽩酒;酒精饮料（啤酒除外）;⽶酒</t>
  </si>
  <si>
    <t>欢福</t>
  </si>
  <si>
    <t>葡萄酒;烈酒（饮料）;⽩酒;⽶酒;酒精饮料（啤酒除外）;果酒（含酒精）;鸡尾酒;清酒（⽇本⽶酒）;⻩酒;烧酒</t>
  </si>
  <si>
    <t>池名清</t>
  </si>
  <si>
    <t>江苏陈酿酒业股份有限公司</t>
  </si>
  <si>
    <t>⽩酒;⻩酒;⾷⽤酒精</t>
  </si>
  <si>
    <t>福原星</t>
  </si>
  <si>
    <t>向艳玲422827********0227</t>
  </si>
  <si>
    <t>⽶酒;葡萄酒;清酒;蒸煮提取物（利⼝酒和烈酒）;开胃酒;烧酒;⻩酒;酒精饮料（啤酒除外）;果酒（含酒精）;⽩酒</t>
  </si>
  <si>
    <t>欧兰尼</t>
  </si>
  <si>
    <t>李小鹏</t>
  </si>
  <si>
    <t>利⼝酒;⽩兰地;⽶酒;鸡尾酒;⽩酒;酒精饮料（啤酒除外）;⻩酒;果酒（含酒精）;威⼠忌;葡萄酒</t>
  </si>
  <si>
    <t>羌谷情缘</t>
  </si>
  <si>
    <t>赵德飞</t>
  </si>
  <si>
    <t>⽼酒（中国蒸馏烈酒）;⾼粱酒;⽶酒;⻩酒;由⾕物蒸馏的⽩酒;⽩酒;果酒;烧酒（烈酒）;酒精饮料（啤酒除外）;⽩⼲酒（中国⽩酒）</t>
  </si>
  <si>
    <t>娜菲诺</t>
  </si>
  <si>
    <t>宁夏鲁鲜生优选商贸有限公司</t>
  </si>
  <si>
    <t>以葡萄酒为主的饮料;⽩兰地;威⼠忌;⽔果汽酒;烈酒（饮料）;起泡⽩葡萄酒;葡萄酒;⽩酒;含酒精⽔果饮料;鸡尾酒</t>
  </si>
  <si>
    <t>荆丰缘</t>
  </si>
  <si>
    <t>杨远才</t>
  </si>
  <si>
    <t>由⾕物蒸馏的⽩酒;烈酒;⽩酒;⽩⼲酒（中国⽩酒）;苦荞酒;⾼粱酒;烧酒;⻩酒;⽶酒;⽼酒（中国蒸馏烈酒）</t>
  </si>
  <si>
    <t>方即晋</t>
  </si>
  <si>
    <t>厦门酒立有供应链管理有限公司</t>
  </si>
  <si>
    <t>葡萄酒;蒸馏饮料;鸡尾酒;伏特加酒;⻩酒;⽩兰地;⻘稞酒;烧酒;威⼠忌;蒸煮提取物（利⼝酒和烈酒）</t>
  </si>
  <si>
    <t>晗养酒匠</t>
  </si>
  <si>
    <t>晗养（北京）电子商务有限公司</t>
  </si>
  <si>
    <t>⽩酒;葡萄酒;红葡萄酒;苹果酒;⻘稞酒;⻩酒;⽩葡萄酒;果酒;⽩⼲酒（中国⽩酒）;⽶酒</t>
  </si>
  <si>
    <t>道合皖醉香</t>
  </si>
  <si>
    <t>霍邱县皖醉香酒坊</t>
  </si>
  <si>
    <t>⻩酒;⾷⽤酒精;烧酒;开胃酒;⽶酒;⽔果汽酒;⽩酒;果酒（含酒精）;苹果酒;葡萄酒</t>
  </si>
  <si>
    <t>五状元</t>
  </si>
  <si>
    <t>⽩酒;鸡尾酒;葡萄酒;烈酒（饮料）;烧酒;酒精饮料（啤酒除外）;⻩酒;⽶酒;果酒（含酒精）;清酒（⽇本⽶酒）</t>
  </si>
  <si>
    <t>童年的他</t>
  </si>
  <si>
    <t>⽩酒;⽶酒;葡萄酒;⾷⽤酒精;果酒（含酒精）;⻩酒;鸡尾酒;威⼠忌;⽩兰地;烧酒</t>
  </si>
  <si>
    <t>今自在·自在轩</t>
  </si>
  <si>
    <t>葡萄酒;⻩酒;鸡尾酒;⽩酒;清酒（⽇本⽶酒）;烈酒（饮料）;朗姆酒;酒精饮料（啤酒除外）;⽩兰地;威⼠忌</t>
  </si>
  <si>
    <t>潭阳七贤</t>
  </si>
  <si>
    <t>福建省闽源酒业发展有限公司</t>
  </si>
  <si>
    <t>烧酒;⾼粱酒;由⾕物蒸馏的⽩酒;果酒（含酒精）;梅酒;⽩酒;烈酒;葡萄酒;⽶酒;⻩酒</t>
  </si>
  <si>
    <t>鹿万贯</t>
  </si>
  <si>
    <t>刘长明</t>
  </si>
  <si>
    <t>利⼝酒;⻩酒;⽩酒;⾼粱酒;预先混合的酒精饮料（以啤酒为主的除外）;烈酒;⽶酒;烧酒;蜂蜜酒;葡萄酒</t>
  </si>
  <si>
    <t>问鼎清花</t>
  </si>
  <si>
    <t>⾼粱酒;由⾕物蒸馏的⽩酒;⽼酒（中国蒸馏烈酒）;⽩酒;烧酒;露酒;烈酒（饮料）;烧酒（烈酒）;⽩⼲酒（中国⽩酒）;果酒（含酒精）</t>
  </si>
  <si>
    <t>东朝尚品</t>
  </si>
  <si>
    <t>杨中兴</t>
  </si>
  <si>
    <t>蒸馏饮料;葡萄酒;酒精饮料原汁;⻩酒;烈酒;⽼酒（中国蒸馏烈酒）;果酒（含酒精）;烧酒;⽩酒;⽶酒</t>
  </si>
  <si>
    <t>木香谷</t>
  </si>
  <si>
    <t>广东三维投资管理有限公司</t>
  </si>
  <si>
    <t>蒸馏饮料;威⼠忌;⽩酒;葡萄酒;烧酒;⽩兰地;鸡尾酒;果酒（含酒精）;酒精饮料（啤酒除外）</t>
  </si>
  <si>
    <t>深夜夜夜</t>
  </si>
  <si>
    <t>兴宁市懿仔食品商行</t>
  </si>
  <si>
    <t>含酒精的饮料（啤酒除外）;果酒;露酒;⻘梅酒;梅酒;果酒（含酒精）;杨梅酒;⻩酒;烧酒;⽩酒</t>
  </si>
  <si>
    <t>龙头恭</t>
  </si>
  <si>
    <t>娄嘉诚</t>
  </si>
  <si>
    <t>⽶酒;烧酒;⽩⼲酒（中国⽩酒）;酒精饮料（啤酒除外）;⽩酒;含酒精的⽓泡⽔;葡萄酒;汽酒;⻩酒;果酒</t>
  </si>
  <si>
    <t>苏格登逸香</t>
  </si>
  <si>
    <t>飞仙御水</t>
  </si>
  <si>
    <t>⻩酒;含⽔果酒精饮料;蜂蜜酒;烧酒;烈酒（饮料）;果酒（含酒精）;葡萄酒;鸡尾酒;⽶酒;⽩酒</t>
  </si>
  <si>
    <t>老安头</t>
  </si>
  <si>
    <t>安洪涛</t>
  </si>
  <si>
    <t>果酒（含酒精）;开胃酒;⻘稞酒;烧酒;威⼠忌;葡萄酒;⽶酒;⻩酒;⽩⼲酒（中国⽩酒）;⽩酒</t>
  </si>
  <si>
    <t>延花</t>
  </si>
  <si>
    <t>吉林省韩金钰餐饮管理有限公司</t>
  </si>
  <si>
    <t>⻩酒;葡萄酒;⽩兰地;威⼠忌;果酒（含酒精）;⽶酒;⽩酒;烈酒（饮料）;开胃酒;鸡尾酒</t>
  </si>
  <si>
    <t>飞凡陨石</t>
  </si>
  <si>
    <t>洛阳飞凡陨石商贸有限公司</t>
  </si>
  <si>
    <t>⽩酒;葡萄酒;预先混合的酒精饮料（以啤酒为主的除外）;果酒（含酒精）;威⼠忌;烈酒（饮料）;酒精饮料（啤酒除外）;含⽔果酒精饮料;⽶酒;蒸馏饮料</t>
  </si>
  <si>
    <t>蓉阳春</t>
  </si>
  <si>
    <t>塞瑞思生物科技有限公司</t>
  </si>
  <si>
    <t>鸡尾酒;果酒（含酒精）;烈酒（饮料）;⻘稞酒;⽩酒;葡萄酒;⽶酒;利⼝酒;清酒（⽇本⽶酒）;⻩酒</t>
  </si>
  <si>
    <t>点蕊</t>
  </si>
  <si>
    <t>楚雄大江酒业有限公司</t>
  </si>
  <si>
    <t>鸡尾酒;烈酒（饮料）;烧酒;⽩酒;酒精饮料（啤酒除外）;开胃酒;⻩酒;⽶酒;葡萄酒;果酒（含酒精）</t>
  </si>
  <si>
    <t>溪东海凤</t>
  </si>
  <si>
    <t>黄应海</t>
  </si>
  <si>
    <t>酒精饮料原汁;⻩酒;烧酒;红葡萄酒;清酒;含⽔果酒精饮料;⽩酒;酒精饮料（啤酒除外）;⽶酒;预先混合的酒精饮料（以啤酒为主的除外）</t>
  </si>
  <si>
    <t>玉水谣</t>
  </si>
  <si>
    <t>李文瑞</t>
  </si>
  <si>
    <t>鸡尾酒;酒精饮料（啤酒除外）;烧酒;蒸馏饮料;⽶酒;果酒（含酒精）;⽩酒;⻩酒;葡萄酒;威⼠忌</t>
  </si>
  <si>
    <t>朝善清花</t>
  </si>
  <si>
    <t>由⾕物蒸馏的⽩酒;露酒;烈酒（饮料）;⽼酒（中国蒸馏烈酒）;果酒（含酒精）;⾼粱酒;烧酒（烈酒）;⽩⼲酒（中国⽩酒）;烧酒;⽩酒</t>
  </si>
  <si>
    <t>六桥酒家</t>
  </si>
  <si>
    <t>南通品质寿都生活馆贸易有限公司</t>
  </si>
  <si>
    <t>酒精饮料（啤酒除外）;⻩酒;开胃酒;清酒（⽇本⽶酒）;果酒（含酒精）;⽶酒;葡萄酒;含⽔果酒精饮料;烧酒;⽩酒</t>
  </si>
  <si>
    <t>贺萄庄园</t>
  </si>
  <si>
    <t>柏文辉</t>
  </si>
  <si>
    <t>⽩酒;蒸煮提取物（利⼝酒和烈酒）;果酒（含酒精）;酸酒（低等葡萄酒）;酒精饮料原汁;汽酒;葡萄酒;酒精饮料浓缩汁;含⽔果酒精饮料;预先混合的酒精饮料（以啤酒为主的除外）</t>
  </si>
  <si>
    <t>小二富连成</t>
  </si>
  <si>
    <t>农垦绿色（吉林）米业有限公司</t>
  </si>
  <si>
    <t>烧酒;⽶酒;果酒（含酒精）;⻩酒;⽩酒;酒精饮料（啤酒除外）;鸡尾酒;烈酒（饮料）;⾼粱酒;葡萄酒</t>
  </si>
  <si>
    <t>苗乡鹿</t>
  </si>
  <si>
    <t>彭水县森牧园牧业有限公司</t>
  </si>
  <si>
    <t>⾷⽤酒精;酒精饮料原汁;⽩酒;酒精饮料（啤酒除外）;烈酒（饮料）;蒸馏饮料;⽼酒（中国蒸馏烈酒）;开胃酒;预先混合的酒精饮料（以啤酒为主的除外）;含⽔果酒精饮料</t>
  </si>
  <si>
    <t>锁爱台SOUAITAI</t>
  </si>
  <si>
    <t>贵州省仁怀市遵建红铁坊酒业有限公司</t>
  </si>
  <si>
    <t>⻩酒;葡萄酒;烈酒（饮料）;酒精饮料原汁;烧酒;含⽔果酒精饮料;⾷⽤酒精;汽酒;果酒;⽩酒</t>
  </si>
  <si>
    <t>苏格登蜜金</t>
  </si>
  <si>
    <t>富昱森 FYS</t>
  </si>
  <si>
    <t>南京珀瑞亚特投资有限公司</t>
  </si>
  <si>
    <t>清酒（⽇本⽶酒）;葡萄酒;以葡萄酒为主的饮料;威⼠忌;餐后酒（利⼝酒和烈酒）;⽩酒;鸡尾酒;杜松⼦酒;⽩兰地;朗姆酒</t>
  </si>
  <si>
    <t>六道山</t>
  </si>
  <si>
    <t>宋晓丽</t>
  </si>
  <si>
    <t>由⾕物蒸馏的⽩酒;⽩酒;⽩⼲酒（中国⽩酒）;蒸煮提取物（利⼝酒和烈酒）;烧酒;⽼酒（中国蒸馏烈酒）;⾼粱酒;葡萄酒;烈酒;果酒</t>
  </si>
  <si>
    <t>青圆凡宇醇</t>
  </si>
  <si>
    <t>侯玉萍</t>
  </si>
  <si>
    <t>鸡尾酒;葡萄酒;梨酒;⽶酒;烈酒;⽩酒;果酒;甜酒;⻩酒;烧酒</t>
  </si>
  <si>
    <t>岁粮缘</t>
  </si>
  <si>
    <t>于翰</t>
  </si>
  <si>
    <t>清酒（⽇本⽶酒）;葡萄酒;⽩酒;威⼠忌;鸡尾酒;酒精饮料（啤酒除外）;果酒（含酒精）;⻩酒;开胃酒;烈酒</t>
  </si>
  <si>
    <t>观泰赏日</t>
  </si>
  <si>
    <t>四川饮河山供应链管理有限公司</t>
  </si>
  <si>
    <t>⾷⽤酒精;⽩酒;⽶酒;烧酒;朗姆酒;威⼠忌;⻩酒;果酒（含酒精）;酒精饮料原汁;葡萄酒</t>
  </si>
  <si>
    <t>588酒窖</t>
  </si>
  <si>
    <t>刘用英</t>
  </si>
  <si>
    <t>烈酒（饮料）;烧酒;蒸馏饮料;葡萄酒;伏特加酒;果酒（含酒精）;⽶酒;⽩酒;酒精饮料（啤酒除外）;⻩酒</t>
  </si>
  <si>
    <t>龟鹤春江</t>
  </si>
  <si>
    <t>神农架红丰生态农业发展有限公司</t>
  </si>
  <si>
    <t>樱桃酒;伏特加酒;汽酒;⽩酒;天然汽酒;烈酒（饮料）;烧酒;红葡萄酒;甜酒;烈酒</t>
  </si>
  <si>
    <t>帝骄</t>
  </si>
  <si>
    <t>武汉育奔科技有限责任公司</t>
  </si>
  <si>
    <t>酒精饮料（啤酒除外）;⽶酒;烈酒（饮料）;甜酒;鸡尾酒;⽩酒;⻩酒;葡萄酒;果酒（含酒精）;威⼠忌</t>
  </si>
  <si>
    <t>三善容和</t>
  </si>
  <si>
    <t>⽶酒;⾷⽤酒精;⻩酒;⽩酒;葡萄酒;预先混合的酒精饮料（以啤酒为主的除外）;烧酒;⻘稞酒;果酒（含酒精）;烈酒（饮料）</t>
  </si>
  <si>
    <t>湘三怪</t>
  </si>
  <si>
    <t>郑春雷</t>
  </si>
  <si>
    <t>鸡尾酒;天然汽酒;⽶酒;以葡萄酒为主的饮料;⽩酒;葡萄酒;果酒（含酒精）;开胃酒;烧酒;果酒</t>
  </si>
  <si>
    <t>严秘</t>
  </si>
  <si>
    <t>严向华</t>
  </si>
  <si>
    <t>蒸馏饮料;葡萄酒;开胃酒;⻩酒;⾕物制蒸馏酒精饮料;烈酒（饮料）;清酒（⽇本⽶酒）;⽶酒;⽩酒;烧酒</t>
  </si>
  <si>
    <t>妙品凤</t>
  </si>
  <si>
    <t>罗婷</t>
  </si>
  <si>
    <t>鸡尾酒;烧酒;⻩酒;开胃酒;含⽔果酒精饮料;葡萄酒;利⼝酒;烈酒（饮料）;⽶酒;⽩酒</t>
  </si>
  <si>
    <t>秘功元</t>
  </si>
  <si>
    <t>葡萄酒;⽩酒;果酒（含酒精）;蒸馏饮料;含⽔果酒精饮料;⽩兰地;威⼠忌;⽶酒;蜂蜜酒;鸡尾酒</t>
  </si>
  <si>
    <t>秘到</t>
  </si>
  <si>
    <t>葡萄酒;蜂蜜酒;⽩兰地;威⼠忌;含⽔果酒精饮料;蒸馏饮料;⽶酒;⽩酒;鸡尾酒;果酒（含酒精）</t>
  </si>
  <si>
    <t>广州吉占开物文化科技有限公司</t>
  </si>
  <si>
    <t>果酒（含酒精）;⽩兰地;酒精饮料原汁;⻘稞酒;清酒（⽇本⽶酒）;⽶酒;酒精饮料（啤酒除外）;⻩酒;葡萄酒;⽩酒</t>
  </si>
  <si>
    <t>沪江</t>
  </si>
  <si>
    <t>杨士永</t>
  </si>
  <si>
    <t>⽩酒;苦味酒;葡萄酒;酒精饮料原汁;烧酒;鸡尾酒;烈酒（饮料）;苹果酒;⾼粱酒;开胃酒</t>
  </si>
  <si>
    <t>云中王</t>
  </si>
  <si>
    <t>内蒙古云中酒业有限责任公司</t>
  </si>
  <si>
    <t>利⼝酒;⾼粱酒;果酒;⽼酒（中国蒸馏烈酒）;⻩酒;⽶酒;⽩酒;葡萄酒;开胃酒;烧酒</t>
  </si>
  <si>
    <t>汇喜逢</t>
  </si>
  <si>
    <t>杨松平</t>
  </si>
  <si>
    <t>⽩酒;⻩酒;⾷⽤酒精;威⼠忌;烈酒（饮料）;⽶酒;⻘稞酒;烧酒;含⽔果酒精饮料;果酒（含酒精）</t>
  </si>
  <si>
    <t>骐佰玖</t>
  </si>
  <si>
    <t>贵州中健昊天企业管理咨询有限公司</t>
  </si>
  <si>
    <t>⽩酒;果酒（含酒精）;葡萄酒;酒精饮料（啤酒除外）;杨梅酒;烈酒;⽼酒（中国蒸馏烈酒）;⾼粱酒;烧酒;⽶酒</t>
  </si>
  <si>
    <t>仙媛承</t>
  </si>
  <si>
    <t>赵雅姿</t>
  </si>
  <si>
    <t>烧酒;威⼠忌;烈酒（饮料）;蒸馏饮料;含⽔果酒精饮料;酒精饮料原汁;清酒;⽩酒;果酒（含酒精）;鸡尾酒</t>
  </si>
  <si>
    <t>粹享源</t>
  </si>
  <si>
    <t>薛德超</t>
  </si>
  <si>
    <t>烈酒;⾷⽤酒精;果酒;汽酒;烧酒;葡萄酒;利⼝酒;⽶酒;酒精饮料（啤酒除外）;⽩酒</t>
  </si>
  <si>
    <t>雾凇岛</t>
  </si>
  <si>
    <t>殷涛</t>
  </si>
  <si>
    <t>含⽔果酒精饮料;烈酒（饮料）;开胃酒;⾷⽤酒精;葡萄酒;果酒（含酒精）;⽩酒;烧酒;酒精饮料（啤酒除外）;⽶酒</t>
  </si>
  <si>
    <t>东湖子母河</t>
  </si>
  <si>
    <t>绍兴东湖文化旅游发展有限公司</t>
  </si>
  <si>
    <t>⻩酒;杨梅酒;葡萄酒;⽩酒;汽酒;清酒;酒精饮料原汁;⽼酒（中国蒸馏烈酒）;⽶酒;烧酒</t>
  </si>
  <si>
    <t>幸福清花</t>
  </si>
  <si>
    <t>⽩酒;由⾕物蒸馏的⽩酒;果酒（含酒精）;烧酒（烈酒）;⽼酒（中国蒸馏烈酒）;烧酒;烈酒（饮料）;露酒;⾼粱酒;⽩⼲酒（中国⽩酒）</t>
  </si>
  <si>
    <t>藏地密码心宿</t>
  </si>
  <si>
    <t>方雪</t>
  </si>
  <si>
    <t>开胃酒;⽶酒;鸡尾酒;⽩酒;烧酒;⻘稞酒;果酒（含酒精）;葡萄酒;酒精饮料（啤酒除外）;烈酒（饮料）</t>
  </si>
  <si>
    <t>鑫道玉</t>
  </si>
  <si>
    <t>安达市鑫糯玉酒行（个体工商户）</t>
  </si>
  <si>
    <t>酒精饮料（啤酒除外）;含⽔果酒精饮料;伏特加酒;⻩酒;烧酒;清酒;葡萄酒;烈酒（饮料）;⽶酒;⽩酒</t>
  </si>
  <si>
    <t>醉卧红尘</t>
  </si>
  <si>
    <t>张爱杰</t>
  </si>
  <si>
    <t>⻩酒;果酒;鸡尾酒;葡萄酒;清酒（⽇本⽶酒）;烈酒;果酒（含酒精）;含酒精的饮料（啤酒除外）;⽶酒;⽩酒</t>
  </si>
  <si>
    <t>谷缘兆丰</t>
  </si>
  <si>
    <t>⽶酒;清酒（⽇本⽶酒）;⻩酒;⽩酒;烈酒（饮料）;烧酒;鸡尾酒;酒精饮料（啤酒除外）;果酒（含酒精）;葡萄酒</t>
  </si>
  <si>
    <t>凤之鹊</t>
  </si>
  <si>
    <t>郑雪</t>
  </si>
  <si>
    <t>葡萄酒;⽩酒;⽩⼲酒（中国⽩酒）;⽶酒;⽼酒（中国蒸馏烈酒）;⻩酒;鸡尾酒;开胃酒;烧酒;烈酒（饮料）</t>
  </si>
  <si>
    <t>德为天</t>
  </si>
  <si>
    <t>烈酒;露酒;⽶酒;⻩酒;⾼粱酒;果酒（含酒精）;餐后酒（利⼝酒和烈酒）;葡萄酒;烧酒;⽩酒</t>
  </si>
  <si>
    <t>上郡古邑</t>
  </si>
  <si>
    <t>陕西友能科技有限公司</t>
  </si>
  <si>
    <t>⽩⼲酒（中国⽩酒）;⾼粱酒;葡萄酒;烧酒;烧酒（烈酒）;⻩酒;烈酒;⽩酒;⽶酒;⻘稞酒</t>
  </si>
  <si>
    <t>情缘滨宾</t>
  </si>
  <si>
    <t>烧酒;葡萄酒;⽶酒;清酒（⽇本⽶酒）;酒精饮料（啤酒除外）;⽩酒;鸡尾酒;果酒（含酒精）;烈酒（饮料）;⻩酒</t>
  </si>
  <si>
    <t>闲农纪</t>
  </si>
  <si>
    <t>杭州智成文化创意有限公司</t>
  </si>
  <si>
    <t>薄荷酒;⻩酒;威⼠忌;果酒（含酒精）;伏特加酒;⽩酒;清酒（⽇本⽶酒）;酒精饮料（啤酒除外）;葡萄酒;鸡尾酒</t>
  </si>
  <si>
    <t>梓茵美</t>
  </si>
  <si>
    <t>麦玺供应链管理（杭州）有限公司</t>
  </si>
  <si>
    <t>⽩酒;⽩兰地;⽶酒;果酒（含酒精）;酒精饮料（啤酒除外）;烧酒;清酒（⽇本⽶酒）;⻩酒;⻘稞酒;葡萄酒</t>
  </si>
  <si>
    <t>游龙剑</t>
  </si>
  <si>
    <t>贵州酱道壹九壹五酒业股份有限公司</t>
  </si>
  <si>
    <t>烧酒;利⼝酒;酒精饮料（啤酒除外）;⻘稞酒;⻩酒;酸酒（低等葡萄酒）;⽩酒;果酒（含酒精）;⽶酒;葡萄酒</t>
  </si>
  <si>
    <t>德颂天下</t>
  </si>
  <si>
    <t>⽶酒;⻩酒;⽩酒;⾼粱酒;烈酒;餐后酒（利⼝酒和烈酒）;露酒;葡萄酒;烧酒;果酒（含酒精）</t>
  </si>
  <si>
    <t>千寻清花</t>
  </si>
  <si>
    <t>果酒（含酒精）;由⾕物蒸馏的⽩酒;烧酒（烈酒）;⽩⼲酒（中国⽩酒）;烧酒;⾼粱酒;⽩酒;露酒;⽼酒（中国蒸馏烈酒）;烈酒（饮料）</t>
  </si>
  <si>
    <t>源泉大典</t>
  </si>
  <si>
    <t>王金峰</t>
  </si>
  <si>
    <t>清酒（⽇本⽶酒）;含酒精的⽓泡⽔;含⽔果酒精饮料;朗姆酒;⽩酒;果酒（含酒精）;葡萄酒;鸡尾酒;酒精饮料（啤酒除外）;伏特加酒</t>
  </si>
  <si>
    <t>DIONY DISTILLERY</t>
  </si>
  <si>
    <t>迪欧尼酿酒有限公司</t>
  </si>
  <si>
    <t>威⼠忌</t>
  </si>
  <si>
    <t>中杞</t>
  </si>
  <si>
    <t>重庆情秘电子商务有限公司</t>
  </si>
  <si>
    <t>枸杞酒</t>
  </si>
  <si>
    <t>豫风楚韵</t>
  </si>
  <si>
    <t>河南灵山酒业有限公司</t>
  </si>
  <si>
    <t>含酒精⽔果饮料;⻩酒;⾷⽤酒精;樱桃酒;⾕物制蒸馏酒精饮料;预先混合的酒精饮料（以啤酒为主的除外）;⽶酒;露酒;烧酒;苹果酒</t>
  </si>
  <si>
    <t>苐大福</t>
  </si>
  <si>
    <t>石狮展顺名飞贸易有限公司</t>
  </si>
  <si>
    <t>清酒;烈酒;果酒;⽶酒;⽩兰地;鸡尾酒;葡萄酒;威⼠忌;⽩酒;⻩酒</t>
  </si>
  <si>
    <t>芷薏</t>
  </si>
  <si>
    <t>贵州薏粮醇酱酒有限公司</t>
  </si>
  <si>
    <t>⽩酒;含酒精的饮料（啤酒除外）;五加⽪酒（中国混合烈酒）;由⾕物蒸馏的⽩酒;酒精饮料（啤酒除外）;⽼酒（中国蒸馏烈酒）;烈酒（饮料）;⽩⼲酒（中国⽩酒）;烈酒;苦荞酒</t>
  </si>
  <si>
    <t>朱雀山</t>
  </si>
  <si>
    <t>朱雀山酒业(吉林)有限公司</t>
  </si>
  <si>
    <t>烧酒;⽩酒;⽼酒（中国蒸馏烈酒）;酒精饮料（啤酒除外）;⽩⼲酒（中国⽩酒）;葡萄酒;烈酒;甜酒;清酒;混合威⼠忌酒</t>
  </si>
  <si>
    <t>百星源</t>
  </si>
  <si>
    <t>南非昌隆贸易有限公司</t>
  </si>
  <si>
    <t>鸡尾酒;甜果酒;葡萄酒;果酒（含酒精）;佐餐酒;⽩兰地;以葡萄酒为主的饮料;威⼠忌;朗姆酒;开胃酒</t>
  </si>
  <si>
    <t>挑玉</t>
  </si>
  <si>
    <t>⽶酒;威⼠忌;烧酒;果酒（含酒精）;葡萄酒;酒精饮料（啤酒除外）;清酒（⽇本⽶酒）;⽩酒;⻩酒;⻘稞酒</t>
  </si>
  <si>
    <t>曾记新泸香</t>
  </si>
  <si>
    <t>泸州市江阳区新泸香白酒坊</t>
  </si>
  <si>
    <t>⻘稞酒;汽酒;⽶酒;葡萄酒;烧酒;⻩酒;⾷⽤酒精;⽩酒;⽢蔗制酒精饮料;果酒（含酒精）</t>
  </si>
  <si>
    <t>乾力小久</t>
  </si>
  <si>
    <t>范开士</t>
  </si>
  <si>
    <t>酒精饮料浓缩汁;酒精饮料（啤酒除外）;烈酒（饮料）;⾷⽤酒精;⽶酒;含⽔果酒精饮料;以葡萄酒为主的饮料;⽩兰地;⽩酒;烧酒</t>
  </si>
  <si>
    <t>财之禄</t>
  </si>
  <si>
    <t>⽩酒;果酒;⽩兰地;葡萄酒;烧酒;汽酒;清酒;威⼠忌;⽶酒;⻩酒</t>
  </si>
  <si>
    <t>克里瓦娜</t>
  </si>
  <si>
    <t>浙江凯诚进出口有限公司</t>
  </si>
  <si>
    <t>烧酒;⻩酒;葡萄酒;⽩酒;汽酒;开胃酒;⽶酒;烈酒;⾷⽤酒精;⾼粱酒</t>
  </si>
  <si>
    <t>黔榕争冠</t>
  </si>
  <si>
    <t>贵州军玥酒业有限公司</t>
  </si>
  <si>
    <t>葡萄酒;烈酒（饮料）;酒精饮料（啤酒除外）;⽶酒;果酒（含酒精）;⽩酒;开胃酒;清酒（⽇本⽶酒）;⾕物制蒸馏酒精饮料;烧酒</t>
  </si>
  <si>
    <t>乌龙腾飞</t>
  </si>
  <si>
    <t>烧酒;⽩酒;葡萄酒;酒精饮料（啤酒除外）;鸡尾酒;烈酒（饮料）;清酒（⽇本⽶酒）;⽶酒;果酒（含酒精）;⻩酒</t>
  </si>
  <si>
    <t>鋆舍</t>
  </si>
  <si>
    <t>四川晟鋆兴科技有限责任公司</t>
  </si>
  <si>
    <t>葡萄酒;⽩酒;红葡萄酒;果酒;⻩酒;开胃酒;鸡尾酒;⽩兰地;⽶酒;果酒（含酒精）</t>
  </si>
  <si>
    <t>土七婆</t>
  </si>
  <si>
    <t>河南鼎层装饰工程设计有限公司</t>
  </si>
  <si>
    <t>红葡萄酒;⾼粱酒;⽼酒（中国蒸馏烈酒）;清酒;⽩葡萄酒;调制好的葡萄酒鸡尾酒;由⾕物蒸馏的⽩酒;果酒;苦荞酒;以葡萄酒为主的饮料;草莓酒</t>
  </si>
  <si>
    <t>农垦东北</t>
  </si>
  <si>
    <t>上海台府食品饮料有限公司</t>
  </si>
  <si>
    <t>含⽔果酒精饮料;果酒;⻩酒;⽩酒;酒精饮料（啤酒除外）;以葡萄酒为主的饮料;威⼠忌;红葡萄酒;酒精饮料原汁;含酒精的⽓泡⽔</t>
  </si>
  <si>
    <t>EVOR</t>
  </si>
  <si>
    <t>昆明圆如百货商行（个人独资）</t>
  </si>
  <si>
    <t>烧酒（烈酒）;果酒;⻩酒;⽩酒;⻘稞酒;葡萄酒;清酒（⽇本⽶酒）;⽶酒;朗姆酒;酒精饮料（啤酒除外）</t>
  </si>
  <si>
    <t>庐陵剑</t>
  </si>
  <si>
    <t>刘木群</t>
  </si>
  <si>
    <t>鸡尾酒;烈酒（饮料）;酒精饮料原汁;果酒（含酒精）;⽶酒;⻩酒;果酒;酒精饮料（啤酒除外）;⾼粱酒;⽩酒</t>
  </si>
  <si>
    <t>黄金叶君品</t>
  </si>
  <si>
    <t>古咚咚</t>
  </si>
  <si>
    <t>⽩⼲酒（中国⽩酒）;果酒;已调味的蒸馏酒;⽶酒;由⾕物蒸馏的⽩酒;⾼粱酒;蒸煮提取物（利⼝酒和烈酒）;酒精饮料（啤酒除外）;⻩酒;⽩酒</t>
  </si>
  <si>
    <t>植喜</t>
  </si>
  <si>
    <t>安徽省酷路泽电子科技有限公司</t>
  </si>
  <si>
    <t>果酒（含酒精）;⽩兰地;威⼠忌;⻩酒;烈酒（饮料）;烧酒;葡萄酒;酒精饮料（啤酒除外）;⻘稞酒;⽩酒</t>
  </si>
  <si>
    <t>喜滋道</t>
  </si>
  <si>
    <t>浙江喜滋道餐饮管理有限公司</t>
  </si>
  <si>
    <t>⽩酒;⽩兰地;汽酒;⻩酒;烧酒;威⼠忌;鸡尾酒;果酒（含酒精）;⽶酒;葡萄酒</t>
  </si>
  <si>
    <t>NIU DA LI</t>
  </si>
  <si>
    <t>广东五指毛桃酒业发展有限公司</t>
  </si>
  <si>
    <t>威⼠忌;汽酒;⽶酒;预先混合的酒精饮料（以啤酒为主的除外）;⽩兰地;酒精饮料（啤酒除外）;⻩酒;含⽔果酒精饮料;⽩酒;葡萄酒</t>
  </si>
  <si>
    <t>入顶</t>
  </si>
  <si>
    <t>彭诗学</t>
  </si>
  <si>
    <t>果酒（含酒精）;葡萄酒;清酒（⽇本⽶酒）;⽩酒;威⼠忌;烧酒;⻩酒;⽩兰地;⽶酒;酒精饮料（啤酒除外）</t>
  </si>
  <si>
    <t>步顶</t>
  </si>
  <si>
    <t>⽩酒;⻩酒;⻘稞酒;酒精饮料（啤酒除外）;葡萄酒;烧酒;果酒（含酒精）;清酒（⽇本⽶酒）;⽩兰地;威⼠忌</t>
  </si>
  <si>
    <t>都柳泉</t>
  </si>
  <si>
    <t>⾼粱酒;⽼酒（中国蒸馏烈酒）;含酒精的饮料（啤酒除外）;⽶酒;⾕物制蒸馏酒精饮料;汽酒;⻩酒;⽩酒;果酒;烧酒</t>
  </si>
  <si>
    <t>龟鹤同春</t>
  </si>
  <si>
    <t>红葡萄酒;樱桃酒;天然汽酒;烈酒（饮料）;⽩酒;烧酒;汽酒;甜酒;烈酒;伏特加酒</t>
  </si>
  <si>
    <t>今自在·自在堂</t>
  </si>
  <si>
    <t>烈酒（饮料）;⽩兰地;鸡尾酒;清酒（⽇本⽶酒）;以葡萄酒为主的饮料;葡萄酒;酒精饮料（啤酒除外）;朗姆酒;⽩酒;威⼠忌</t>
  </si>
  <si>
    <t>千公子</t>
  </si>
  <si>
    <t>⽶酒;果酒;蒸馏饮料;烧酒;烈酒（饮料）;葡萄酒;⽩兰地;⽩酒;果酒（含酒精）;鸡尾酒</t>
  </si>
  <si>
    <t>贺萄红酒庄</t>
  </si>
  <si>
    <t>含⽔果酒精饮料;葡萄酒;蒸煮提取物（利⼝酒和烈酒）;预先混合的酒精饮料（以啤酒为主的除外）;酒精饮料浓缩汁;酸酒（低等葡萄酒）;果酒（含酒精）;酒精饮料原汁;⽩酒;汽酒</t>
  </si>
  <si>
    <t>汉祖玺</t>
  </si>
  <si>
    <t>王亚伟</t>
  </si>
  <si>
    <t>果酒;清酒;甜酒;⻩酒;⽩酒;葡萄酒;⽶酒;烧酒;⽼酒（中国蒸馏烈酒）;含酒精的饮料（啤酒除外）</t>
  </si>
  <si>
    <t>湜湜琼浆</t>
  </si>
  <si>
    <t>⽶酒;伏特加酒;⻩酒;⽩兰地;清酒（⽇本⽶酒）;⻘稞酒;果酒（含酒精）;葡萄酒;威⼠忌;⽩酒</t>
  </si>
  <si>
    <t>东郡</t>
  </si>
  <si>
    <t>上海田曦饮用水有限公司</t>
  </si>
  <si>
    <t>果酒（含酒精）;⽩酒;葡萄酒;⻩酒;利⼝酒;鸡尾酒;烈酒（饮料）;烧酒;⾷⽤酒精;⽶酒</t>
  </si>
  <si>
    <t>皇天锦绣御品</t>
  </si>
  <si>
    <t>朱红勤</t>
  </si>
  <si>
    <t>⽶酒;清酒(⽇本⽶酒);伏特加酒;⾕物制蒸馏酒精饮料;朗姆酒;以葡萄酒为主的饮料;葡萄酒;⽩酒;威⼠忌;果酒(含酒精)</t>
  </si>
  <si>
    <t>湘薏</t>
  </si>
  <si>
    <t>酒精饮料（啤酒除外）;烈酒;⽩⼲酒（中国⽩酒）;⽩酒;由⾕物蒸馏的⽩酒;⽼酒（中国蒸馏烈酒）;烈酒（饮料）;含酒精的饮料（啤酒除外）;五加⽪酒（中国混合烈酒）;苦荞酒</t>
  </si>
  <si>
    <t>苏格登馥御</t>
  </si>
  <si>
    <t>玄本道</t>
  </si>
  <si>
    <t>望勇</t>
  </si>
  <si>
    <t>⽩酒;⽶酒;威⼠忌;⻩酒;果酒（含酒精）;开胃酒;鸡尾酒;烧酒;葡萄酒;烈酒（饮料）</t>
  </si>
  <si>
    <t>观泰赏海</t>
  </si>
  <si>
    <t>葡萄酒;酒精饮料原汁;⾷⽤酒精;⽩酒;⽶酒;朗姆酒;果酒（含酒精）;烧酒;⻩酒;威⼠忌</t>
  </si>
  <si>
    <t>浆柏年</t>
  </si>
  <si>
    <t>陈美菱</t>
  </si>
  <si>
    <t>酒精饮料（啤酒除外）;葡萄酒;烈酒（饮料）;⽶酒;⻩酒;果酒（含酒精）;餐后酒（利⼝酒和烈酒）;酒精饮料原汁;烧酒;⽩酒</t>
  </si>
  <si>
    <t>2024/05/31</t>
  </si>
  <si>
    <t>CHEZ NOUS</t>
  </si>
  <si>
    <t>深圳市安淇电子科技有限公司</t>
  </si>
  <si>
    <t>红葡萄酒;鸡尾酒;除啤酒外的酒精饮料;预先混合的酒精饮料（以啤酒为主的除外）;⽩酒;朗姆酒;威⼠忌;果酒（含酒精）;含酒精⽔果饮料;蒸馏饮料</t>
  </si>
  <si>
    <t>绍福情</t>
  </si>
  <si>
    <t>熊兵</t>
  </si>
  <si>
    <t>开胃酒;酒精饮料（啤酒除外）;烧酒;⽶酒;⽩酒;利⼝酒;⻩酒;果酒（含酒精）;烈酒（饮料）;鸡尾酒</t>
  </si>
  <si>
    <t>豫四方</t>
  </si>
  <si>
    <t>威⼠忌;⽩兰地;⽶酒;葡萄酒;烧酒;⾼粱酒;鸡尾酒;开胃酒;烈酒（饮料）;⽩酒</t>
  </si>
  <si>
    <t>春熙岚</t>
  </si>
  <si>
    <t>曾鹏</t>
  </si>
  <si>
    <t>烧酒;⽩酒;⻩酒;开胃酒;⻘稞酒;鸡尾酒;清酒（⽇本⽶酒）;蜂蜜酒;威⼠忌;烈酒（饮料）</t>
  </si>
  <si>
    <t>肖家边</t>
  </si>
  <si>
    <t>竹溪县龙坝肖家边经营管理有限责任公司</t>
  </si>
  <si>
    <t>甜果酒;薄荷酒;⾷⽤酒精;果酒（含酒精）;⽶酒;⻘稞酒;⻩酒;烧酒;⽩酒;汽酒</t>
  </si>
  <si>
    <t>岱樱红</t>
  </si>
  <si>
    <t>泰安市御道奥绿德农业种植专业合作社</t>
  </si>
  <si>
    <t>⽩酒;含酒精⽔果饮料;酒精饮料浓缩汁;葡萄酒;⽶酒;含酒精的⽓泡⽔;樱桃⽩兰地;樱桃酒;酒精饮料（啤酒除外）;蒸馏饮料</t>
  </si>
  <si>
    <t>厽猴</t>
  </si>
  <si>
    <t>北京观唐企业策划有限公司</t>
  </si>
  <si>
    <t>红葡萄酒;威⼠忌;甜果酒;烈酒;⾼粱酒;含酒精的饮料（啤酒除外）;⻨芽威⼠忌;⽩酒;加烈葡萄酒;果酒</t>
  </si>
  <si>
    <t>天定禧</t>
  </si>
  <si>
    <t>蒋琼</t>
  </si>
  <si>
    <t>⽶酒;烈酒（饮料）;⾷⽤酒精;葡萄酒;蒸馏饮料;果酒（含酒精）;清酒（⽇本⽶酒）;酒精饮料（啤酒除外）;⽩酒;汽酒</t>
  </si>
  <si>
    <t>龙乡宛西堂</t>
  </si>
  <si>
    <t>张晓红</t>
  </si>
  <si>
    <t>葡萄酒;含⽔果酒精饮料;烧酒;⽩酒;甜果酒;⽶酒;果酒（含酒精）;开胃酒;⻩酒;蒸煮提取物（利⼝酒和烈酒）</t>
  </si>
  <si>
    <t>福来财</t>
  </si>
  <si>
    <t>河南福之玖酒业有限公司</t>
  </si>
  <si>
    <t>开胃酒;⻩酒;酒精饮料（啤酒除外）;果酒;⽶酒;⽩酒;汽酒;烧酒;⾷⽤酒精;鸡尾酒</t>
  </si>
  <si>
    <t>刘郑醇酿</t>
  </si>
  <si>
    <t>贵州郑芸商贸有限公司</t>
  </si>
  <si>
    <t>烧酒;鸡尾酒;葡萄酒;酒精饮料（啤酒除外）;⽼酒（中国蒸馏烈酒）;⽶酒;威⼠忌;烈酒;⾼粱酒;⽩酒</t>
  </si>
  <si>
    <t>草原媳妇</t>
  </si>
  <si>
    <t>中麦科技张北有限公司</t>
  </si>
  <si>
    <t>果酒（含酒精）;以葡萄酒为主的饮料;⻩酒;汽酒;含酒精的⽓泡⽔;⾷⽤酒精;⽩酒;尼⽡（以⽢蔗为主的酒精饮料）;已调味的⻨芽酿制的酒精饮料（啤酒除外）;⻘稞酒</t>
  </si>
  <si>
    <t>伙计俩</t>
  </si>
  <si>
    <t>开胃酒;汽酒;甜酒;清酒;⽩酒;⾷⽤酒精;⽶酒;⻩酒;果酒;葡萄酒</t>
  </si>
  <si>
    <t>鹿安鸿达</t>
  </si>
  <si>
    <t>王庆明</t>
  </si>
  <si>
    <t>果酒（含酒精）;开胃酒;清酒（⽇本⽶酒）;⻩酒;威⼠忌;葡萄酒;⽶酒;烧酒;鸡尾酒;⽩酒</t>
  </si>
  <si>
    <t>溪亭清花</t>
  </si>
  <si>
    <t>任浩东</t>
  </si>
  <si>
    <t>⽩酒;烈酒（饮料）;⽩⼲酒（中国⽩酒）;⾼粱酒;露酒;⽼酒（中国蒸馏烈酒）;烧酒;由⾕物蒸馏的⽩酒;果酒（含酒精）;烧酒（烈酒）</t>
  </si>
  <si>
    <t>诺基山</t>
  </si>
  <si>
    <t>绍兴市悠越酒业有限公司</t>
  </si>
  <si>
    <t>威⼠忌;酒精饮料浓缩汁;⽶酒;⻩酒;伏特加酒;含⽔果酒精饮料;葡萄酒;鸡尾酒;⽩兰地;蒸馏饮料</t>
  </si>
  <si>
    <t>山河梦圆</t>
  </si>
  <si>
    <t>秦欢欢</t>
  </si>
  <si>
    <t>鸡尾酒;蒸馏饮料;⽶酒;果酒（含酒精）;⽩酒;⽩兰地;威⼠忌;葡萄酒;烧酒;⻩酒</t>
  </si>
  <si>
    <t>巡荷</t>
  </si>
  <si>
    <t>汪海红</t>
  </si>
  <si>
    <t>⽩兰地;利⼝酒;清酒（⽇本⽶酒）;⽩酒;烧酒;葡萄酒;果酒（含酒精）;鸡尾酒;烈酒（饮料）;⽶酒</t>
  </si>
  <si>
    <t>贵州华派酒业（集团）有限公司</t>
  </si>
  <si>
    <t>蒸馏饮料;⾕物制蒸馏酒精饮料;苹果酒;烈酒（饮料）;餐后酒（利⼝酒和烈酒）;⽩酒;露酒;葡萄酒;⽶酒;果酒（含酒精）</t>
  </si>
  <si>
    <t>蘑菇顶</t>
  </si>
  <si>
    <t>王宇</t>
  </si>
  <si>
    <t>烈酒（饮料）;葡萄酒;开胃酒;威⼠忌;清酒;⽶酒;⽩兰地;梨酒;烧酒;⽩酒</t>
  </si>
  <si>
    <t>玉良须</t>
  </si>
  <si>
    <t>晁成才</t>
  </si>
  <si>
    <t>⽩酒;果酒;烈酒;⽼酒（中国蒸馏烈酒）;⽩⼲酒（中国⽩酒）;⽶酒;⻩酒;清酒;烧酒;酒精饮料（啤酒除外）</t>
  </si>
  <si>
    <t>君老爷</t>
  </si>
  <si>
    <t>杨兰子</t>
  </si>
  <si>
    <t>开胃酒;鸡尾酒;⽩酒;葡萄酒;清酒（⽇本⽶酒）;⻩酒;果酒（含酒精）;威⼠忌;烈酒;酒精饮料（啤酒除外）</t>
  </si>
  <si>
    <t>蓝洲</t>
  </si>
  <si>
    <t>王宏亮</t>
  </si>
  <si>
    <t>⻩酒;果酒（含酒精）;⾷⽤酒精;烧酒;酒精饮料（啤酒除外）;⽶酒;清酒（⽇本⽶酒）;汽酒;葡萄酒;⽩酒</t>
  </si>
  <si>
    <t>溢翰</t>
  </si>
  <si>
    <t>西安溢翰非遗文化有限公司</t>
  </si>
  <si>
    <t>苹果酒;鸡尾酒;酒精饮料（啤酒除外）;果酒（含酒精）;⽩兰地;威⼠忌;酒精饮料原汁;薄荷酒;柑⾹酒;开胃酒</t>
  </si>
  <si>
    <t>鼎谷山</t>
  </si>
  <si>
    <t>深圳市杰双贸易有限公司</t>
  </si>
  <si>
    <t>果酒;清酒;鸡尾酒;苹果酒;烧酒;葡萄酒;威⼠忌;⻩酒;⽩酒;⽶酒</t>
  </si>
  <si>
    <t>观亭清花</t>
  </si>
  <si>
    <t>由⾕物蒸馏的⽩酒;⽩⼲酒（中国⽩酒）;烧酒;⾼粱酒;⽩酒;果酒（含酒精）;烈酒（饮料）;烧酒（烈酒）;露酒;⽼酒（中国蒸馏烈酒）</t>
  </si>
  <si>
    <t>业天承</t>
  </si>
  <si>
    <t>蒸馏饮料;⽶酒;汽酒;果酒（含酒精）;葡萄酒;⽩酒;⾷⽤酒精;清酒（⽇本⽶酒）;酒精饮料（啤酒除外）;烈酒（饮料）</t>
  </si>
  <si>
    <t>掌巅</t>
  </si>
  <si>
    <t>佘素敏</t>
  </si>
  <si>
    <t>⽶酒;⾷⽤酒精;伏特加酒;⾕物制蒸馏酒精饮料;⽩酒;⻩酒;果酒（含酒精）;葡萄酒;⽩兰地;烧酒</t>
  </si>
  <si>
    <t>虎恩熙</t>
  </si>
  <si>
    <t>金宝</t>
  </si>
  <si>
    <t>果酒（含酒精）;⻩酒;鸡尾酒;葡萄酒;⽶酒;烧酒;酒精饮料（啤酒除外）;⽩酒;清酒;甜酒</t>
  </si>
  <si>
    <t>彻候</t>
  </si>
  <si>
    <t>⽶酒;果酒（含酒精）;鸡尾酒;葡萄酒;⽩酒;烧酒;含酒精的⽓泡⽔;⻩酒;汽酒;酒精饮料（啤酒除外）</t>
  </si>
  <si>
    <t>内立</t>
  </si>
  <si>
    <t>林倩伶</t>
  </si>
  <si>
    <t>威⼠忌;⽶酒;烧酒;含酒精⽔果饮料;⻩酒;葡萄酒;⽩酒;⽩兰地;⾕物制蒸馏酒精饮料;果酒（含酒精）</t>
  </si>
  <si>
    <t>青香御鉴</t>
  </si>
  <si>
    <t>黄付云</t>
  </si>
  <si>
    <t>烧酒;葡萄酒;威⼠忌;⻩酒;清酒;⽩酒;酒精饮料（啤酒除外）;⽶酒;果酒（含酒精）;鸡尾酒</t>
  </si>
  <si>
    <t>周家嘴</t>
  </si>
  <si>
    <t>达州市大当家商贸经营部</t>
  </si>
  <si>
    <t>⾕物制蒸馏酒精饮料;含酒精的⽓泡⽔;⽶酒;⽩酒;鸡尾酒;果酒（含酒精）;酒精饮料（啤酒除外）;⻩酒;葡萄酒;⻘稞酒</t>
  </si>
  <si>
    <t>杏鸣</t>
  </si>
  <si>
    <t>贵州宏开酒业有限公司</t>
  </si>
  <si>
    <t>⾷⽤酒精;⻩酒;果酒;⽶酒;⾼粱酒;鸡尾酒;葡萄酒;蜂蜜酒;⽩酒;烧酒</t>
  </si>
  <si>
    <t>呈山臻藏</t>
  </si>
  <si>
    <t>张以欣</t>
  </si>
  <si>
    <t>⽇本梅⼦酒;预先混合的酒精饮料（以啤酒为主的除外）;⽩葡萄酒;红葡萄酒;⽶酒;蒸馏饮料;蜂蜜酒;苹果酒;葡萄酒;⽩酒</t>
  </si>
  <si>
    <t>稳步青云</t>
  </si>
  <si>
    <t>威⼠忌;烈酒（饮料）;⻩酒;清酒（⽇本⽶酒）;鸡尾酒;烧酒;含⽔果酒精饮料;果酒（含酒精）;葡萄酒;⽩酒</t>
  </si>
  <si>
    <t>泥粮池</t>
  </si>
  <si>
    <t>寇立巧</t>
  </si>
  <si>
    <t>开胃酒;含⽔果酒精饮料;⽩酒;⽶酒;果酒（含酒精）;酒精饮料（啤酒除外）;烧酒;⻩酒;预先混合的酒精饮料（以啤酒为主的除外）;葡萄酒</t>
  </si>
  <si>
    <t>傲图</t>
  </si>
  <si>
    <t>蒋勇军</t>
  </si>
  <si>
    <t>⻩酒;葡萄酒;开胃酒;清酒（⽇本⽶酒）;果酒（含酒精）;酒精饮料（啤酒除外）;鸡尾酒;⽩酒;烈酒;威⼠忌</t>
  </si>
  <si>
    <t>绍兴明猹秋貉文化创意有限公司</t>
  </si>
  <si>
    <t>⽢蔗制酒精饮料;酒精饮料（啤酒除外）;含⽔果酒精饮料;鸡尾酒;果酒（含酒精）;⽶酒;朗姆酒;⾷⽤酒精;⾕物制蒸馏酒精饮料;葡萄酒</t>
  </si>
  <si>
    <t>新始</t>
  </si>
  <si>
    <t>葡萄酒;⽶酒;果酒;鸡尾酒;蒸馏饮料;以葡萄酒为主的饮料;⽩酒;预先混合的酒精饮料（以啤酒为主的除外）;除啤酒外的酒精饮料;汽酒</t>
  </si>
  <si>
    <t>春意玉壶</t>
  </si>
  <si>
    <t>广州苏荷空间餐饮文化有限公司</t>
  </si>
  <si>
    <t>酒精饮料（啤酒除外）;烧酒;清酒（⽇本⽶酒）;⽩酒;含⽔果酒精饮料;⽩兰地;⽶酒;伏特加酒;开胃酒;利⼝酒</t>
  </si>
  <si>
    <t>崔聪</t>
  </si>
  <si>
    <t>青州市皇聪酒业有限公司</t>
  </si>
  <si>
    <t>苦味酒;朗姆酒;柑⾹酒;蒸馏饮料;烧酒;葡萄酒;⽩酒;⻘稞酒;⾷⽤酒精;汽酒</t>
  </si>
  <si>
    <t>栖然</t>
  </si>
  <si>
    <t>⻩酒;酒精饮料（啤酒除外）;葡萄酒;威⼠忌;鸡尾酒;烈酒;开胃酒;清酒（⽇本⽶酒）;⽩酒;果酒（含酒精）</t>
  </si>
  <si>
    <t>秦印翠峰源</t>
  </si>
  <si>
    <t>重庆翠峰源生态农业有限公司</t>
  </si>
  <si>
    <t>汽酒;清酒;⽶酒;烧酒;梅酒;烈酒;⽩酒;⾼粱酒;果酒;葡萄酒</t>
  </si>
  <si>
    <t>幽亭清花</t>
  </si>
  <si>
    <t>烧酒（烈酒）;⽩⼲酒（中国⽩酒）;烧酒;⾼粱酒;⽼酒（中国蒸馏烈酒）;露酒;烈酒（饮料）;⽩酒;由⾕物蒸馏的⽩酒;果酒（含酒精）</t>
  </si>
  <si>
    <t>奇治酒坊</t>
  </si>
  <si>
    <t>贵州奇治酒业有限公司</t>
  </si>
  <si>
    <t>烧酒;⻩酒;⽼酒（中国蒸馏烈酒）;果酒;清酒;⽩⼲酒（中国⽩酒）;威⼠忌;⽶酒;烈酒;⽩酒</t>
  </si>
  <si>
    <t>贵水令</t>
  </si>
  <si>
    <t>吴琪</t>
  </si>
  <si>
    <t>烧酒;清酒（⽇本⽶酒）;⽩兰地;⽶酒;蜂蜜酒;⽩酒;酒精饮料（啤酒除外）;鸡尾酒;含⽔果酒精饮料;果酒（含酒精）</t>
  </si>
  <si>
    <t>协泰福</t>
  </si>
  <si>
    <t>佘锦亮</t>
  </si>
  <si>
    <t>鸡尾酒;葡萄酒;含⽔果酒精饮料;⽩酒;蒸馏饮料;⽩兰地;威⼠忌;蜂蜜酒;⽶酒;果酒（含酒精）</t>
  </si>
  <si>
    <t>御动力</t>
  </si>
  <si>
    <t>青岛萨贝熊酒业有限公司</t>
  </si>
  <si>
    <t>酒精饮料（啤酒除外）;⽩酒;⽶酒;⽩⼲酒（中国⽩酒）;蒸馏饮料;⾕物制蒸馏酒精饮料;烧酒;⻩酒;⽼酒（中国蒸馏烈酒）;由⾕物蒸馏的⽩酒</t>
  </si>
  <si>
    <t>祥霆</t>
  </si>
  <si>
    <t>杭州卓智康悦科技有限公司</t>
  </si>
  <si>
    <t>果酒;威⼠忌;⽶酒;⽩酒;鸡尾酒;酒精饮料（啤酒除外）;烧酒;开胃酒;⻩酒;烈酒</t>
  </si>
  <si>
    <t>提拨名</t>
  </si>
  <si>
    <t>贵州黔烈酒业有限公司</t>
  </si>
  <si>
    <t>含⽔果酒精饮料;⽩酒;葡萄酒;蒸煮提取物（利⼝酒和烈酒）;酒精饮料（啤酒除外）;⾷⽤酒精;⽶酒;酒精饮料浓缩汁;预先混合的酒精饮料（以啤酒为主的除外）;酒精饮料原汁</t>
  </si>
  <si>
    <t>简扬纯</t>
  </si>
  <si>
    <t>合肥一本正经文化传播有限公司</t>
  </si>
  <si>
    <t>⻘梅酒;梅酒;⽩⼲酒（中国⽩酒）;⽼酒（中国蒸馏烈酒）;由⾕物蒸馏的⽩酒;果酒（含酒精）;烈酒（饮料）;露酒;含酒精的充⽓饮料（啤酒除外）;烈酒</t>
  </si>
  <si>
    <t>皓庭清花</t>
  </si>
  <si>
    <t>⽩酒;由⾕物蒸馏的⽩酒;⽼酒（中国蒸馏烈酒）;果酒（含酒精）;⽩⼲酒（中国⽩酒）;⾼粱酒;烧酒（烈酒）;烧酒;露酒;烈酒（饮料）</t>
  </si>
  <si>
    <t>鸣然</t>
  </si>
  <si>
    <t>周筱颖</t>
  </si>
  <si>
    <t>⽩酒;⽶酒;⻩酒;鸡尾酒;烈酒（饮料）;果酒（含酒精）;蒸馏饮料;葡萄酒;酒精饮料（啤酒除外）;烧酒</t>
  </si>
  <si>
    <t>济草纲目</t>
  </si>
  <si>
    <t>济草纲目（湖北）健康产业有限公司</t>
  </si>
  <si>
    <t>涵发</t>
  </si>
  <si>
    <t>毛崇发</t>
  </si>
  <si>
    <t>葡萄酒;烧酒;⽩酒;烧酒（烈酒）;⻩酒;果酒（含酒精）;除啤酒外的酒精饮料;⽶酒;果酒;含酒精的⽔果鸡尾酒饮料</t>
  </si>
  <si>
    <t>相中麦</t>
  </si>
  <si>
    <t>云南布乐食品有限公司</t>
  </si>
  <si>
    <t>果酒;汽酒;烈酒;⽩酒;烧酒;杨梅酒;⻘梅酒;清酒;葡萄酒;⽶酒</t>
  </si>
  <si>
    <t>禾瑞仙</t>
  </si>
  <si>
    <t>董永建</t>
  </si>
  <si>
    <t>⽩酒;含⽔果酒精饮料;威⼠忌;鸡尾酒;酒精饮料原汁;烧酒;果酒（含酒精）;烈酒（饮料）;蒸馏饮料;清酒</t>
  </si>
  <si>
    <t>枫亭清花</t>
  </si>
  <si>
    <t>⽩酒;⾼粱酒;烧酒;⽼酒（中国蒸馏烈酒）;⽩⼲酒（中国⽩酒）;果酒（含酒精）;露酒;烈酒（饮料）;烧酒（烈酒）;由⾕物蒸馏的⽩酒</t>
  </si>
  <si>
    <t>农含</t>
  </si>
  <si>
    <t>郭光学</t>
  </si>
  <si>
    <t>酒精饮料（啤酒除外）;烧酒;甜酒;⻩酒;⽩酒;葡萄酒;鸡尾酒;⽶酒;汽酒;果酒</t>
  </si>
  <si>
    <t>御嗷嗷</t>
  </si>
  <si>
    <t>黄荣垒</t>
  </si>
  <si>
    <t>汽酒;⽩酒;⽶酒;鸡尾酒;开胃酒;烈酒;烧酒;葡萄酒;利⼝酒;果酒（含酒精）</t>
  </si>
  <si>
    <t>不说师名</t>
  </si>
  <si>
    <t>⻘稞酒;⽩酒;⽩兰地;⽶酒;烧酒;清酒（⽇本⽶酒）;⻩酒;威⼠忌;葡萄酒;果酒（含酒精）</t>
  </si>
  <si>
    <t>醉卧东棠</t>
  </si>
  <si>
    <t>东棠（山东）文化发展有限公司</t>
  </si>
  <si>
    <t>⽩酒;⽶酒;果酒（含酒精）;⻩酒;⾷⽤酒精;鸡尾酒;烧酒;酒精饮料（啤酒除外）;葡萄酒;蜂蜜酒</t>
  </si>
  <si>
    <t>寇公井</t>
  </si>
  <si>
    <t>重庆市奉节县夔峡农副产品有限公司</t>
  </si>
  <si>
    <t>⽩酒;蒸馏饮料;含⽔果酒精饮料;预先混合的酒精饮料（以啤酒为主的除外）;⽶酒;果酒（含酒精）;鸡尾酒;⾷⽤酒精;酒精饮料（啤酒除外）;葡萄酒</t>
  </si>
  <si>
    <t>留凡酒集市</t>
  </si>
  <si>
    <t>仁怀市洪福通商贸有限公司</t>
  </si>
  <si>
    <t>果酒（含酒精）;⻘稞酒;⽶酒;葡萄酒;⽩酒;⾷⽤酒精;⻩酒;烈酒（饮料）;烧酒;蜂蜜酒</t>
  </si>
  <si>
    <t>套马鞍</t>
  </si>
  <si>
    <t>王文华</t>
  </si>
  <si>
    <t>⽩酒;蒸煮提取物（利⼝酒和烈酒）;酒精饮料原汁;汽酒;⾷⽤酒精;⻩酒;烧酒;葡萄酒;烈酒;⽶酒</t>
  </si>
  <si>
    <t>IDLE IDOL</t>
  </si>
  <si>
    <t>泉州市诞沃贸易有限公司</t>
  </si>
  <si>
    <t>果酒（含酒精）;威⼠忌;⾷⽤酒精;⽩酒;⽶酒;酒精饮料（啤酒除外）;葡萄酒;烈酒（饮料）;含⽔果酒精饮料;蜂蜜酒</t>
  </si>
  <si>
    <t>闻天仙</t>
  </si>
  <si>
    <t>赵明敏</t>
  </si>
  <si>
    <t>鸡尾酒;烧酒;烈酒（饮料）;⽶酒;⽩兰地;⽩酒;威⼠忌;酒精饮料（啤酒除外）;葡萄酒;果酒（含酒精）</t>
  </si>
  <si>
    <t>筱漂亮</t>
  </si>
  <si>
    <t>王冰</t>
  </si>
  <si>
    <t>⽩兰地;烧酒;果酒;鸡尾酒;⽩酒;葡萄酒;烈酒;威⼠忌;苹果酒;⻩酒</t>
  </si>
  <si>
    <t>初普普芝</t>
  </si>
  <si>
    <t>烈酒;露酒;⽼酒（中国蒸馏烈酒）;含酒精的充⽓饮料（啤酒除外）;⽩⼲酒（中国⽩酒）;果酒（含酒精）;⻘梅酒;烈酒（饮料）;梅酒;由⾕物蒸馏的⽩酒</t>
  </si>
  <si>
    <t>泱图</t>
  </si>
  <si>
    <t>⻩酒;烈酒;酒精饮料（啤酒除外）;葡萄酒;清酒（⽇本⽶酒）;鸡尾酒;开胃酒;威⼠忌;果酒（含酒精）;⽩酒</t>
  </si>
  <si>
    <t>曲泽远</t>
  </si>
  <si>
    <t>邓林</t>
  </si>
  <si>
    <t>果酒（含酒精）;鸡尾酒;烧酒;威⼠忌;烈酒（饮料）;含⽔果酒精饮料;酒精饮料原汁;清酒;⽩酒;蒸馏饮料</t>
  </si>
  <si>
    <t>食千户</t>
  </si>
  <si>
    <t>逐光绘影（北京）科技有限公司</t>
  </si>
  <si>
    <t>果酒（含酒精）;⽩酒;⻩酒;伏特加酒;蒸馏饮料;⽶酒;鸡尾酒;烈酒（饮料）;⽩兰地;利⼝酒</t>
  </si>
  <si>
    <t>老仁治治</t>
  </si>
  <si>
    <t>山东匠心酒业有限公司</t>
  </si>
  <si>
    <t>果酒（含酒精）;酒精饮料浓缩汁;⽩酒;葡萄酒;⽶酒;烧酒;⾷⽤酒精;开胃酒;蒸馏饮料;含⽔果酒精饮料</t>
  </si>
  <si>
    <t>臻底</t>
  </si>
  <si>
    <t>谢心恩</t>
  </si>
  <si>
    <t>清酒（⽇本⽶酒）;⻩酒;⽩兰地;⽶酒;烧酒;果酒（含酒精）;⻘稞酒;威⼠忌;葡萄酒;⽩酒</t>
  </si>
  <si>
    <t>客家雅媚 HAKKA YA MEI</t>
  </si>
  <si>
    <t>丘雅媚</t>
  </si>
  <si>
    <t>⻩酒;酒精饮料原汁;蒸馏饮料;烧酒;酒精饮料（啤酒除外）;威⼠忌;⽶酒;⽩酒;葡萄酒;果酒（含酒精）</t>
  </si>
  <si>
    <t>望亭清花</t>
  </si>
  <si>
    <t>⽼酒（中国蒸馏烈酒）;⽩酒;⽩⼲酒（中国⽩酒）;烈酒（饮料）;烧酒;⾼粱酒;烧酒（烈酒）;果酒（含酒精）;露酒;由⾕物蒸馏的⽩酒</t>
  </si>
  <si>
    <t>SLOWSEASON</t>
  </si>
  <si>
    <t>厦门人人优品电子商务有限公司</t>
  </si>
  <si>
    <t>利⼝酒;⽶酒;葡萄酒;含⽔果酒精饮料;蒸馏饮料;果酒（含酒精）;酒精饮料（啤酒除外）;⽩酒;⻩酒;汽酒</t>
  </si>
  <si>
    <t>至臻蓉</t>
  </si>
  <si>
    <t>张丰</t>
  </si>
  <si>
    <t>葡萄酒;⽶酒;⽩酒;烧酒;⻩酒;清酒（⽇本⽶酒）;果酒（含酒精）;烈酒（饮料）;酒精饮料（啤酒除外）;开胃酒</t>
  </si>
  <si>
    <t>⽩酒;开胃酒;葡萄酒;烧酒;⻩酒;⽶酒;烈酒（饮料）;酒精饮料（啤酒除外）;果酒（含酒精）;清酒（⽇本⽶酒）</t>
  </si>
  <si>
    <t>晏阳人家</t>
  </si>
  <si>
    <t>河北二龙酒业有限公司</t>
  </si>
  <si>
    <t>鸡尾酒;酒精饮料（啤酒除外）;薄荷酒;果酒（含酒精）;⽩酒;葡萄酒;威⼠忌;⽶酒;⻩酒;蒸馏饮料</t>
  </si>
  <si>
    <t>鱼家庄</t>
  </si>
  <si>
    <t>周闻</t>
  </si>
  <si>
    <t>果酒（含酒精）;烧酒;蜂蜜酒;清酒（⽇本⽶酒）;鸡尾酒;酒精饮料（啤酒除外）;⽩酒;开胃酒;⻩酒;葡萄酒</t>
  </si>
  <si>
    <t>宁悦益百</t>
  </si>
  <si>
    <t>银川新华百货连锁超市有限公司</t>
  </si>
  <si>
    <t>鸡尾酒;含⽔果酒精饮料;⽩兰地;果酒（含酒精）;伏特加酒;含酒精的⽓泡⽔;蒸馏饮料;餐后酒（利⼝酒和烈酒）;威⼠忌;⽶酒</t>
  </si>
  <si>
    <t>先言</t>
  </si>
  <si>
    <t>蜂蜜酒;果酒（含酒精）;蒸馏饮料;⽩兰地;葡萄酒;鸡尾酒;威⼠忌;含⽔果酒精饮料;⽶酒;⽩酒</t>
  </si>
  <si>
    <t>七亩地</t>
  </si>
  <si>
    <t>广州七亩地科技发展有限公司</t>
  </si>
  <si>
    <t>伏特加酒;葡萄酒;蜂蜜酒;烈酒;烈酒（饮料）;威⼠忌;葡萄汽酒;含酒精⽔果饮料;甜果酒;⽩兰地</t>
  </si>
  <si>
    <t>晋古传祁</t>
  </si>
  <si>
    <t>王宪午</t>
  </si>
  <si>
    <t>果酒（含酒精）;⻩酒;烧酒;鸡尾酒;⻘稞酒;蒸馏饮料;烈酒（饮料）;⽶酒;葡萄酒;⽩酒</t>
  </si>
  <si>
    <t>宾醉翁</t>
  </si>
  <si>
    <t>⻩酒;⽩酒;鸡尾酒;威⼠忌;烧酒;蒸馏饮料;⽶酒;果酒（含酒精）;葡萄酒;⽩兰地</t>
  </si>
  <si>
    <t>瓮坪山</t>
  </si>
  <si>
    <t>陈伟</t>
  </si>
  <si>
    <t>⽼酒（中国蒸馏烈酒）;⽶酒;⽩酒;⾼粱酒;烧酒;甜酒;酒精饮料（啤酒除外）;果酒;葡萄酒;烈酒</t>
  </si>
  <si>
    <t>帝慈荟</t>
  </si>
  <si>
    <t>广西长寿密码健康产业投资有限公司</t>
  </si>
  <si>
    <t>⽩兰地;⽶酒;葡萄酒;含⽔果酒精饮料;蒸煮提取物（利⼝酒和烈酒）;鸡尾酒;⻩酒;果酒;⽩酒;酒精饮料（啤酒除外）</t>
  </si>
  <si>
    <t>题画诗 TIHUASHI.COM</t>
  </si>
  <si>
    <t>四川地方印象文化发展有限公司</t>
  </si>
  <si>
    <t>葡萄酒;烈酒（饮料）;⻩酒;果酒（含酒精）;⽩酒;由⾕物蒸馏的⽩酒;酒精饮料（啤酒除外）;佐餐酒;⽩⼲酒（中国⽩酒）;鸡尾酒</t>
  </si>
  <si>
    <t>杯百道</t>
  </si>
  <si>
    <t>青岛茁禾康霖酒业有限公司</t>
  </si>
  <si>
    <t>⻩酒;⽼酒（中国蒸馏烈酒）;酒精饮料（啤酒除外）;⽩酒;⽩⼲酒（中国⽩酒）;⾕物制蒸馏酒精饮料;烧酒;由⾕物蒸馏的⽩酒;蒸馏饮料;⽶酒</t>
  </si>
  <si>
    <t>斯铂瑞特</t>
  </si>
  <si>
    <t>葡萄酒;⽶酒;烧酒;清酒（⽇本⽶酒）;果酒;⽩酒;⾼粱酒;鸡尾酒;⻩酒;⾷⽤酒精</t>
  </si>
  <si>
    <t>自览</t>
  </si>
  <si>
    <t>陈志彬</t>
  </si>
  <si>
    <t>果酒（含酒精）;⽩兰地;含酒精⽔果饮料;威⼠忌;葡萄酒;⽩酒;⾕物制蒸馏酒精饮料;⽶酒;烧酒;⻩酒</t>
  </si>
  <si>
    <t>樽留仙</t>
  </si>
  <si>
    <t>烧酒;威⼠忌;⾕物制蒸馏酒精饮料;含酒精⽔果饮料;果酒（含酒精）;⽩兰地;⽶酒;⻩酒;⽩酒;葡萄酒</t>
  </si>
  <si>
    <t>惯健</t>
  </si>
  <si>
    <t>珠海横琴粤鑫融科技有限公司</t>
  </si>
  <si>
    <t>烧酒;葡萄酒;果酒（含酒精）;鸡尾酒;⽶酒;⻩酒;⽩酒;烈酒（饮料）;清酒（⽇本⽶酒）;酒精饮料（啤酒除外）</t>
  </si>
  <si>
    <t>纤纤今囍</t>
  </si>
  <si>
    <t>古城区三江井酒厂</t>
  </si>
  <si>
    <t>⽩酒;葡萄酒;含⽔果酒精饮料;酒精饮料（啤酒除外）;酒精饮料原汁;⻩酒;苦荞酒;⽼酒（中国蒸馏烈酒）;烧酒;⽶酒</t>
  </si>
  <si>
    <t>宾朋叙</t>
  </si>
  <si>
    <t>贵州国翁酒业有限公司</t>
  </si>
  <si>
    <t>⾼粱酒;果酒（含酒精）;苹果酒;葡萄酒;⽶酒;⽼酒（中国蒸馏烈酒）;⾕物制蒸馏酒精饮料;⽩酒;⽢蔗制烈酒;由⾕物蒸馏的⽩酒;⽢蔗制酒精饮料</t>
  </si>
  <si>
    <t>友缘门</t>
  </si>
  <si>
    <t>⽩兰地;酒精饮料（啤酒除外）;鸡尾酒;含⽔果酒精饮料;蜂蜜酒;烧酒;果酒（含酒精）;清酒（⽇本⽶酒）;⽩酒;⽶酒</t>
  </si>
  <si>
    <t>张秋运河</t>
  </si>
  <si>
    <t>山东运河酒庄集团有限公司</t>
  </si>
  <si>
    <t>烧酒;甜酒;⽩⼲酒（中国⽩酒）;烈酒（饮料）;⽼酒（中国蒸馏烈酒）;葡萄酒;⽶酒;⾼粱酒;⽩酒;⻩酒</t>
  </si>
  <si>
    <t>浙真</t>
  </si>
  <si>
    <t>梅启禄</t>
  </si>
  <si>
    <t>葡萄酒;果酒（含酒精）;⾷⽤酒精;鸡尾酒;⻘稞酒;清酒（⽇本⽶酒）;⽶酒;烧酒;⽩酒;⻩酒</t>
  </si>
  <si>
    <t>静娴芝蛮村小馆</t>
  </si>
  <si>
    <t>上海静娴芝餐饮管理有限公司</t>
  </si>
  <si>
    <t>橄清</t>
  </si>
  <si>
    <t>云南橄清科技有限公司</t>
  </si>
  <si>
    <t>⽼酒（中国蒸馏烈酒）;清酒;露酒;⻘稞酒;烧酒;⽶酒;威末酒;红葡萄酒;苦荞酒;杜松⼦酒</t>
  </si>
  <si>
    <t>君鼓</t>
  </si>
  <si>
    <t>由⾕物蒸馏的⽩酒;⽼酒（中国蒸馏烈酒）;烈酒;露酒;梅酒;烈酒（饮料）;含酒精的充⽓饮料（啤酒除外）;⽩⼲酒（中国⽩酒）;果酒（含酒精）;⻘梅酒</t>
  </si>
  <si>
    <t>浩添珍美</t>
  </si>
  <si>
    <t>湖北省浩添珍美商贸有限公司</t>
  </si>
  <si>
    <t>开胃酒;酒精饮料（啤酒除外）;烧酒;⻩酒;⽩酒;⽩⼲酒（中国⽩酒）;果酒（含酒精）;⽶酒;⻘稞酒;烈酒（饮料）</t>
  </si>
  <si>
    <t>梁山伯与朱丽叶</t>
  </si>
  <si>
    <t>蒸馏饮料;⽩兰地;鸡尾酒;烈酒（饮料）;威⼠忌;果酒（含酒精）;葡萄酒;梨酒;酒精饮料原汁;烧酒</t>
  </si>
  <si>
    <t>合熙</t>
  </si>
  <si>
    <t>合熙商贸（苏州）有限公司</t>
  </si>
  <si>
    <t>⽶酒;⽩酒;清酒（⽇本⽶酒）;⾕物制蒸馏酒精饮料;含⽔果酒精饮料;果酒（含酒精）;葡萄酒;烧酒;酒精饮料（啤酒除外）;⻩酒</t>
  </si>
  <si>
    <t>酽丰</t>
  </si>
  <si>
    <t>果酒（含酒精）;⽩酒;清酒;汽酒;⽩⼲酒（中国⽩酒）;葡萄酒;⽶酒;⻩酒;烧酒;含酒精的饮料（啤酒除外）</t>
  </si>
  <si>
    <t>星钻</t>
  </si>
  <si>
    <t>徐州首酿酒业有限公司</t>
  </si>
  <si>
    <t>清酒（⽇本⽶酒）;开胃酒;葡萄酒;烧酒;⻩酒;梨酒;威⼠忌;利⼝酒;⽩酒;⻘稞酒</t>
  </si>
  <si>
    <t>谷王裕</t>
  </si>
  <si>
    <t>威⼠忌;含⽔果酒精饮料;⽩酒;果酒（含酒精）;烈酒（饮料）;葡萄酒;⻩酒;鸡尾酒;清酒（⽇本⽶酒）;烧酒</t>
  </si>
  <si>
    <t>福建省欧米投资有限公司</t>
  </si>
  <si>
    <t>清酒（⽇本⽶酒）;含⽔果酒精饮料;⻩酒;汽酒;伏特加酒;预先混合的酒精饮料（以啤酒为主的除外）;葡萄酒;果酒（含酒精）;⽩兰地;⽶酒;烧酒;鸡尾酒;⽩酒;威⼠忌;朗姆酒</t>
  </si>
  <si>
    <t>鉴香台</t>
  </si>
  <si>
    <t>海岱门（山东）酒水有限公司</t>
  </si>
  <si>
    <t>烧酒;含⽔果酒精饮料;⽩酒;鸡尾酒;果酒（含酒精）;清酒（⽇本⽶酒）;蜂蜜酒;酒精饮料（啤酒除外）;葡萄酒;⽶酒</t>
  </si>
  <si>
    <t>雪达</t>
  </si>
  <si>
    <t>李国军</t>
  </si>
  <si>
    <t>果酒（含酒精）;⽩酒;蒸馏饮料;⽩兰地;烧酒;烈酒（饮料）;利⼝酒;⻩酒;汽酒;⾷⽤酒精</t>
  </si>
  <si>
    <t>沃夫莱格</t>
  </si>
  <si>
    <t>雅世涵舍文化（北京）有限公司</t>
  </si>
  <si>
    <t>⽩酒;烧酒;果酒;烈酒;⽶酒;⻩酒;⾼粱酒;葡萄酒;威⼠忌;鸡尾酒</t>
  </si>
  <si>
    <t>沃夫雷格</t>
  </si>
  <si>
    <t>烈酒;鸡尾酒;⽩酒;烧酒;果酒;⻩酒;⾼粱酒;威⼠忌;⽶酒;葡萄酒</t>
  </si>
  <si>
    <t>楚楼春</t>
  </si>
  <si>
    <t>北京仁华教育科技有限公司</t>
  </si>
  <si>
    <t>⽩兰地;⽩酒;⽼酒（中国蒸馏烈酒）;朗姆酒;⾼粱酒;威⼠忌;酒精饮料（啤酒除外）;伏特加酒;果酒（含酒精）;烧酒（烈酒）</t>
  </si>
  <si>
    <t>狄洛堡</t>
  </si>
  <si>
    <t>青岛麦瑟威酒业销售有限公司</t>
  </si>
  <si>
    <t>果酒（含酒精）;威⼠忌;鸡尾酒;酒精饮料（啤酒除外）;清酒（⽇本⽶酒）;葡萄酒;朗姆酒;⻩酒;⽩酒;开胃酒</t>
  </si>
  <si>
    <t>欧诺千选</t>
  </si>
  <si>
    <t>中油工惠驿家石油销售有限公司</t>
  </si>
  <si>
    <t>汽酒;⾷⽤酒精;烧酒;含⽔果酒精饮料;葡萄酒;⽶酒;⽩酒;⾼粱酒;果酒（含酒精）;含酒精的⽓泡⽔</t>
  </si>
  <si>
    <t>羲淼</t>
  </si>
  <si>
    <t>无锡樽隆贸易有限公司</t>
  </si>
  <si>
    <t>⽩酒;杨梅酒;⽩⼲酒（中国⽩酒）;⽶酒;起泡⽩葡萄酒;⽼酒（中国蒸馏烈酒）;鸡尾酒;⻩酒;蒸馏饮料;葡萄酒</t>
  </si>
  <si>
    <t>问享</t>
  </si>
  <si>
    <t>四川特特酒业有限责任公司</t>
  </si>
  <si>
    <t>烧酒;⻩酒;⽩酒;⽶酒;果酒;清酒;红葡萄酒;⻘梅酒;⾼粱酒;梅酒</t>
  </si>
  <si>
    <t>2024/06/01</t>
  </si>
  <si>
    <t>SABROSISIMO</t>
  </si>
  <si>
    <t>福建乐科进出口贸易有限公司</t>
  </si>
  <si>
    <t>果酒（含酒精）;开胃酒;⽩兰地;烈酒（饮料）;朗姆酒;清酒（⽇本⽶酒）;含⽔果酒精饮料;烧酒;葡萄酒;威⼠忌</t>
  </si>
  <si>
    <t>彭寿仙</t>
  </si>
  <si>
    <t>⽩酒;含酒精的饮料（啤酒除外）;露酒;鸡尾酒;烈酒（饮料）;⽶酒;葡萄酒;果酒（含酒精）;酒精饮料浓缩汁;含⽔果酒精饮料</t>
  </si>
  <si>
    <t>定觯</t>
  </si>
  <si>
    <t>段双燕</t>
  </si>
  <si>
    <t>⽩酒;开胃酒;⻩酒;⽶酒;烧酒;蒸煮提取物（利⼝酒和烈酒）;葡萄酒;酒精饮料（啤酒除外）;果酒（含酒精）;⾷⽤酒精</t>
  </si>
  <si>
    <t>粤林花</t>
  </si>
  <si>
    <t>江门市翁大妈食品有限公司</t>
  </si>
  <si>
    <t>酒精饮料（啤酒除外）;伏特加酒;⽶酒;烧酒;果酒（含酒精）;鸡尾酒;⽩酒;葡萄酒;苹果酒;⻩酒</t>
  </si>
  <si>
    <t>典丰年</t>
  </si>
  <si>
    <t>张瑞恒</t>
  </si>
  <si>
    <t>果酒（含酒精）;烈酒（饮料）;葡萄酒;餐后酒（利⼝酒和烈酒）;酒精饮料原汁;酒精饮料（啤酒除外）;⽩酒;烧酒;⽶酒;⻩酒</t>
  </si>
  <si>
    <t>匠幸竹</t>
  </si>
  <si>
    <t>决东攀</t>
  </si>
  <si>
    <t>鸡尾酒;葡萄酒;威⼠忌;⻩酒;烈酒;⽩酒;果酒（含酒精）;清酒（⽇本⽶酒）;开胃酒;酒精饮料（啤酒除外）</t>
  </si>
  <si>
    <t>北京山海世庐商贸有限公司</t>
  </si>
  <si>
    <t>⽩兰地;⻘稞酒;⻩酒;烧酒;葡萄酒;威⼠忌;⽩酒;⽶酒;烈酒（饮料）;鸡尾酒</t>
  </si>
  <si>
    <t>怀丰年</t>
  </si>
  <si>
    <t>俞璐瑶</t>
  </si>
  <si>
    <t>烧酒;酒精饮料（啤酒除外）;⽩酒;⽶酒;果酒（含酒精）;葡萄酒;⻩酒;酒精饮料原汁;餐后酒（利⼝酒和烈酒）;烈酒（饮料）</t>
  </si>
  <si>
    <t>墨空</t>
  </si>
  <si>
    <t>清酒;⽶酒;⻘梅酒;⽩酒;果酒;烧酒;⻩酒;红葡萄酒;梅酒;⾼粱酒</t>
  </si>
  <si>
    <t>墨享</t>
  </si>
  <si>
    <t>果酒;清酒;⻩酒;⽶酒;⽩酒;⾼粱酒;梅酒;烧酒;⻘梅酒;红葡萄酒</t>
  </si>
  <si>
    <t>侯丰年</t>
  </si>
  <si>
    <t>应杭成</t>
  </si>
  <si>
    <t>⽩酒;烧酒;酒精饮料原汁;烈酒（饮料）;⻩酒;葡萄酒;果酒（含酒精）;⽶酒;酒精饮料（啤酒除外）;餐后酒（利⼝酒和烈酒）</t>
  </si>
  <si>
    <t>小津主</t>
  </si>
  <si>
    <t>天津小津主品牌管理有限公司</t>
  </si>
  <si>
    <t>果酒（含酒精）;酒精饮料（啤酒除外）;蜂蜜酒;烧酒;⻩酒;含⽔果酒精饮料;汽酒;葡萄酒;威⼠忌;鸡尾酒</t>
  </si>
  <si>
    <t>望墨</t>
  </si>
  <si>
    <t>⻘梅酒;⽶酒;⾼粱酒;清酒;果酒;⻩酒;红葡萄酒;梅酒;⽩酒;烧酒</t>
  </si>
  <si>
    <t>文常东乐</t>
  </si>
  <si>
    <t>吴木凤</t>
  </si>
  <si>
    <t>⽩酒;蜂蜜酒;⾕物制蒸馏酒精饮料;葡萄酒;预先混合的酒精饮料（以啤酒为主的除外）;⽩兰地;蒸馏饮料;⻩酒;果酒（含酒精）;含⽔果酒精饮料</t>
  </si>
  <si>
    <t>尊丰年</t>
  </si>
  <si>
    <t>余浩</t>
  </si>
  <si>
    <t>⽩酒;⽶酒;酒精饮料（啤酒除外）;烈酒（饮料）;果酒（含酒精）;烧酒;⻩酒;酒精饮料原汁;葡萄酒;餐后酒（利⼝酒和烈酒）</t>
  </si>
  <si>
    <t>仙丰年</t>
  </si>
  <si>
    <t>张万全</t>
  </si>
  <si>
    <t>⽶酒;酒精饮料原汁;烈酒（饮料）;葡萄酒;果酒（含酒精）;⽩酒;⻩酒;酒精饮料（啤酒除外）;餐后酒（利⼝酒和烈酒）;烧酒</t>
  </si>
  <si>
    <t>山渡香</t>
  </si>
  <si>
    <t>贵州山渡香贸易有限公司</t>
  </si>
  <si>
    <t>蒸馏饮料;⽩酒;薄荷酒;亚⼒酒;开胃酒;果酒（含酒精）;苦味酒;茴芹酒（利⼝酒）;茴⾹酒（利⼝酒）;苹果酒</t>
  </si>
  <si>
    <t>云从朵花</t>
  </si>
  <si>
    <t>贵州国龙酒业有限公司</t>
  </si>
  <si>
    <t>烧酒;⻩酒;烈酒（饮料）;预先混合的酒精饮料（以啤酒为主的除外）;葡萄酒;利⼝酒;⽶酒;⽩酒;果酒（含酒精）;酒精饮料（啤酒除外）</t>
  </si>
  <si>
    <t>水流芳</t>
  </si>
  <si>
    <t>⽩酒;茴⾹酒（利⼝酒）;开胃酒;苦味酒;苹果酒;茴芹酒（利⼝酒）;亚⼒酒;蒸馏饮料;薄荷酒;果酒（含酒精）</t>
  </si>
  <si>
    <t>哈威斯</t>
  </si>
  <si>
    <t>杨波</t>
  </si>
  <si>
    <t>蒸煮提取物（利⼝酒和烈酒）;葡萄酒;烧酒;⽩酒;酒精饮料（啤酒除外）;烈酒（饮料）;果酒（含酒精）;威⼠忌;⽩兰地;开胃酒</t>
  </si>
  <si>
    <t>窖正祺</t>
  </si>
  <si>
    <t>湖南酝湘醇酒业有限公司</t>
  </si>
  <si>
    <t>朗姆酒;⽶酒;⽩兰地;烧酒;果酒（含酒精）;鸡尾酒;⽩酒;葡萄酒;威⼠忌;亚⼒酒</t>
  </si>
  <si>
    <t>拂仙</t>
  </si>
  <si>
    <t>石狮市翰玛世元服饰商行</t>
  </si>
  <si>
    <t>果酒;清酒;烈酒;⽩酒;鸡尾酒;⽩兰地;威⼠忌;⽶酒;⻩酒;葡萄酒</t>
  </si>
  <si>
    <t>往醺</t>
  </si>
  <si>
    <t>厦门念如投资管理有限公司</t>
  </si>
  <si>
    <t>含酒精的饮料（啤酒除外）;⾕物制蒸馏酒精饮料;酒精饮料原汁;预先混合的酒精饮料（以啤酒为主的除外）;酒精饮料（啤酒除外）;果酒;⽩兰地;威⼠忌;葡萄酒;蒸馏饮料</t>
  </si>
  <si>
    <t>东坡谣</t>
  </si>
  <si>
    <t>黄冈智旅供应链科技有限公司</t>
  </si>
  <si>
    <t>果酒（含酒精）;酒精饮料浓缩汁;酒精饮料（啤酒除外）;以葡萄酒为主的饮料;⾕物制蒸馏酒精饮料;⽩酒;⻩酒;酒精饮料原汁;蒸馏饮料;葡萄酒</t>
  </si>
  <si>
    <t>星河里摸鱼</t>
  </si>
  <si>
    <t>深圳稻客科技贸易有限公司</t>
  </si>
  <si>
    <t>烈酒;⽩酒;⽶酒;甜酒;⻘梅酒;含⽔果酒精饮料;梅酒;果酒;⽩兰地;果酒（含酒精）</t>
  </si>
  <si>
    <t>2024/06/02</t>
  </si>
  <si>
    <t>李占标</t>
  </si>
  <si>
    <t>河南李占标生物医药有限公司</t>
  </si>
  <si>
    <t>⻩酒;蜂蜜酒;⾷⽤酒精;果酒（含酒精）;蒸馏饮料;葡萄酒;⽩酒;酒精饮料（啤酒除外）;含⽔果酒精饮料;⽶酒</t>
  </si>
  <si>
    <t>光满山</t>
  </si>
  <si>
    <t>吴慧杰</t>
  </si>
  <si>
    <t>酒精饮料（啤酒除外）;果酒（含酒精）;葡萄酒;烈酒（饮料）;⽩酒;酒精饮料原汁;鸡尾酒;⽩兰地;⻩酒;烧酒</t>
  </si>
  <si>
    <t>苏州五月麦田食品发展有限公司</t>
  </si>
  <si>
    <t>伏特加酒;果酒（含酒精）;酒精饮料（啤酒除外）;⽶酒;⽩酒;薄荷酒;葡萄酒;威⼠忌;含⽔果酒精饮料;汽酒</t>
  </si>
  <si>
    <t>解绪</t>
  </si>
  <si>
    <t>李兴润</t>
  </si>
  <si>
    <t>开胃酒;烈酒;酒精饮料（啤酒除外）;果酒（含酒精）;清酒（⽇本⽶酒）;⻩酒;⽩酒;威⼠忌;葡萄酒;鸡尾酒</t>
  </si>
  <si>
    <t>半唐初夏</t>
  </si>
  <si>
    <t>含⽔果酒精饮料;烈酒;甜酒;⻘梅酒;⽶酒;⽩兰地;⽩酒;果酒;果酒（含酒精）;梅酒</t>
  </si>
  <si>
    <t>宴山湖</t>
  </si>
  <si>
    <t>⽩酒;⻩酒;果酒（含酒精）;威⼠忌;清酒（⽇本⽶酒）;烈酒;酒精饮料（啤酒除外）;葡萄酒;鸡尾酒;开胃酒</t>
  </si>
  <si>
    <t>吟客颂</t>
  </si>
  <si>
    <t>黄文阳</t>
  </si>
  <si>
    <t>⾼粱酒;鸡尾酒;烈酒（饮料）;酒精饮料（啤酒除外）;葡萄酒;⽶酒;烧酒;⽩酒;果酒（含酒精）;威⼠忌</t>
  </si>
  <si>
    <t>欧春坊</t>
  </si>
  <si>
    <t>黄昌余</t>
  </si>
  <si>
    <t>⽩酒;⾼粱酒;⻩酒;烧酒（烈酒）;⽶酒;果酒;⻘稞酒;⽢蔗制烈酒;苦荞酒;杨梅酒</t>
  </si>
  <si>
    <t>巴风礼记</t>
  </si>
  <si>
    <t>四川千寻文化传媒有限公司</t>
  </si>
  <si>
    <t>⽩酒;果酒（含酒精）;葡萄酒;⽶酒;甜酒;⽩兰地;梅酒;杨梅酒;⻩酒;烧酒</t>
  </si>
  <si>
    <t>铸润</t>
  </si>
  <si>
    <t>孙金旺</t>
  </si>
  <si>
    <t>2024/06/03</t>
  </si>
  <si>
    <t>GD-MOPARTY</t>
  </si>
  <si>
    <t>江门市润林保健食品有限公司</t>
  </si>
  <si>
    <t>朗姆酒;烈酒（饮料）;⽶酒;甜酒;含酒精的饮料（啤酒除外）;⽩酒;汽酒;含酒精⽔果饮料;威⼠忌;含酒精的鸡尾酒混合饮品</t>
  </si>
  <si>
    <t>京诲蓝</t>
  </si>
  <si>
    <t>保定金谷酒业有限公司</t>
  </si>
  <si>
    <t>伏特加酒;⽩酒;果酒（含酒精）;葡萄酒;烧酒;⽶酒;鸡尾酒;烈酒（饮料）;开胃酒;酒精饮料（啤酒除外）</t>
  </si>
  <si>
    <t>神农嘉</t>
  </si>
  <si>
    <t>株洲神农百味科技有限公司</t>
  </si>
  <si>
    <t>含⽔果酒精饮料;烈酒（饮料）;甜酒;佐餐酒;⽩酒;葡萄酒;果酒（含酒精）;⻩酒;威⼠忌;⽩兰地</t>
  </si>
  <si>
    <t>侨镇</t>
  </si>
  <si>
    <t>江门天道企业管理有限公司</t>
  </si>
  <si>
    <t>薄荷酒;葡萄酒;五加⽪酒（中国混合烈酒）;⽩兰地;烧酒;⻩酒;果酒（含酒精）;⽶酒;⽩酒;威⼠忌</t>
  </si>
  <si>
    <t>格御菲</t>
  </si>
  <si>
    <t>曹成龙</t>
  </si>
  <si>
    <t>果酒（含酒精）;蒸馏饮料;酒精饮料原汁;烧酒;清酒;烈酒（饮料）;威⼠忌;⽩酒;鸡尾酒;含⽔果酒精饮料</t>
  </si>
  <si>
    <t>底招</t>
  </si>
  <si>
    <t>陈劲珍</t>
  </si>
  <si>
    <t>果酒（含酒精）;⽩酒;⻩酒;⽩兰地;威⼠忌;⽶酒;酒精饮料（啤酒除外）;烧酒;⻘稞酒;葡萄酒</t>
  </si>
  <si>
    <t>仙曲萍</t>
  </si>
  <si>
    <t>邓志波</t>
  </si>
  <si>
    <t>果酒（含酒精）;烈酒（饮料）;蒸馏饮料;酒精饮料原汁;烧酒;含⽔果酒精饮料;⽩酒;威⼠忌;清酒;鸡尾酒</t>
  </si>
  <si>
    <t>酩芬</t>
  </si>
  <si>
    <t>何清</t>
  </si>
  <si>
    <t>起泡⽩葡萄酒;⽩酒;果酒（含酒精）;⽩兰地;葡萄酒;鸡尾酒;⽶酒;甜酒;烈酒;威⼠忌</t>
  </si>
  <si>
    <t>全味凰</t>
  </si>
  <si>
    <t>沙县全味食品有限公司</t>
  </si>
  <si>
    <t>含⽔果酒精饮料;葡萄酒;⽶酒;⽼酒（中国蒸馏烈酒）;⻩酒;果酒;甜酒;⽩酒;梅酒;烧酒</t>
  </si>
  <si>
    <t>望遇</t>
  </si>
  <si>
    <t>四川相如供应链有限责任公司</t>
  </si>
  <si>
    <t>⽼酒（中国蒸馏烈酒）;酒精饮料（啤酒除外）;⽩酒;鸡尾酒;⻩酒;蒸馏饮料;烈酒（饮料）;葡萄酒;果酒（含酒精）;汽酒</t>
  </si>
  <si>
    <t>讷知</t>
  </si>
  <si>
    <t>宁夏讷知商贸有限公司</t>
  </si>
  <si>
    <t>⾼粱酒;果酒（含酒精）;葡萄酒;蒸馏饮料;烈酒;⽶酒;⻘稞酒;⽩酒;烧酒;开胃酒</t>
  </si>
  <si>
    <t>玺福祥</t>
  </si>
  <si>
    <t>河南至品酒道商贸有限公司</t>
  </si>
  <si>
    <t>烈酒;酒精饮料（啤酒除外）;果酒;⻩酒;烧酒;葡萄酒;利⼝酒;⽩酒;⽶酒;酒精饮料浓缩汁</t>
  </si>
  <si>
    <t>咏酿欢</t>
  </si>
  <si>
    <t>陈旭英</t>
  </si>
  <si>
    <t>酒精饮料（啤酒除外）;⽶酒;烧酒（烈酒）;⽩酒;酒精饮料浓缩汁;果酒（含酒精）;⾷⽤酒精;蒸煮提取物（利⼝酒和烈酒）;葡萄酒;烧酒</t>
  </si>
  <si>
    <t>萧乡双之龙</t>
  </si>
  <si>
    <t>于大龙230121********3814</t>
  </si>
  <si>
    <t>汽酒;⽩酒;⻩酒;果酒（含酒精）;⽼酒（中国蒸馏烈酒）;⾷⽤酒精;预先混合的酒精饮料（以啤酒为主的除外）;酒精饮料（啤酒除外）;烧酒;烈酒（饮料）</t>
  </si>
  <si>
    <t>HEVISTA</t>
  </si>
  <si>
    <t>沈阳何视界商贸有限公司</t>
  </si>
  <si>
    <t>烧酒;⽩酒;开胃酒;果酒（含酒精）;⻩酒;苹果酒;葡萄酒;清酒（⽇本⽶酒）;⽶酒;汽酒</t>
  </si>
  <si>
    <t>庆淞侯</t>
  </si>
  <si>
    <t>付巧</t>
  </si>
  <si>
    <t>⾷⽤酒精;蒸煮提取物（利⼝酒和烈酒）;葡萄酒;⽶酒;烧酒（烈酒）;酒精饮料浓缩汁;酒精饮料（啤酒除外）;⽩酒;果酒（含酒精）;烧酒</t>
  </si>
  <si>
    <t>夏中康</t>
  </si>
  <si>
    <t>成都达沃斯法律咨询有限公司</t>
  </si>
  <si>
    <t>果酒（含酒精）;酒精饮料原汁;葡萄酒;清酒;⽶酒;鸡尾酒;伏特加酒;⽩酒;⻘稞酒;⻩酒</t>
  </si>
  <si>
    <t>同心绣</t>
  </si>
  <si>
    <t>北京市通州区漷县镇黄厂铺村村民委员会</t>
  </si>
  <si>
    <t>烧酒;利⼝酒;⽶酒;清酒（⽇本⽶酒）;开胃酒;酒精饮料（啤酒除外）;果酒（含酒精）;⻩酒;葡萄酒;朗姆酒</t>
  </si>
  <si>
    <t>ROMERO POWER</t>
  </si>
  <si>
    <t>含酒精的鸡尾酒混合饮品;甜酒;含酒精的饮料（啤酒除外）;汽酒;朗姆酒;⽩酒;烈酒（饮料）;威⼠忌;⽶酒;含酒精⽔果饮料</t>
  </si>
  <si>
    <t>诚品祥瑞</t>
  </si>
  <si>
    <t>黄政</t>
  </si>
  <si>
    <t>利⼝酒;⻩酒;⽼酒（中国蒸馏烈酒）;⽶酒;烧酒（烈酒）;果酒（含酒精）;⾼粱酒;佐餐酒;葡萄酒;⽩酒</t>
  </si>
  <si>
    <t>永世山海</t>
  </si>
  <si>
    <t>蔡永</t>
  </si>
  <si>
    <t>⽩酒;烧酒;开胃酒;果酒;葡萄酒;甜酒;⻩酒;⽶酒;佐餐酒;⾼粱酒</t>
  </si>
  <si>
    <t>厨上新农</t>
  </si>
  <si>
    <t>金华市之南摄影有限公司</t>
  </si>
  <si>
    <t>果酒;以蒸馏酒为主的开胃酒;酒精饮料（啤酒除外）;⻩酒;果酒（含酒精）;⾕物制蒸馏酒精饮料;⽩酒;杨梅酒;⾷⽤酒精;⽶酒</t>
  </si>
  <si>
    <t>膳达乐</t>
  </si>
  <si>
    <t>食敢当（成都）农业发展有限公司</t>
  </si>
  <si>
    <t>开胃酒;朗姆酒;烧酒;⻘稞酒;⻩酒;葡萄酒;⽩酒;鸡尾酒;伏特加酒;果酒（含酒精）</t>
  </si>
  <si>
    <t>京督府</t>
  </si>
  <si>
    <t>保定京督酒业有限公司</t>
  </si>
  <si>
    <t>含⽔果酒精饮料;烧酒;果酒;烈酒;⽩酒;⻩酒;甜果酒;⽶酒;⻘稞酒;汽酒</t>
  </si>
  <si>
    <t>城男舅事</t>
  </si>
  <si>
    <t>酒精饮料原汁;烧酒;果酒;⽩酒;⻘稞酒;⽶酒;鸡尾酒;烈酒;葡萄酒;甜酒</t>
  </si>
  <si>
    <t>中纪源</t>
  </si>
  <si>
    <t>成都蜀崇源农业科技有限公司</t>
  </si>
  <si>
    <t>果酒（含酒精）;葡萄酒;⽩兰地;鸡尾酒;蒸馏饮料;苹果酒;餐后酒（利⼝酒和烈酒）;烈酒（饮料）;开胃酒;酸酒（低等葡萄酒）</t>
  </si>
  <si>
    <t>阅读者</t>
  </si>
  <si>
    <t>贵州省仁怀市大富商酒业有限公司</t>
  </si>
  <si>
    <t>蒸馏饮料;威⼠忌;⽩酒;葡萄酒;利⼝酒;烧酒;薄荷酒;鸡尾酒;⻩酒;⽶酒</t>
  </si>
  <si>
    <t>安奈颜</t>
  </si>
  <si>
    <t>广州安奈颜化妆品有限公司</t>
  </si>
  <si>
    <t>果酒（含酒精）;清酒（⽇本⽶酒）;⻩酒;开胃酒;⽩酒;威⼠忌;烈酒（饮料）;⽩兰地;⽶酒;鸡尾酒</t>
  </si>
  <si>
    <t>威⼠忌;烈酒（饮料）;甜酒;含酒精⽔果饮料;含酒精的饮料（啤酒除外）;⽩酒;汽酒;含酒精的鸡尾酒混合饮品;⽶酒;朗姆酒</t>
  </si>
  <si>
    <t>清韵安峰山</t>
  </si>
  <si>
    <t>王晓闪</t>
  </si>
  <si>
    <t>葡萄酒;红葡萄酒;苦荞酒;烧酒（烈酒）;⻩酒;⽶酒;⽩酒;甜果酒;甜酒;⽼酒（中国蒸馏烈酒）</t>
  </si>
  <si>
    <t>盏励</t>
  </si>
  <si>
    <t>⽩酒;烧酒（烈酒）;蒸煮提取物（利⼝酒和烈酒）;烧酒;⽶酒;⾷⽤酒精;酒精饮料浓缩汁;酒精饮料（啤酒除外）;葡萄酒;果酒（含酒精）</t>
  </si>
  <si>
    <t>粉先生</t>
  </si>
  <si>
    <t>深圳市河粉先生餐饮管理有限公司</t>
  </si>
  <si>
    <t>⻩酒;果酒;⽩酒;烈酒;清酒;⽶酒;⾼粱酒;⽩兰地;葡萄酒;梅酒</t>
  </si>
  <si>
    <t>仁酿山</t>
  </si>
  <si>
    <t>张星</t>
  </si>
  <si>
    <t>葡萄酒;⻩酒;⽩酒;⽼酒（中国蒸馏烈酒）;⾼粱酒;果酒（含酒精）;开胃酒;酒精饮料（啤酒除外）;⽶酒;露酒</t>
  </si>
  <si>
    <t>METZ</t>
  </si>
  <si>
    <t>深圳创维-RGB电子有限公司</t>
  </si>
  <si>
    <t>⽩酒;酒精饮料（啤酒除外）;果酒（含酒精）;清酒（⽇本⽶酒）;酒精饮料浓缩汁;鸡尾酒;葡萄酒;⾷⽤酒精;蒸馏饮料;烧酒</t>
  </si>
  <si>
    <t>汤沟樽酒</t>
  </si>
  <si>
    <t>江苏汤沟两相和酒业有限公司</t>
  </si>
  <si>
    <t>葡萄酒;⽩酒;蒸煮提取物（利⼝酒和烈酒）;开胃酒;⽶酒;酒精饮料（啤酒除外）;⾷⽤酒精;⻩酒;果酒（含酒精）;⽩⼲酒（中国⽩酒）</t>
  </si>
  <si>
    <t>朱大贵</t>
  </si>
  <si>
    <t>王风英</t>
  </si>
  <si>
    <t>⽩酒;⽶酒;酒精饮料（啤酒除外）;⻩酒;清酒（⽇本⽶酒）;葡萄酒;含酒精的⽔果鸡尾酒饮料;汽酒;桃红葡萄酒;开胃酒</t>
  </si>
  <si>
    <t>康发</t>
  </si>
  <si>
    <t>南京溧水康发酒业有限公司</t>
  </si>
  <si>
    <t>果酒（含酒精）;含⽔果酒精饮料;⽶酒;⻩酒;⽩酒;葡萄酒;烧酒;⽩兰地;酒精饮料（啤酒除外）;苦味酒</t>
  </si>
  <si>
    <t>惠民天宝寨</t>
  </si>
  <si>
    <t>曹霞</t>
  </si>
  <si>
    <t>⾼粱酒;烧酒;⽼酒（中国蒸馏烈酒）;⽩酒;⽩⼲酒（中国⽩酒）;由⾕物蒸馏的⽩酒;⻘稞酒;⾕物制蒸馏酒精饮料;⽶酒;果酒（含酒精）</t>
  </si>
  <si>
    <t>御玛仕</t>
  </si>
  <si>
    <t>烟台臻鸿酒业有限公司</t>
  </si>
  <si>
    <t>开胃酒;⻩酒;酒精饮料（啤酒除外）;烧酒;蜂蜜酒;果酒（含酒精）;鸡尾酒;预先混合的酒精饮料（以啤酒为主的除外）;⽩酒;⻘稞酒</t>
  </si>
  <si>
    <t>落领峰</t>
  </si>
  <si>
    <t>蒋银川</t>
  </si>
  <si>
    <t>清酒;果酒（含酒精）;烈酒（饮料）;酒精饮料原汁;蒸馏饮料;鸡尾酒;烧酒;⽩酒;威⼠忌;含⽔果酒精饮料</t>
  </si>
  <si>
    <t>逸马庄</t>
  </si>
  <si>
    <t>史凤兰</t>
  </si>
  <si>
    <t>果酒;葡萄酒;开胃酒;⻩酒;⾷⽤酒精;酒精饮料（啤酒除外）;烧酒;汽酒;⻘稞酒;⽩酒</t>
  </si>
  <si>
    <t>苗庾</t>
  </si>
  <si>
    <t>武汉市黄陂区吉方惠民农机专业合作社</t>
  </si>
  <si>
    <t>酒精饮料（啤酒除外）;开胃酒;鸡尾酒;红葡萄酒;⽶酒;葡萄酒;烈酒（饮料）;⽩酒;果酒;甜酒</t>
  </si>
  <si>
    <t>暖城记忆柳树湾</t>
  </si>
  <si>
    <t>鄂尔多斯文化产业发展中心</t>
  </si>
  <si>
    <t>含⽔果酒精饮料;葡萄酒;蜂蜜酒;⽩兰地;⽩酒;薄荷酒;鸡尾酒;烈酒（饮料）;樱桃酒;⽶酒</t>
  </si>
  <si>
    <t>荼阳醇</t>
  </si>
  <si>
    <t>临沧临普茶之缘茶业有限公司</t>
  </si>
  <si>
    <t>⽩酒;⽩⼲酒（中国⽩酒）;果酒（含酒精）;含⽔果酒精饮料;⾕物制蒸馏酒精饮料;蜂蜜酒;烈酒（饮料）;以葡萄酒为主的开胃酒;葡萄酒;果酒</t>
  </si>
  <si>
    <t>三都春</t>
  </si>
  <si>
    <t>中酒银河科技（郑州）有限公司</t>
  </si>
  <si>
    <t>果酒（含酒精）;酒精饮料（啤酒除外）;露酒;威⼠忌;葡萄酒;烧酒;⻘稞酒;⽶酒;⻩酒;⽩酒</t>
  </si>
  <si>
    <t>辽鹿源</t>
  </si>
  <si>
    <t>高利峰</t>
  </si>
  <si>
    <t>果酒;⻩酒;烧酒;⽩酒;含酒精⽔果饮料;蜂蜜酒;酒精饮料（啤酒除外）;⽶酒;鸡尾酒;葡萄酒</t>
  </si>
  <si>
    <t>昊远仲</t>
  </si>
  <si>
    <t>三门峡芳瑞杜仲产业技术研究院有限公司</t>
  </si>
  <si>
    <t>樱桃酒;烧酒;蒸馏饮料;酒精饮料（啤酒除外）;开胃酒;⻩酒;⽩酒;⽶酒;葡萄酒;苹果酒</t>
  </si>
  <si>
    <t>烈仙巡</t>
  </si>
  <si>
    <t>⽶酒;⾷⽤酒精;酒精饮料浓缩汁;酒精饮料（啤酒除外）;葡萄酒;⽩酒;烧酒;蒸煮提取物（利⼝酒和烈酒）;果酒（含酒精）;烧酒（烈酒）</t>
  </si>
  <si>
    <t>炎芝帝</t>
  </si>
  <si>
    <t>⽩兰地;果酒（含酒精）;威⼠忌;葡萄酒;佐餐酒;烈酒（饮料）;⽩酒;甜酒;⻩酒;含⽔果酒精饮料</t>
  </si>
  <si>
    <t>宋御山河</t>
  </si>
  <si>
    <t>河南省宋河酒业股份有限公司</t>
  </si>
  <si>
    <t>葡萄酒;⽶酒;⽩酒;鸡尾酒;薄荷酒;果酒（含酒精）;酒精饮料（啤酒除外）;酒精饮料原汁;开胃酒;清酒（⽇本⽶酒）</t>
  </si>
  <si>
    <t>KREMLEVKA</t>
  </si>
  <si>
    <t>出口联盟有限责任公司</t>
  </si>
  <si>
    <t>伏特加酒;果酒（含酒精）;利⼝酒;甜酒;威⼠忌;烈酒（饮料）;苦味酒;朗姆酒;蒸馏饮料;⽩酒</t>
  </si>
  <si>
    <t>孝康健御神</t>
  </si>
  <si>
    <t>济南肽保康生物科技有限公司</t>
  </si>
  <si>
    <t>⽩酒;烈酒;酒精饮料（啤酒除外）;露酒;含酒精⽔果饮料;葡萄酒;酒精饮料原汁;苦味酒;利⼝酒;果酒（含酒精）</t>
  </si>
  <si>
    <t>树根力量</t>
  </si>
  <si>
    <t>烧酒;开胃酒;⻩酒;⻘稞酒;⾷⽤酒精;酒精饮料（啤酒除外）;汽酒;葡萄酒;果酒;⽩酒</t>
  </si>
  <si>
    <t>时珍说</t>
  </si>
  <si>
    <t>湖北珍爱健康产品开发服务有限公司</t>
  </si>
  <si>
    <t>酒精饮料（啤酒除外）;⽩酒;果酒（含酒精）;鸡尾酒;⻩酒;⾷⽤酒精;葡萄酒;烈酒（饮料）;⽶酒;⽩兰地</t>
  </si>
  <si>
    <t>万利</t>
  </si>
  <si>
    <t>鸡尾酒;酒精饮料（啤酒除外）;烧酒;烈酒（饮料）;⾷⽤酒精;威⼠忌;酒精饮料浓缩汁;⽩兰地;果酒（含酒精）;⽩酒</t>
  </si>
  <si>
    <t>吉酩赋</t>
  </si>
  <si>
    <t>蒸煮提取物（利⼝酒和烈酒）;⽩酒;⽶酒;⾷⽤酒精;烧酒（烈酒）;果酒（含酒精）;酒精饮料浓缩汁;酒精饮料（啤酒除外）;葡萄酒;烧酒</t>
  </si>
  <si>
    <t>绾君心</t>
  </si>
  <si>
    <t>合肥绾春茶馆有限公司</t>
  </si>
  <si>
    <t>酒精饮料（啤酒除外）;果酒（含酒精）;烈酒（饮料）;⽶酒;⽩酒;开胃酒;烧酒;⻩酒;鸡尾酒;汽酒</t>
  </si>
  <si>
    <t>福五洲</t>
  </si>
  <si>
    <t>南京金丝鸟粮油食品有限公司</t>
  </si>
  <si>
    <t>葡萄酒;樱桃酒;⻩酒;⽩酒;果酒;酒精饮料（啤酒除外）;⽶酒;烧酒;梅酒;鸡尾酒</t>
  </si>
  <si>
    <t>跨策</t>
  </si>
  <si>
    <t>饶扬胜</t>
  </si>
  <si>
    <t>烧酒;⾼粱酒;梅酒;果酒（含酒精）;⽩兰地;威⼠忌;葡萄酒;⽶酒;⻘稞酒;⽩酒</t>
  </si>
  <si>
    <t>东麓心悦</t>
  </si>
  <si>
    <t>沈扬</t>
  </si>
  <si>
    <t>⽩⼲酒（中国⽩酒）;葡萄酒;⻩酒;⾼粱酒;含⽔果酒精饮料;⽩酒;红葡萄酒;⽩葡萄酒;烧酒（烈酒）;果酒</t>
  </si>
  <si>
    <t>碧啵星</t>
  </si>
  <si>
    <t>广州碧恩网络科技有限公司</t>
  </si>
  <si>
    <t>含酒精的⽔果鸡尾酒饮料;葡萄酒;鸡尾酒;威⼠忌;⻩酒;⽩酒;⽶酒;含⽔果酒精饮料;果酒;⽩兰地</t>
  </si>
  <si>
    <t>PIPOSTAR</t>
  </si>
  <si>
    <t>⽩兰地;含⽔果酒精饮料;威⼠忌;果酒;⻩酒;鸡尾酒;⽶酒;含酒精的⽔果鸡尾酒饮料;⽩酒;葡萄酒</t>
  </si>
  <si>
    <t>砭圣泉</t>
  </si>
  <si>
    <t>清酒（⽇本⽶酒）;利⼝酒;⽶酒;烧酒;果酒（含酒精）;葡萄酒;⽩酒;⾷⽤酒精;酒精饮料原汁;烈酒（饮料）</t>
  </si>
  <si>
    <t>幼如玉</t>
  </si>
  <si>
    <t>池州市九华府金莲智慧农业有限公司</t>
  </si>
  <si>
    <t>蒸馏饮料;酒精饮料原汁;⽩⼲酒（中国⽩酒）;甜酒;⽩酒;⽶酒;⾼粱酒;已调味的蒸馏酒;果酒（含酒精）;酒精饮料浓缩汁</t>
  </si>
  <si>
    <t>宋河粮液盛世</t>
  </si>
  <si>
    <t>⽩酒;葡萄酒;酒精饮料原汁;清酒（⽇本⽶酒）;酒精饮料（啤酒除外）;⽶酒;薄荷酒;果酒（含酒精）;鸡尾酒;开胃酒</t>
  </si>
  <si>
    <t>桂一家</t>
  </si>
  <si>
    <t>佛山市光英冷链设备有限公司</t>
  </si>
  <si>
    <t>蜂蜜酒;⾼粱酒;果酒（含酒精）;⽼酒（中国蒸馏烈酒）;由⾕物蒸馏的⽩酒;烧酒;⽶酒;甜酒;⽢蔗汁酿朗姆酒;⻩酒</t>
  </si>
  <si>
    <t>粤一家</t>
  </si>
  <si>
    <t>蜂蜜酒;⽶酒;甜酒;⽼酒（中国蒸馏烈酒）;⻩酒;烧酒;⽢蔗汁酿朗姆酒;⾼粱酒;由⾕物蒸馏的⽩酒;果酒（含酒精）</t>
  </si>
  <si>
    <t>汉生肖熙</t>
  </si>
  <si>
    <t>广州美韵美康互联网科技有限公司</t>
  </si>
  <si>
    <t>葡萄酒;⽩酒;利⼝酒;酒精饮料原汁;烧酒;酒精饮料（啤酒除外）;果酒（含酒精）;蜂蜜酒;苦味酒;烈酒（饮料）</t>
  </si>
  <si>
    <t>商贾庚鑫</t>
  </si>
  <si>
    <t>⽩酒;⻩酒;烧酒;葡萄酒;⽶酒;威⼠忌;酒精饮料（啤酒除外）;果酒（含酒精）;开胃酒;⾷⽤酒精</t>
  </si>
  <si>
    <t>䱺鳐</t>
  </si>
  <si>
    <t>今汉（长沙）食品有限公司</t>
  </si>
  <si>
    <t>⻩酒;露酒;苹果酒;开胃酒;果酒（含酒精）;鸡尾酒;⽩酒;葡萄酒;烈酒（饮料）;⽶酒</t>
  </si>
  <si>
    <t>佛山石湾鹰牌陶瓷有限公司</t>
  </si>
  <si>
    <t>⽩酒;朗姆酒;葡萄酒;梨酒;果酒（含酒精）;苹果酒;⽶酒;汽酒;薄荷酒;⻩酒</t>
  </si>
  <si>
    <t>三咕水</t>
  </si>
  <si>
    <t>未来新品（山东）信息科技集团有限公司</t>
  </si>
  <si>
    <t>利⼝酒;⽩兰地;威⼠忌;含酒精的⽓泡⽔;⽶酒;苹果酒;果酒（含酒精）;开胃酒;⽩酒;酒精饮料（啤酒除外）</t>
  </si>
  <si>
    <t>和亖</t>
  </si>
  <si>
    <t>何青青</t>
  </si>
  <si>
    <t>⾼粱酒;烧酒;⻩酒;果酒;甜酒;⽼酒（中国蒸馏烈酒）;⽶酒;梅酒;⽩酒;葡萄酒</t>
  </si>
  <si>
    <t>哈伴壶</t>
  </si>
  <si>
    <t>济南诗悦商贸有限公司</t>
  </si>
  <si>
    <t>⽶酒;汽酒;含⽔果酒精饮料;⾷⽤酒精;⾕物制蒸馏酒精饮料;酒精饮料（啤酒除外）;⻩酒;果酒（含酒精）;烧酒;⽩酒</t>
  </si>
  <si>
    <t>洪楷泽</t>
  </si>
  <si>
    <t>洪志发</t>
  </si>
  <si>
    <t>苦荞酒;⽩兰地;⾼粱酒;露酒;清酒;⽩酒;威⼠忌;⻩酒;梅酒;葡萄酒</t>
  </si>
  <si>
    <t>MISS COLOR</t>
  </si>
  <si>
    <t>陈祥应</t>
  </si>
  <si>
    <t>果酒（含酒精）;烧酒;酒精饮料（啤酒除外）;鸡尾酒;葡萄酒;⽩酒;除啤酒外的酒精饮料;清酒（⽇本⽶酒）;⾷⽤酒精;⻩酒</t>
  </si>
  <si>
    <t>果酒（含酒精）;酒精饮料（啤酒除外）;葡萄酒;蒸馏饮料;鸡尾酒;酒精饮料浓缩汁;清酒（⽇本⽶酒）;烧酒;⾷⽤酒精;⽩酒</t>
  </si>
  <si>
    <t>喜契</t>
  </si>
  <si>
    <t>河南老雷记商贸有限公司</t>
  </si>
  <si>
    <t>威⼠忌;葡萄酒;⽩兰地;酒精饮料（啤酒除外）;⻩酒;⾷⽤酒精;烈酒（饮料）;烧酒;⽩酒;清酒</t>
  </si>
  <si>
    <t>印象如愿</t>
  </si>
  <si>
    <t>四川臻利源酒业有限公司</t>
  </si>
  <si>
    <t>烈酒（饮料）;汽酒;⽩兰地;⽶酒;⻘稞酒;⻩酒;葡萄酒;利⼝酒;⽩酒;威⼠忌</t>
  </si>
  <si>
    <t>今鹤</t>
  </si>
  <si>
    <t>烟台景腾电子科技有限公司</t>
  </si>
  <si>
    <t>含酒精的充⽓饮料（啤酒除外）;除啤酒外的酒精饮料;⽩酒;含酒精⽔果饮料;果酒（含酒精）;汽酒;蒸馏饮料;⽔果汽酒;含⽔果酒精饮料;含酒精的⽔果鸡尾酒饮料</t>
  </si>
  <si>
    <t>极湘金鹿</t>
  </si>
  <si>
    <t>湖南东健药业有限公司</t>
  </si>
  <si>
    <t>葡萄酒;清酒;威⼠忌;⻩酒;⽶酒;烧酒;鸡尾酒;果酒（含酒精）;⽩酒;酒精饮料（啤酒除外）</t>
  </si>
  <si>
    <t>港加美</t>
  </si>
  <si>
    <t>东莞市参美健康科技有限公司</t>
  </si>
  <si>
    <t>酒精饮料（啤酒除外）;利⼝酒;蒸馏饮料;⻩酒;⽩酒;酒精饮料原汁;烈酒（饮料）;果酒（含酒精）;葡萄酒;鸡尾酒</t>
  </si>
  <si>
    <t>维客多胜利者之城</t>
  </si>
  <si>
    <t>北京青年能量科技有限公司</t>
  </si>
  <si>
    <t>葡萄酒;烈酒（饮料）;蒸馏饮料;酒精饮料（啤酒除外）;清酒（⽇本⽶酒）;鸡尾酒;威⼠忌;伏特加酒;⽩兰地;⽩酒</t>
  </si>
  <si>
    <t>维客多必胜勇士</t>
  </si>
  <si>
    <t>酒精饮料（啤酒除外）;蒸馏饮料;鸡尾酒;⽩兰地;葡萄酒;伏特加酒;烈酒（饮料）;威⼠忌;⽩酒;清酒（⽇本⽶酒）</t>
  </si>
  <si>
    <t>BLY PARTY</t>
  </si>
  <si>
    <t>威⼠忌;⽶酒;烈酒（饮料）;含酒精的饮料（啤酒除外）;含酒精⽔果饮料;朗姆酒;⽩酒;汽酒;甜酒;含酒精的鸡尾酒混合饮品</t>
  </si>
  <si>
    <t>红尘大叶</t>
  </si>
  <si>
    <t>奥普森（吉林）酒业有限公司</t>
  </si>
  <si>
    <t>果酒（含酒精）;烧酒;清酒;⽩兰地;鸡尾酒;预先混合的酒精饮料（以啤酒为主的除外）;葡萄酒;⽩酒;酒精饮料（啤酒除外）;含⽔果酒精饮料</t>
  </si>
  <si>
    <t>横骑</t>
  </si>
  <si>
    <t>南充普莱斯科技有限公司</t>
  </si>
  <si>
    <t>⻩酒;鸡尾酒;⾕物制蒸馏酒精饮料;果酒（含酒精）;餐后酒（利⼝酒和烈酒）;含酒精的⽓泡⽔;酒精饮料浓缩汁;葡萄酒;开胃酒;威⼠忌</t>
  </si>
  <si>
    <t>北京京城根商贸有限公司</t>
  </si>
  <si>
    <t>⽩酒;苦味酒;葡萄酒;⻘稞酒;烈酒（饮料）;⻩酒;汽酒;蜂蜜酒;⽶酒;伏特加酒</t>
  </si>
  <si>
    <t>七玺大宗师</t>
  </si>
  <si>
    <t>贵州省仁怀市尘世间商贸有限公司</t>
  </si>
  <si>
    <t>果酒（含酒精）;葡萄酒;⽶酒;⽼酒（中国蒸馏烈酒）;烧酒;烧酒（烈酒）;⾼粱酒;露酒;酒精饮料（啤酒除外）;⽩酒</t>
  </si>
  <si>
    <t>石龙重</t>
  </si>
  <si>
    <t>东莞市艺龙酒店管理有限公司</t>
  </si>
  <si>
    <t>果酒（含酒精）;鸡尾酒;蒸馏饮料;⻩酒;朗姆酒;⽶酒;葡萄酒;烈酒（饮料）;酒精饮料（啤酒除外）;⽩酒</t>
  </si>
  <si>
    <t>鼎火爆</t>
  </si>
  <si>
    <t>皇佳大喜酒业（佛山）有限责任公司</t>
  </si>
  <si>
    <t>⽩兰地;⽶酒;⽩酒;酒精饮料（啤酒除外）;葡萄酒;果酒（含酒精）;鸡尾酒;⻩酒;烧酒;威⼠忌</t>
  </si>
  <si>
    <t>汉九凰</t>
  </si>
  <si>
    <t>谢承志</t>
  </si>
  <si>
    <t>⽩兰地;威⼠忌;果酒（含酒精）;葡萄酒;烈酒（饮料）;鸡尾酒;酒精饮料（啤酒除外）;烧酒;⽶酒;⽩酒</t>
  </si>
  <si>
    <t>古佑九公主</t>
  </si>
  <si>
    <t>酒精饮料（啤酒除外）;⽩酒;葡萄酒;⻩酒;蒸馏饮料;威⼠忌;含⽔果酒精饮料;薄荷酒;开胃酒;果酒（含酒精）</t>
  </si>
  <si>
    <t>雪风吟</t>
  </si>
  <si>
    <t>顾洪涛</t>
  </si>
  <si>
    <t>烧酒;威⼠忌;清酒;果酒（含酒精）;鸡尾酒;含⽔果酒精饮料;⽩酒;烈酒（饮料）;酒精饮料原汁;蒸馏饮料</t>
  </si>
  <si>
    <t>柳道河</t>
  </si>
  <si>
    <t>徐国良</t>
  </si>
  <si>
    <t>⽩酒;⽩⼲酒（中国⽩酒）</t>
  </si>
  <si>
    <t>那牧尔</t>
  </si>
  <si>
    <t>阿鲁科尔沁旗那牧尔民族食品有限责任公司</t>
  </si>
  <si>
    <t>烧酒;⽩酒;葡萄酒;⽶酒;酒精饮料（啤酒除外）;鸡尾酒;⻩酒;乳清酒;清酒（⽇本⽶酒）;果酒（含酒精）</t>
  </si>
  <si>
    <t>ROMEROPOWER</t>
  </si>
  <si>
    <t>含酒精的饮料（啤酒除外）;朗姆酒;烈酒（饮料）;⽩酒;含酒精的鸡尾酒混合饮品;含酒精⽔果饮料;威⼠忌;⽶酒;甜酒;汽酒</t>
  </si>
  <si>
    <t>张邑</t>
  </si>
  <si>
    <t>刘秋梅</t>
  </si>
  <si>
    <t>威⼠忌;酒精饮料浓缩汁;⽩酒;⽶酒;⽩兰地;预先混合的酒精饮料（以啤酒为主的除外）;酒精饮料原汁;鸡尾酒;葡萄酒;酒精饮料（啤酒除外）</t>
  </si>
  <si>
    <t>赊店德顺和</t>
  </si>
  <si>
    <t>赊店老酒股份有限公司</t>
  </si>
  <si>
    <t>果酒;酒精饮料（啤酒除外）;⻩酒;蒸煮提取物（利⼝酒和烈酒）;⾷⽤酒精;清酒;烧酒;葡萄酒;⽶酒;⽩酒</t>
  </si>
  <si>
    <t>大禧程万事胜意</t>
  </si>
  <si>
    <t>马爱明32068********6219X</t>
  </si>
  <si>
    <t>⽶酒;烧酒;⻩酒;果酒;⾼粱酒;葡萄酒;汽酒;⽩酒;⽼酒（中国蒸馏烈酒）;含酒精⽔果饮料</t>
  </si>
  <si>
    <t>孙绍铨</t>
  </si>
  <si>
    <t>丁象恒</t>
  </si>
  <si>
    <t>⽩酒;⾼粱酒;⽼酒（中国蒸馏烈酒）;烈酒;酒精饮料（啤酒除外）;鸡尾酒;威⼠忌;⽶酒;葡萄酒;烧酒</t>
  </si>
  <si>
    <t>知巅</t>
  </si>
  <si>
    <t>烧酒;葡萄酒;⽶酒;甜酒;含酒精的饮料（啤酒除外）;果酒;⽼酒（中国蒸馏烈酒）;⻩酒;清酒;⽩酒</t>
  </si>
  <si>
    <t>小蓝山</t>
  </si>
  <si>
    <t>探索远方（厦门）影视产业集团有限公司</t>
  </si>
  <si>
    <t>⻩酒;酒精饮料（啤酒除外）;葡萄酒;果酒（含酒精）;含⽔果酒精饮料;烧酒;⽶酒;⽩酒;⾕物制蒸馏酒精饮料;苹果酒</t>
  </si>
  <si>
    <t>钱华宝</t>
  </si>
  <si>
    <t>清酒（⽇本⽶酒）;⻘稞酒;果酒（含酒精）;葡萄酒;酒精饮料（啤酒除外）;伏特加酒;⽩酒;⻩酒;烧酒;⽶酒</t>
  </si>
  <si>
    <t>李卫公问对</t>
  </si>
  <si>
    <t>浙江金弹酒业有限公司</t>
  </si>
  <si>
    <t>葡萄酒;果酒;⽩酒;⽩兰地;利⼝酒;⽶酒;清酒;烧酒;⻩酒;⽼酒（中国蒸馏烈酒）</t>
  </si>
  <si>
    <t>鹿尊麟</t>
  </si>
  <si>
    <t>吉林省嘉鹿堂生物科技有限公司</t>
  </si>
  <si>
    <t>⻩酒;露酒;果酒（含酒精）;蜂蜜酒;烧酒;⾕物制蒸馏酒精饮料;烈酒（饮料）;五加⽪酒（中国混合烈酒）;含⽔果酒精饮料;⽩酒</t>
  </si>
  <si>
    <t>2024/06/04</t>
  </si>
  <si>
    <t>知未远</t>
  </si>
  <si>
    <t>贵州铭蒂酒业有限公司</t>
  </si>
  <si>
    <t>开胃酒;⽩酒;⻩酒;⽩兰地;⽶酒;鸡尾酒;薄荷酒;烈酒（饮料）;威⼠忌;果酒（含酒精）</t>
  </si>
  <si>
    <t>双飞马庄园</t>
  </si>
  <si>
    <t>刘玉华</t>
  </si>
  <si>
    <t>⽩酒;⽩葡萄酒;葡萄酒;鸡尾酒;伏特加酒;红葡萄酒;朗姆酒;烈酒（饮料）;烧酒;威⼠忌</t>
  </si>
  <si>
    <t>她星系</t>
  </si>
  <si>
    <t>李刚</t>
  </si>
  <si>
    <t>鸡尾酒;葡萄酒;⽩酒;⻩酒;果酒;汽酒;甜酒;⽶酒;烧酒;酒精饮料（啤酒除外）</t>
  </si>
  <si>
    <t>果源纪</t>
  </si>
  <si>
    <t>马小奎</t>
  </si>
  <si>
    <t>⽩酒;⽶酒;⾷⽤酒精;⻩酒;果酒;甜酒;清酒;葡萄酒;开胃酒;汽酒</t>
  </si>
  <si>
    <t>釜威</t>
  </si>
  <si>
    <t>广东启成信息科技有限公司</t>
  </si>
  <si>
    <t>果酒（含酒精）;樱桃酒;含⽔果酒精饮料;柑⾹酒;⽩酒;⻩酒;葡萄酒;酸酒（低等葡萄酒）;⽶酒;威⼠忌</t>
  </si>
  <si>
    <t>NOELCARLOSNOCBODEGAS</t>
  </si>
  <si>
    <t>前海御膳行实业(深圳)有限公司</t>
  </si>
  <si>
    <t>威⼠忌;葡萄酒;开胃酒;果酒;酒精饮料（啤酒除外）;烈酒（饮料）;⽩酒;鸡尾酒;⻩酒;果酒（含酒精）</t>
  </si>
  <si>
    <t>酩强兴</t>
  </si>
  <si>
    <t>蒋开吉</t>
  </si>
  <si>
    <t>鸡尾酒;⻩酒;开胃酒;威⼠忌;葡萄酒;烈酒;果酒（含酒精）;清酒（⽇本⽶酒）;⽩酒;酒精饮料（啤酒除外）</t>
  </si>
  <si>
    <t>JING YUE TANG</t>
  </si>
  <si>
    <t>浙江景岳堂药业有限公司</t>
  </si>
  <si>
    <t>烧酒;⻩酒;⽩酒;清酒;⾷⽤酒精;果酒;果酒（含酒精）;葡萄酒;⽶酒;蝮蛇酒</t>
  </si>
  <si>
    <t>蜀贤</t>
  </si>
  <si>
    <t>黄春波</t>
  </si>
  <si>
    <t>鸡尾酒;烈酒;威⼠忌;⽩酒;⽶酒;烧酒;⽩兰地;⻘稞酒;葡萄酒;⻩酒</t>
  </si>
  <si>
    <t>燕国天香</t>
  </si>
  <si>
    <t>⽩酒;⽶酒;酒精饮料（啤酒除外）;⻩酒;烧酒;果酒（含酒精）;鸡尾酒;葡萄酒;烈酒（饮料）;清酒（⽇本⽶酒）</t>
  </si>
  <si>
    <t>灵兰玥</t>
  </si>
  <si>
    <t>宁波希林健康管理有限公司</t>
  </si>
  <si>
    <t>酒精饮料浓缩汁;⽩酒;⻩酒;烧酒;⾷⽤酒精;清酒;含⽔果酒精饮料;果酒;⽶酒;除啤酒外的酒精饮料</t>
  </si>
  <si>
    <t>李彬小白花</t>
  </si>
  <si>
    <t>郑州红花园酒业有限公司</t>
  </si>
  <si>
    <t>鸡尾酒;伏特加酒;葡萄酒;烧酒;烈酒;⽩酒;果酒（含酒精）;酒精饮料原汁;酒精饮料（啤酒除外）;⻩酒</t>
  </si>
  <si>
    <t>尹二成</t>
  </si>
  <si>
    <t>张卫东</t>
  </si>
  <si>
    <t>利⼝酒;梨酒;⽩酒;开胃酒;果酒（含酒精）;⾷⽤酒精;烧酒;⻩酒;烈酒（饮料）;葡萄酒</t>
  </si>
  <si>
    <t>云别</t>
  </si>
  <si>
    <t>威⼠忌;开胃酒;果酒（含酒精）;酒精饮料（啤酒除外）;葡萄酒;⽶酒;⻩酒;烧酒;⽩酒;⾷⽤酒精</t>
  </si>
  <si>
    <t>藏一楼</t>
  </si>
  <si>
    <t>九九易昌（北京）茶文化发展有限公司</t>
  </si>
  <si>
    <t>露酒;⻩酒;⽶酒;含⽔果酒精饮料;威⼠忌;⽩兰地;⽩酒;葡萄酒;蒸馏饮料;果酒（含酒精）</t>
  </si>
  <si>
    <t>金奕成</t>
  </si>
  <si>
    <t>永康市金姆电器有限公司</t>
  </si>
  <si>
    <t>甜果酒;⽶酒;酒精饮料（啤酒除外）;⽼酒（中国蒸馏烈酒）;⻩酒;⽩兰地;烧酒;⽩酒;葡萄酒;伏特加酒</t>
  </si>
  <si>
    <t>三代小天使</t>
  </si>
  <si>
    <t>鹤壁从酒开始商贸有限公司</t>
  </si>
  <si>
    <t>酒精饮料（啤酒除外）;鸡尾酒;果酒;威⼠忌;烈酒（饮料）;葡萄酒;汽酒;含⽔果酒精饮料;⽩兰地;⽩酒</t>
  </si>
  <si>
    <t>汉兴兄弟情</t>
  </si>
  <si>
    <t>周德猛</t>
  </si>
  <si>
    <t>⻩酒;烧酒;⽩酒;果酒（含酒精）;威⼠忌;⽶酒;⻘稞酒;葡萄酒;酒精饮料（啤酒除外）;朗姆酒</t>
  </si>
  <si>
    <t>HUDEF</t>
  </si>
  <si>
    <t>东莞市蝴蝶夫体育用品有限公司</t>
  </si>
  <si>
    <t>威⼠忌;⽶酒;伏特加酒;⽩兰地;⻩酒;果酒（含酒精）;鸡尾酒;清酒（⽇本⽶酒）;⽩酒;朗姆酒</t>
  </si>
  <si>
    <t>尧金叶</t>
  </si>
  <si>
    <t>谭尧</t>
  </si>
  <si>
    <t>清酒（⽇本⽶酒）;⽩酒;烧酒;⽩⼲酒（中国⽩酒）;葡萄酒;烈酒（饮料）;开胃酒;果酒（含酒精）;⽶酒;鸡尾酒</t>
  </si>
  <si>
    <t>观竖</t>
  </si>
  <si>
    <t>葡萄酒;威⼠忌;⻩酒;烧酒;⽶酒;⽩兰地;⻘稞酒;烈酒;⽩酒;鸡尾酒</t>
  </si>
  <si>
    <t>歌饮繁华</t>
  </si>
  <si>
    <t>杭州歌饮文化传媒有限公司</t>
  </si>
  <si>
    <t>鸡尾酒;⽶酒;果酒;葡萄酒;开胃酒;⽩酒;⻘稞酒;威⼠忌;烧酒;⾼粱酒</t>
  </si>
  <si>
    <t>京宵有酒</t>
  </si>
  <si>
    <t>乔春桃</t>
  </si>
  <si>
    <t>⽩酒;⾷⽤酒精;⾼粱酒;葡萄酒;烈酒;鸡尾酒;⽶酒;威⼠忌;果酒;⻩酒</t>
  </si>
  <si>
    <t>⻘稞酒;烧酒（烈酒）;烧酒;⽩酒;⾷⽤酒精;⾼粱酒;果酒;杨梅酒;清酒;鸡尾酒</t>
  </si>
  <si>
    <t>温怀有道</t>
  </si>
  <si>
    <t>温县怀川臻仁电子商务有限公司</t>
  </si>
  <si>
    <t>酒精饮料（啤酒除外）;含⽔果酒精饮料;果酒（含酒精）;⻩酒;⽶酒;酒精饮料浓缩汁;⽩酒;鸡尾酒;蒸煮提取物（利⼝酒和烈酒）;开胃酒</t>
  </si>
  <si>
    <t>中酒千禾一尊</t>
  </si>
  <si>
    <t>江苏国仁堂健康科技有限公司</t>
  </si>
  <si>
    <t>鸡尾酒;樱桃酒;⻩酒;葡萄酒;含⽔果酒精饮料;预调甜酒;⽩酒;烈酒（饮料）;⽶酒;果酒（含酒精）</t>
  </si>
  <si>
    <t>亿富林</t>
  </si>
  <si>
    <t>酒精饮料（啤酒除外）;⾷⽤酒精;甜酒;葡萄酒;鸡尾酒;⻩酒;⾼粱酒;薄荷酒;⽩酒;含⽔果酒精饮料</t>
  </si>
  <si>
    <t>夜色花雨</t>
  </si>
  <si>
    <t>黄婷</t>
  </si>
  <si>
    <t>⻩酒;⽶酒;烧酒;⽩酒;烈酒（饮料）;果酒（含酒精）;葡萄酒;清酒（⽇本⽶酒）;酒精饮料（啤酒除外）;甜酒</t>
  </si>
  <si>
    <t>RESPLENDENT PALACE</t>
  </si>
  <si>
    <t>北京紫生科技有限公司</t>
  </si>
  <si>
    <t>酒精饮料原汁;酒精饮料（啤酒除外）;果酒（含酒精）;葡萄酒;酒精饮料浓缩汁;⾷⽤酒精;⻩酒;含⽔果酒精饮料;烧酒;⽩酒</t>
  </si>
  <si>
    <t>汉白今缘</t>
  </si>
  <si>
    <t>成都夷西人志影视传媒有限公司</t>
  </si>
  <si>
    <t>⽶酒;伏特加酒;甜酒;⽩酒;清酒;红葡萄酒;⽩⼲酒（中国⽩酒）;威⼠忌;果酒;葡萄酒</t>
  </si>
  <si>
    <t>母爱之都酒业</t>
  </si>
  <si>
    <t>江苏母爱之都酒业有限公司</t>
  </si>
  <si>
    <t>⽩兰地;烧酒;伏特加酒;汽酒;⽇式甜⽶酒;⽶酒;含酒精的⽓泡⽔;⽩⼲酒（中国⽩酒）;⾕物制蒸馏酒精饮料;鸡尾酒</t>
  </si>
  <si>
    <t>沣聿台</t>
  </si>
  <si>
    <t>⻩酒;⾼粱酒;葡萄酒;⽶酒;果酒;露酒;利⼝酒;含酒精的饮料（啤酒除外）;⽩酒;烧酒</t>
  </si>
  <si>
    <t>玉树市高寒生物科技有限公司</t>
  </si>
  <si>
    <t>威⼠忌;鸡尾酒;⾷⽤酒精;酒精饮料（啤酒除外）;清酒（⽇本⽶酒）;果酒（含酒精）;⽩兰地;⽶酒;⻩酒;⽩酒</t>
  </si>
  <si>
    <t>科卡</t>
  </si>
  <si>
    <t>田新勇</t>
  </si>
  <si>
    <t>葡萄酒;⽩酒;⽶酒;鸡尾酒;⻩酒;清酒（⽇本⽶酒）;威⼠忌;果酒（含酒精）;开胃酒;烧酒</t>
  </si>
  <si>
    <t>康由维</t>
  </si>
  <si>
    <t>陕西赟恒商贸有限责任公司</t>
  </si>
  <si>
    <t>葡萄酒;利⼝酒;樱桃酒;烈酒（饮料）;⽩兰地;蜂蜜酒;朗姆酒;伏特加酒;杜松⼦酒;⽶酒</t>
  </si>
  <si>
    <t>显宇</t>
  </si>
  <si>
    <t>贵州显宇商贸有限公司</t>
  </si>
  <si>
    <t>鸡尾酒;开胃酒;烧酒（烈酒）;⽶酒;除啤酒外的酒精饮料;⽩酒;果酒（含酒精）;⽩⼲酒（中国⽩酒）;利⼝酒;酒精饮料（啤酒除外）</t>
  </si>
  <si>
    <t>醉沧令</t>
  </si>
  <si>
    <t>姜孝忠</t>
  </si>
  <si>
    <t>葡萄酒;烧酒;果酒（含酒精）;清酒（⽇本⽶酒）;⽩酒;⽶酒;⻩酒;鸡尾酒;烈酒（饮料）;酒精饮料（啤酒除外）</t>
  </si>
  <si>
    <t>汉室玺</t>
  </si>
  <si>
    <t>贵州省仁怀市酱之行酒业有限公司</t>
  </si>
  <si>
    <t>葡萄酒;朗姆酒;⻩酒;烈酒（饮料）;果酒（含酒精）;⾕物制蒸馏酒精饮料;威⼠忌;⾷⽤酒精;⽩兰地;伏特加酒</t>
  </si>
  <si>
    <t>泰谦祖</t>
  </si>
  <si>
    <t>贵州裔祖医药科技有限公司</t>
  </si>
  <si>
    <t>⽩酒;酒精饮料原汁;含⽔果酒精饮料;⽶酒;葡萄酒;含酒精的⽓泡⽔;酒精饮料（啤酒除外）;⾷⽤酒精;果酒（含酒精）;⾕物制蒸馏酒精饮料</t>
  </si>
  <si>
    <t>观尹</t>
  </si>
  <si>
    <t>威⼠忌;⽩酒;鸡尾酒;⽩兰地;⽶酒;烈酒;烧酒;葡萄酒;⻩酒;⻘稞酒</t>
  </si>
  <si>
    <t>衢州市余东农民画知识产权共富促进会</t>
  </si>
  <si>
    <t>烧酒;⻩酒;开胃酒;果酒（含酒精）;酒精饮料原汁;⽶酒;酒精饮料（啤酒除外）;蒸馏饮料;⽩酒;烈酒（饮料）</t>
  </si>
  <si>
    <t>石狮市大智冠康服饰有限公司</t>
  </si>
  <si>
    <t>⻩酒;⽩酒;烈酒;葡萄酒;清酒;鸡尾酒;果酒;⽩兰地;威⼠忌;⽶酒</t>
  </si>
  <si>
    <t>德论天下</t>
  </si>
  <si>
    <t>⾼粱酒;清酒;⽶酒;果酒（含酒精）;⽩酒;烧酒;⻩酒;露酒;葡萄酒;烈酒</t>
  </si>
  <si>
    <t>翔花瓷</t>
  </si>
  <si>
    <t>陕西皓杨星辰酒业有限公司</t>
  </si>
  <si>
    <t>酒精饮料（啤酒除外）;烧酒;⻩酒;⽼酒（中国蒸馏烈酒）;⽩酒;苦味酒;⽶酒;清酒;苹果酒;果酒（含酒精）</t>
  </si>
  <si>
    <t>海云沙</t>
  </si>
  <si>
    <t>张忌</t>
  </si>
  <si>
    <t>利⼝酒;⽩酒;蒸煮提取物（利⼝酒和烈酒）;开胃酒;⻩酒;鸡尾酒;果酒（含酒精）;⽶酒;酒精饮料（啤酒除外）;葡萄酒</t>
  </si>
  <si>
    <t>清心财</t>
  </si>
  <si>
    <t>刘亚兴</t>
  </si>
  <si>
    <t>威⼠忌;清酒;⽩酒;⾼粱酒;⻘稞酒;⽶酒;果酒（含酒精）;烈酒（饮料）;烧酒;鸡尾酒</t>
  </si>
  <si>
    <t>紫珏酒庄</t>
  </si>
  <si>
    <t>湖南融熠酒业有限公司</t>
  </si>
  <si>
    <t>酒精饮料原汁;酒精饮料（啤酒除外）;蒸煮提取物（利⼝酒和烈酒）;果酒（含酒精）;⻩酒;烈酒（饮料）;⽶酒;烧酒;⽩酒;葡萄酒</t>
  </si>
  <si>
    <t>硕迈</t>
  </si>
  <si>
    <t>赵县硕迈酒类销售有限公司</t>
  </si>
  <si>
    <t>葡萄酒;蒸馏饮料;烧酒;酒精饮料（啤酒除外）;清酒（⽇本⽶酒）;⻩酒;果酒（含酒精）;⽩酒;⻘稞酒;⽶酒</t>
  </si>
  <si>
    <t>金久烧坊</t>
  </si>
  <si>
    <t>贵州金久酒业有限公司</t>
  </si>
  <si>
    <t>烧酒;果酒（含酒精）;烈酒（饮料）;威⼠忌;利⼝酒;苹果酒;⾕物制蒸馏酒精饮料;鸡尾酒;葡萄酒;⽩酒</t>
  </si>
  <si>
    <t>广金学友</t>
  </si>
  <si>
    <t>贾庆龙</t>
  </si>
  <si>
    <t>梨酒;梅酒;葡萄酒;⽩酒;烧酒;烈酒;果酒（含酒精）;⻩酒;⽶酒;果酒</t>
  </si>
  <si>
    <t>陕六粮</t>
  </si>
  <si>
    <t>商洛康洋达建筑工程有限公司</t>
  </si>
  <si>
    <t>酒精饮料（啤酒除外）;⽩酒;⽶酒;烧酒;⽢蔗制烈酒;鸡尾酒;烈酒（饮料）;葡萄酒;果酒（含酒精）;⻩酒</t>
  </si>
  <si>
    <t>田头山河</t>
  </si>
  <si>
    <t>配队（江西）人力资源有限公司</t>
  </si>
  <si>
    <t>烧酒;葡萄酒;清酒（⽇本⽶酒）;果酒（含酒精）;酒精饮料（啤酒除外）;⽶酒;蒸馏饮料;⻩酒;⽩酒;餐后酒（利⼝酒和烈酒）</t>
  </si>
  <si>
    <t>言小善</t>
  </si>
  <si>
    <t>北京浮生一安健康管理有限公司</t>
  </si>
  <si>
    <t>⽩酒;⻩酒;蜂蜜酒;开胃酒;果酒（含酒精）;⻘稞酒;⾷⽤酒精;烧酒;葡萄酒;餐后酒（利⼝酒和烈酒）</t>
  </si>
  <si>
    <t>鄢皇</t>
  </si>
  <si>
    <t>鄢陵县鸿硕商贸有限公司</t>
  </si>
  <si>
    <t>果酒（含酒精）;⽶酒;烧酒;汽酒;威⼠忌;开胃酒;⽩酒;⻩酒;葡萄酒;伏特加酒</t>
  </si>
  <si>
    <t>华商五九</t>
  </si>
  <si>
    <t>靖江品熙贸易有限公司</t>
  </si>
  <si>
    <t>果酒（含酒精）;薄荷酒;鸡尾酒;酒精饮料浓缩汁;烈酒（饮料）;酒精饮料（啤酒除外）;⽶酒;⾕物制蒸馏酒精饮料;餐后酒（利⼝酒和烈酒）;蒸馏饮料</t>
  </si>
  <si>
    <t>世聚传奇</t>
  </si>
  <si>
    <t>贵州贵安新区世聚酒业有限公司</t>
  </si>
  <si>
    <t>果酒（含酒精）;⽩酒;⽩⼲酒（中国⽩酒）;葡萄酒;汽酒;烈酒（饮料）;烧酒;⽶酒;预先混合的酒精饮料（以啤酒为主的除外）;酒精饮料（啤酒除外）</t>
  </si>
  <si>
    <t>森隆控股</t>
  </si>
  <si>
    <t>森隆生物科技有限公司</t>
  </si>
  <si>
    <t>葡萄酒;预先混合的酒精饮料（以啤酒为主的除外）;⻘稞酒;果酒（含酒精）;烈酒（饮料）;鸡尾酒;⽩酒;⾷⽤酒精;杜松⼦酒;蒸馏饮料</t>
  </si>
  <si>
    <t>融客</t>
  </si>
  <si>
    <t>⽩酒;⽶酒;烧酒;⻩酒;鸡尾酒;开胃酒;葡萄酒;清酒（⽇本⽶酒）;果酒（含酒精）;威⼠忌</t>
  </si>
  <si>
    <t>何小娟</t>
  </si>
  <si>
    <t>烧酒;甜酒;含酒精的饮料（啤酒除外）;由⾕物蒸馏的⽩酒;⻩酒;⽩酒;茴⾹酒（利⼝酒）;烈酒;果酒（含酒精）;⽶酒</t>
  </si>
  <si>
    <t>福双悦</t>
  </si>
  <si>
    <t>胡四花</t>
  </si>
  <si>
    <t>⻩酒;⾷⽤酒精;⽩酒;⽶酒;果酒（含酒精）;烧酒;⻘稞酒;威⼠忌;含⽔果酒精饮料;烈酒（饮料）</t>
  </si>
  <si>
    <t>福相邀</t>
  </si>
  <si>
    <t>⻩酒;烈酒（饮料）;果酒（含酒精）;⽩酒;威⼠忌;烧酒;含⽔果酒精饮料;⻘稞酒;⾷⽤酒精;⽶酒</t>
  </si>
  <si>
    <t>菩帝善康</t>
  </si>
  <si>
    <t>四川养之源酒业有限公司</t>
  </si>
  <si>
    <t>⽩酒;果酒;露酒;蜂蜜酒;⾕物制蒸馏酒精饮料;蒸馏饮料;酒精饮料（啤酒除外）;清酒;梅酒;⽼酒（中国蒸馏烈酒）</t>
  </si>
  <si>
    <t>李和白</t>
  </si>
  <si>
    <t>黄少钧</t>
  </si>
  <si>
    <t>果酒（含酒精）;酒精饮料（啤酒除外）;葡萄酒;威⼠忌;⽩酒;烧酒;鸡尾酒;烈酒（饮料）;蒸馏饮料;⽶酒</t>
  </si>
  <si>
    <t>永乐名山</t>
  </si>
  <si>
    <t>安徽古陈酒业销售有限公司</t>
  </si>
  <si>
    <t>⽩酒;⻩酒;酒精饮料（啤酒除外）;烈酒（饮料）;果酒（含酒精）;鸡尾酒;烧酒;威⼠忌;⽶酒;葡萄酒</t>
  </si>
  <si>
    <t>彧姐</t>
  </si>
  <si>
    <t>成都市森帆文化传播有限公司</t>
  </si>
  <si>
    <t>含酒精的饮料（啤酒除外）;果酒;梅酒;汽酒;樱桃酒;露酒;松叶酒;⽩酒;鸡尾酒;葡萄酒</t>
  </si>
  <si>
    <t>鸡尾酒;果酒（含酒精）;葡萄酒;⽩⼲酒（中国⽩酒）;⽶酒;烧酒;烈酒（饮料）;清酒（⽇本⽶酒）;开胃酒;⽩酒</t>
  </si>
  <si>
    <t>老河口光化特酒业有限公司</t>
  </si>
  <si>
    <t>⾕物制蒸馏酒精饮料;⾷⽤酒精;⽶酒;⽩兰地;酒精饮料浓缩汁;酒精饮料（啤酒除外）;⽩酒;蒸馏饮料;烈酒（饮料）;酒精饮料原汁</t>
  </si>
  <si>
    <t>智谷天成</t>
  </si>
  <si>
    <t>黑龙江省智谷天成农业科技发展有限责任公司</t>
  </si>
  <si>
    <t>酒精饮料（啤酒除外）;清酒;果酒（含酒精）;葡萄酒;⽩兰地;鸡尾酒;烧酒;⽩酒;开胃酒;⻩酒</t>
  </si>
  <si>
    <t>禧贽</t>
  </si>
  <si>
    <t>温州一千两网络科技有限公司</t>
  </si>
  <si>
    <t>果酒;⽩酒</t>
  </si>
  <si>
    <t>峨威</t>
  </si>
  <si>
    <t>四川郎酒股份有限公司</t>
  </si>
  <si>
    <t>威⼠忌;⾼粱酒;烈酒;⽩酒;蒸煮提取物（利⼝酒和烈酒）;⻩酒;⽼酒（中国蒸馏烈酒）;蒸馏饮料;果酒（含酒精）;葡萄酒</t>
  </si>
  <si>
    <t>宝义古</t>
  </si>
  <si>
    <t>河南夏帆商贸有限公司</t>
  </si>
  <si>
    <t>酒精饮料原汁;⻩酒;⽩酒;果酒（含酒精）;烧酒;开胃酒;葡萄酒;蒸煮提取物（利⼝酒和烈酒）;酒精饮料（啤酒除外）;酒精饮料浓缩汁</t>
  </si>
  <si>
    <t>清水仙君</t>
  </si>
  <si>
    <t>⽩兰地;⽩酒;烈酒;⽶酒;威⼠忌;鸡尾酒;⻘稞酒;⻩酒;烧酒;葡萄酒</t>
  </si>
  <si>
    <t>小天使三代小白花</t>
  </si>
  <si>
    <t>威⼠忌;汽酒;果酒;⽩酒;葡萄酒;鸡尾酒;含⽔果酒精饮料;⽩兰地;烈酒（饮料）;酒精饮料（啤酒除外）</t>
  </si>
  <si>
    <t>山八喜</t>
  </si>
  <si>
    <t>泰安市岱岳区盛旺酒水商贸中心</t>
  </si>
  <si>
    <t>⽩酒;开胃酒;葡萄酒;威⼠忌;烧酒;鸡尾酒;⽶酒;烈酒（饮料）;⽩兰地;⾼粱酒</t>
  </si>
  <si>
    <t>三千瀑</t>
  </si>
  <si>
    <t>李社娟</t>
  </si>
  <si>
    <t>清酒（⽇本⽶酒）;烈酒;开胃酒;果酒（含酒精）;⽩酒;酒精饮料（啤酒除外）;鸡尾酒;葡萄酒;⻩酒;威⼠忌</t>
  </si>
  <si>
    <t>果果鲜峰</t>
  </si>
  <si>
    <t>凤城市中盛贸易有限公司</t>
  </si>
  <si>
    <t>草莓酒;含酒精⽔果饮料;含⽔果酒精饮料;以葡萄酒为主的饮料;甜果酒;⽔果汽酒;果酒（含酒精）;梨酒;葡萄酒;⽩酒</t>
  </si>
  <si>
    <t>璞提善康</t>
  </si>
  <si>
    <t>⽩酒;果酒;酒精饮料（啤酒除外）;蒸馏饮料;清酒;⽼酒（中国蒸馏烈酒）;露酒;梅酒;蜂蜜酒;⾕物制蒸馏酒精饮料</t>
  </si>
  <si>
    <t>春复堂</t>
  </si>
  <si>
    <t>陈江素</t>
  </si>
  <si>
    <t>开胃酒;樱桃酒;果酒（含酒精）;⽶酒;蜂蜜酒;葡萄酒;⻩酒;⽩酒;苦荞酒;蝮蛇酒</t>
  </si>
  <si>
    <t>昨明</t>
  </si>
  <si>
    <t>景德镇拙明院文化传播有限公司</t>
  </si>
  <si>
    <t>⻩酒;果酒;红葡萄酒;⾼粱酒;⽩⼲酒（中国⽩酒）;⽩酒;开胃酒;⽔果汽酒;⽶酒;甜酒</t>
  </si>
  <si>
    <t>醉作</t>
  </si>
  <si>
    <t>酒精饮料（啤酒除外）;烈酒（饮料）;⽶酒;烧酒;果酒（含酒精）;葡萄酒;鸡尾酒;清酒（⽇本⽶酒）;⻩酒;⽩酒</t>
  </si>
  <si>
    <t>青云乾</t>
  </si>
  <si>
    <t>车勇亮</t>
  </si>
  <si>
    <t>鸡尾酒;葡萄酒;⽩兰地;酒精饮料（啤酒除外）;⻩酒;果酒（含酒精）;酒精饮料原汁;⽩酒;威⼠忌;蒸煮提取物（利⼝酒和烈酒）</t>
  </si>
  <si>
    <t>谷语川耕</t>
  </si>
  <si>
    <t>四川青蓝商贸有限公司</t>
  </si>
  <si>
    <t>葡萄酒;酒精饮料浓缩汁;含酒精⽔果饮料;果酒（含酒精）;⽶酒;酒精饮料原汁;酒精饮料（啤酒除外）;⻩酒;⽩酒;蒸馏饮料</t>
  </si>
  <si>
    <t>MOUNT BELLEY</t>
  </si>
  <si>
    <t>综裕(大连)国际贸易有限公司</t>
  </si>
  <si>
    <t>酒精饮料（啤酒除外）;烧酒;葡萄酒;⽩酒;甜酒;果酒（含酒精）;烈酒（饮料）;清酒（⽇本⽶酒）;⽶酒;⻩酒</t>
  </si>
  <si>
    <t>红叱</t>
  </si>
  <si>
    <t>方耐凤</t>
  </si>
  <si>
    <t>汽酒;⻩酒;⽶酒;⽩⼲酒（中国⽩酒）;葡萄酒;烧酒;⽩酒;佐餐酒;果酒;含酒精的饮料（啤酒除外）</t>
  </si>
  <si>
    <t>运芝</t>
  </si>
  <si>
    <t>浙江运芝新材料科技有限公司</t>
  </si>
  <si>
    <t>果酒（含酒精）;⽩酒;⻩酒;含酒精的⽓泡⽔;⻘稞酒;⽶酒;威⼠忌;烧酒;含酒精的饮料（啤酒除外）;葡萄酒</t>
  </si>
  <si>
    <t>孟江吟</t>
  </si>
  <si>
    <t>刘挺杰</t>
  </si>
  <si>
    <t>开胃酒;鸡尾酒;威⼠忌;烈酒;⻩酒;清酒（⽇本⽶酒）;酒精饮料（啤酒除外）;果酒（含酒精）;⽩酒;葡萄酒</t>
  </si>
  <si>
    <t>兰大人</t>
  </si>
  <si>
    <t>贵州赤酿台酒业有限公司</t>
  </si>
  <si>
    <t>⽶酒;酒精饮料原汁;威⼠忌;⽩酒;烧酒;⽩兰地;⻩酒;⻘稞酒;⾼粱酒;葡萄酒</t>
  </si>
  <si>
    <t>彩哇热</t>
  </si>
  <si>
    <t>酒精饮料原汁;烧酒;果酒（含酒精）;烈酒（饮料）;⽩酒;酒精饮料（啤酒除外）;葡萄酒;鸡尾酒;⽶酒;⻩酒</t>
  </si>
  <si>
    <t>半子九九</t>
  </si>
  <si>
    <t>北京半子棋酒业有限公司</t>
  </si>
  <si>
    <t>含酒精的饮料（啤酒除外）;⽩酒;⽶酒;利⼝酒;苦味酒;果酒（含酒精）;葡萄酒;烧酒;含⽔果酒精饮料;以葡萄酒为主的饮料</t>
  </si>
  <si>
    <t>胖李百</t>
  </si>
  <si>
    <t>陕西秦五福文化有限公司</t>
  </si>
  <si>
    <t>葡萄酒;酒精饮料（啤酒除外）;烈酒;鸡尾酒;⽩酒;⽶酒;威⼠忌;⾷⽤酒精;⻩酒;甜酒</t>
  </si>
  <si>
    <t>贪龙醉</t>
  </si>
  <si>
    <t>果酒（含酒精）;⽩酒;清酒;⽶酒;露酒;⾼粱酒;⻩酒;烧酒;葡萄酒;烈酒</t>
  </si>
  <si>
    <t>州古匠</t>
  </si>
  <si>
    <t>陕西小茅酒业有限公司</t>
  </si>
  <si>
    <t>⽶酒;烧酒;⽩酒;果酒（含酒精）;葡萄酒;⽩兰地;威⼠忌;鸡尾酒;蒸馏饮料;⻩酒</t>
  </si>
  <si>
    <t>吉鹿禧</t>
  </si>
  <si>
    <t>烧酒;蜂蜜酒;⽩酒;五加⽪酒（中国混合烈酒）;⻩酒;⾕物制蒸馏酒精饮料;露酒;果酒（含酒精）;含⽔果酒精饮料;烈酒（饮料）</t>
  </si>
  <si>
    <t>红花园小白花</t>
  </si>
  <si>
    <t>鸡尾酒;酒精饮料原汁;烧酒;烈酒;⽩酒;酒精饮料（啤酒除外）;⻩酒;果酒（含酒精）;葡萄酒;伏特加酒</t>
  </si>
  <si>
    <t>观顺台</t>
  </si>
  <si>
    <t>威⼠忌;烧酒;⽩酒;⽶酒;⻩酒;鸡尾酒;葡萄酒;烈酒;⽩兰地;⻘稞酒</t>
  </si>
  <si>
    <t>晔铭帝</t>
  </si>
  <si>
    <t>江苏铭全生物科技有限公司</t>
  </si>
  <si>
    <t>蒸馏饮料;烈酒（饮料）;⽩酒;果酒（含酒精）;烧酒;蜂蜜酒;酒精饮料（啤酒除外）;⾷⽤酒精;⽩兰地;葡萄酒</t>
  </si>
  <si>
    <t>杏錞佳</t>
  </si>
  <si>
    <t>岳金鸶</t>
  </si>
  <si>
    <t>鸡尾酒;酒精饮料原汁;⽩酒;利⼝酒;清酒;果酒（含酒精）;葡萄酒;露酒;烧酒;⽶酒</t>
  </si>
  <si>
    <t>FENIYU</t>
  </si>
  <si>
    <t>广州先恒者科技有限公司</t>
  </si>
  <si>
    <t>伏特加酒;朗姆酒;⽩葡萄酒;葡萄酒;⽩兰地;果酒（含酒精）;⽩酒;红葡萄酒;鸡尾酒;威⼠忌</t>
  </si>
  <si>
    <t>MENSO</t>
  </si>
  <si>
    <t>一溪一木（上海）食品科技有限公司</t>
  </si>
  <si>
    <t>⽶酒;甜酒;果酒（含酒精）;调制好的葡萄酒鸡尾酒;酒精饮料（啤酒除外）;⽩酒;含酒精的⽓泡⽔;⾕物制蒸馏酒精饮料;佐餐酒;葡萄酒</t>
  </si>
  <si>
    <t>咏阜</t>
  </si>
  <si>
    <t>刘永久</t>
  </si>
  <si>
    <t>清酒（⽇本⽶酒）;烈酒（饮料）;⽩酒;果酒（含酒精）;汽酒;樱桃酒;含⽔果酒精饮料;鸡尾酒;⻩酒;苹果酒</t>
  </si>
  <si>
    <t>监滋梦</t>
  </si>
  <si>
    <t>龚丑新</t>
  </si>
  <si>
    <t>⽼酒（中国蒸馏烈酒）;⾼粱酒;⽶酒;⻩酒;烈酒;⽩酒;烧酒;⽩⼲酒（中国⽩酒）;苦荞酒;⾕物制蒸馏酒精饮料</t>
  </si>
  <si>
    <t>与蜜同行</t>
  </si>
  <si>
    <t>威⼠忌;蜂蜜酒;⽩兰地;鸡尾酒;酒精饮料（啤酒除外）;⽩酒;烈酒;含⽔果酒精饮料;果酒;葡萄酒</t>
  </si>
  <si>
    <t>PANGLIBAI</t>
  </si>
  <si>
    <t>⽶酒;⽩酒;甜酒;⻩酒;酒精饮料（啤酒除外）;威⼠忌;⾷⽤酒精;烈酒;葡萄酒;鸡尾酒</t>
  </si>
  <si>
    <t>亨享醇淳烹</t>
  </si>
  <si>
    <t>朱正力</t>
  </si>
  <si>
    <t>开胃酒;⽶酒;烈酒（饮料）;酒精饮料（啤酒除外）;果酒（含酒精）;⻘稞酒;烧酒;清酒（⽇本⽶酒）;⻩酒;⾷⽤酒精</t>
  </si>
  <si>
    <t>KEEERM</t>
  </si>
  <si>
    <t>上海粉玺企业管理有限公司</t>
  </si>
  <si>
    <t>葡萄酒;威⼠忌;⻩酒;酒精饮料（啤酒除外）;⽶酒;⾷⽤酒精;鸡尾酒;酒精饮料原汁;果酒（含酒精）;汽酒</t>
  </si>
  <si>
    <t>RODX</t>
  </si>
  <si>
    <t>⽩⼲酒（中国⽩酒）;鸡尾酒;清酒（⽇本⽶酒）;烧酒;葡萄酒;烈酒（饮料）;⽩酒;开胃酒;⽶酒;果酒（含酒精）</t>
  </si>
  <si>
    <t>欧开</t>
  </si>
  <si>
    <t>上海怡霖酒业有限公司</t>
  </si>
  <si>
    <t>酒精饮料（啤酒除外）;葡萄酒;⻩酒;酸酒（低等葡萄酒）;开胃酒;烧酒;果酒（含酒精）;酒精饮料原汁;利⼝酒;烈酒（饮料）</t>
  </si>
  <si>
    <t>泾南</t>
  </si>
  <si>
    <t>欧阳帆</t>
  </si>
  <si>
    <t>⾼粱酒;⽩酒;烧酒;鸡尾酒;含酒精的饮料（啤酒除外）;⽶酒;果酒（含酒精）;葡萄酒;烈酒（饮料）;含酒精⽔果饮料</t>
  </si>
  <si>
    <t>鸽岛</t>
  </si>
  <si>
    <t>烧酒;⽼酒（中国蒸馏烈酒）;葡萄酒;鸡尾酒;⽩酒;⽶酒;⾷⽤酒精;果酒（含酒精）;蒸馏饮料;烈酒（饮料）</t>
  </si>
  <si>
    <t>先碰鲜</t>
  </si>
  <si>
    <t>吉林省春杭投资咨询有限公司</t>
  </si>
  <si>
    <t>苹果酒;葡萄酒;⾷⽤酒精;⽩酒;⽶酒;开胃酒;酒精饮料（啤酒除外）;烧酒;蒸馏饮料;果酒（含酒精）</t>
  </si>
  <si>
    <t>广妙</t>
  </si>
  <si>
    <t>广妙（宁波）国际贸易有限公司</t>
  </si>
  <si>
    <t>加烈葡萄酒;⽩葡萄酒;甜酒;桃红葡萄酒;葡萄酒;红葡萄酒;起泡红葡萄酒;以葡萄酒为主的开胃酒;起泡⽩葡萄酒;不起泡葡萄酒</t>
  </si>
  <si>
    <t>威峨</t>
  </si>
  <si>
    <t>威⼠忌;⽩酒;葡萄酒;果酒（含酒精）;⻩酒;蒸煮提取物（利⼝酒和烈酒）;蒸馏饮料;⾼粱酒;⽼酒（中国蒸馏烈酒）;烈酒</t>
  </si>
  <si>
    <t>头号川</t>
  </si>
  <si>
    <t>杨传霞</t>
  </si>
  <si>
    <t>开胃酒;烈酒（饮料）;含⽔果酒精饮料;酒精饮料（啤酒除外）;⽶酒;⽩酒;鸡尾酒;果酒（含酒精）;葡萄酒;⽩兰地</t>
  </si>
  <si>
    <t>PANGLEEBAI</t>
  </si>
  <si>
    <t>鸡尾酒;威⼠忌;酒精饮料（啤酒除外）;⽩酒;⻩酒;葡萄酒;甜酒;烈酒;⾷⽤酒精;⽶酒</t>
  </si>
  <si>
    <t>一代小天使</t>
  </si>
  <si>
    <t>葡萄酒;⽩酒;酒精饮料（啤酒除外）;鸡尾酒;烈酒（饮料）;⽩兰地;果酒;汽酒;含⽔果酒精饮料;威⼠忌</t>
  </si>
  <si>
    <t>一溪一木</t>
  </si>
  <si>
    <t>葡萄酒;⽶酒;果酒（含酒精）;⽩酒;酒精饮料（啤酒除外）;甜酒;调制好的葡萄酒鸡尾酒;含酒精的⽓泡⽔;佐餐酒;⾕物制蒸馏酒精饮料</t>
  </si>
  <si>
    <t>指天阔</t>
  </si>
  <si>
    <t>徐洲</t>
  </si>
  <si>
    <t>含⽔果酒精饮料;⽩酒;⻘稞酒;果酒（含酒精）;开胃酒;酒精饮料（啤酒除外）;含酒精的⽓泡⽔;葡萄酒;清酒（⽇本⽶酒）;鸡尾酒</t>
  </si>
  <si>
    <t>2024/06/05</t>
  </si>
  <si>
    <t>御京琼</t>
  </si>
  <si>
    <t>刘迎宾</t>
  </si>
  <si>
    <t>伏特加酒;⽩酒;葡萄酒;烧酒;⽶酒;甜酒;果酒;⻘稞酒;⾼粱酒;清酒</t>
  </si>
  <si>
    <t>九临春</t>
  </si>
  <si>
    <t>陈志</t>
  </si>
  <si>
    <t>⽩酒;开胃酒;⻩酒;威⼠忌;蜂蜜酒;烈酒（饮料）;烧酒;鸡尾酒;清酒（⽇本⽶酒）;⻘稞酒</t>
  </si>
  <si>
    <t>那拉皇后</t>
  </si>
  <si>
    <t>四平市青唯伊生物科技有限公司</t>
  </si>
  <si>
    <t>葡萄酒;⽩酒;甜果酒;⾷⽤酒精;⽶酒;汽酒;含⽔果酒精饮料;烧酒;酒精饮料浓缩汁;鸡尾酒</t>
  </si>
  <si>
    <t>仙霖福</t>
  </si>
  <si>
    <t>果酒（含酒精）;鸡尾酒;清酒（⽇本⽶酒）;⽩酒;⽶酒;威⼠忌;⻩酒;酒精饮料（啤酒除外）;⾷⽤酒精;⽩兰地</t>
  </si>
  <si>
    <t>胜利之鹿</t>
  </si>
  <si>
    <t>汽酒;⽩酒;餐后酒（利⼝酒和烈酒）;葡萄酒;⽩兰地;酒精饮料（啤酒除外）;果酒（含酒精）;开胃酒;鸡尾酒;威⼠忌</t>
  </si>
  <si>
    <t>唐之枫</t>
  </si>
  <si>
    <t>陕西汉客酒业有限责任公司</t>
  </si>
  <si>
    <t>酒精饮料（啤酒除外）;葡萄酒;⽶酒;蜂蜜酒;烈酒（饮料）;苹果酒;蒸馏饮料;果酒（含酒精）;苦味酒;⾕物制蒸馏酒精饮料</t>
  </si>
  <si>
    <t>传山海</t>
  </si>
  <si>
    <t>开胃酒;烈酒;酒精饮料（啤酒除外）;⽩酒;鸡尾酒;威⼠忌;葡萄酒;果酒（含酒精）;⻩酒;清酒（⽇本⽶酒）</t>
  </si>
  <si>
    <t>⽩酒;果酒（含酒精）;葡萄酒;开胃酒;酒精饮料（啤酒除外）;鸡尾酒;清酒;⽶酒;威⼠忌;蜂蜜酒</t>
  </si>
  <si>
    <t>叙清秋</t>
  </si>
  <si>
    <t>曾锋</t>
  </si>
  <si>
    <t>威⼠忌;⻘稞酒;⻩酒;开胃酒;⽩酒;清酒（⽇本⽶酒）;烧酒;烈酒（饮料）;蜂蜜酒;鸡尾酒</t>
  </si>
  <si>
    <t>赤祖怀</t>
  </si>
  <si>
    <t>吴婵</t>
  </si>
  <si>
    <t>⽩酒;烧酒;烈酒;⽩兰地;⽶酒;葡萄酒;⻘稞酒;鸡尾酒;⻩酒;威⼠忌</t>
  </si>
  <si>
    <t>赤贤师</t>
  </si>
  <si>
    <t>⽩兰地;威⼠忌;烧酒;鸡尾酒;⽶酒;⽩酒;⻩酒;葡萄酒;烈酒;⻘稞酒</t>
  </si>
  <si>
    <t>上医幸福公社</t>
  </si>
  <si>
    <t>新疆沁园春雪信息科技有限责任公司</t>
  </si>
  <si>
    <t>葡萄酒;⻩酒;烧酒;果酒（含酒精）;蜂蜜酒;⽶酒;⽩酒;酒精饮料（啤酒除外）;含⽔果酒精饮料;烈酒（饮料）</t>
  </si>
  <si>
    <t>惠御尚</t>
  </si>
  <si>
    <t>鲁媛媛</t>
  </si>
  <si>
    <t>⾷⽤酒精;蒸馏饮料;果酒;蒸煮提取物（利⼝酒和烈酒）;鸡尾酒;⽶酒;⽩酒;葡萄酒;酒精饮料浓缩汁;含⽔果酒精饮料</t>
  </si>
  <si>
    <t>佳缘良人</t>
  </si>
  <si>
    <t>刘登琴</t>
  </si>
  <si>
    <t>⽩酒;苹果酒;蒸馏饮料;露酒;⾕物制蒸馏酒精饮料;果酒（含酒精）;烈酒（饮料）;⽶酒;葡萄酒;餐后酒（利⼝酒和烈酒）</t>
  </si>
  <si>
    <t>楚汉京典</t>
  </si>
  <si>
    <t>周涛</t>
  </si>
  <si>
    <t>威⼠忌;酒精饮料（啤酒除外）;烧酒;⽩酒;⽶酒;⽩兰地;鸡尾酒;果酒（含酒精）;烈酒（饮料）;葡萄酒</t>
  </si>
  <si>
    <t>双龙东升</t>
  </si>
  <si>
    <t>苹果酒;露酒;蒸馏饮料;烈酒（饮料）;葡萄酒;⽶酒;果酒（含酒精）;餐后酒（利⼝酒和烈酒）;⾕物制蒸馏酒精饮料;⽩酒</t>
  </si>
  <si>
    <t>艾美生活</t>
  </si>
  <si>
    <t>四川省现代生物技术有限公司</t>
  </si>
  <si>
    <t>烧酒;果酒（含酒精）;烈酒（饮料）;⽩兰地;⾕物制蒸馏酒精饮料;⻩酒;开胃酒;⽩酒;蒸馏饮料;葡萄酒</t>
  </si>
  <si>
    <t>广西致美工艺礼品有限公司</t>
  </si>
  <si>
    <t>烈酒（饮料）;鸡尾酒;含酒精的⽓泡⽔;汽酒;餐后酒（利⼝酒和烈酒）;开胃酒;葡萄酒;酒精饮料（啤酒除外）;果酒（含酒精）;⽩酒</t>
  </si>
  <si>
    <t>渠酊贤</t>
  </si>
  <si>
    <t>西安翰霖网络科技有限公司</t>
  </si>
  <si>
    <t>烈酒（饮料）;威⼠忌;朗姆酒;酒精饮料（啤酒除外）;开胃酒;⻩酒;果酒（含酒精）;⽩酒;鸡尾酒;葡萄酒</t>
  </si>
  <si>
    <t>苏侍</t>
  </si>
  <si>
    <t>周伟</t>
  </si>
  <si>
    <t>烧酒;⽶酒;葡萄酒;烈酒（饮料）;酒精饮料（啤酒除外）;⻩酒;清酒（⽇本⽶酒）;果酒（含酒精）;⻘稞酒;⽩酒</t>
  </si>
  <si>
    <t>生府珍品</t>
  </si>
  <si>
    <t>北京中宁中医院</t>
  </si>
  <si>
    <t>蒸馏饮料;⾕物制蒸馏酒精饮料;⻩酒;⽩酒;葡萄酒;烧酒;果酒（含酒精）;⽶酒;烈酒（饮料）;酒精饮料（啤酒除外）</t>
  </si>
  <si>
    <t>无囿</t>
  </si>
  <si>
    <t>无囿食品科技(上海)有限公司</t>
  </si>
  <si>
    <t>果酒（含酒精）;威⼠忌;梅酒;鸡尾酒;⽶酒;露酒;⽩酒;清酒（⽇本⽶酒）;酒精饮料（啤酒除外）;葡萄酒</t>
  </si>
  <si>
    <t>润土嘉宝</t>
  </si>
  <si>
    <t>宜宾市翠屏区润土药材种植专业合作社</t>
  </si>
  <si>
    <t>以葡萄酒为主的饮料;含⽔果酒精饮料;葡萄酒;⽩酒;开胃酒;酒精饮料（啤酒除外）;⽶酒;朗姆酒;果酒（含酒精）</t>
  </si>
  <si>
    <t>娄畔清</t>
  </si>
  <si>
    <t>湖南鑫君霆商贸有限公司</t>
  </si>
  <si>
    <t>威⼠忌;烧酒;⽩酒;葡萄酒;以葡萄酒为主的饮料;清酒（⽇本⽶酒）;蒸馏饮料;伏特加酒;果酒（含酒精）;烈酒（饮料）</t>
  </si>
  <si>
    <t>羽将</t>
  </si>
  <si>
    <t>深圳市曼曼里科技有限公司</t>
  </si>
  <si>
    <t>⽼酒（中国蒸馏烈酒）;⽩⼲酒（中国⽩酒）;开胃酒;⽩酒;果酒（含酒精）;酒精饮料（啤酒除外）;酒精饮料浓缩汁;烈酒（饮料）;葡萄酒;⻩酒</t>
  </si>
  <si>
    <t>苏味状</t>
  </si>
  <si>
    <t>童鑫</t>
  </si>
  <si>
    <t>果酒（含酒精）;含⽔果酒精饮料;⽩酒;⽶酒;⻩酒;酒精饮料（啤酒除外）;威⼠忌;⽩兰地;葡萄酒;蒸馏饮料</t>
  </si>
  <si>
    <t>雨滒</t>
  </si>
  <si>
    <t>刘晓奇</t>
  </si>
  <si>
    <t>⽩酒;⾼粱酒;⽶酒;⻩酒;露酒;⽩⼲酒（中国⽩酒）;烧酒;烈酒;⽼酒（中国蒸馏烈酒）;果酒</t>
  </si>
  <si>
    <t>爱洛塔</t>
  </si>
  <si>
    <t>山东铭威葡萄酒有限公司</t>
  </si>
  <si>
    <t>⽩酒;⽩兰地;鸡尾酒;烈酒（饮料）;威⼠忌;酒精饮料（啤酒除外）;果酒（含酒精）;葡萄酒;汽酒;利⼝酒</t>
  </si>
  <si>
    <t>上册</t>
  </si>
  <si>
    <t>徐水生</t>
  </si>
  <si>
    <t>酒精饮料（啤酒除外）;⽩酒;葡萄酒;威⼠忌;果酒;⻩酒;烈酒;⽶酒;⽼酒（中国蒸馏烈酒）;⽩兰地</t>
  </si>
  <si>
    <t>清妈作</t>
  </si>
  <si>
    <t>以葡萄酒为主的饮料;烈酒（饮料）;酒精饮料原汁;餐后酒（利⼝酒和烈酒）;⽶酒;果酒（含酒精）;开胃酒;蜂蜜酒</t>
  </si>
  <si>
    <t>太陉</t>
  </si>
  <si>
    <t>山西赤兔马文化传媒有限公司</t>
  </si>
  <si>
    <t>⽩酒;除啤酒外的酒精饮料;烈酒（饮料）;果酒（含酒精）;烧酒;酒精饮料（啤酒除外）;⽩⼲酒（中国⽩酒）;由⾕物蒸馏的⽩酒;⻩酒;葡萄酒</t>
  </si>
  <si>
    <t>拉斯伯里</t>
  </si>
  <si>
    <t>伊犁朗尊商贸有限公司</t>
  </si>
  <si>
    <t>⽶酒;烧酒;酒精饮料（啤酒除外）;烈酒（饮料）;葡萄酒;果酒（含酒精）;⻩酒;⽩酒;⾷⽤酒精;酒精饮料浓缩汁</t>
  </si>
  <si>
    <t>圣灯蝴蝶谷</t>
  </si>
  <si>
    <t>圣灯蝴蝶忘忧谷康养旅游（重庆）有限公司</t>
  </si>
  <si>
    <t>⽼酒（中国蒸馏烈酒）;⽩⼲酒（中国⽩酒）;⾼粱酒;⻘稞酒;甜酒;⽶酒;⽩酒;果酒;⻩酒;烧酒</t>
  </si>
  <si>
    <t>青牧</t>
  </si>
  <si>
    <t>山西杏花国酿酒业有限公司</t>
  </si>
  <si>
    <t>⽩兰地;伏特加酒;果酒（含酒精）;⽩酒;烧酒;⾕物制蒸馏酒精饮料;鸡尾酒;含酒精⽔果饮料;开胃酒;葡萄酒</t>
  </si>
  <si>
    <t>星火连垠</t>
  </si>
  <si>
    <t>常州星火无限进出口有限公司</t>
  </si>
  <si>
    <t>烧酒;⽩兰地;葡萄酒;⽶酒;开胃酒;果酒（含酒精）;鸡尾酒;威⼠忌;伏特加酒;⽩酒</t>
  </si>
  <si>
    <t>TINY SKY</t>
  </si>
  <si>
    <t>陈显强</t>
  </si>
  <si>
    <t>薄荷酒;鸡尾酒;葡萄酒;清酒（⽇本⽶酒）;烈酒;果酒;⽩兰地;威⼠忌;伏特加酒;⽩酒</t>
  </si>
  <si>
    <t>隆品悠</t>
  </si>
  <si>
    <t>江西隆平优选运营管理有限公司</t>
  </si>
  <si>
    <t>烈酒（饮料）;⻩酒;⽩酒;酒精饮料（啤酒除外）;清酒（⽇本⽶酒）;⽶酒;葡萄酒;鸡尾酒;蒸馏饮料;汽酒</t>
  </si>
  <si>
    <t>蓉城足球</t>
  </si>
  <si>
    <t>李晓梅</t>
  </si>
  <si>
    <t>果酒（含酒精）;酒精饮料（啤酒除外）;清酒（⽇本⽶酒）;葡萄酒;⽩酒;⽶酒;烈酒（饮料）;开胃酒;烧酒;⻩酒</t>
  </si>
  <si>
    <t>INSIDE TERROIR</t>
  </si>
  <si>
    <t>四川新跃供应链管理有限责任公司</t>
  </si>
  <si>
    <t>梅酒;威⼠忌;葡萄酒;⽩兰地;⽩葡萄酒;红葡萄酒;桃红葡萄酒;清酒（⽇本⽶酒）;含⽔果酒精饮料;起泡⽩葡萄酒</t>
  </si>
  <si>
    <t>振竹</t>
  </si>
  <si>
    <t>贵州振竹酒业有限公司</t>
  </si>
  <si>
    <t>朗姆酒;⽩兰地;⽩酒;果酒（含酒精）;鸡尾酒;薄荷酒;威⼠忌;葡萄酒;苹果酒;⻩酒</t>
  </si>
  <si>
    <t>皮皮螃螃</t>
  </si>
  <si>
    <t>天津市津沽飘香酒业有限公司</t>
  </si>
  <si>
    <t>⽶酒;酒精饮料（啤酒除外）;果酒（含酒精）;烧酒;烈酒（饮料）;酒精饮料浓缩汁;⻩酒;葡萄酒;含⽔果酒精饮料;⽩酒</t>
  </si>
  <si>
    <t>慕兰尼</t>
  </si>
  <si>
    <t>秦燕玲</t>
  </si>
  <si>
    <t>⻩酒;蒸馏饮料;威⼠忌;酒精饮料（啤酒除外）;果酒（含酒精）;葡萄酒;⽩兰地;⽶酒;⽩酒;含⽔果酒精饮料</t>
  </si>
  <si>
    <t>太公志传世</t>
  </si>
  <si>
    <t>深圳市姜子牙酒业有限公司</t>
  </si>
  <si>
    <t>⾕物制蒸馏酒精饮料;酒精饮料原汁;烧酒;⽩酒;⾷⽤酒精;汽酒;烈酒（饮料）;⻘稞酒;预先混合的酒精饮料（以啤酒为主的除外）;⻩酒</t>
  </si>
  <si>
    <t>冶控</t>
  </si>
  <si>
    <t>四川冶控集团有限公司</t>
  </si>
  <si>
    <t>⽩酒;⾼粱酒;果酒（含酒精）;⽶酒;除啤酒外的酒精饮料;天然汽酒;烈酒（饮料）;威⼠忌;含酒精⽔果饮料;烧酒（烈酒）</t>
  </si>
  <si>
    <t>皇府汉唐</t>
  </si>
  <si>
    <t>⽩酒;⽶酒;葡萄酒;露酒;蒸馏饮料;果酒（含酒精）;烈酒（饮料）;苹果酒;⾕物制蒸馏酒精饮料;餐后酒（利⼝酒和烈酒）</t>
  </si>
  <si>
    <t>溪雅布谷</t>
  </si>
  <si>
    <t>长沙溪雅商业管理有限公司</t>
  </si>
  <si>
    <t>果酒;⽩酒;⻩酒;酒精饮料（啤酒除外）;⻘稞酒;伏特加酒;⽶酒;烧酒;威⼠忌;葡萄酒</t>
  </si>
  <si>
    <t>豫上豫</t>
  </si>
  <si>
    <t>李冉</t>
  </si>
  <si>
    <t>⽩兰地;葡萄酒;⽩酒;以葡萄酒为主的饮料;伏特加酒;酒精饮料（啤酒除外）;⽶酒;蜂蜜酒;威⼠忌;朗姆酒</t>
  </si>
  <si>
    <t>美敦力</t>
  </si>
  <si>
    <t>美敦力公司</t>
  </si>
  <si>
    <t>酒精饮料（啤酒除外）;汽酒;酒精饮料浓缩汁;烈酒（饮料）;预先混合的酒精饮料（以啤酒为主的除外）;葡萄酒;蒸馏饮料;鸡尾酒;含⽔果酒精饮料;⾷⽤酒精</t>
  </si>
  <si>
    <t>烈公子</t>
  </si>
  <si>
    <t>马雅</t>
  </si>
  <si>
    <t>鸡尾酒;⻩酒;清酒（⽇本⽶酒）;威⼠忌;⽩酒;⻘稞酒;开胃酒;烈酒（饮料）;蜂蜜酒;烧酒</t>
  </si>
  <si>
    <t>彩陶美</t>
  </si>
  <si>
    <t>宜宾浓香瑰宝酒业有限公司</t>
  </si>
  <si>
    <t>果酒（含酒精）;蒸馏饮料;烧酒;⾷⽤酒精;葡萄酒;⽩酒;开胃酒;威⼠忌;酒精饮料（啤酒除外）;烈酒（饮料）</t>
  </si>
  <si>
    <t>途禾</t>
  </si>
  <si>
    <t>邱会杰</t>
  </si>
  <si>
    <t>果酒（含酒精）;烧酒;清酒（⽇本⽶酒）;酒精饮料（啤酒除外）;除啤酒外的酒精饮料;葡萄酒;烈酒（饮料）;⽶酒;⽩酒;⻩酒</t>
  </si>
  <si>
    <t>花韶清欢</t>
  </si>
  <si>
    <t>汪敏</t>
  </si>
  <si>
    <t>甜酒;烧酒;⽶酒;⻩酒;鸡尾酒;酒精饮料（啤酒除外）;葡萄酒;露酒;果酒（含酒精）;⽩酒</t>
  </si>
  <si>
    <t>HOOK ISLAND</t>
  </si>
  <si>
    <t>庆元县禾谷居文化传媒工作室（个体工商户）</t>
  </si>
  <si>
    <t>含酒精的⽓泡⽔;含酒精的鸡尾酒混合饮品;含酒精的饮料（啤酒除外）;蜂蜜酒;开胃酒;朗姆酒;伏特加酒;含酒精的⽔果鸡尾酒饮料;果酒;威⼠忌</t>
  </si>
  <si>
    <t>MACROCITY</t>
  </si>
  <si>
    <t>许誉</t>
  </si>
  <si>
    <t>果酒（含酒精）;开胃酒;威⼠忌;酒精饮料（啤酒除外）;⽩酒;蒸馏饮料;⻩酒;薄荷酒;葡萄酒;含⽔果酒精饮料</t>
  </si>
  <si>
    <t>刘佳萱130183********0028</t>
  </si>
  <si>
    <t>薄荷酒;鸡尾酒;威⼠忌;⽶酒;含酒精的饮料（啤酒除外）;以葡萄酒为主的饮料;烧酒;⽩酒;烈酒（饮料）;果酒（含酒精）</t>
  </si>
  <si>
    <t>馥渠</t>
  </si>
  <si>
    <t>刘治</t>
  </si>
  <si>
    <t>蜂蜜酒;⻘稞酒;⻩酒;⽩酒;威⼠忌;烈酒（饮料）;鸡尾酒;清酒（⽇本⽶酒）;烧酒;开胃酒</t>
  </si>
  <si>
    <t>SIXPLUS</t>
  </si>
  <si>
    <t>深圳市六加生活之美科技有限公司</t>
  </si>
  <si>
    <t>含⽔果酒精饮料;威⼠忌;果酒（含酒精）;⽶酒;鸡尾酒;烧酒;⽇式甜⽶酒;⽩兰地;酒精饮料（啤酒除外）;⽩酒</t>
  </si>
  <si>
    <t>翔江南</t>
  </si>
  <si>
    <t>清酒（⽇本⽶酒）;烧酒;葡萄酒;⽩酒;⽩兰地;利⼝酒;鸡尾酒;果酒（含酒精）;烈酒（饮料）;⽶酒</t>
  </si>
  <si>
    <t>中原诏</t>
  </si>
  <si>
    <t>鸡尾酒;⽩兰地;⽩酒;果酒（含酒精）;⽶酒;清酒（⽇本⽶酒）;烧酒;葡萄酒;烈酒（饮料）;利⼝酒</t>
  </si>
  <si>
    <t>疆悠养</t>
  </si>
  <si>
    <t>德州疆缘商贸有限公司</t>
  </si>
  <si>
    <t>亚⼒酒;⽩酒;⽼酒（中国蒸馏烈酒）;红葡萄酒;⽩葡萄酒;起泡红葡萄酒;葡萄酒;烧酒;果酒;⻘稞酒</t>
  </si>
  <si>
    <t>御阆君</t>
  </si>
  <si>
    <t>清酒（⽇本⽶酒）;威⼠忌;⻘稞酒;烈酒（饮料）;鸡尾酒;⻩酒;开胃酒;烧酒;⽩酒;蜂蜜酒</t>
  </si>
  <si>
    <t>汐坝</t>
  </si>
  <si>
    <t>⻩酒;⽶酒;鸡尾酒;烈酒;⽩酒;⻘稞酒;烧酒;葡萄酒;⽩兰地;威⼠忌</t>
  </si>
  <si>
    <t>丸贞</t>
  </si>
  <si>
    <t>艾雪松</t>
  </si>
  <si>
    <t>蒸馏饮料;⽩酒;果酒（含酒精）;葡萄酒;⻩酒;含⽔果酒精饮料;薄荷酒;开胃酒;威⼠忌;酒精饮料（啤酒除外）</t>
  </si>
  <si>
    <t>疆山忆</t>
  </si>
  <si>
    <t>吴肖英</t>
  </si>
  <si>
    <t>鸡尾酒;威⼠忌;开胃酒;葡萄酒;⽩酒;⻩酒;烈酒;清酒（⽇本⽶酒）;酒精饮料（啤酒除外）;果酒（含酒精）</t>
  </si>
  <si>
    <t>外郎湾</t>
  </si>
  <si>
    <t>云阳县外郎乡农业服务中心</t>
  </si>
  <si>
    <t>含⽔果酒精饮料;茴⾹酒（利⼝酒）;⽢蔗制酒精饮料;⻩酒;苹果酒;⻘稞酒;樱桃酒;葡萄酒;梨酒;茴芹酒（利⼝酒）</t>
  </si>
  <si>
    <t>壶丰年</t>
  </si>
  <si>
    <t>赵金金</t>
  </si>
  <si>
    <t>葡萄酒;⽶酒;鸡尾酒;⾷⽤酒精;⽩酒;⻩酒;酒精饮料（啤酒除外）;⽩兰地;含⽔果酒精饮料;果酒（含酒精）</t>
  </si>
  <si>
    <t>荣葆烧坊</t>
  </si>
  <si>
    <t>⽩酒;果酒（含酒精）;葡萄酒;⻩酒;苦荞酒;蜂蜜酒;⽶酒;烧酒;苹果酒;⻘稞酒</t>
  </si>
  <si>
    <t>鱼和水鸟</t>
  </si>
  <si>
    <t>王丰新</t>
  </si>
  <si>
    <t>清酒（⽇本⽶酒）;威⼠忌;含⽔果酒精饮料;⽶酒;⽩酒;开胃酒;鸡尾酒;⽩兰地;⻩酒;果酒（含酒精）</t>
  </si>
  <si>
    <t>大荒纪</t>
  </si>
  <si>
    <t>张菊芬</t>
  </si>
  <si>
    <t>葡萄酒;清酒（⽇本⽶酒）;⽩酒;烧酒;⻩酒;⻘稞酒;酒精饮料（啤酒除外）;⽶酒;烈酒（饮料）;果酒（含酒精）</t>
  </si>
  <si>
    <t>画山川</t>
  </si>
  <si>
    <t>威⼠忌;⽶酒;烈酒（饮料）;葡萄酒;果酒（含酒精）;烧酒;⽩兰地;⽩酒;鸡尾酒;酒精饮料（啤酒除外）</t>
  </si>
  <si>
    <t>陆羡西江水 6</t>
  </si>
  <si>
    <t>马国军</t>
  </si>
  <si>
    <t>葡萄酒;烈酒（饮料）;含⽔果酒精饮料;汽酒;⾷⽤酒精;⻩酒;⽩酒;酒精饮料（啤酒除外）;⽶酒;开胃酒</t>
  </si>
  <si>
    <t>梦纳里</t>
  </si>
  <si>
    <t>内蒙古蒙泰集团有限公司</t>
  </si>
  <si>
    <t>利⼝酒;果酒（含酒精）;烈酒（饮料）;⾕物制蒸馏酒精饮料;葡萄酒;朗姆酒;烧酒;⽩酒;酒精饮料（啤酒除外）;⽶酒</t>
  </si>
  <si>
    <t>裕田善将</t>
  </si>
  <si>
    <t>山东长崮餐饮管理有限公司</t>
  </si>
  <si>
    <t>⽩酒;⻩酒;葡萄酒;酒精饮料（啤酒除外）;⽩⼲酒（中国⽩酒）;清酒（⽇本⽶酒）;伏特加酒;由⾕物蒸馏的⽩酒;⽩兰地;鸡尾酒</t>
  </si>
  <si>
    <t>凯地里拉</t>
  </si>
  <si>
    <t>四川凯地里拉有限责任公司</t>
  </si>
  <si>
    <t>⽩酒;⽶酒;含⽔果酒精饮料;⾼粱酒;酒精饮料（啤酒除外）;果酒;葡萄酒;鸡尾酒;开胃酒;烧酒</t>
  </si>
  <si>
    <t>贵州亦伍亦拾酒业有限公司</t>
  </si>
  <si>
    <t>清酒;⾷⽤酒精;⽩酒;葡萄酒;果酒（含酒精）;烈酒（饮料）;⽶酒;汽酒;烧酒;⽼酒（中国蒸馏烈酒）</t>
  </si>
  <si>
    <t>百财雅鉴</t>
  </si>
  <si>
    <t>张寿岩</t>
  </si>
  <si>
    <t>果酒（含酒精）;⽩酒;含酒精⽔果饮料;葡萄酒;⻩酒;含酒精的⽔果鸡尾酒饮料;⽩⼲酒（中国⽩酒）;⽶酒;烈酒;预先混合的酒精饮料（以啤酒为主的除外）</t>
  </si>
  <si>
    <t>壮小柜</t>
  </si>
  <si>
    <t>广西忻城县蓝盛商贸有限公司</t>
  </si>
  <si>
    <t>果酒（含酒精）;葡萄酒;烈酒（饮料）;⽩酒;含⽔果酒精饮料;⻩酒;汽酒;酸酒（低等葡萄酒）;酒精饮料（啤酒除外）;⽶酒</t>
  </si>
  <si>
    <t>宴江侯</t>
  </si>
  <si>
    <t>蜂蜜酒;烧酒;开胃酒;清酒（⽇本⽶酒）;鸡尾酒;烈酒（饮料）;⽩酒;⻘稞酒;⻩酒;威⼠忌</t>
  </si>
  <si>
    <t>葡萄酒;蒸馏饮料;烧酒;含酒精⽔果饮料;⽩酒;伏特加酒;由⾕物蒸馏的⽩酒;以葡萄酒为主的开胃酒;混合威⼠忌酒;含酒精的饮料（啤酒除外）</t>
  </si>
  <si>
    <t>朴沅九</t>
  </si>
  <si>
    <t>温岭晶酋酒业有限公司</t>
  </si>
  <si>
    <t>梅酒;⽶酒;⾷⽤酒精;⻩酒;烧酒;⽩酒;葡萄酒;酒精饮料（啤酒除外）;含酒精⽔果饮料;果酒（含酒精）</t>
  </si>
  <si>
    <t>忆九华</t>
  </si>
  <si>
    <t>朱玉胜</t>
  </si>
  <si>
    <t>含⽔果酒精饮料;开胃酒;汽酒;⽩酒;⻩酒;酒精饮料原汁;鸡尾酒;⽶酒;烧酒;葡萄酒</t>
  </si>
  <si>
    <t>盛世珠玑</t>
  </si>
  <si>
    <t>珠海盛世珠玑酒业有限公司</t>
  </si>
  <si>
    <t>甜果酒;⽩兰地;开胃酒;伏特加酒;烧酒;朗姆酒;含⽔果酒精饮料;葡萄酒;蜂蜜酒;⽩酒</t>
  </si>
  <si>
    <t>康为上</t>
  </si>
  <si>
    <t>刘松涛</t>
  </si>
  <si>
    <t>酒精饮料（啤酒除外）;⽶酒;⻘稞酒;⻩酒;威⼠忌;果酒（含酒精）;葡萄酒;鸡尾酒;⽩兰地;⽩酒</t>
  </si>
  <si>
    <t>诺贝尔飞翔</t>
  </si>
  <si>
    <t>江西省华安保健品有限公司</t>
  </si>
  <si>
    <t>烈酒（饮料）;酒精饮料（啤酒除外）;葡萄酒;⽶酒;⽩酒;烧酒;鸡尾酒;⻩酒;果酒（含酒精）;清酒</t>
  </si>
  <si>
    <t>瓶花艺</t>
  </si>
  <si>
    <t>⽩⼲酒（中国⽩酒）;⽩酒;鸡尾酒;烈酒（饮料）;果酒（含酒精）;⻩酒;葡萄酒;酒精饮料（啤酒除外）;佐餐酒;由⾕物蒸馏的⽩酒</t>
  </si>
  <si>
    <t>华徽氿</t>
  </si>
  <si>
    <t>德州德公酒业有限公司</t>
  </si>
  <si>
    <t>烧酒;烈酒（饮料）;酒精饮料（啤酒除外）;伏特加酒;葡萄酒;⽩酒;果酒（含酒精）;清酒（⽇本⽶酒）;鸡尾酒;⾷⽤酒精</t>
  </si>
  <si>
    <t>荐福山</t>
  </si>
  <si>
    <t>李欢欢</t>
  </si>
  <si>
    <t>⽩酒;⾷⽤酒精;果酒（含酒精）;⻩酒;烈酒;葡萄酒;蒸馏饮料;鸡尾酒;烧酒;⽶酒</t>
  </si>
  <si>
    <t>君不忘</t>
  </si>
  <si>
    <t>温焦焦</t>
  </si>
  <si>
    <t>⽩酒;果酒（含酒精）;⻩酒;烧酒;⽶酒;清酒;开胃酒;⽩兰地;威⼠忌;⻘梅酒</t>
  </si>
  <si>
    <t>雁门関</t>
  </si>
  <si>
    <t>山西雁门关酒业有限公司</t>
  </si>
  <si>
    <t>鸡尾酒;樱桃酒;⽩酒;苹果酒;含⽔果酒精饮料;烈酒（饮料）;⻩酒;烧酒;果酒（含酒精）;葡萄酒</t>
  </si>
  <si>
    <t>金塘胜宴</t>
  </si>
  <si>
    <t>惠州市洪远贸易有限公司</t>
  </si>
  <si>
    <t>果酒;鸡尾酒;蜂蜜酒;清酒;⽩酒;⻩酒;烧酒;除啤酒外的酒精饮料;伏特加酒;⽶酒</t>
  </si>
  <si>
    <t>拂大福</t>
  </si>
  <si>
    <t>果酒;清酒;⻩酒;葡萄酒;威⼠忌;⽩酒;烈酒;⽩兰地;鸡尾酒;⽶酒</t>
  </si>
  <si>
    <t>七仙女</t>
  </si>
  <si>
    <t>果酒（含酒精）;葡萄酒;⽶酒;烧酒;鸡尾酒;酒精饮料（啤酒除外）;⻩酒;⽩酒;蒸煮提取物（利⼝酒和烈酒）;烈酒（饮料）</t>
  </si>
  <si>
    <t>巴太雪都</t>
  </si>
  <si>
    <t>酒精饮料（啤酒除外）;⽩酒;葡萄酒;果酒（含酒精）;鸡尾酒;烈酒（饮料）;烧酒;蒸馏饮料;⽶酒;⻩酒</t>
  </si>
  <si>
    <t>汉帝呼</t>
  </si>
  <si>
    <t>张钟</t>
  </si>
  <si>
    <t>清酒（⽇本⽶酒）;烧酒;⽶酒;葡萄酒;酒精饮料（啤酒除外）;果酒（含酒精）;⽩酒;⻘稞酒;⻩酒;烈酒（饮料）</t>
  </si>
  <si>
    <t>风醉赤河</t>
  </si>
  <si>
    <t>杨菊香</t>
  </si>
  <si>
    <t>⾼粱酒;⽩兰地;威⼠忌;⾕物制蒸馏酒精饮料;梅酒;露酒;葡萄酒;⽩酒;⽼酒（中国蒸馏烈酒）;酒精饮料（啤酒除外）</t>
  </si>
  <si>
    <t>龙盛常聚德</t>
  </si>
  <si>
    <t>户云龙</t>
  </si>
  <si>
    <t>含⽔果酒精饮料;⾷⽤酒精;⽩酒;蜂蜜酒;鸡尾酒;⽶酒;酒精饮料（啤酒除外）;苹果酒;果酒（含酒精）;葡萄酒</t>
  </si>
  <si>
    <t>翔云绿草</t>
  </si>
  <si>
    <t>内蒙古云汇达信息技术有限公司</t>
  </si>
  <si>
    <t>甜酒;烈酒（饮料）;清酒（⽇本⽶酒）;酒精饮料（啤酒除外）;⽩酒;果酒（含酒精）;葡萄酒;⽶酒;⻩酒;烧酒</t>
  </si>
  <si>
    <t>蒙潇洒</t>
  </si>
  <si>
    <t>陈伟杰</t>
  </si>
  <si>
    <t>⽩酒;清酒（⽇本⽶酒）;开胃酒;威⼠忌;葡萄酒;果酒（含酒精）;⻩酒;鸡尾酒;酒精饮料（啤酒除外）;烈酒（饮料）</t>
  </si>
  <si>
    <t>氿宗师</t>
  </si>
  <si>
    <t>贵州伟创电子商务有限公司</t>
  </si>
  <si>
    <t>鸡尾酒;开胃酒;烧酒;⽶酒;烈酒（饮料）;⽩酒;酒精饮料（啤酒除外）;⻩酒;果酒（含酒精）;葡萄酒</t>
  </si>
  <si>
    <t>坝爷</t>
  </si>
  <si>
    <t>烈酒;⽩兰地;⽶酒;鸡尾酒;烧酒;⽩酒;⻩酒;威⼠忌;⻘稞酒;葡萄酒</t>
  </si>
  <si>
    <t>奢苐</t>
  </si>
  <si>
    <t>⻩酒;鸡尾酒;⽩酒;⽩兰地;葡萄酒;⽶酒;烈酒;果酒;清酒;威⼠忌</t>
  </si>
  <si>
    <t>京龙年</t>
  </si>
  <si>
    <t>杨汐</t>
  </si>
  <si>
    <t>果酒（含酒精）;烈酒（饮料）;酒精饮料（啤酒除外）;⽶酒;烧酒;⽩酒;葡萄酒;酒精饮料原汁;餐后酒（利⼝酒和烈酒）;⻩酒</t>
  </si>
  <si>
    <t>李酩君</t>
  </si>
  <si>
    <t>罗由惠</t>
  </si>
  <si>
    <t>清酒（⽇本⽶酒）;酒精饮料（啤酒除外）;葡萄酒;鸡尾酒;开胃酒;果酒（含酒精）;⽩酒;⻩酒;威⼠忌;烈酒</t>
  </si>
  <si>
    <t>陈辞令</t>
  </si>
  <si>
    <t>⻘稞酒;蜂蜜酒;⻩酒;鸡尾酒;⽩酒;烧酒;开胃酒;烈酒（饮料）;威⼠忌;清酒（⽇本⽶酒）</t>
  </si>
  <si>
    <t>紫槽坊</t>
  </si>
  <si>
    <t>山西大奖章酿酒集团有限公司</t>
  </si>
  <si>
    <t>果酒（含酒精）;鸡尾酒;葡萄酒;清酒（⽇本⽶酒）;⾷⽤酒精;⽩酒;伏特加酒;烈酒（饮料）;酒精饮料（啤酒除外）;烧酒</t>
  </si>
  <si>
    <t>JUDGE</t>
  </si>
  <si>
    <t>四川纯粮基酒集团有限公司</t>
  </si>
  <si>
    <t>酒精饮料（啤酒除外）;⽶酒;⽩酒;蒸馏饮料;葡萄酒;含⽔果酒精饮料;果酒（含酒精）;烈酒（饮料）;烧酒;酒精饮料浓缩汁</t>
  </si>
  <si>
    <t>齐诗</t>
  </si>
  <si>
    <t>贵州名优酱酒供应链有限公司</t>
  </si>
  <si>
    <t>果酒;鸡尾酒;⻩酒;除啤酒外的酒精饮料;清酒;⽩酒;⽶酒;烈酒;葡萄酒;开胃酒</t>
  </si>
  <si>
    <t>四始</t>
  </si>
  <si>
    <t>⽩酒;开胃酒;鸡尾酒;⽶酒;⻩酒;烈酒;果酒;葡萄酒;清酒;除啤酒外的酒精饮料</t>
  </si>
  <si>
    <t>渠元宫</t>
  </si>
  <si>
    <t>鸡尾酒;烈酒（饮料）;烧酒;⽩酒;蜂蜜酒;威⼠忌;⻘稞酒;⻩酒;开胃酒;清酒（⽇本⽶酒）</t>
  </si>
  <si>
    <t>御口欢</t>
  </si>
  <si>
    <t>⻩酒;烈酒（饮料）;鸡尾酒;威⼠忌;清酒（⽇本⽶酒）;开胃酒;烧酒;⻘稞酒;蜂蜜酒;⽩酒</t>
  </si>
  <si>
    <t>友云边</t>
  </si>
  <si>
    <t>⽩酒;烧酒;⻩酒;蜂蜜酒;威⼠忌;鸡尾酒;清酒（⽇本⽶酒）;⻘稞酒;开胃酒;烈酒（饮料）</t>
  </si>
  <si>
    <t>金瓦埠</t>
  </si>
  <si>
    <t>方庆陆</t>
  </si>
  <si>
    <t>葡萄酒;甜酒;⾼粱酒;开胃酒;果酒;⻩酒;蒸馏饮料;⽩酒;烈酒;⽶酒</t>
  </si>
  <si>
    <t>善顶顺</t>
  </si>
  <si>
    <t>石相美</t>
  </si>
  <si>
    <t>⽩酒;含⽔果酒精饮料;果酒;朗姆酒;威⼠忌;⽩兰地;葡萄酒;⽶酒;伏特加酒;鸡尾酒</t>
  </si>
  <si>
    <t>欧悉珑</t>
  </si>
  <si>
    <t>欧悉珑有限公司</t>
  </si>
  <si>
    <t>朗姆酒;酒精饮料（啤酒除外）;蒸馏饮料;含⽔果酒精饮料;伏特加酒;鸡尾酒;预先混合的酒精饮料（以啤酒为主的除外）;威⼠忌</t>
  </si>
  <si>
    <t>道克</t>
  </si>
  <si>
    <t>广州素简化工科技有限公司</t>
  </si>
  <si>
    <t>鸡尾酒;葡萄酒;威⼠忌;酒精饮料（啤酒除外）;薄荷酒;烈酒;含酒精⽔果饮料;⽩酒;果酒;烧酒</t>
  </si>
  <si>
    <t>龙凤朝歌 DRAGON AND PHOENIX CHAOGE</t>
  </si>
  <si>
    <t>安徽省星之梦科技有限公司</t>
  </si>
  <si>
    <t>鸡尾酒;果酒（含酒精）;酒精饮料（啤酒除外）;⽶酒;⻩酒;开胃酒;葡萄酒;烧酒;烈酒（饮料）;⽩酒</t>
  </si>
  <si>
    <t>稻凤吟</t>
  </si>
  <si>
    <t>烈酒（饮料）;⽩酒;⻩酒;开胃酒;⻘稞酒;清酒（⽇本⽶酒）;蜂蜜酒;威⼠忌;烧酒;鸡尾酒</t>
  </si>
  <si>
    <t>老友名</t>
  </si>
  <si>
    <t>赵瑜</t>
  </si>
  <si>
    <t>⽢蔗制烈酒;葡萄酒;⻩酒;⽩酒;鸡尾酒;酒精饮料（啤酒除外）;⽶酒;烧酒;果酒（含酒精）;烈酒（饮料）</t>
  </si>
  <si>
    <t>舜博士</t>
  </si>
  <si>
    <t>张超</t>
  </si>
  <si>
    <t>蒸馏饮料;葡萄酒;烧酒;⻩酒;⽩酒;果酒;⾼粱酒;酒精饮料（啤酒除外）;利⼝酒;⽶酒</t>
  </si>
  <si>
    <t>萌皓然</t>
  </si>
  <si>
    <t>胡耀辉</t>
  </si>
  <si>
    <t>薄荷酒;果酒（含酒精）;⽶酒;含酒精的⽓泡⽔;含⽔果酒精饮料;⽩酒;含酒精的饮料（啤酒除外）;⻩酒;葡萄酒;清酒</t>
  </si>
  <si>
    <t>师醉美</t>
  </si>
  <si>
    <t>广西锦绣河山文化传播有限公司</t>
  </si>
  <si>
    <t>烈酒（饮料）;蜂蜜酒;⽶酒;酸酒（低等葡萄酒）;含⽔果酒精饮料;⽩酒;⾕物制蒸馏酒精饮料;果酒（含酒精）</t>
  </si>
  <si>
    <t>马少游</t>
  </si>
  <si>
    <t>广西马少游茶业有限公司</t>
  </si>
  <si>
    <t>⽩酒;⽶酒;⻩酒;蒸馏饮料;果酒（含酒精）;烈酒（饮料）;含⽔果酒精饮料;烧酒;预先混合的酒精饮料（以啤酒为主的除外）;葡萄酒</t>
  </si>
  <si>
    <t>甄善春乾</t>
  </si>
  <si>
    <t>沈中石</t>
  </si>
  <si>
    <t>果酒（含酒精）;葡萄酒;⽩兰地;⻘稞酒;鸡尾酒;⽩酒;威⼠忌;⽶酒;伏特加酒;⻩酒</t>
  </si>
  <si>
    <t>向芝堂</t>
  </si>
  <si>
    <t>杨志瑜</t>
  </si>
  <si>
    <t>⽩酒;⾷⽤酒精;⽶酒;果酒（含酒精）;烧酒;⻩酒;葡萄酒;酒精饮料原汁;蒸馏饮料;烈酒（饮料）</t>
  </si>
  <si>
    <t>吉林省魏三文化传媒有限公司</t>
  </si>
  <si>
    <t>⽩酒;果酒（含酒精）;梨酒;⻩酒;樱桃酒;⽩兰地;苦味酒;薄荷酒;酸酒（低等葡萄酒）;烈酒（饮料）</t>
  </si>
  <si>
    <t>勃塔宝盒</t>
  </si>
  <si>
    <t>德利加图葡萄园有限责任公司</t>
  </si>
  <si>
    <t>汽酒;红葡萄酒;桃红葡萄酒;酒精饮料（啤酒除外）;葡萄酒;佐餐酒;⽩葡萄酒;以葡萄酒为主的饮料</t>
  </si>
  <si>
    <t>七彩小箬岛</t>
  </si>
  <si>
    <t>温岭市三渔食品有限公司</t>
  </si>
  <si>
    <t>⽩酒;威⼠忌;⽶酒;烧酒;⽩兰地;果酒（含酒精）;葡萄酒;鸡尾酒;烈酒（饮料）;酒精饮料（啤酒除外）</t>
  </si>
  <si>
    <t>唐溪坝</t>
  </si>
  <si>
    <t>葡萄酒;威⼠忌;⻘稞酒;⽩酒;⽶酒;烈酒;⽩兰地;⻩酒;烧酒;鸡尾酒</t>
  </si>
  <si>
    <t>黎王液</t>
  </si>
  <si>
    <t>海南黎王液酒业有限公司</t>
  </si>
  <si>
    <t>鸡尾酒;含⽔果酒精饮料;⽶酒;⽩酒;⻩酒;蒸馏饮料;烧酒;烈酒（饮料）;酒精饮料（啤酒除外）;果酒（含酒精）</t>
  </si>
  <si>
    <t>唐枫缘</t>
  </si>
  <si>
    <t>蜂蜜酒;⾕物制蒸馏酒精饮料;葡萄酒;蒸馏饮料;苦味酒;果酒（含酒精）;⽶酒;酒精饮料（啤酒除外）;苹果酒;烈酒（饮料）</t>
  </si>
  <si>
    <t>暮屿酒肆</t>
  </si>
  <si>
    <t>肖正一</t>
  </si>
  <si>
    <t>鸡尾酒;伏特加酒;威⼠忌;开胃酒;⽩兰地;葡萄酒;⻩酒;⽩酒;汽酒;朗姆酒</t>
  </si>
  <si>
    <t>酊渠妙</t>
  </si>
  <si>
    <t>威⼠忌;朗姆酒;烈酒（饮料）;⻩酒;葡萄酒;酒精饮料（啤酒除外）;鸡尾酒;果酒（含酒精）;⽩酒;开胃酒</t>
  </si>
  <si>
    <t>金榷</t>
  </si>
  <si>
    <t>朱品月</t>
  </si>
  <si>
    <t>烧酒;⽩酒;⻩酒;预先混合的酒精饮料（以啤酒为主的除外）;果酒（含酒精）</t>
  </si>
  <si>
    <t>爱定</t>
  </si>
  <si>
    <t>深圳爱定创投有限公司</t>
  </si>
  <si>
    <t>⽩兰地;开胃酒;鸡尾酒;酒精饮料（啤酒除外）;⽶酒;伏特加酒;⽩酒;果酒（含酒精）;葡萄酒;蒸馏饮料</t>
  </si>
  <si>
    <t>绝美</t>
  </si>
  <si>
    <t>⽩酒;开胃酒;果酒（含酒精）;酒精饮料（啤酒除外）;蒸馏饮料;⽶酒;伏特加酒;⽩兰地;葡萄酒;鸡尾酒</t>
  </si>
  <si>
    <t>运曲王子</t>
  </si>
  <si>
    <t>果酒（含酒精）;清酒（⽇本⽶酒）;烧酒;⽩兰地;鸡尾酒;⽶酒;葡萄酒;利⼝酒;烈酒（饮料）;⽩酒</t>
  </si>
  <si>
    <t>闲人笑</t>
  </si>
  <si>
    <t>果酒（含酒精）;蜂蜜酒;含⽔果酒精饮料;⾕物制蒸馏酒精饮料;酸酒（低等葡萄酒）;⽶酒;烈酒（饮料）;⽩酒</t>
  </si>
  <si>
    <t>威兰蒂</t>
  </si>
  <si>
    <t>贾景峰</t>
  </si>
  <si>
    <t>蒸煮提取物（利⼝酒和烈酒）;威⼠忌;⽩酒;果酒（含酒精）;烧酒;烈酒（饮料）;鸡尾酒;酒精饮料（啤酒除外）;⽶酒;葡萄酒</t>
  </si>
  <si>
    <t>张京华</t>
  </si>
  <si>
    <t>烧酒;⽩酒;⻘稞酒;葡萄酒;⽼酒（中国蒸馏烈酒）;果酒（含酒精）;茴⾹酒（利⼝酒）;⻩酒;⽩⼲酒（中国⽩酒）;⽶酒</t>
  </si>
  <si>
    <t>桂坛福</t>
  </si>
  <si>
    <t>李洋</t>
  </si>
  <si>
    <t>⽩酒;清酒（⽇本⽶酒）;开胃酒;威⼠忌;鸡尾酒;葡萄酒;果酒（含酒精）;⻩酒;酒精饮料（啤酒除外）;烈酒</t>
  </si>
  <si>
    <t>童咔迪</t>
  </si>
  <si>
    <t>童咔迪（杭州）文化传播有限公司</t>
  </si>
  <si>
    <t>果酒（含酒精）;含酒精的充⽓饮料（啤酒除外）;⽩酒;⻩酒;烈酒（饮料）;红葡萄酒;葡萄酒;酒精饮料（啤酒除外）;鸡尾酒;⽶酒</t>
  </si>
  <si>
    <t>清川渚</t>
  </si>
  <si>
    <t>昆明翰纬工程技术咨询有限公司</t>
  </si>
  <si>
    <t>⽩酒;果酒;酒精饮料（啤酒除外）;⻩酒;汽酒;蒸馏饮料;烈酒;⽶酒;葡萄酒;开胃酒</t>
  </si>
  <si>
    <t>顺意华辉</t>
  </si>
  <si>
    <t>王俊辉</t>
  </si>
  <si>
    <t>⽩酒;烧酒;果酒;酒精饮料（啤酒除外）;利⼝酒;鸡尾酒;清酒（⽇本⽶酒）;朗姆酒;开胃酒;葡萄酒</t>
  </si>
  <si>
    <t>含酒精⽔果饮料;伏特加酒;⽩酒;含酒精的饮料（啤酒除外）;混合威⼠忌酒;蒸馏饮料;以葡萄酒为主的开胃酒;由⾕物蒸馏的⽩酒;烧酒;葡萄酒</t>
  </si>
  <si>
    <t>咏词</t>
  </si>
  <si>
    <t>葡萄酒;果酒;烈酒;⽶酒;⻩酒;除啤酒外的酒精饮料;开胃酒;⽩酒;鸡尾酒;清酒</t>
  </si>
  <si>
    <t>杨秉渊</t>
  </si>
  <si>
    <t>江西国辉健康产业有限公司</t>
  </si>
  <si>
    <t>果酒（含酒精）;⻩酒;酒精饮料（啤酒除外）;清酒;⽩酒;烈酒（饮料）;烧酒;⽶酒;葡萄酒;鸡尾酒</t>
  </si>
  <si>
    <t>箴今堂</t>
  </si>
  <si>
    <t>福建国燕生物科技有限公司</t>
  </si>
  <si>
    <t>葡萄酒;鸡尾酒;蜂蜜酒;⽩⼲酒（中国⽩酒）;⽩酒;蒸馏饮料;酒精饮料（啤酒除外）;⽶酒;烧酒;果酒（含酒精）</t>
  </si>
  <si>
    <t>桑纪</t>
  </si>
  <si>
    <t>清酒（⽇本⽶酒）;果酒（含酒精）;⻘稞酒;⽩酒;酒精饮料（啤酒除外）;⽶酒;烈酒（饮料）;⻩酒;葡萄酒;烧酒</t>
  </si>
  <si>
    <t>乾谦一生</t>
  </si>
  <si>
    <t>刘晓东</t>
  </si>
  <si>
    <t>果酒（含酒精）;鸡尾酒;酒精饮料（啤酒除外）;⽶酒;⾼粱酒;⽩酒;⻩酒;葡萄酒;烈酒（饮料）;烧酒</t>
  </si>
  <si>
    <t>岁江吟</t>
  </si>
  <si>
    <t>周应伦</t>
  </si>
  <si>
    <t>果酒（含酒精）;烈酒;⾼粱酒;开胃酒;⽩⼲酒（中国⽩酒）;烧酒;⽶酒;⽩酒;⻩酒;苦荞酒</t>
  </si>
  <si>
    <t>⽶酒;开胃酒;果酒;烧酒;鸡尾酒;含⽔果酒精饮料;葡萄酒;酒精饮料（啤酒除外）;⽩酒;⾼粱酒</t>
  </si>
  <si>
    <t>制草肤</t>
  </si>
  <si>
    <t>美界投资管理（上海）有限公司</t>
  </si>
  <si>
    <t>含⽔果酒精饮料;⽩酒;葡萄酒;⻩酒;鸡尾酒;果酒;⽶酒;烧酒;⻘稞酒;威⼠忌</t>
  </si>
  <si>
    <t>CHENWENDONG</t>
  </si>
  <si>
    <t>⽩兰地;⽩酒;葡萄酒;蜂蜜酒;蒸馏饮料;⻩酒;果酒（含酒精）;含⽔果酒精饮料;⾕物制蒸馏酒精饮料;预先混合的酒精饮料（以啤酒为主的除外）</t>
  </si>
  <si>
    <t>祥亨</t>
  </si>
  <si>
    <t>赵炳程</t>
  </si>
  <si>
    <t>汽酒;⽩酒;⻩酒;果酒（含酒精）;烧酒;⽶酒;酒精饮料（啤酒除外）;葡萄酒;蜂蜜酒;烈酒（饮料）</t>
  </si>
  <si>
    <t>海乐斯</t>
  </si>
  <si>
    <t>孙旭</t>
  </si>
  <si>
    <t>⽩酒;⽶酒;含酒精⽔果饮料;⻩酒;烈性⼲酒;甜酒;⾷⽤酒精;葡萄酒;⽩⼲酒（中国⽩酒）;⾼粱酒</t>
  </si>
  <si>
    <t>杨改和</t>
  </si>
  <si>
    <t>李云芳</t>
  </si>
  <si>
    <t>葡萄酒;含酒精的鸡尾酒混合饮品;⽶酒;⾕物制蒸馏酒精饮料;蜂蜜酒;果酒（含酒精）;开胃酒;⻩酒;⽩酒;烧酒</t>
  </si>
  <si>
    <t>藏柯珍宝</t>
  </si>
  <si>
    <t>青海御恩医疗器械有限公司</t>
  </si>
  <si>
    <t>清酒;⽩酒;苦味酒;葡萄酒;开胃酒;⻩酒;酒精饮料（啤酒除外）;⽩兰地;蜂蜜酒;蒸馏饮料</t>
  </si>
  <si>
    <t>正枫平</t>
  </si>
  <si>
    <t>祥源丽海服务（广州）合伙企业（有限合伙）</t>
  </si>
  <si>
    <t>含⽔果酒精饮料;⽩酒;果酒（含酒精）;蒸馏饮料;⻩酒;烧酒;蒸煮提取物（利⼝酒和烈酒）;酒精饮料（啤酒除外）;⽶酒;烈酒（饮料）</t>
  </si>
  <si>
    <t>万佳品至</t>
  </si>
  <si>
    <t>新郑市万佳商业连锁有限公司</t>
  </si>
  <si>
    <t>果酒（含酒精）;葡萄酒;⻩酒;蜂蜜酒;清酒;樱桃酒;含⽔果酒精饮料;⽩酒;露酒;甜果酒</t>
  </si>
  <si>
    <t>渔爷</t>
  </si>
  <si>
    <t>亳州中支酒业有限公司</t>
  </si>
  <si>
    <t>烧酒;汽酒;清酒;⻘稞酒;苹果酒;葡萄酒;⻩酒;⽩酒;开胃酒;鸡尾酒</t>
  </si>
  <si>
    <t>辽济堂</t>
  </si>
  <si>
    <t>葡萄酒;蜂蜜酒;鸡尾酒;果酒;⽶酒;⽩酒;⻩酒;烧酒;酒精饮料（啤酒除外）;含酒精⽔果饮料</t>
  </si>
  <si>
    <t>麟之赋</t>
  </si>
  <si>
    <t>撒拉溪</t>
  </si>
  <si>
    <t>深圳星泊利控股发展有限公司</t>
  </si>
  <si>
    <t>酒精饮料（啤酒除外）;⽩酒;葡萄酒;⽶酒;果酒（含酒精）;⻩酒;烧酒;⾷⽤酒精;威⼠忌;开胃酒</t>
  </si>
  <si>
    <t>晋酩君</t>
  </si>
  <si>
    <t>鸡尾酒;蜂蜜酒;⽩酒;⻘稞酒;⻩酒;烈酒（饮料）;清酒（⽇本⽶酒）;威⼠忌;烧酒;开胃酒</t>
  </si>
  <si>
    <t>伊起奋斗</t>
  </si>
  <si>
    <t>陕西奋斗品牌管理有限公司</t>
  </si>
  <si>
    <t>苹果酒;蜂蜜酒;葡萄酒;果酒（含酒精）;烈酒;⽶酒;鸡尾酒;含⽔果酒精饮料;⻘稞酒;⽩酒</t>
  </si>
  <si>
    <t>浔万川</t>
  </si>
  <si>
    <t>威⼠忌;蜂蜜酒;开胃酒;⽩酒;⻩酒;烧酒;鸡尾酒;清酒（⽇本⽶酒）;⻘稞酒;烈酒（饮料）</t>
  </si>
  <si>
    <t>北飒</t>
  </si>
  <si>
    <t>⾷⽤酒精;汽酒;⻩酒;⻘稞酒;⽩酒;烧酒;已调味的⻨芽酿制的酒精饮料（啤酒除外）;葡萄酒;烈酒（饮料）;⾕物制蒸馏酒精饮料</t>
  </si>
  <si>
    <t>云间醉月</t>
  </si>
  <si>
    <t>成都建仪兴仪器仪表有限公司</t>
  </si>
  <si>
    <t>⻘稞酒;⻩酒;酒精饮料原汁;葡萄酒;果酒（含酒精）;露酒;⽶酒;⽩酒;⽩兰地;梨酒</t>
  </si>
  <si>
    <t>艾雷赛洛</t>
  </si>
  <si>
    <t>覃双平</t>
  </si>
  <si>
    <t>开胃酒;葡萄酒;⽩兰地;烈酒;威⼠忌;亚⼒酒;朗姆酒;伏特加酒;梅酒;果酒</t>
  </si>
  <si>
    <t>金竹琳</t>
  </si>
  <si>
    <t>鸡尾酒;梨酒;⽩酒;果酒（含酒精）;含⽔果酒精饮料;酒精饮料（啤酒除外）;葡萄酒;烈酒（饮料）;⾕物制蒸馏酒精饮料;⽶酒</t>
  </si>
  <si>
    <t>岱供</t>
  </si>
  <si>
    <t>泰安市岱岳区岱供资本经营有限公司</t>
  </si>
  <si>
    <t>汽酒;⻩酒;露酒;葡萄酒;⽶酒;⽩酒;烧酒;甜酒;清酒;果酒</t>
  </si>
  <si>
    <t>兴黔皓</t>
  </si>
  <si>
    <t>李剑</t>
  </si>
  <si>
    <t>烧酒;果酒（含酒精）;⽶酒;葡萄酒;蒸馏饮料;⽩酒;利⼝酒;蒸煮提取物（利⼝酒和烈酒）;⾷⽤酒精;烈性⼲酒</t>
  </si>
  <si>
    <t>烧酒;含酒精的饮料（啤酒除外）;以葡萄酒为主的开胃酒;葡萄酒;混合威⼠忌酒;由⾕物蒸馏的⽩酒;伏特加酒;蒸馏饮料;⽩酒;含酒精⽔果饮料</t>
  </si>
  <si>
    <t>衡酒神</t>
  </si>
  <si>
    <t>⾷⽤酒精;清酒（⽇本⽶酒）;酒精饮料（啤酒除外）;葡萄酒;果酒（含酒精）;伏特加酒;烧酒;⽩酒;鸡尾酒;烈酒（饮料）</t>
  </si>
  <si>
    <t>兴事和</t>
  </si>
  <si>
    <t>王艳210319********4224</t>
  </si>
  <si>
    <t>烈酒（饮料）;烧酒;⽶酒;⽩酒;⻩酒;⻘稞酒;果酒（含酒精）;鸡尾酒;清酒（⽇本⽶酒）;葡萄酒</t>
  </si>
  <si>
    <t>藏柯甄选</t>
  </si>
  <si>
    <t>清酒;苦味酒;蜂蜜酒;开胃酒;⻩酒;酒精饮料（啤酒除外）;⽩兰地;葡萄酒;蒸馏饮料;⽩酒</t>
  </si>
  <si>
    <t>今杯赞</t>
  </si>
  <si>
    <t>⽩酒;⻩酒;果酒;鸡尾酒;蜂蜜酒;清酒;⽶酒;烧酒;伏特加酒;除啤酒外的酒精饮料</t>
  </si>
  <si>
    <t>妙理春秋</t>
  </si>
  <si>
    <t>烧酒;⽶酒;⻘稞酒;预先混合的酒精饮料（以啤酒为主的除外）;⽩酒;含⽔果酒精饮料;果酒（含酒精）;烈酒（饮料）;葡萄酒;⻩酒</t>
  </si>
  <si>
    <t>淮汀</t>
  </si>
  <si>
    <t>开胃酒;烈酒（饮料）;鸡尾酒;⻩酒;⽩酒;烧酒;⻘稞酒;威⼠忌;蜂蜜酒;清酒（⽇本⽶酒）</t>
  </si>
  <si>
    <t>万福新村巷</t>
  </si>
  <si>
    <t>于江</t>
  </si>
  <si>
    <t>果酒（含酒精）;葡萄酒;⻩酒;烧酒;清酒;朝鲜族⽶酒;酒精饮料（啤酒除外）;⽩酒;烈酒;⽶酒</t>
  </si>
  <si>
    <t>倪美恩</t>
  </si>
  <si>
    <t>深圳传世翠玉珠宝有限公司</t>
  </si>
  <si>
    <t>烈酒（饮料）;威⼠忌;⽩酒;果酒（含酒精）;⽩兰地;葡萄酒;烧酒;鸡尾酒;薄荷酒;蒸馏饮料</t>
  </si>
  <si>
    <t>威⼠忌;⽩酒;除啤酒外的酒精饮料;果酒（含酒精）;天然汽酒;烧酒（烈酒）;⾼粱酒;烈酒（饮料）;⽶酒;含酒精⽔果饮料</t>
  </si>
  <si>
    <t>蒙纳丽</t>
  </si>
  <si>
    <t>果酒（含酒精）;利⼝酒;烈酒（饮料）;酒精饮料（啤酒除外）;烧酒;⾕物制蒸馏酒精饮料;⽩酒;葡萄酒;⽶酒;朗姆酒</t>
  </si>
  <si>
    <t>黔谛坊</t>
  </si>
  <si>
    <t>烧酒;⽩酒;⽶酒;葡萄酒;⻩酒;杨梅酒;苦荞酒;果酒（含酒精）;蜂蜜酒;⾼粱酒</t>
  </si>
  <si>
    <t>梨园尚贡</t>
  </si>
  <si>
    <t>佛山荣恒食品有限公司</t>
  </si>
  <si>
    <t>果酒（含酒精）;烈酒;⽔果汽酒;伏特加酒;⽶酒;⽩酒;含酒精的鸡尾酒混合饮品;⽩⼲酒（中国⽩酒）;鸡尾酒;葡萄酒</t>
  </si>
  <si>
    <t>漠阳龙</t>
  </si>
  <si>
    <t>阳江市喜号广告传媒有限公司</t>
  </si>
  <si>
    <t>酒精饮料（啤酒除外）;⽶酒;烧酒;⽩酒;果酒（含酒精）;葡萄酒;鸡尾酒;开胃酒;蜂蜜酒;烈酒（饮料）</t>
  </si>
  <si>
    <t>万福润泰</t>
  </si>
  <si>
    <t>烧酒;葡萄酒;烈酒（饮料）;⻩酒;威⼠忌;预先混合的酒精饮料（以啤酒为主的除外）;果酒（含酒精）;⽶酒;⽩酒;利⼝酒</t>
  </si>
  <si>
    <t>巴朗利</t>
  </si>
  <si>
    <t>古元素</t>
  </si>
  <si>
    <t>公主岭市正合齐企业管理有限公司</t>
  </si>
  <si>
    <t>开胃酒;鸡尾酒;利⼝酒;⽶酒;⽩酒;果酒（含酒精）;⻩酒;葡萄酒;威⼠忌;烧酒</t>
  </si>
  <si>
    <t>⻩酒;⽩兰地;⽩酒;葡萄酒;果酒;清酒;⾷⽤酒精;鸡尾酒;⽶酒;烧酒</t>
  </si>
  <si>
    <t>安徽京硒酒业有限公司</t>
  </si>
  <si>
    <t>⽶酒;清酒;果酒（含酒精）;⽩酒;开胃酒;⻩酒;烈酒;烧酒;鸡尾酒;⻘稞酒</t>
  </si>
  <si>
    <t>2024/06/06</t>
  </si>
  <si>
    <t>西轩堡</t>
  </si>
  <si>
    <t>罗积</t>
  </si>
  <si>
    <t>酒精饮料（啤酒除外）;烈酒;⽩酒;葡萄酒;威⼠忌;⻩酒;果酒（含酒精）;开胃酒;鸡尾酒;清酒（⽇本⽶酒）</t>
  </si>
  <si>
    <t>崇江福</t>
  </si>
  <si>
    <t>罗建帮</t>
  </si>
  <si>
    <t>威⼠忌;开胃酒;果酒（含酒精）;葡萄酒;鸡尾酒;烈酒;清酒（⽇本⽶酒）;⻩酒;⽩酒;酒精饮料（啤酒除外）</t>
  </si>
  <si>
    <t>酣享福</t>
  </si>
  <si>
    <t>罗晓英</t>
  </si>
  <si>
    <t>⽼酒（中国蒸馏烈酒）;⻩酒;烧酒;⻘稞酒;⽩酒;⽶酒;葡萄酒;含⽔果酒精饮料;威⼠忌;杨梅酒</t>
  </si>
  <si>
    <t>智又乐仙</t>
  </si>
  <si>
    <t>四川省多安酸生物工程有限公司</t>
  </si>
  <si>
    <t>果酒（含酒精）;⽶酒;烧酒;⻩酒;⾼粱酒;烈酒（饮料）;⻘梅酒;含⽔果酒精饮料;⽩酒;开胃酒</t>
  </si>
  <si>
    <t>NZSE</t>
  </si>
  <si>
    <t>浙江劲速体育用品有限公司</t>
  </si>
  <si>
    <t>烈酒（饮料）;果酒（含酒精）;⻩酒;含⽔果酒精饮料;酒精饮料原汁;⽩酒;⽶酒;葡萄酒;蒸馏饮料;烧酒</t>
  </si>
  <si>
    <t>彤骏</t>
  </si>
  <si>
    <t>昆明彤骏集团有限公司</t>
  </si>
  <si>
    <t>烈酒;果酒（含酒精）;葡萄酒;⽶酒;⽩酒;由⾕物蒸馏的⽩酒</t>
  </si>
  <si>
    <t>京方福</t>
  </si>
  <si>
    <t>苍南县温小四养殖专业合作社</t>
  </si>
  <si>
    <t>⾼粱酒;果酒;烧酒;酒精饮料（啤酒除外）;葡萄酒;烈酒;⽼酒（中国蒸馏烈酒）;⻩酒;⽩酒;⽶酒</t>
  </si>
  <si>
    <t>百崟</t>
  </si>
  <si>
    <t>张柏川</t>
  </si>
  <si>
    <t>葡萄酒;烈酒;烧酒;鸡尾酒;⽩兰地;⻘稞酒;⻩酒;⽶酒;⽩酒;威⼠忌</t>
  </si>
  <si>
    <t>皇明礼</t>
  </si>
  <si>
    <t>泗洪县东方缘酒业有限公司</t>
  </si>
  <si>
    <t>果酒（含酒精）;葡萄酒;⽩兰地;酒精饮料（啤酒除外）;烧酒;清酒（⽇本⽶酒）;伏特加酒;⽩酒;鸡尾酒;⾷⽤酒精</t>
  </si>
  <si>
    <t>腾达腾飞</t>
  </si>
  <si>
    <t>驻马店腾达商贸有限公司</t>
  </si>
  <si>
    <t>含⽔果酒精饮料;⽩酒;葡萄酒;烈酒（饮料）;鸡尾酒;甜酒;威⼠忌;果酒（含酒精）;酒精饮料（啤酒除外）;利⼝酒</t>
  </si>
  <si>
    <t>幺龙</t>
  </si>
  <si>
    <t>葡萄酒;茴⾹酒;⻩酒;清酒（⽇本⽶酒）;⽶酒;烈酒;果酒（含酒精）;⽩酒;威⼠忌;鸡尾酒</t>
  </si>
  <si>
    <t>恒膳礼</t>
  </si>
  <si>
    <t>安国市沐润堂中药材有限公司</t>
  </si>
  <si>
    <t>含⽔果酒精饮料;⽩酒;葡萄酒;果酒（含酒精）;清酒（⽇本⽶酒）;餐后酒（利⼝酒和烈酒）;酒精饮料（啤酒除外）;预先混合的酒精饮料（以啤酒为主的除外）;烧酒;鸡尾酒</t>
  </si>
  <si>
    <t>苏龙腾飞</t>
  </si>
  <si>
    <t>山东汉将成龙酒业有限公司</t>
  </si>
  <si>
    <t>果酒（含酒精）;清酒（⽇本⽶酒）;酒精饮料（啤酒除外）;⾷⽤酒精;⽩酒;鸡尾酒;葡萄酒;⽩兰地;烧酒;伏特加酒</t>
  </si>
  <si>
    <t>王公桥</t>
  </si>
  <si>
    <t>烧酒;⽶酒;⻩酒;⽢蔗制烈酒;鸡尾酒;葡萄酒;烈酒（饮料）;果酒;⽩酒;酒精饮料（啤酒除外）</t>
  </si>
  <si>
    <t>YINSGIN</t>
  </si>
  <si>
    <t>隐象威士忌庄园（杭州千岛湖）有限公司</t>
  </si>
  <si>
    <t>蒸馏饮料;混合威⼠忌酒;餐后酒（利⼝酒和烈酒）;烈酒（饮料）;含酒精的鸡尾酒混合饮品;鸡尾酒;⾕物制蒸馏酒精饮料;预先混合的酒精饮料（以啤酒为主的除外）;⻨芽威⼠忌;烈酒浓缩汁;已调味的蒸馏酒;威⼠忌;酒精饮料（啤酒除外）;含⽔果酒精饮料</t>
  </si>
  <si>
    <t>磐拓</t>
  </si>
  <si>
    <t>海南磐拓创业投资有限公司</t>
  </si>
  <si>
    <t>⽩酒;利⼝酒;烧酒;预先混合的酒精饮料（以啤酒为主的除外）;威⼠忌;葡萄酒;朗姆酒;⾕物制蒸馏酒精饮料;含⽔果酒精饮料;汽酒</t>
  </si>
  <si>
    <t>百水合</t>
  </si>
  <si>
    <t>贵州黔合窖台酒业有限公司</t>
  </si>
  <si>
    <t>利⼝酒;⽩酒;⽶酒;⻩酒;⾷⽤酒精;酒精饮料（啤酒除外）;烧酒;鸡尾酒;烈酒（饮料）;葡萄酒;果酒（含酒精）</t>
  </si>
  <si>
    <t>VINECRAFTER</t>
  </si>
  <si>
    <t>KWV知识产权有限公司</t>
  </si>
  <si>
    <t>葡萄酒;酒精饮料（啤酒除外）</t>
  </si>
  <si>
    <t>老啜阿罗嫂</t>
  </si>
  <si>
    <t>董金华</t>
  </si>
  <si>
    <t>酒精饮料原汁;酒精饮料（啤酒除外）;葡萄酒;⻩酒;含⽔果酒精饮料;鸡尾酒;烈酒（饮料）;⽩酒;果酒（含酒精）;⽶酒</t>
  </si>
  <si>
    <t>皇明氿</t>
  </si>
  <si>
    <t>尧山飞龙蝶王神</t>
  </si>
  <si>
    <t>郭洪涛</t>
  </si>
  <si>
    <t>蒸馏饮料;⾷⽤酒精;⽩酒;酒精饮料（啤酒除外）;葡萄酒;⻩酒;烧酒;⽶酒;果酒（含酒精）;烈酒</t>
  </si>
  <si>
    <t>禄泰发</t>
  </si>
  <si>
    <t>秦皇岛协瑞商贸有限公司</t>
  </si>
  <si>
    <t>开胃酒;⽩兰地;烈酒（饮料）;⽩酒;酒精饮料原汁;葡萄酒;⽶酒;果酒（含酒精）;清酒（⽇本⽶酒）;⻩酒</t>
  </si>
  <si>
    <t>紫缨酒庄</t>
  </si>
  <si>
    <t>湖南铭姚商贸有限公司</t>
  </si>
  <si>
    <t>清酒（⽇本⽶酒）;⽩酒;葡萄酒;⻩酒;茴芹酒（利⼝酒）;⽶酒;烧酒;⽩兰地;威⼠忌;果酒（含酒精）</t>
  </si>
  <si>
    <t>赛音河</t>
  </si>
  <si>
    <t>姬慧兵</t>
  </si>
  <si>
    <t>葡萄酒;⽩兰地;果酒（含酒精）;威⼠忌;鸡尾酒;⽩酒;蒸馏饮料;烧酒;⻩酒;⽶酒</t>
  </si>
  <si>
    <t>明至山</t>
  </si>
  <si>
    <t>深圳市人生无限品牌管理有限公司</t>
  </si>
  <si>
    <t>果酒;酒精饮料（啤酒除外）;⽔果汽酒;除啤酒外的酒精饮料;⽇本梅⼦酒;含酒精的⽓泡⽔;甜酒;梅酒;含酒精的饮料（啤酒除外）;⻘梅酒</t>
  </si>
  <si>
    <t>梓虎</t>
  </si>
  <si>
    <t>葡萄酒;烈酒;清酒（⽇本⽶酒）;鸡尾酒;威⼠忌;⽶酒;⽩酒;⻩酒;果酒（含酒精）;茴⾹酒</t>
  </si>
  <si>
    <t>遇汇光</t>
  </si>
  <si>
    <t>河南铭志餐饮服务有限公司</t>
  </si>
  <si>
    <t>果酒（含酒精）;鸡尾酒;葡萄酒;⽩酒;清酒（⽇本⽶酒）;⽩兰地;⽶酒;⻩酒;烧酒;汽酒</t>
  </si>
  <si>
    <t>啊比比</t>
  </si>
  <si>
    <t>耿菊兰</t>
  </si>
  <si>
    <t>烧酒;⽩酒;葡萄酒;烈酒（饮料）;汽酒;⽶酒;鸡尾酒;威⼠忌;烈酒;⽩兰地</t>
  </si>
  <si>
    <t>赤极星</t>
  </si>
  <si>
    <t>贵州国艺商贸有限责任公司</t>
  </si>
  <si>
    <t>已调味的蒸馏酒;⾼粱酒;⽩酒</t>
  </si>
  <si>
    <t>酉君伴</t>
  </si>
  <si>
    <t>⻘稞酒;⽩酒;烈酒;⽩兰地;⽶酒;烧酒;鸡尾酒;葡萄酒;威⼠忌;⻩酒</t>
  </si>
  <si>
    <t>泰山雄风</t>
  </si>
  <si>
    <t>泰安市泰山日出酒业有限公司</t>
  </si>
  <si>
    <t>葡萄酒;酒精饮料原汁;蒸馏饮料;红葡萄酒;⽼酒（中国蒸馏烈酒）;果酒（含酒精）;⻩酒;烈酒（饮料）;露酒;⽩酒</t>
  </si>
  <si>
    <t>杏猫</t>
  </si>
  <si>
    <t>四川中科华软信息技术有限公司</t>
  </si>
  <si>
    <t>薄荷酒;蜂蜜酒;⽶酒;⾕物制蒸馏酒精饮料;⽼酒（中国蒸馏烈酒）;⽩酒;⾼粱酒;⻩酒;烈酒;烧酒</t>
  </si>
  <si>
    <t>杏萌</t>
  </si>
  <si>
    <t>薄荷酒;⽶酒;烧酒;⽩酒;烈酒;蜂蜜酒;⻩酒;⽼酒（中国蒸馏烈酒）;⾕物制蒸馏酒精饮料;⾼粱酒</t>
  </si>
  <si>
    <t>维洛普斯</t>
  </si>
  <si>
    <t>维洛普斯（北京）文化传媒有限公司</t>
  </si>
  <si>
    <t>葡萄酒;⽩酒;⻩酒;⽩⼲酒（中国⽩酒）;⽼酒（中国蒸馏烈酒）;⽢蔗制酒精饮料;⾕物制蒸馏酒精饮料;⻘稞酒;烧酒;酒精饮料（啤酒除外）</t>
  </si>
  <si>
    <t>飞骞</t>
  </si>
  <si>
    <t>许晨</t>
  </si>
  <si>
    <t>果酒（含酒精）;葡萄酒;烧酒;⾷⽤酒精;汽酒;威⼠忌;酒精饮料原汁;⽩酒;鸡尾酒;⻩酒</t>
  </si>
  <si>
    <t>皇明老</t>
  </si>
  <si>
    <t>鸡尾酒;⽩兰地;⾷⽤酒精;清酒（⽇本⽶酒）;烧酒;伏特加酒;⽩酒;果酒（含酒精）;葡萄酒;酒精饮料（啤酒除外）</t>
  </si>
  <si>
    <t>DISHAERDOVE</t>
  </si>
  <si>
    <t>金铁根</t>
  </si>
  <si>
    <t>⽶酒;以葡萄酒为主的饮料;苹果酒;葡萄酒;烧酒;蒸馏饮料;⻩酒;酒精饮料（啤酒除外）;⽩兰地;果酒（含酒精）</t>
  </si>
  <si>
    <t>幽静万千</t>
  </si>
  <si>
    <t>余寰宇</t>
  </si>
  <si>
    <t>烈酒;果酒;⽩酒;酒精饮料（啤酒除外）;烧酒;⽼酒（中国蒸馏烈酒）;葡萄酒;⽶酒;⾼粱酒;⻩酒</t>
  </si>
  <si>
    <t>潭伯乐</t>
  </si>
  <si>
    <t>广州海之鑫服饰有限公司</t>
  </si>
  <si>
    <t>以葡萄酒为主的开胃酒;含酒精的饮料（啤酒除外）;⽩酒;苦荞酒;清酒;⽼酒（中国蒸馏烈酒）;清酒（⽇本⽶酒）;⻘梅酒;⽩兰地;⽩葡萄酒</t>
  </si>
  <si>
    <t>至瀚</t>
  </si>
  <si>
    <t>沈阳市心悦大药房</t>
  </si>
  <si>
    <t>⽩酒;朗姆酒;⽶酒;鸡尾酒;以葡萄酒为主的饮料;威⼠忌;酒精饮料原汁;伏特加酒;果酒（含酒精）;烈酒（饮料）</t>
  </si>
  <si>
    <t>兰草湾</t>
  </si>
  <si>
    <t>温刚</t>
  </si>
  <si>
    <t>⽩⼲酒（中国⽩酒）;⽩酒;⽼酒（中国蒸馏烈酒）;烈酒（饮料）;五加⽪酒（中国混合烈酒）;烧酒（烈酒）;⻩酒;⾷⽤酒精;烈性⼲酒;果酒（含酒精）</t>
  </si>
  <si>
    <t>崖口仔</t>
  </si>
  <si>
    <t>中山市三溪酒楼有限公司</t>
  </si>
  <si>
    <t>鸡尾酒;⻩酒;清酒（⽇本⽶酒）;果酒（含酒精）;烈酒（饮料）;威⼠忌;⽶酒;烧酒;⽩酒;⽩兰地</t>
  </si>
  <si>
    <t>闪堡</t>
  </si>
  <si>
    <t>惠州市闪爆贸易有限公司</t>
  </si>
  <si>
    <t>果酒（含酒精）;利⼝酒;酒精饮料（啤酒除外）;汽酒;⽩酒;薄荷酒;鸡尾酒;蜂蜜酒;预先混合的酒精饮料（以啤酒为主的除外）;清酒</t>
  </si>
  <si>
    <t>和林蒙鲜</t>
  </si>
  <si>
    <t>内蒙古和盛发展投资有限公司</t>
  </si>
  <si>
    <t>果酒（含酒精）;鸡尾酒;葡萄酒;蜂蜜酒;⽩酒;⽶酒;⻩酒;⾷⽤酒精;威⼠忌;烧酒</t>
  </si>
  <si>
    <t>宝鼎威泰</t>
  </si>
  <si>
    <t>深圳市宝鼎威酒里王物流有限公司</t>
  </si>
  <si>
    <t>果酒（含酒精）;鸡尾酒;烈酒（饮料）;威⼠忌;⽶酒;烧酒;⽩酒;葡萄酒;蒸馏饮料;酒精饮料（啤酒除外）</t>
  </si>
  <si>
    <t>飒酌</t>
  </si>
  <si>
    <t>郑运娥</t>
  </si>
  <si>
    <t>烈酒（饮料）;威⼠忌;清酒（⽇本⽶酒）;蜂蜜酒;⻩酒;鸡尾酒;开胃酒;烧酒;⽩酒;⻘稞酒</t>
  </si>
  <si>
    <t>尹三串</t>
  </si>
  <si>
    <t>成都荔加力商贸有限公司</t>
  </si>
  <si>
    <t>酒精饮料（啤酒除外）;葡萄酒;⽶酒;清酒（⽇本⽶酒）;⽩酒;利⼝酒;果酒（含酒精）;开胃酒;烈酒（饮料）;薄荷酒</t>
  </si>
  <si>
    <t>万杞福</t>
  </si>
  <si>
    <t>卢正贰</t>
  </si>
  <si>
    <t>葡萄酒;威⼠忌;酒精饮料（啤酒除外）;⻩酒;清酒（⽇本⽶酒）;烈酒;⽩酒;开胃酒;鸡尾酒;果酒（含酒精）</t>
  </si>
  <si>
    <t>皇明缘</t>
  </si>
  <si>
    <t>酒精饮料（啤酒除外）;烧酒;鸡尾酒;⽩兰地;⽩酒;果酒（含酒精）;清酒（⽇本⽶酒）;葡萄酒;伏特加酒;⾷⽤酒精</t>
  </si>
  <si>
    <t>醉益多</t>
  </si>
  <si>
    <t>长沙景留香酒业有限责任公司</t>
  </si>
  <si>
    <t>果酒（含酒精）;⽶酒;⽩酒;葡萄酒;⻩酒;鸡尾酒;烈酒（饮料）;威⼠忌;烧酒;含酒精的⽓泡⽔</t>
  </si>
  <si>
    <t>昌恩顺</t>
  </si>
  <si>
    <t>兰陵县昌恩农业发展有限公司</t>
  </si>
  <si>
    <t>鸡尾酒;⽶酒;⽩酒;果酒（含酒精）;⻩酒;清酒（⽇本⽶酒）;威⼠忌;烧酒;薄荷酒;葡萄酒</t>
  </si>
  <si>
    <t>台粮镝</t>
  </si>
  <si>
    <t>贵州马桑湾酒庄集团有限公司</t>
  </si>
  <si>
    <t>薄荷酒;⻩酒;烧酒;开胃酒;葡萄酒;⽩兰地;鸡尾酒;⽩酒;果酒（含酒精）;⽶酒</t>
  </si>
  <si>
    <t>台粮凌云</t>
  </si>
  <si>
    <t>烧酒;薄荷酒;开胃酒;⽩酒;⽶酒;⻩酒;⽩兰地;鸡尾酒;果酒（含酒精）;葡萄酒</t>
  </si>
  <si>
    <t>四川金六六喜酒业有限公司</t>
  </si>
  <si>
    <t>⽩酒;酒精饮料（啤酒除外）;清酒;葡萄酒;⾕物制蒸馏酒精饮料;果酒（含酒精）;⽩兰地;⽶酒;蒸煮提取物（利⼝酒和烈酒）;⾷⽤酒精</t>
  </si>
  <si>
    <t>七彩津</t>
  </si>
  <si>
    <t>天津新品源酒类销售有限公司</t>
  </si>
  <si>
    <t>⾷⽤酒精;含⽔果酒精饮料;由⾕物蒸馏的⽩酒;烧酒;⾼粱酒;⽶酒;酒精饮料（啤酒除外）;⽩⼲酒（中国⽩酒）;⽩酒;⽼酒（中国蒸馏烈酒）</t>
  </si>
  <si>
    <t>乌程</t>
  </si>
  <si>
    <t>浙江乌程酒业有限公司</t>
  </si>
  <si>
    <t>葡萄酒;鸡尾酒;蜂蜜酒;⽶酒;⽩酒;⻩酒;酒精饮料（啤酒除外）;汽酒;烧酒;含⽔果酒精饮料</t>
  </si>
  <si>
    <t>得者仁之</t>
  </si>
  <si>
    <t>贵州遵义黔润国酱酒业有限公司</t>
  </si>
  <si>
    <t>烧酒;⾷⽤酒精;⻩酒;⽩酒;清酒;由⾕物蒸馏的⽩酒;⽶酒;汽酒;果酒;烈酒</t>
  </si>
  <si>
    <t>乾百窖</t>
  </si>
  <si>
    <t>鸡尾酒;葡萄酒;烧酒;⽶酒;⻘稞酒;威⼠忌;⽩酒;⻩酒;烈酒;⽩兰地</t>
  </si>
  <si>
    <t>绝区零</t>
  </si>
  <si>
    <t>上海交宅科技有限公司</t>
  </si>
  <si>
    <t>预先混合的酒精饮料（以啤酒为主的除外）;酒精饮料（啤酒除外）;利⼝酒;薄荷酒;含⽔果酒精饮料;蒸馏饮料;葡萄酒;鸡尾酒;烈酒（饮料）;果酒（含酒精）</t>
  </si>
  <si>
    <t>剑吴仙</t>
  </si>
  <si>
    <t>衢州市千拓商贸有限公司</t>
  </si>
  <si>
    <t>烧酒;由⾕物蒸馏的⽩酒;⽩酒;⽩⼲酒（中国⽩酒）</t>
  </si>
  <si>
    <t>山东济川生物科技有限公司</t>
  </si>
  <si>
    <t>含酒精的⽔果鸡尾酒饮料;⽩葡萄酒;蒸馏饮料;含⽔果酒精饮料;果酒（含酒精）;开胃酒;⽶酒;红葡萄酒;⽩酒;⾼粱酒</t>
  </si>
  <si>
    <t>邱嫂红</t>
  </si>
  <si>
    <t>重庆鼎樽酒业有限公司</t>
  </si>
  <si>
    <t>⽩酒;威⼠忌;烈酒（饮料）;⽶酒;汽酒;酒精饮料浓缩汁;苦味酒;酸酒（低等葡萄酒）;⻘稞酒;葡萄酒</t>
  </si>
  <si>
    <t>庐陵古道溪甄</t>
  </si>
  <si>
    <t>王瑞</t>
  </si>
  <si>
    <t>酒精饮料原汁;葡萄酒;含⽔果酒精饮料;⽶酒;预先混合的酒精饮料（以啤酒为主的除外）;酒精饮料（啤酒除外）;果酒（含酒精）;⻩酒;⽩酒;烧酒</t>
  </si>
  <si>
    <t>黔牛山</t>
  </si>
  <si>
    <t>安龙晋坤照明器材有限公司</t>
  </si>
  <si>
    <t>果酒（含酒精）;蒸馏饮料;酒精饮料（啤酒除外）;烈酒（饮料）;⽩酒;烧酒;鸡尾酒;葡萄酒;威⼠忌;⽶酒</t>
  </si>
  <si>
    <t>尹三</t>
  </si>
  <si>
    <t>清酒（⽇本⽶酒）;酒精饮料（啤酒除外）;薄荷酒;开胃酒;⽩酒;利⼝酒;果酒（含酒精）;烈酒（饮料）;⽶酒;葡萄酒</t>
  </si>
  <si>
    <t>紫缨</t>
  </si>
  <si>
    <t>⽩酒;⽶酒;茴芹酒（利⼝酒）;清酒（⽇本⽶酒）;葡萄酒;⽩兰地;⻩酒;威⼠忌;果酒（含酒精）;烧酒</t>
  </si>
  <si>
    <t>紫缨庄园</t>
  </si>
  <si>
    <t>威⼠忌;清酒（⽇本⽶酒）;⽩酒;葡萄酒;烧酒;⽩兰地;⽶酒;茴芹酒（利⼝酒）;果酒（含酒精）;⻩酒</t>
  </si>
  <si>
    <t>达咪农场</t>
  </si>
  <si>
    <t>湖南达咪信息科技有限公司</t>
  </si>
  <si>
    <t>⾕物制蒸馏酒精饮料;葡萄酒;樱桃酒;酸酒（低等葡萄酒）;⽩酒;蜂蜜酒;开胃酒;⽶酒;以葡萄酒为主的饮料;果酒（含酒精）</t>
  </si>
  <si>
    <t>顶巾</t>
  </si>
  <si>
    <t>李向阳</t>
  </si>
  <si>
    <t>烧酒;⻩酒;⽩酒;鸡尾酒;果酒（含酒精）;酒精饮料（啤酒除外）;威⼠忌;烈酒（饮料）;葡萄酒;⽶酒</t>
  </si>
  <si>
    <t>星湖泉</t>
  </si>
  <si>
    <t>深圳市智阳商业有限公司</t>
  </si>
  <si>
    <t>果酒（含酒精）;烧酒;甜果酒;伏特加酒;⾼粱酒;⻘棵酒;⽩酒;清酒（⽇本⽶酒）;⽩⼲酒（中国⽩酒）;朗姆酒</t>
  </si>
  <si>
    <t>皇明大</t>
  </si>
  <si>
    <t>⽩兰地;烧酒;酒精饮料（啤酒除外）;伏特加酒;⽩酒;果酒（含酒精）;鸡尾酒;葡萄酒;⾷⽤酒精;清酒（⽇本⽶酒）</t>
  </si>
  <si>
    <t>虔野</t>
  </si>
  <si>
    <t>刘东</t>
  </si>
  <si>
    <t>葡萄酒;杨梅酒;⽶酒;⻩酒;果酒;烧酒;含⽔果酒精饮料;⽩酒;烈酒;⽩兰地</t>
  </si>
  <si>
    <t>爱汇千喜</t>
  </si>
  <si>
    <t>⽶酒;开胃酒;烧酒（烈酒）;⽩酒;烧酒;葡萄酒;含酒精⽔果饮料;烈酒;烈性⼲酒;清酒</t>
  </si>
  <si>
    <t>皇明粮</t>
  </si>
  <si>
    <t>烧酒;⾷⽤酒精;果酒（含酒精）;鸡尾酒;伏特加酒;⽩酒;清酒（⽇本⽶酒）;葡萄酒;⽩兰地;酒精饮料（啤酒除外）</t>
  </si>
  <si>
    <t>知方寸</t>
  </si>
  <si>
    <t>河北正腾电子商务服务有限公司</t>
  </si>
  <si>
    <t>烧酒;开胃酒;果酒（含酒精）;⽶酒;酒精饮料（啤酒除外）;⽩兰地;⽩酒;鸡尾酒;葡萄酒;⻩酒</t>
  </si>
  <si>
    <t>风华斐然</t>
  </si>
  <si>
    <t>贵州众贤阳酒业有限公司</t>
  </si>
  <si>
    <t>⽩兰地;果酒（含酒精）;酒精饮料（啤酒除外）;烈酒（饮料）;酒精饮料原汁;含⽔果酒精饮料;⽩酒;酸酒（低等葡萄酒）;⽶酒;酒精饮料浓缩汁</t>
  </si>
  <si>
    <t>司沿烧</t>
  </si>
  <si>
    <t>郑加鸿</t>
  </si>
  <si>
    <t>果酒（含酒精）;烈酒（饮料）;⽶酒;烧酒;含⽔果酒精饮料;⽩酒;酒精饮料（啤酒除外）;蒸馏饮料;⽩兰地;葡萄酒</t>
  </si>
  <si>
    <t>爱秦</t>
  </si>
  <si>
    <t>⾷⽤酒精;果酒;⽶酒;葡萄酒;威⼠忌;⽩酒;⾼粱酒;烈酒;⻩酒;鸡尾酒</t>
  </si>
  <si>
    <t>回澜醉</t>
  </si>
  <si>
    <t>王平</t>
  </si>
  <si>
    <t>⽩酒;酒精饮料（啤酒除外）;开胃酒;薄荷酒;⻘稞酒;葡萄酒;⽩兰地;威⼠忌;⽶酒;⾼粱酒</t>
  </si>
  <si>
    <t>杏皇帝</t>
  </si>
  <si>
    <t>薄荷酒;蜂蜜酒;⽶酒;⾕物制蒸馏酒精饮料;⻩酒;⽼酒（中国蒸馏烈酒）;⾼粱酒;烧酒;烈酒;⽩酒</t>
  </si>
  <si>
    <t>衡义龙</t>
  </si>
  <si>
    <t>胡敬莲</t>
  </si>
  <si>
    <t>烧酒;⾷⽤酒精;⽩酒;烈酒（饮料）;葡萄酒;清酒;果酒（含酒精）;鸡尾酒;⽶酒;⻩酒</t>
  </si>
  <si>
    <t>金六六喜</t>
  </si>
  <si>
    <t>⻘稞酒;葡萄酒;清酒（⽇本⽶酒）;酒精饮料（啤酒除外）;⾷⽤酒精;果酒（含酒精）;烈酒（饮料）;⽩酒;烧酒;⻩酒</t>
  </si>
  <si>
    <t>张佳丽</t>
  </si>
  <si>
    <t>葡萄酒;⽶酒;威⼠忌;酒精饮料（啤酒除外）;蒸馏饮料;鸡尾酒;果酒（含酒精）;⻩酒;⽩酒;烧酒</t>
  </si>
  <si>
    <t>鲁塔</t>
  </si>
  <si>
    <t>陆文军330282********5512</t>
  </si>
  <si>
    <t>⽶酒;酒精饮料原汁;烧酒;预先混合的酒精饮料（以啤酒为主的除外）;蒸煮提取物（利⼝酒和烈酒）;⾷⽤酒精;果酒（含酒精）;酒精饮料浓缩汁;⻩酒;酒精饮料（啤酒除外）</t>
  </si>
  <si>
    <t>陈一厂</t>
  </si>
  <si>
    <t>⻩酒;果酒（含酒精）;⽶酒;烈酒（饮料）;鸡尾酒;酒精饮料（啤酒除外）;烧酒;葡萄酒;⽢蔗制烈酒;⽩酒</t>
  </si>
  <si>
    <t>YINSHINE</t>
  </si>
  <si>
    <t>蒸馏饮料;餐后酒（利⼝酒和烈酒）;含⽔果酒精饮料;含酒精的鸡尾酒混合饮品;混合威⼠忌酒;烈酒浓缩汁;烈酒（饮料）;预先混合的酒精饮料（以啤酒为主的除外）;已调味的蒸馏酒;鸡尾酒;酒精饮料（啤酒除外）;⾕物制蒸馏酒精饮料;⻨芽威⼠忌;威⼠忌</t>
  </si>
  <si>
    <t>锦泰亨</t>
  </si>
  <si>
    <t>职易升（深圳）教育科技有限公司</t>
  </si>
  <si>
    <t>烈酒（饮料）;酒精饮料（啤酒除外）;烈酒;⾼粱酒;葡萄酒;⻩酒;⽶酒;果酒（含酒精）;⽩酒</t>
  </si>
  <si>
    <t>百水河</t>
  </si>
  <si>
    <t>烈酒（饮料）;⽩酒;⾷⽤酒精;⽶酒;⻩酒;葡萄酒;利⼝酒;烧酒;酒精饮料（啤酒除外）;鸡尾酒;果酒（含酒精）</t>
  </si>
  <si>
    <t>皓府台</t>
  </si>
  <si>
    <t>王海艳</t>
  </si>
  <si>
    <t>⽩酒;鸡尾酒;酒精饮料（啤酒除外）;⽶酒;⾷⽤酒精;烧酒;果酒（含酒精）;蒸馏饮料;葡萄酒;烈酒（饮料）</t>
  </si>
  <si>
    <t>大舞台</t>
  </si>
  <si>
    <t>贵州创新港酒业有限公司</t>
  </si>
  <si>
    <t>蒸煮提取物（利⼝酒和烈酒）;烈酒（饮料）;果酒（含酒精）;⻩酒;烧酒;清酒;酒精饮料（啤酒除外）;⽩酒;葡萄酒;⽶酒</t>
  </si>
  <si>
    <t>万镖</t>
  </si>
  <si>
    <t>黄臣</t>
  </si>
  <si>
    <t>⽩兰地;⻩酒;⽩酒;樱桃酒;开胃酒;鸡尾酒;葡萄酒;梨酒;⽶酒;烧酒</t>
  </si>
  <si>
    <t>皇明梦</t>
  </si>
  <si>
    <t>酒精饮料（啤酒除外）;⾷⽤酒精;果酒（含酒精）;⽩兰地;清酒（⽇本⽶酒）;烧酒;鸡尾酒;葡萄酒;⽩酒;伏特加酒</t>
  </si>
  <si>
    <t>皇明人家</t>
  </si>
  <si>
    <t>鸡尾酒;⽩兰地;果酒（含酒精）;烧酒;酒精饮料（啤酒除外）;伏特加酒;⾷⽤酒精;清酒（⽇本⽶酒）;葡萄酒;⽩酒</t>
  </si>
  <si>
    <t>悠悠风华</t>
  </si>
  <si>
    <t>⽶酒;含⽔果酒精饮料;⽩酒;烈酒（饮料）;果酒（含酒精）;酸酒（低等葡萄酒）;⽩兰地;酒精饮料（啤酒除外）;酒精饮料原汁;酒精饮料浓缩汁</t>
  </si>
  <si>
    <t>RITA&amp;MIU</t>
  </si>
  <si>
    <t>广州市比格国际贸易有限公司</t>
  </si>
  <si>
    <t>清酒（⽇本⽶酒）;酒精饮料（啤酒除外）;⻩酒;⽶酒;烧酒;鸡尾酒;葡萄酒;果酒（含酒精）;烈酒（饮料）;⽩酒</t>
  </si>
  <si>
    <t>德非旺</t>
  </si>
  <si>
    <t>⽶酒;⽩酒;烈酒;由⾕物蒸馏的⽩酒;⾷⽤酒精;⻩酒;清酒;烧酒;汽酒;果酒</t>
  </si>
  <si>
    <t>赢羸蠃嬴</t>
  </si>
  <si>
    <t>澳门濠江夜宴酒厂有限公司</t>
  </si>
  <si>
    <t>葡萄酒;威⼠忌;烈酒;⽶酒;果酒;烧酒;⻩酒;⽩酒;⻘稞酒;鸡尾酒</t>
  </si>
  <si>
    <t>果酒（含酒精）;清酒;⾕物制蒸馏酒精饮料;⽶酒;酒精饮料（啤酒除外）;葡萄酒;⽩兰地;⽩酒;蒸煮提取物（利⼝酒和烈酒）;⾷⽤酒精</t>
  </si>
  <si>
    <t>如渔祥</t>
  </si>
  <si>
    <t>佛山市南海区华宸食品经营部</t>
  </si>
  <si>
    <t>酒精饮料（啤酒除外）;含酒精⽔果饮料;汽酒;⽩酒;清酒;鸡尾酒;烈酒;葡萄酒;烧酒;⽶酒</t>
  </si>
  <si>
    <t>帅运来</t>
  </si>
  <si>
    <t>曹熙政</t>
  </si>
  <si>
    <t>鸡尾酒;⽶酒;⻩酒;⽩兰地;含⽔果酒精饮料;预先混合的酒精饮料（以啤酒为主的除外）;果酒（含酒精）;蒸馏饮料;蜂蜜酒;清酒（⽇本⽶酒）;⾕物制蒸馏酒精饮料</t>
  </si>
  <si>
    <t>碧昆</t>
  </si>
  <si>
    <t>北京嘉裕时代国际贸易有限公司</t>
  </si>
  <si>
    <t>⽶酒;⻩酒;果酒（含酒精）;酒精饮料原汁;⽩兰地;威⼠忌;⽩酒;开胃酒;鸡尾酒;葡萄酒</t>
  </si>
  <si>
    <t>YINKANJIU</t>
  </si>
  <si>
    <t>⻩酒;⽶酒;⽩酒;蒸煮提取物（利⼝酒和烈酒）;酒精饮料原汁;蒸馏饮料;葡萄酒;含⽔果酒精饮料;烈酒（饮料）;果酒（含酒精）</t>
  </si>
  <si>
    <t>齐鲁鸿图</t>
  </si>
  <si>
    <t>郓城万鹏村酿酒有限公司</t>
  </si>
  <si>
    <t>开胃酒;利⼝酒;鸡尾酒;葡萄酒;果酒;⽩酒;烈酒（饮料）;⽶酒;烧酒;⻩酒</t>
  </si>
  <si>
    <t>皇明龙</t>
  </si>
  <si>
    <t>葡萄酒;清酒（⽇本⽶酒）;果酒（含酒精）;⽩兰地;烧酒;⽩酒;鸡尾酒;酒精饮料（啤酒除外）;伏特加酒;⾷⽤酒精</t>
  </si>
  <si>
    <t>众易和</t>
  </si>
  <si>
    <t>重庆众易网络科技有限公司</t>
  </si>
  <si>
    <t>⻩酒;果酒（含酒精）;酒精饮料（啤酒除外）;烈酒（饮料）;烧酒;⽢蔗制烈酒;⽶酒;鸡尾酒;⽩酒;葡萄酒</t>
  </si>
  <si>
    <t>皇明特</t>
  </si>
  <si>
    <t>酒精饮料（啤酒除外）;伏特加酒;清酒（⽇本⽶酒）;葡萄酒;⾷⽤酒精;烧酒;⽩酒;果酒（含酒精）;鸡尾酒;⽩兰地</t>
  </si>
  <si>
    <t>亚颂府传奇</t>
  </si>
  <si>
    <t>沈阳晟睿酒业有限公司</t>
  </si>
  <si>
    <t>葡萄酒;⽩兰地;利⼝酒;汽酒;苹果酒;⽩酒;威⼠忌;鸡尾酒;樱桃酒;含⽔果酒精饮料</t>
  </si>
  <si>
    <t>河坊传</t>
  </si>
  <si>
    <t>陆仲宁</t>
  </si>
  <si>
    <t>清酒（⽇本⽶酒）;烈酒;葡萄酒;开胃酒;⽩酒;酒精饮料（啤酒除外）;⻩酒;果酒（含酒精）;威⼠忌;鸡尾酒</t>
  </si>
  <si>
    <t>亚颂府胜境</t>
  </si>
  <si>
    <t>鸡尾酒;苹果酒;利⼝酒;樱桃酒;威⼠忌;⽩兰地;⽩酒;葡萄酒;汽酒;含⽔果酒精饮料</t>
  </si>
  <si>
    <t>搭膳</t>
  </si>
  <si>
    <t>郑惠花</t>
  </si>
  <si>
    <t>⽩兰地;⽶酒;汽酒;⻩酒;烧酒;果酒（含酒精）;烈酒（饮料）;威⼠忌;酒精饮料（啤酒除外）;葡萄酒</t>
  </si>
  <si>
    <t>达脉</t>
  </si>
  <si>
    <t>河北英路恒通贸易有限公司</t>
  </si>
  <si>
    <t>朝鲜族⽶酒;甜果酒;⽩酒;⽢蔗制酒精饮料;蝮蛇酒;烈酒（饮料）;威⼠忌;朗姆酒（酒精饮料）;薄荷酒;开胃酒</t>
  </si>
  <si>
    <t>葡萄酒;⽩兰地;⽩酒;酒精饮料（啤酒除外）;⾕物制蒸馏酒精饮料;⽶酒;⾷⽤酒精;清酒;蒸煮提取物（利⼝酒和烈酒）;果酒（含酒精）</t>
  </si>
  <si>
    <t>麦洛维</t>
  </si>
  <si>
    <t>⽶酒;果酒;开胃酒;葡萄酒;蒸煮提取物（利⼝酒和烈酒）;⽩酒;⻩酒;清酒（⽇本⽶酒）;酒精饮料（啤酒除外）;烧酒</t>
  </si>
  <si>
    <t>开佩尔</t>
  </si>
  <si>
    <t>皮斯凯拉艾尔克农业合作有限公司</t>
  </si>
  <si>
    <t>烈酒（饮料）;酒精饮料（啤酒除外）;蒸馏酒精饮料;葡萄酒;⽩兰地;利⼝酒</t>
  </si>
  <si>
    <t>⽩兰地;酒精饮料（啤酒除外）;清酒;⽶酒;⾕物制蒸馏酒精饮料;蒸煮提取物（利⼝酒和烈酒）;⾷⽤酒精;果酒（含酒精）;⽩酒;葡萄酒</t>
  </si>
  <si>
    <t>石公泉</t>
  </si>
  <si>
    <t>石长民</t>
  </si>
  <si>
    <t>果酒（含酒精）;葡萄酒;烧酒;蒸馏饮料;⾼粱酒;⽩酒;开胃酒;烈酒（饮料）;⻩酒;⽶酒</t>
  </si>
  <si>
    <t>WOOO SHISHA LOUNGE</t>
  </si>
  <si>
    <t>深圳雾希萨餐饮管理有限公司</t>
  </si>
  <si>
    <t>鸡尾酒;葡萄酒;含酒精的饮料（啤酒除外）;含⽔果酒精饮料;烈酒（饮料）;清酒;朗姆酒（酒精饮料）;果酒（含酒精）;以葡萄酒为主的饮料;⽩酒</t>
  </si>
  <si>
    <t>柏斯卟</t>
  </si>
  <si>
    <t>李秀云</t>
  </si>
  <si>
    <t>开胃酒;甜酒;⻩酒;蜂蜜酒;果酒;⽩⼲酒（中国⽩酒）;葡萄酒;⽩酒;威⼠忌;汽酒</t>
  </si>
  <si>
    <t>盛腾禧玖</t>
  </si>
  <si>
    <t>向红霖</t>
  </si>
  <si>
    <t>薄荷酒;果酒（含酒精）;茴芹酒（利⼝酒）;⽶酒;亚⼒酒;含⽔果酒精饮料;蒸馏饮料;苦味酒;开胃酒;⽩酒</t>
  </si>
  <si>
    <t>赵娟</t>
  </si>
  <si>
    <t>⽩酒;⻘稞酒;⻩酒;果酒;酒精饮料原汁;酒精饮料（啤酒除外）;⾼粱酒;⾕物制蒸馏酒精饮料;葡萄酒;蜂蜜酒</t>
  </si>
  <si>
    <t>紫极星</t>
  </si>
  <si>
    <t>越四味</t>
  </si>
  <si>
    <t>烈酒;烧酒;果酒;鸡尾酒;⽶酒;⽢蔗制烈酒;⻩酒;酒精饮料（啤酒除外）;⽩酒;葡萄酒</t>
  </si>
  <si>
    <t>YI DAI JIANG XIONG</t>
  </si>
  <si>
    <t>烧酒;含酒精的鸡尾酒混合饮品;⻩酒;清酒（⽇本⽶酒）;甜酒;起泡红葡萄酒;果酒（含酒精）;威⼠忌;⽩酒;⾷⽤酒精</t>
  </si>
  <si>
    <t>亚颂府御品</t>
  </si>
  <si>
    <t>鸡尾酒;汽酒;含⽔果酒精饮料;威⼠忌;⽩酒;葡萄酒;利⼝酒;樱桃酒;⽩兰地;苹果酒</t>
  </si>
  <si>
    <t>叙粱辰</t>
  </si>
  <si>
    <t>开胃酒;鸡尾酒;清酒（⽇本⽶酒）;蜂蜜酒;⻩酒;威⼠忌;烧酒;⽩酒;⻘稞酒;烈酒（饮料）</t>
  </si>
  <si>
    <t>佳福莲</t>
  </si>
  <si>
    <t>张家乐</t>
  </si>
  <si>
    <t>蜂蜜酒;酒精饮料（啤酒除外）;⾷⽤酒精;⻩酒;葡萄酒;⽩兰地;开胃酒;果酒（含酒精）;⽩酒;威⼠忌</t>
  </si>
  <si>
    <t>台粮莲塘印象</t>
  </si>
  <si>
    <t>开胃酒;⻩酒;薄荷酒;果酒（含酒精）;鸡尾酒;⽶酒;⽩兰地;烧酒;⽩酒;葡萄酒</t>
  </si>
  <si>
    <t>皇明福</t>
  </si>
  <si>
    <t>葡萄酒;⾷⽤酒精;清酒（⽇本⽶酒）;果酒（含酒精）;烧酒;⽩酒;⽩兰地;酒精饮料（啤酒除外）;伏特加酒;鸡尾酒</t>
  </si>
  <si>
    <t>蔚长厚</t>
  </si>
  <si>
    <t>果酒（含酒精）;⽩酒;⻩酒;⾼粱酒;烈酒;葡萄酒;烈酒（饮料）;酒精饮料（啤酒除外）;⽶酒</t>
  </si>
  <si>
    <t>陈九厂</t>
  </si>
  <si>
    <t>⽩酒;烈酒（饮料）;⻩酒;酒精饮料（啤酒除外）;⽶酒;⽢蔗制烈酒;葡萄酒;烧酒;鸡尾酒;果酒</t>
  </si>
  <si>
    <t>升典</t>
  </si>
  <si>
    <t>长沙盛世中元建材有限公司</t>
  </si>
  <si>
    <t>酒精饮料（啤酒除外）;⻩酒;⽶酒;烧酒;以葡萄酒为主的饮料;酸酒（低等葡萄酒）;果酒（含酒精）;鸡尾酒;葡萄酒;⽩酒</t>
  </si>
  <si>
    <t>强劲飞龙蝶王神</t>
  </si>
  <si>
    <t>⻩酒;酒精饮料（啤酒除外）;蒸馏饮料;⾷⽤酒精;烧酒;果酒（含酒精）;烈酒;葡萄酒;⽩酒;⽶酒</t>
  </si>
  <si>
    <t>乾州乾御</t>
  </si>
  <si>
    <t>都江堰裕泰蓉盛商贸有限公司</t>
  </si>
  <si>
    <t>开胃酒;威⼠忌;⽩酒;含⽔果酒精饮料;葡萄酒;蒸馏饮料;酒精饮料（啤酒除外）;⻩酒;薄荷酒;果酒（含酒精）</t>
  </si>
  <si>
    <t>胥氏川</t>
  </si>
  <si>
    <t>胥川</t>
  </si>
  <si>
    <t>⽩酒;薄荷酒;苦味酒;葡萄酒;⾷⽤酒精;开胃酒;茴芹酒（利⼝酒）;蒸馏饮料;苹果酒;⻩酒</t>
  </si>
  <si>
    <t>斐然自若</t>
  </si>
  <si>
    <t>烈酒（饮料）;酒精饮料浓缩汁;果酒（含酒精）;酸酒（低等葡萄酒）;⽩兰地;含⽔果酒精饮料;⽶酒;酒精饮料（啤酒除外）;酒精饮料原汁;⽩酒</t>
  </si>
  <si>
    <t>皇明之光</t>
  </si>
  <si>
    <t>⽩兰地;果酒（含酒精）;葡萄酒;酒精饮料（啤酒除外）;⾷⽤酒精;⽩酒;鸡尾酒;伏特加酒;清酒（⽇本⽶酒）;烧酒</t>
  </si>
  <si>
    <t>亚颂府烧坊</t>
  </si>
  <si>
    <t>利⼝酒;鸡尾酒;樱桃酒;汽酒;⽩酒;威⼠忌;葡萄酒;苹果酒;含⽔果酒精饮料;⽩兰地</t>
  </si>
  <si>
    <t>凤合天下</t>
  </si>
  <si>
    <t>陕西国金酒业股份有限公司</t>
  </si>
  <si>
    <t>⻩酒;果酒（含酒精）;蒸馏饮料;开胃酒;含酒精的⽔果鸡尾酒饮料;⽶酒;烧酒;蜂蜜酒;⽩酒;葡萄酒</t>
  </si>
  <si>
    <t>边酕</t>
  </si>
  <si>
    <t>赵宇慧</t>
  </si>
  <si>
    <t>果酒（含酒精）;开胃酒;清酒（⽇本⽶酒）;⽩酒;含⽔果酒精饮料;酒精饮料（啤酒除外）;⽶酒;葡萄酒;烧酒;⻩酒</t>
  </si>
  <si>
    <t>威图易</t>
  </si>
  <si>
    <t>伏特加科技(天津)有限公司</t>
  </si>
  <si>
    <t>烈酒（饮料）;葡萄酒;酒精饮料（啤酒除外）;果酒（含酒精）;⻩酒;伏特加酒;⽩⼲酒（中国⽩酒）;⽩兰地;烧酒;⽩酒</t>
  </si>
  <si>
    <t>方寸花甜</t>
  </si>
  <si>
    <t>漯河聚源美滋食品有限公司</t>
  </si>
  <si>
    <t>葡萄酒;⾼粱酒;果酒（含酒精）;烧酒;烈酒（饮料）;酒精饮料（啤酒除外）;⻩酒;鸡尾酒;⽶酒;⽩酒</t>
  </si>
  <si>
    <t>才不凡</t>
  </si>
  <si>
    <t>田润</t>
  </si>
  <si>
    <t>⾼粱酒;果酒（含酒精）;烧酒;⽶酒;开胃酒;烈酒;葡萄酒;⻩酒;含酒精的充⽓饮料（啤酒除外）;⽩酒</t>
  </si>
  <si>
    <t>百思沃</t>
  </si>
  <si>
    <t>杭州丹奇商贸有限公司</t>
  </si>
  <si>
    <t>汽酒;蒸馏饮料;⽩酒;清酒;烧酒;⽶酒;以葡萄酒为主的饮料;鸡尾酒;葡萄酒;⻩酒;含酒精的饮料（啤酒除外）;红葡萄酒;甜果酒;⽼酒（中国蒸馏烈酒）;果酒（含酒精）</t>
  </si>
  <si>
    <t>丽又春仙</t>
  </si>
  <si>
    <t>含⽔果酒精饮料;烧酒;⽩酒;烈酒（饮料）;⾼粱酒;开胃酒;果酒（含酒精）;⽶酒;⻩酒;⻘梅酒</t>
  </si>
  <si>
    <t>易酒反掌</t>
  </si>
  <si>
    <t>广州嘉德鑫商业有限公司</t>
  </si>
  <si>
    <t>酒精饮料（啤酒除外）;由⾕物蒸馏的⽩酒;鸡尾酒;⽩⼲酒（中国⽩酒）;⽶酒;⽩酒;伏特加酒;葡萄酒;蒸馏饮料;含酒精的⽓泡⽔</t>
  </si>
  <si>
    <t>海口琼山文吉科技工作室（个体工商户）</t>
  </si>
  <si>
    <t>烧酒;鸡尾酒;烈酒（饮料）;清酒（⽇本⽶酒）;果酒（含酒精）;⽩酒;葡萄酒;酒精饮料（啤酒除外）;⻩酒;⽶酒</t>
  </si>
  <si>
    <t>琛左</t>
  </si>
  <si>
    <t>兰州宁声商贸有限公司</t>
  </si>
  <si>
    <t>果酒（含酒精）;烈酒（饮料）;酒精饮料原汁;朗姆酒;烧酒;葡萄酒;酒精饮料（啤酒除外）;⾷⽤酒精;⻩酒;⽶酒</t>
  </si>
  <si>
    <t>由⾕物蒸馏的⽩酒;烧酒;⽼酒（中国蒸馏烈酒）;⽶酒;⾼粱酒;⾷⽤酒精;含⽔果酒精饮料;酒精饮料（啤酒除外）;⽩酒;⽩⼲酒（中国⽩酒）</t>
  </si>
  <si>
    <t>慧诚天下</t>
  </si>
  <si>
    <t>果酒（含酒精）;露酒;蒸馏饮料;烧酒;⽶酒;葡萄酒;⻩酒;⽩酒;⾼粱酒;烈酒</t>
  </si>
  <si>
    <t>云集周清</t>
  </si>
  <si>
    <t>烧酒;⽩酒;果酒（含酒精）;⽢蔗制烈酒;⻩酒;酒精饮料（啤酒除外）;⽶酒;鸡尾酒;烈酒（饮料）;葡萄酒</t>
  </si>
  <si>
    <t>沅石阁</t>
  </si>
  <si>
    <t>由人珠宝（重庆）有限公司</t>
  </si>
  <si>
    <t>⽢蔗制酒精饮料;⻩酒;烧酒;果酒（含酒精）;⾷⽤酒精;酒精饮料（啤酒除外）;⻘稞酒;⽩酒;汽酒;蜂蜜酒</t>
  </si>
  <si>
    <t>BARON RAQUIN</t>
  </si>
  <si>
    <t>法国高级名酒公司</t>
  </si>
  <si>
    <t>酒精饮料（啤酒除外）;餐后酒（利⼝酒和烈酒）;葡萄酒;烈酒（饮料）;开胃酒;果酒（含酒精）;苹果酒;利⼝酒;蒸煮提取物（利⼝酒和烈酒）;酒精饮料原汁</t>
  </si>
  <si>
    <t>指纹星球</t>
  </si>
  <si>
    <t>宿迁自然之吻健康管理有限公司</t>
  </si>
  <si>
    <t>烈酒（饮料）;⽶酒;果酒（含酒精）;蒸馏饮料;⽩酒;⽩兰地;鸡尾酒;含酒精⽔果饮料;⾷⽤酒精;葡萄酒</t>
  </si>
  <si>
    <t>京品流芳</t>
  </si>
  <si>
    <t>陈耀伦</t>
  </si>
  <si>
    <t>果酒（含酒精）;⽩酒;鸡尾酒;⻩酒;开胃酒;威⼠忌;烈酒;葡萄酒;酒精饮料（啤酒除外）;清酒（⽇本⽶酒）</t>
  </si>
  <si>
    <t>杏坞</t>
  </si>
  <si>
    <t>⾼粱酒;薄荷酒;⽶酒;烈酒;⽩酒;蜂蜜酒;⾕物制蒸馏酒精饮料;烧酒;⻩酒;⽼酒（中国蒸馏烈酒）</t>
  </si>
  <si>
    <t>尧水延生蝶王神</t>
  </si>
  <si>
    <t>烈酒;⾷⽤酒精;果酒（含酒精）;蒸馏饮料;葡萄酒;⻩酒;烧酒;⽶酒;酒精饮料（啤酒除外）;⽩酒</t>
  </si>
  <si>
    <t>禄路发</t>
  </si>
  <si>
    <t>果酒（含酒精）;清酒（⽇本⽶酒）;⽩酒;⻩酒;葡萄酒;⽶酒;开胃酒;酒精饮料原汁;⽩兰地;烈酒（饮料）</t>
  </si>
  <si>
    <t>丹之青润子衿</t>
  </si>
  <si>
    <t>酒精饮料原汁;葡萄酒;烧酒;酒精饮料（啤酒除外）;含⽔果酒精饮料;⻩酒;⽶酒;⽩酒;果酒（含酒精）;预先混合的酒精饮料（以啤酒为主的除外）</t>
  </si>
  <si>
    <t>YINSYNE</t>
  </si>
  <si>
    <t>已调味的蒸馏酒;餐后酒（利⼝酒和烈酒）;预先混合的酒精饮料（以啤酒为主的除外）;⾕物制蒸馏酒精饮料;混合威⼠忌酒;蒸馏饮料;含酒精的鸡尾酒混合饮品;烈酒浓缩汁;酒精饮料（啤酒除外）;⻨芽威⼠忌;鸡尾酒;威⼠忌;含⽔果酒精饮料;烈酒（饮料）</t>
  </si>
  <si>
    <t>BOHE ZEILE</t>
  </si>
  <si>
    <t>青岛德林因达生物健康科技有限公司</t>
  </si>
  <si>
    <t>酒精饮料浓缩汁;含⽔果酒精饮料;薄荷酒;果酒（含酒精）;⾷⽤酒精;蒸馏饮料;蒸煮提取物（利⼝酒和烈酒）;⽩酒;⽩兰地;汽酒</t>
  </si>
  <si>
    <t>⾕物制蒸馏酒精饮料;酒精饮料（啤酒除外）;清酒;⽩酒;⽶酒;⽩兰地;蒸煮提取物（利⼝酒和烈酒）;果酒（含酒精）;⾷⽤酒精;葡萄酒</t>
  </si>
  <si>
    <t>蔓福</t>
  </si>
  <si>
    <t>婺家女</t>
  </si>
  <si>
    <t>葡萄酒;烧酒;⻩酒;鸡尾酒;烈酒（饮料）;威⼠忌;果酒（含酒精）;⽶酒;酒精饮料（啤酒除外）;⽩酒</t>
  </si>
  <si>
    <t>金玉灿</t>
  </si>
  <si>
    <t>马海山</t>
  </si>
  <si>
    <t>威⼠忌;⽩酒;烧酒;⻩酒;⽶酒;蒸馏饮料;鸡尾酒;葡萄酒;⽩兰地;果酒（含酒精）</t>
  </si>
  <si>
    <t>畅诉</t>
  </si>
  <si>
    <t>陆长杰</t>
  </si>
  <si>
    <t>果酒（含酒精）;清酒（⽇本⽶酒）;酒精饮料（啤酒除外）;⻩酒;⽩酒;葡萄酒;威⼠忌;开胃酒;烈酒;鸡尾酒</t>
  </si>
  <si>
    <t>自若璀璨</t>
  </si>
  <si>
    <t>酸酒（低等葡萄酒）;酒精饮料原汁;含⽔果酒精饮料;⽩兰地;⽶酒;⽩酒;酒精饮料（啤酒除外）;烈酒（饮料）;酒精饮料浓缩汁;果酒（含酒精）</t>
  </si>
  <si>
    <t>京樽牧 JINZUNMU</t>
  </si>
  <si>
    <t>曾修贵</t>
  </si>
  <si>
    <t>烈酒（饮料）;⽩酒;⽩⼲酒（中国⽩酒）;烧酒;梨酒;葡萄酒;含⽔果酒精饮料;⽶酒;苹果酒;果酒（含酒精）</t>
  </si>
  <si>
    <t>蓝柒公</t>
  </si>
  <si>
    <t>谷会勇</t>
  </si>
  <si>
    <t>汽酒;⻘稞酒;⻩酒;⾷⽤酒精;朝鲜族⽶酒;伏特加酒;烧酒;⾕物制蒸馏酒精饮料;以葡萄酒为主的饮料;⽩酒</t>
  </si>
  <si>
    <t>潭县令</t>
  </si>
  <si>
    <t>葡萄酒;烈酒;果酒（含酒精）;威⼠忌;茴⾹酒;⽶酒;⽩酒;清酒（⽇本⽶酒）;鸡尾酒;⻩酒</t>
  </si>
  <si>
    <t>稚酉</t>
  </si>
  <si>
    <t>⽩兰地;威⼠忌;⻘稞酒;烧酒;⽩酒;烈酒;⻩酒;鸡尾酒;葡萄酒;⽶酒</t>
  </si>
  <si>
    <t>碰心</t>
  </si>
  <si>
    <t>由⾕物蒸馏的⽩酒;鸡尾酒;酒精饮料（啤酒除外）;伏特加酒;蒸馏饮料;⽩⼲酒（中国⽩酒）;含酒精的⽓泡⽔;⽩酒;葡萄酒;⽶酒</t>
  </si>
  <si>
    <t>半醉恋人</t>
  </si>
  <si>
    <t>王和吉</t>
  </si>
  <si>
    <t>果酒（含酒精）;蒸馏饮料;⽶酒;酒精饮料（啤酒除外）;酒精饮料浓缩汁;葡萄酒;⽩酒;清酒（⽇本⽶酒）;⻩酒;酒精饮料原汁</t>
  </si>
  <si>
    <t>中胄</t>
  </si>
  <si>
    <t>陈春芳</t>
  </si>
  <si>
    <t>朗姆酒;葡萄酒;⾼梁酒;⽩酒;开胃酒;⽩兰地;果酒（含酒精）;⽼酒（中国蒸馏烈酒）;烧酒;酒精饮料（啤酒除外）;伏特加酒;⻩酒;酒精饮料原汁;威⼠忌;⽶酒</t>
  </si>
  <si>
    <t>附近的远方</t>
  </si>
  <si>
    <t>⽩酒;果酒（含酒精）;鸡尾酒;烈酒（饮料）;⽢蔗制烈酒;⽶酒;烧酒;酒精饮料（啤酒除外）;葡萄酒;⻩酒</t>
  </si>
  <si>
    <t>乾州乾玉</t>
  </si>
  <si>
    <t>果酒（含酒精）;⻩酒;薄荷酒;蒸馏饮料;酒精饮料（啤酒除外）;⽩酒;含⽔果酒精饮料;开胃酒;威⼠忌;葡萄酒</t>
  </si>
  <si>
    <t>振徽</t>
  </si>
  <si>
    <t>吴中经济开发区城南振徽酒业商行</t>
  </si>
  <si>
    <t>⻩酒;利⼝酒;烧酒;酒精饮料（啤酒除外）;葡萄酒;红葡萄酒;⽩酒;烈酒（饮料）;果酒（含酒精）;预先混合的酒精饮料（以啤酒为主的除外）</t>
  </si>
  <si>
    <t>2024/06/07</t>
  </si>
  <si>
    <t>五粮千般悦</t>
  </si>
  <si>
    <t>四川康之源饮水设备科技有限公司</t>
  </si>
  <si>
    <t>⽶酒;果酒（含酒精）;伏特加酒;开胃酒;朗姆酒;烧酒（烈酒）;⻩酒;威⼠忌;⽩酒;烧酒</t>
  </si>
  <si>
    <t>遂安逸</t>
  </si>
  <si>
    <t>四川川东巨邑企业管理有限公司</t>
  </si>
  <si>
    <t>苹果酒;葡萄酒;⾕物制蒸馏酒精饮料;威⼠忌;⻩酒;鸡尾酒;⽩酒;酒精饮料（啤酒除外）;含⽔果酒精饮料;⽩兰地</t>
  </si>
  <si>
    <t>望乡岛</t>
  </si>
  <si>
    <t>黄维安</t>
  </si>
  <si>
    <t>⻩酒;⽶酒;烧酒;⽩酒;以葡萄酒为主的饮料;⾕物制蒸馏酒精饮料;开胃酒;烈酒（饮料）;蜂蜜酒;果酒（含酒精）</t>
  </si>
  <si>
    <t>蜀崇庆</t>
  </si>
  <si>
    <t>四川增元品牌管理有限责任公司</t>
  </si>
  <si>
    <t>果酒（含酒精）;⾷⽤酒精;烈酒（饮料）;⽩⼲酒（中国⽩酒）;⽼酒（中国蒸馏烈酒）;蒸馏饮料;⽶酒;⽩酒;酒精饮料（啤酒除外）;烧酒</t>
  </si>
  <si>
    <t>奇特熊</t>
  </si>
  <si>
    <t>刘怡楠</t>
  </si>
  <si>
    <t>果酒;⽩酒;烈性⼲酒;鸡尾酒;⻩酒;⽶酒;葡萄酒;伏特加酒;⾼粱酒;威⼠忌</t>
  </si>
  <si>
    <t>崇庆知府</t>
  </si>
  <si>
    <t>蒸馏饮料;酒精饮料（啤酒除外）;⾷⽤酒精;⽼酒（中国蒸馏烈酒）;烧酒;果酒（含酒精）;⽶酒;⽩酒;⽩⼲酒（中国⽩酒）;烈酒（饮料）</t>
  </si>
  <si>
    <t>冰王壹兀</t>
  </si>
  <si>
    <t>王虹</t>
  </si>
  <si>
    <t>果酒（含酒精）;酒精饮料原汁;以蒸馏酒为主的开胃酒;蒸馏饮料;⽶酒;葡萄酒;含⽔果酒精饮料;预先混合的酒精饮料（以啤酒为主的除外）;⽩酒;⾕物制蒸馏酒精饮料</t>
  </si>
  <si>
    <t>康飞乐</t>
  </si>
  <si>
    <t>刘金华</t>
  </si>
  <si>
    <t>果酒（含酒精）;⽩兰地;预先混合的酒精饮料（以啤酒为主的除外）;鸡尾酒;含⽔果酒精饮料;⽩酒;含酒精的充⽓饮料（啤酒除外）;葡萄酒;威⼠忌;酒精饮料（啤酒除外）</t>
  </si>
  <si>
    <t>WHATELEPHANT</t>
  </si>
  <si>
    <t>成玉合（上海）文化创意有限公司</t>
  </si>
  <si>
    <t>酒精饮料（啤酒除外）;伏特加酒;烧酒;威⼠忌;朗姆酒;鸡尾酒;⽩酒;果酒（含酒精）;葡萄酒;薄荷酒</t>
  </si>
  <si>
    <t>鸿钻</t>
  </si>
  <si>
    <t>徐州传品酒业有限公司</t>
  </si>
  <si>
    <t>⻘稞酒;开胃酒;烧酒;葡萄酒;利⼝酒;⽩酒;⽶酒;清酒（⽇本⽶酒）;⻩酒;梨酒</t>
  </si>
  <si>
    <t>词粹</t>
  </si>
  <si>
    <t>苦味酒;酒精饮料（啤酒除外）;苹果酒;烧酒;⽩酒;果酒（含酒精）;⻩酒;⽼酒（中国蒸馏烈酒）;⽶酒;清酒</t>
  </si>
  <si>
    <t>醉花赋</t>
  </si>
  <si>
    <t>张奕君</t>
  </si>
  <si>
    <t>果酒（含酒精）;葡萄酒;清酒（⽇本⽶酒）;酒精饮料（啤酒除外）;烧酒;⻩酒;⽩酒;鸡尾酒;烈酒（饮料）;⽶酒</t>
  </si>
  <si>
    <t>碧香楼台</t>
  </si>
  <si>
    <t>吕东</t>
  </si>
  <si>
    <t>果酒;葡萄酒;鸡尾酒;⾼粱酒;蒸馏饮料;烧酒;⽶酒;⻩酒;清酒;⽩酒</t>
  </si>
  <si>
    <t>云西有洱</t>
  </si>
  <si>
    <t>南通喜善运力物流有限公司</t>
  </si>
  <si>
    <t>果酒（含酒精）;酒精饮料（啤酒除外）;⽶酒;烧酒;⻩酒;⾼粱酒;果酒;⽩兰地;含⽔果酒精饮料;清酒</t>
  </si>
  <si>
    <t>轻赛洗</t>
  </si>
  <si>
    <t>天津宝隆包装技术开发有限公司</t>
  </si>
  <si>
    <t>蒸馏饮料;⽶酒;烧酒;葡萄酒;⽢蔗制酒精饮料;酒精饮料原汁;⻘稞酒;含⽔果酒精饮料;苹果酒;果酒（含酒精）</t>
  </si>
  <si>
    <t>晋宴酒坊</t>
  </si>
  <si>
    <t>曾雷</t>
  </si>
  <si>
    <t>葡萄酒;⾕物制蒸馏酒精饮料;威⼠忌;⽶酒;⻩酒;⽩兰地;清酒（⽇本⽶酒）;⾷⽤酒精;酒精饮料（啤酒除外）;⽩酒</t>
  </si>
  <si>
    <t>盛和挚</t>
  </si>
  <si>
    <t>陈冲</t>
  </si>
  <si>
    <t>杨梅酒;⽩兰地;⾼粱酒;清酒（⽇本⽶酒）;葡萄酒;果酒;⻩酒;⽩⼲酒（中国⽩酒）;⽩酒;⻘梅酒</t>
  </si>
  <si>
    <t>崇庆泉</t>
  </si>
  <si>
    <t>果酒（含酒精）;蒸馏饮料;⽶酒;⽩⼲酒（中国⽩酒）;酒精饮料（啤酒除外）;烧酒;⾷⽤酒精;⽩酒;烈酒（饮料）;⽼酒（中国蒸馏烈酒）</t>
  </si>
  <si>
    <t>宗士</t>
  </si>
  <si>
    <t>耿彬朋</t>
  </si>
  <si>
    <t>⻩酒;⽩酒;清酒（⽇本⽶酒）;果酒（含酒精）;烧酒;烈酒（饮料）;蜂蜜酒;威⼠忌;⽶酒;葡萄酒</t>
  </si>
  <si>
    <t>问千道</t>
  </si>
  <si>
    <t>⽶酒;威⼠忌;烈酒（饮料）;⽩酒;⻩酒;烧酒;清酒（⽇本⽶酒）;果酒（含酒精）;蜂蜜酒;葡萄酒</t>
  </si>
  <si>
    <t>贡韬</t>
  </si>
  <si>
    <t>赵玲</t>
  </si>
  <si>
    <t>开胃酒;烈酒（饮料）;鸡尾酒;蜂蜜酒;⻩酒;⽩酒;⻘稞酒;清酒（⽇本⽶酒）;威⼠忌;烧酒</t>
  </si>
  <si>
    <t>粹品秦</t>
  </si>
  <si>
    <t>黄新</t>
  </si>
  <si>
    <t>烧酒;果酒（含酒精）;鸡尾酒;利⼝酒;⽩酒;⽩兰地;薄荷酒;葡萄酒;⽶酒;开胃酒</t>
  </si>
  <si>
    <t>楠博士酒库</t>
  </si>
  <si>
    <t>庄宏亮</t>
  </si>
  <si>
    <t>⽩兰地;葡萄酒;威⼠忌;⻩酒;鸡尾酒;樱桃酒;烈酒（饮料）;餐后酒（利⼝酒和烈酒）;⽶酒;⽩酒</t>
  </si>
  <si>
    <t>浔春归</t>
  </si>
  <si>
    <t>赵军</t>
  </si>
  <si>
    <t>开胃酒;烈酒（饮料）;威⼠忌;⻘稞酒;⽩酒;鸡尾酒;蜂蜜酒;清酒（⽇本⽶酒）;烧酒;⻩酒</t>
  </si>
  <si>
    <t>逸粮仙</t>
  </si>
  <si>
    <t>陈淼清</t>
  </si>
  <si>
    <t>烈酒（饮料）;威⼠忌;鸡尾酒;清酒（⽇本⽶酒）;⻘稞酒;⽩酒;⻩酒;开胃酒;烧酒;蜂蜜酒</t>
  </si>
  <si>
    <t>卫手旗</t>
  </si>
  <si>
    <t>北京新风旗帜文化传播中心</t>
  </si>
  <si>
    <t>果酒（含酒精）;烈酒（饮料）;⻩酒;葡萄酒;威⼠忌;鸡尾酒;⽶酒;清酒（⽇本⽶酒）;⽩兰地;⽩酒</t>
  </si>
  <si>
    <t>食乃福</t>
  </si>
  <si>
    <t>漳州食乃福进出口贸易有限公司</t>
  </si>
  <si>
    <t>佐餐酒;⽩酒;⽶酒;⾼粱酒;⽩兰地;烧酒;葡萄酒;⻩酒;开胃酒;⽔果汽酒</t>
  </si>
  <si>
    <t>I DUANG XIA</t>
  </si>
  <si>
    <t>上海佳禾晟网络科技有限公司</t>
  </si>
  <si>
    <t>⽩酒;以葡萄酒为主的开胃酒;⽩兰地;威⼠忌;果酒（含酒精）;鸡尾酒;⽶酒;果酒;酒精饮料（啤酒除外）;葡萄酒</t>
  </si>
  <si>
    <t>孝善云门礼</t>
  </si>
  <si>
    <t>乳源瑶族自治县云卓农旅有限责任公司</t>
  </si>
  <si>
    <t>五加⽪酒（中国混合烈酒）;烧酒;蒸煮提取物（利⼝酒和烈酒）;⽶酒;⻩酒;开胃酒;蒸馏饮料;葡萄酒;⽩酒;果酒（含酒精）</t>
  </si>
  <si>
    <t>曦刻</t>
  </si>
  <si>
    <t>东莞市施乐富贸易有限公司</t>
  </si>
  <si>
    <t>果酒（含酒精）;⽩⼲酒（中国⽩酒）;⽼酒（中国蒸馏烈酒）;蒸馏⽶酒（泡盛酒）;⾷⽤酒精;⻩酒;⽩酒;以蒸馏酒为主的开胃酒;葡萄酒;烧酒（烈酒）</t>
  </si>
  <si>
    <t>章太说</t>
  </si>
  <si>
    <t>湖南佰令清生态茶叶有限公司</t>
  </si>
  <si>
    <t>葡萄酒;酒精饮料原汁;含⽔果酒精饮料;烈酒（饮料）;蜂蜜酒;威⼠忌;果酒（含酒精）;蒸馏饮料;苹果酒;⽩兰地</t>
  </si>
  <si>
    <t>豫八佰会盟</t>
  </si>
  <si>
    <t>河南豫窖酒业有限责任公司</t>
  </si>
  <si>
    <t>果酒（含酒精）;清酒（⽇本⽶酒）;⻩酒;⽩酒;烈酒（饮料）;鸡尾酒;葡萄酒;酒精饮料（啤酒除外）;烧酒;⽶酒</t>
  </si>
  <si>
    <t>仰义</t>
  </si>
  <si>
    <t>⽩酒;⽶酒;⻩酒;葡萄酒;⾼粱酒;果酒;烧酒;鸡尾酒;清酒;蒸馏饮料</t>
  </si>
  <si>
    <t>有范先生</t>
  </si>
  <si>
    <t>中饭（漳州）食品有限公司</t>
  </si>
  <si>
    <t>⽶酒;伏特加酒;⽩酒;⻩酒;威⼠忌;⽩兰地;葡萄酒;鸡尾酒;清酒;果酒</t>
  </si>
  <si>
    <t>历玛瓦迪</t>
  </si>
  <si>
    <t>厦门聚酒网商贸有限公司</t>
  </si>
  <si>
    <t>朗姆酒;葡萄酒;⽩兰地;蒸馏饮料;威⼠忌;酒精饮料（啤酒除外）;⽩酒;伏特加酒;烈酒;果酒（含酒精）</t>
  </si>
  <si>
    <t>幸福小乔</t>
  </si>
  <si>
    <t>四川省佳冠酒业有限公司</t>
  </si>
  <si>
    <t>⻩酒;烈酒;烧酒;⻘稞酒;蒸煮提取物（利⼝酒和烈酒）;开胃酒;果酒（含酒精）;⽩酒;葡萄酒;含⽔果酒精饮料</t>
  </si>
  <si>
    <t>崇庆知州</t>
  </si>
  <si>
    <t>⽶酒;烈酒（饮料）;⾷⽤酒精;⽼酒（中国蒸馏烈酒）;⽩⼲酒（中国⽩酒）;果酒（含酒精）;酒精饮料（啤酒除外）;⽩酒;蒸馏饮料;烧酒</t>
  </si>
  <si>
    <t>百凤谣</t>
  </si>
  <si>
    <t>⽩酒;⻩酒;开胃酒;烈酒（饮料）;威⼠忌;蜂蜜酒;烧酒;⻘稞酒;鸡尾酒;清酒（⽇本⽶酒）</t>
  </si>
  <si>
    <t>江合欢</t>
  </si>
  <si>
    <t>⻩酒;烈酒（饮料）;鸡尾酒;烧酒;⽩酒;⻘稞酒;开胃酒;清酒（⽇本⽶酒）;蜂蜜酒;威⼠忌</t>
  </si>
  <si>
    <t>梁优沁</t>
  </si>
  <si>
    <t>肖慧</t>
  </si>
  <si>
    <t>⻩酒;开胃酒;烈酒（饮料）;⽩酒;鸡尾酒;朗姆酒;果酒（含酒精）;酒精饮料（啤酒除外）;葡萄酒;威⼠忌</t>
  </si>
  <si>
    <t>苗富贵</t>
  </si>
  <si>
    <t>吉林省稻苗青餐饮管理有限公司</t>
  </si>
  <si>
    <t>葡萄酒;⽶酒;含酒精的⽓泡⽔;⽩酒;鸡尾酒;苹果酒;酒精饮料原汁;⾷⽤酒精;烧酒;⻩酒</t>
  </si>
  <si>
    <t>经楼贡</t>
  </si>
  <si>
    <t>黄文</t>
  </si>
  <si>
    <t>时光华尔兹</t>
  </si>
  <si>
    <t>⽶酒;⽩酒;烈酒（饮料）;⽩兰地;伏特加酒;酒精饮料（啤酒除外）;⻩酒;葡萄酒;清酒（⽇本⽶酒）;威⼠忌</t>
  </si>
  <si>
    <t>滇归堂</t>
  </si>
  <si>
    <t>陈金明</t>
  </si>
  <si>
    <t>由⾕物蒸馏的⽩酒;⾼粱酒;烈酒（饮料）;烧酒;⽼酒（中国蒸馏烈酒）;⽩⼲酒（中国⽩酒）;⽩酒;⽶酒;果酒（含酒精）;⾕物制蒸馏酒精饮料</t>
  </si>
  <si>
    <t>贡春临</t>
  </si>
  <si>
    <t>开胃酒;鸡尾酒;⻘稞酒;⻩酒;烧酒;⽩酒;清酒（⽇本⽶酒）;威⼠忌;蜂蜜酒;烈酒（饮料）</t>
  </si>
  <si>
    <t>竹力园</t>
  </si>
  <si>
    <t>清酒（⽇本⽶酒）;蜂蜜酒;烧酒;烈酒（饮料）;威⼠忌;⽩酒;⻘稞酒;⻩酒;开胃酒;鸡尾酒</t>
  </si>
  <si>
    <t>饍格格</t>
  </si>
  <si>
    <t>单东萍</t>
  </si>
  <si>
    <t>⽶酒;⽩酒;酒精饮料（啤酒除外）;葡萄酒;威⼠忌;烧酒;果酒（含酒精）;鸡尾酒;烈酒（饮料）;蒸馏饮料</t>
  </si>
  <si>
    <t>怀恒</t>
  </si>
  <si>
    <t>陈茂军</t>
  </si>
  <si>
    <t>⽩兰地;⽩酒;⻩酒;果酒（含酒精）;汽酒;葡萄酒;清酒（⽇本⽶酒）;伏特加酒;烈酒（饮料）;酒精饮料（啤酒除外）</t>
  </si>
  <si>
    <t>独钓江雪</t>
  </si>
  <si>
    <t>泸州酒博士电子商务有限公司</t>
  </si>
  <si>
    <t>⾕物制蒸馏酒精饮料;⽩酒;蒸馏饮料;⽶酒;烈酒（饮料）;餐后酒（利⼝酒和烈酒）;果酒（含酒精）;露酒;葡萄酒;苹果酒</t>
  </si>
  <si>
    <t>蓑衣荷笠</t>
  </si>
  <si>
    <t>露酒;⽶酒;葡萄酒;⽩酒;烈酒（饮料）;果酒（含酒精）;餐后酒（利⼝酒和烈酒）;⾕物制蒸馏酒精饮料;苹果酒;蒸馏饮料</t>
  </si>
  <si>
    <t>爵庄皇</t>
  </si>
  <si>
    <t>季秀明</t>
  </si>
  <si>
    <t>⽩兰地;伏特加酒;利⼝酒;朗姆酒;葡萄酒;果酒（含酒精）;酒精饮料（啤酒除外）;含⽔果酒精饮料;鸡尾酒;威⼠忌</t>
  </si>
  <si>
    <t>竹香丰</t>
  </si>
  <si>
    <t>青岛泉钦岚饮品有限公司</t>
  </si>
  <si>
    <t>⾕物制蒸馏酒精饮料;烧酒;由⾕物蒸馏的⽩酒;⽶酒;⻩酒;⽩酒;⽩⼲酒（中国⽩酒）;⽼酒（中国蒸馏烈酒）;酒精饮料（啤酒除外）;蒸馏饮料</t>
  </si>
  <si>
    <t>八佰会盟</t>
  </si>
  <si>
    <t>⽩酒;葡萄酒;烈酒（饮料）;清酒（⽇本⽶酒）;酒精饮料（啤酒除外）;⽶酒;鸡尾酒;⻩酒;果酒（含酒精）;烧酒</t>
  </si>
  <si>
    <t>巴尉</t>
  </si>
  <si>
    <t>唐玉梅</t>
  </si>
  <si>
    <t>开胃酒;鸡尾酒;果酒（含酒精）;烈酒（饮料）;酒精饮料（啤酒除外）;利⼝酒;烧酒;餐后酒（利⼝酒和烈酒）;葡萄酒;⽩酒</t>
  </si>
  <si>
    <t>活力宠</t>
  </si>
  <si>
    <t>北京活力宠生物技术有限公司</t>
  </si>
  <si>
    <t>蒸馏饮料;蜂蜜酒;酒精饮料浓缩汁;苹果酒;酒精饮料原汁;含⽔果酒精饮料;开胃酒;酒精饮料（啤酒除外）;预先混合的酒精饮料（以啤酒为主的除外）;葡萄酒</t>
  </si>
  <si>
    <t>东麓基石</t>
  </si>
  <si>
    <t>宁夏睿见不凡商贸有限公司</t>
  </si>
  <si>
    <t>果酒（含酒精）;⻩酒;烈酒;葡萄酒;⽩酒;烧酒;⻘稞酒;葡萄汽酒;清酒（⽇本⽶酒）;⽶酒</t>
  </si>
  <si>
    <t>六曦</t>
  </si>
  <si>
    <t>李博</t>
  </si>
  <si>
    <t>酒精饮料（啤酒除外）;葡萄酒;果酒（含酒精）;烈酒（饮料）;⽶酒;烧酒;威⼠忌;鸡尾酒;⽩兰地;⽩酒</t>
  </si>
  <si>
    <t>EXTROVERSION INTROVERSION</t>
  </si>
  <si>
    <t>叶长青</t>
  </si>
  <si>
    <t>汽酒;⻩酒;烧酒;⻘稞酒;⽶酒;鸡尾酒;⽩酒;薄荷酒;葡萄酒;果酒（含酒精）</t>
  </si>
  <si>
    <t>祁中匠</t>
  </si>
  <si>
    <t>⻘稞酒;蜂蜜酒;⻩酒;烈酒（饮料）;⽩酒;鸡尾酒;清酒（⽇本⽶酒）;开胃酒;威⼠忌;烧酒</t>
  </si>
  <si>
    <t>觅红颜</t>
  </si>
  <si>
    <t>⽩兰地;威⼠忌;伏特加酒;果酒（含酒精）;葡萄酒;烧酒;⻩酒;⽩酒;鸡尾酒;⽶酒</t>
  </si>
  <si>
    <t>羽荣红</t>
  </si>
  <si>
    <t>云南荣光品牌设计有限公司</t>
  </si>
  <si>
    <t>以葡萄酒为主的饮料;烈酒;威⼠忌;鸡尾酒;⽶酒;葡萄酒;烧酒;⽩酒;蒸馏饮料;⻩酒</t>
  </si>
  <si>
    <t>顺大利</t>
  </si>
  <si>
    <t>⽶酒;酒精饮料（啤酒除外）;露酒;⽩葡萄酒;果酒;威⼠忌;⽩酒;⻘梅酒;⽩兰地;葡萄酒</t>
  </si>
  <si>
    <t>吉润泽</t>
  </si>
  <si>
    <t>孟泽</t>
  </si>
  <si>
    <t>葡萄酒;含⽔果酒精饮料;开胃酒;⽩酒;果酒（含酒精）;⽶酒;蜂蜜酒;烧酒;⻩酒;酒精饮料（啤酒除外）</t>
  </si>
  <si>
    <t>食端</t>
  </si>
  <si>
    <t>南通颐生酒业有限公司</t>
  </si>
  <si>
    <t>酒精饮料（啤酒除外）;⽶酒;蒸馏饮料;烧酒;开胃酒;⽩酒;葡萄酒;果酒（含酒精）;⻩酒;清酒（⽇本⽶酒）</t>
  </si>
  <si>
    <t>飨润</t>
  </si>
  <si>
    <t>黑龙江飨润生物科技有限公司</t>
  </si>
  <si>
    <t>烈酒（饮料）;酒精饮料浓缩汁;汽酒;含酒精的鸡尾酒混合饮品;预先混合的酒精饮料（以啤酒为主的除外）;蜂蜜酒;酒精饮料原汁;开胃酒;蒸馏饮料;利⼝酒</t>
  </si>
  <si>
    <t>科家</t>
  </si>
  <si>
    <t>王宁610114********2545</t>
  </si>
  <si>
    <t>含⽔果酒精饮料;果酒（含酒精）;酒精饮料浓缩汁;⻩酒;酒精饮料（啤酒除外）;利⼝酒;清酒（⽇本⽶酒）;⽩酒;葡萄酒;烈酒（饮料）</t>
  </si>
  <si>
    <t>崇庆状元</t>
  </si>
  <si>
    <t>酒精饮料（啤酒除外）;⽶酒;⾷⽤酒精;果酒（含酒精）;烧酒;⽼酒（中国蒸馏烈酒）;蒸馏饮料;⽩酒;⽩⼲酒（中国⽩酒）;烈酒（饮料）</t>
  </si>
  <si>
    <t>富祥康</t>
  </si>
  <si>
    <t>曹宗嫦</t>
  </si>
  <si>
    <t>酒精饮料（啤酒除外）;⽶酒;⽩酒;烧酒;⾕物制蒸馏酒精饮料;汽酒;烈酒（饮料）;葡萄酒;⽩兰地;果酒（含酒精）</t>
  </si>
  <si>
    <t>御兰驰</t>
  </si>
  <si>
    <t>刘玉涛</t>
  </si>
  <si>
    <t>果酒（含酒精）;酒精饮料（啤酒除外）;汽酒;⽩酒;⻘稞酒;⻩酒;⾷⽤酒精;烈酒（饮料）;烧酒;⽶酒</t>
  </si>
  <si>
    <t>述粮翁</t>
  </si>
  <si>
    <t>于婷婷</t>
  </si>
  <si>
    <t>果酒（含酒精）;鸡尾酒;清酒（⽇本⽶酒）;开胃酒;烈酒;威⼠忌;酒精饮料（啤酒除外）;⻩酒;⽩酒;葡萄酒</t>
  </si>
  <si>
    <t>翁耀</t>
  </si>
  <si>
    <t>⽩酒;⽶酒;烧酒;⽩兰地;酒精饮料原汁;威⼠忌;果酒（含酒精）;葡萄酒;伏特加酒;鸡尾酒</t>
  </si>
  <si>
    <t>贵千朝</t>
  </si>
  <si>
    <t>清酒（⽇本⽶酒）;葡萄酒;⽩酒;开胃酒;果酒（含酒精）;⻩酒;烈酒;酒精饮料（啤酒除外）;鸡尾酒;威⼠忌</t>
  </si>
  <si>
    <t>世二十</t>
  </si>
  <si>
    <t>⽶酒;酒精饮料（啤酒除外）;烧酒;烈酒（饮料）;⻩酒;⽩酒;鸡尾酒;果酒（含酒精）;葡萄酒;⽢蔗制烈酒</t>
  </si>
  <si>
    <t>LONGNAC</t>
  </si>
  <si>
    <t>青岛酒知道国际贸易有限公司</t>
  </si>
  <si>
    <t>葡萄酒;⽩酒;⽩兰地;果酒;酒精饮料（啤酒除外）;威⼠忌;甜酒;利⼝酒;含酒精的⽔果鸡尾酒饮料;烈酒</t>
  </si>
  <si>
    <t>高忠良</t>
  </si>
  <si>
    <t>酒精饮料（啤酒除外）;⻩酒;⽩酒;清酒;⾷⽤酒精;葡萄酒;以葡萄酒为主的饮料;红葡萄酒;果酒（含酒精）;⽩⼲酒（中国⽩酒）</t>
  </si>
  <si>
    <t>晋宴酒业</t>
  </si>
  <si>
    <t>葡萄酒;酒精饮料（啤酒除外）;⽩兰地;威⼠忌;⽩酒;⽶酒;⾕物制蒸馏酒精饮料;⻩酒;⾷⽤酒精;清酒（⽇本⽶酒）</t>
  </si>
  <si>
    <t>安徽霍山县蓝杉斛生物科技有限公司</t>
  </si>
  <si>
    <t>⽩兰地;⽩酒;蒸馏饮料;清酒（⽇本⽶酒）;果酒（含酒精）;葡萄酒;⽶酒;⻩酒;预先混合的酒精饮料（以啤酒为主的除外）;酒精饮料（啤酒除外）</t>
  </si>
  <si>
    <t>崖边渡</t>
  </si>
  <si>
    <t>成都青青旭阳商贸有限公司</t>
  </si>
  <si>
    <t>清酒（⽇本⽶酒）;⽩酒;⽶酒;烈酒（饮料）;汽酒;蒸馏饮料;葡萄酒;⻩酒;果酒（含酒精）;烧酒</t>
  </si>
  <si>
    <t>一观珀</t>
  </si>
  <si>
    <t>湖北万宙投资有限公司</t>
  </si>
  <si>
    <t>葡萄酒;威⼠忌;鸡尾酒;⽩兰地;⽶酒;⽩酒;⻘稞酒;酒精饮料原汁;含⽔果酒精饮料;果酒（含酒精）</t>
  </si>
  <si>
    <t>TAN XIAO SHAO JIU</t>
  </si>
  <si>
    <t>德惠市久久盈门酿酒厂</t>
  </si>
  <si>
    <t>⾕物制蒸馏酒精饮料;朝鲜族⽶酒;⻘稞酒;含⽔果酒精饮料;⽩酒;酒精饮料原汁;⽶酒;预先混合的酒精饮料（以啤酒为主的除外）;烧酒;果酒（含酒精）</t>
  </si>
  <si>
    <t>乍晴秋</t>
  </si>
  <si>
    <t>周克文</t>
  </si>
  <si>
    <t>甜酒;⽶酒;⽩酒;⻘稞酒;⻩酒;红葡萄酒;含⽔果酒精饮料;甜果酒;⾼粱酒;⽩葡萄酒</t>
  </si>
  <si>
    <t>敬微堂</t>
  </si>
  <si>
    <t>山东敬微堂药业集团有限公司</t>
  </si>
  <si>
    <t>⽩酒;含⽔果酒精饮料;预先混合的酒精饮料（以啤酒为主的除外）;果酒（含酒精）;清酒;葡萄酒;⽶酒;酒精饮料（啤酒除外）;烧酒;⻩酒</t>
  </si>
  <si>
    <t>日印良品</t>
  </si>
  <si>
    <t>张珍珍</t>
  </si>
  <si>
    <t>⽶酒;果酒（含酒精）;开胃酒;葡萄酒;酒精饮料（啤酒除外）;烧酒;鸡尾酒;⽩酒;⻘稞酒;⻩酒</t>
  </si>
  <si>
    <t>伊星王</t>
  </si>
  <si>
    <t>新疆古域酿造有限责任公司</t>
  </si>
  <si>
    <t>开胃酒;葡萄酒;酒精饮料原汁;⻘稞酒;烧酒;蒸煮提取物（利⼝酒和烈酒）;果酒（含酒精）;酒精饮料（啤酒除外）;⻩酒;⽶酒</t>
  </si>
  <si>
    <t>君逑</t>
  </si>
  <si>
    <t>⽩酒;葡萄酒;果酒（含酒精）;蒸馏饮料;⽶酒;烧酒;酒精饮料（啤酒除外）;⻩酒;开胃酒;清酒（⽇本⽶酒）</t>
  </si>
  <si>
    <t>富祥康台</t>
  </si>
  <si>
    <t>汽酒;⽩酒;烧酒;果酒（含酒精）;⾕物制蒸馏酒精饮料;烈酒（饮料）;葡萄酒;⽩兰地;⽶酒;酒精饮料（啤酒除外）</t>
  </si>
  <si>
    <t>崇庆醇</t>
  </si>
  <si>
    <t>⽩⼲酒（中国⽩酒）;果酒（含酒精）;蒸馏饮料;酒精饮料（啤酒除外）;烧酒;⽼酒（中国蒸馏烈酒）;⾷⽤酒精;⽩酒;烈酒（饮料）;⽶酒</t>
  </si>
  <si>
    <t>帝比马克</t>
  </si>
  <si>
    <t>帝比马克(广州)科技设备有限公司</t>
  </si>
  <si>
    <t>葡萄酒;果酒（含酒精）;开胃酒;⻩酒;威⼠忌;酒精饮料（啤酒除外）;⽩酒;烈酒（饮料）;朗姆酒;鸡尾酒</t>
  </si>
  <si>
    <t>队得</t>
  </si>
  <si>
    <t>大连心乐信息技术有限公司</t>
  </si>
  <si>
    <t>⽶酒;苹果酒;鸡尾酒;果酒（含酒精）;⽩酒;清酒（⽇本⽶酒）;酒精饮料（啤酒除外）;⾕物制蒸馏酒精饮料;⻩酒;葡萄酒</t>
  </si>
  <si>
    <t>姚圆</t>
  </si>
  <si>
    <t>杭州安奔实业有限公司</t>
  </si>
  <si>
    <t>⽶酒;清酒（⽇本⽶酒）;酒精饮料（啤酒除外）;⽩酒;⻩酒;烧酒;果酒（含酒精）;蒸馏饮料;葡萄酒;威⼠忌</t>
  </si>
  <si>
    <t>珺悦茂</t>
  </si>
  <si>
    <t>鑫珺企业管理（苏州）有限公司</t>
  </si>
  <si>
    <t>利⼝酒;⽩酒;含⽔果酒精饮料;⽶酒;清酒（⽇本⽶酒）;酒精饮料（啤酒除外）;葡萄酒;⾷⽤酒精;⽩兰地;酒精饮料浓缩汁</t>
  </si>
  <si>
    <t>崇庆迎宾</t>
  </si>
  <si>
    <t>忆满疆</t>
  </si>
  <si>
    <t>⽩酒;葡萄酒;⽶酒;果酒（含酒精）;蜂蜜酒;威⼠忌;烈酒（饮料）;⻩酒;清酒（⽇本⽶酒）;烧酒</t>
  </si>
  <si>
    <t>醉京令</t>
  </si>
  <si>
    <t>果酒（含酒精）;烧酒;鸡尾酒;葡萄酒;⽩酒;⻩酒;烈酒（饮料）;清酒（⽇本⽶酒）;⽶酒;酒精饮料（啤酒除外）</t>
  </si>
  <si>
    <t>啊嗒嗯</t>
  </si>
  <si>
    <t>刘剑英</t>
  </si>
  <si>
    <t>葡萄酒;烈酒;⽩酒;⽶酒;⻘梅酒;⻘稞酒;⻩酒;清酒;苦荞酒;烧酒</t>
  </si>
  <si>
    <t>景阳雨</t>
  </si>
  <si>
    <t>山东景阳门酒业有限公司</t>
  </si>
  <si>
    <t>烈酒（饮料）;葡萄酒;⽶酒;甜酒;⽼酒（中国蒸馏烈酒）;⽩酒;⻩酒;梅酒;烧酒;果酒（含酒精）</t>
  </si>
  <si>
    <t>埔下三省堂</t>
  </si>
  <si>
    <t>广东省三省堂生态农业发展有限公司</t>
  </si>
  <si>
    <t>果酒;葡萄酒;⽩酒;烈酒;⽶酒;鸡尾酒;酒精饮料（啤酒除外）;威⼠忌;⽼酒（中国蒸馏烈酒）;⽩兰地</t>
  </si>
  <si>
    <t>雷石岛</t>
  </si>
  <si>
    <t>贵州酱之醉酒业有限公司</t>
  </si>
  <si>
    <t>⻘稞酒;⻩酒;⽶酒;烈酒（饮料）;薄荷酒;葡萄酒;利⼝酒;开胃酒;烧酒;⽩酒</t>
  </si>
  <si>
    <t>博纳千钧</t>
  </si>
  <si>
    <t>山东物竞天则商贸有限公司</t>
  </si>
  <si>
    <t>⽶酒;⽩酒;葡萄酒;苹果酒;鸡尾酒;⻩酒;威⼠忌;⽩兰地;利⼝酒;果酒（含酒精）</t>
  </si>
  <si>
    <t>隐造</t>
  </si>
  <si>
    <t>深圳一驷一铭科技有限公司</t>
  </si>
  <si>
    <t>含酒精的⽔果鸡尾酒饮料;梅酒;⾼粱酒;⽼酒（中国蒸馏烈酒）;混合威⼠忌酒;伏特加酒;苦荞酒;⽩兰地;⽶酒;威⼠忌</t>
  </si>
  <si>
    <t>思路春</t>
  </si>
  <si>
    <t>张掖市涵远建筑劳务有限公司</t>
  </si>
  <si>
    <t>⽩兰地;梨酒;⽩酒;⻘稞酒;葡萄酒;烈酒（饮料）;⽶酒;烧酒;⾷⽤酒精;⻩酒</t>
  </si>
  <si>
    <t>添师烧坊</t>
  </si>
  <si>
    <t>⻘稞酒;葡萄酒;⽩兰地;⻩酒;⽩酒;烧酒;鸡尾酒;烈酒;威⼠忌;⽶酒</t>
  </si>
  <si>
    <t>润本莱</t>
  </si>
  <si>
    <t>成都玉翰堂信息技术有限公司</t>
  </si>
  <si>
    <t>果酒（含酒精）;烈酒（饮料）;酒精饮料（啤酒除外）;含⽔果酒精饮料;葡萄酒;⽩酒;鸡尾酒;⾕物制蒸馏酒精饮料;⽶酒;预先混合的酒精饮料（以啤酒为主的除外）</t>
  </si>
  <si>
    <t>黔合贵</t>
  </si>
  <si>
    <t>烈酒（饮料）;⽩酒;⽶酒;酒精饮料（啤酒除外）;鸡尾酒;⻩酒;果酒（含酒精）;烧酒;利⼝酒;葡萄酒;⾷⽤酒精</t>
  </si>
  <si>
    <t>尘砚儒</t>
  </si>
  <si>
    <t>酒精饮料（啤酒除外）;葡萄酒;烧酒;鸡尾酒;烈酒（饮料）;⽩酒;威⼠忌;⽶酒;果酒（含酒精）;⽩兰地</t>
  </si>
  <si>
    <t>秀凤阿姨</t>
  </si>
  <si>
    <t>陆秀凤</t>
  </si>
  <si>
    <t>⾷⽤酒精;酒精饮料（啤酒除外）;葡萄酒;⽶酒;清酒;烈酒;⽩酒;⻩酒;果酒;烧酒</t>
  </si>
  <si>
    <t>凰震</t>
  </si>
  <si>
    <t>⽩兰地;果酒（含酒精）;酒精饮料（啤酒除外）;烧酒;烈酒（饮料）;⽩酒;威⼠忌;鸡尾酒;⽶酒;葡萄酒</t>
  </si>
  <si>
    <t>粮志宽</t>
  </si>
  <si>
    <t>葡萄酒;威⼠忌;⽩酒;开胃酒;⽶酒;烈酒（饮料）;⽩兰地;⻩酒;果酒（含酒精）;鸡尾酒</t>
  </si>
  <si>
    <t>崇庆湖</t>
  </si>
  <si>
    <t>果酒（含酒精）;酒精饮料（啤酒除外）;⽩⼲酒（中国⽩酒）;烧酒;⽩酒;蒸馏饮料;⽶酒;烈酒（饮料）;⾷⽤酒精;⽼酒（中国蒸馏烈酒）</t>
  </si>
  <si>
    <t>皖昌</t>
  </si>
  <si>
    <t>⽶酒;清酒（⽇本⽶酒）;果酒（含酒精）;⽩酒;威⼠忌;葡萄酒;烈酒（饮料）;烧酒;蜂蜜酒;⻩酒</t>
  </si>
  <si>
    <t>紫蕴大</t>
  </si>
  <si>
    <t>贵州贵陶坊酿酒有限公司</t>
  </si>
  <si>
    <t>果酒（含酒精）;开胃酒;酒精饮料（啤酒除外）;⽩酒;清酒（⽇本⽶酒）;鸡尾酒;伏特加酒;葡萄酒;烈酒（饮料）;烧酒</t>
  </si>
  <si>
    <t>世三十</t>
  </si>
  <si>
    <t>⽩酒;葡萄酒;烧酒;烈酒（饮料）;酒精饮料（啤酒除外）;⻩酒;⽢蔗制烈酒;⽶酒;鸡尾酒;果酒（含酒精）</t>
  </si>
  <si>
    <t>将三十</t>
  </si>
  <si>
    <t>⽩酒;酒精饮料（啤酒除外）;⽢蔗制烈酒;⽶酒;烈酒（饮料）;葡萄酒;果酒（含酒精）;鸡尾酒;烧酒;⻩酒</t>
  </si>
  <si>
    <t>紫神坊</t>
  </si>
  <si>
    <t>贵艺酿酒有限公司</t>
  </si>
  <si>
    <t>果酒（含酒精）;鸡尾酒;烧酒;葡萄酒;伏特加酒;酒精饮料（啤酒除外）;⽩酒;开胃酒;清酒（⽇本⽶酒）;烈酒（饮料）</t>
  </si>
  <si>
    <t>晋粮张家</t>
  </si>
  <si>
    <t>张永强</t>
  </si>
  <si>
    <t>烧酒;烈酒;甜酒;⾼粱酒;⾷⽤酒精;⽩酒;果酒;露酒;⻘稞酒;清酒</t>
  </si>
  <si>
    <t>仪舫堰</t>
  </si>
  <si>
    <t>仪征市浩丰生态农业有限公司</t>
  </si>
  <si>
    <t>果酒;葡萄酒;⻩酒;薄荷酒;苹果酒;烧酒;利⼝酒;汽酒;以葡萄酒为主的饮料;⽶酒</t>
  </si>
  <si>
    <t>果绵</t>
  </si>
  <si>
    <t>卢静</t>
  </si>
  <si>
    <t>崇庆井</t>
  </si>
  <si>
    <t>⽶酒;⽼酒（中国蒸馏烈酒）;蒸馏饮料;烈酒（饮料）;果酒（含酒精）;⽩⼲酒（中国⽩酒）;烧酒;⾷⽤酒精;⽩酒;酒精饮料（啤酒除外）</t>
  </si>
  <si>
    <t>云樽令</t>
  </si>
  <si>
    <t>⻩酒;开胃酒;清酒（⽇本⽶酒）;威⼠忌;烈酒（饮料）;烧酒;⽩酒;鸡尾酒;⻘稞酒;蜂蜜酒</t>
  </si>
  <si>
    <t>晚来客</t>
  </si>
  <si>
    <t>明溪蓝宝石旅游文化开发有限公司</t>
  </si>
  <si>
    <t>开胃酒;清酒（⽇本⽶酒）;烧酒;⽶酒;烈酒（饮料）;果酒（含酒精）;威⼠忌;酒精饮料（啤酒除外）;葡萄酒;⽩酒</t>
  </si>
  <si>
    <t>世十五</t>
  </si>
  <si>
    <t>葡萄酒;⽶酒;烧酒;酒精饮料（啤酒除外）;⽢蔗制烈酒;烈酒（饮料）;⽩酒;果酒（含酒精）;⻩酒;鸡尾酒</t>
  </si>
  <si>
    <t>纵横五岳</t>
  </si>
  <si>
    <t>刘曙光</t>
  </si>
  <si>
    <t>葡萄酒;酒精饮料（啤酒除外）;⻩酒;开胃酒;果酒（含酒精）;清酒（⽇本⽶酒）;⽩酒;烈酒;威⼠忌;鸡尾酒</t>
  </si>
  <si>
    <t>香沁芳人</t>
  </si>
  <si>
    <t>翟思瑞62222********4502X</t>
  </si>
  <si>
    <t>果酒（含酒精）;烈酒（饮料）;⽩酒;开胃酒;烧酒;⻘稞酒;⻩酒;利⼝酒;⽶酒;葡萄酒</t>
  </si>
  <si>
    <t>水西天境</t>
  </si>
  <si>
    <t>贵州阿老表实业集团有限公司</t>
  </si>
  <si>
    <t>烈酒（饮料）;威⼠忌;⽩酒;含⽔果酒精饮料;⽩⼲酒（中国⽩酒）;烧酒;果酒（含酒精）;⽶酒;⾷⽤酒精;葡萄酒</t>
  </si>
  <si>
    <t>兴世才</t>
  </si>
  <si>
    <t>四川兴世才酒业有限公司</t>
  </si>
  <si>
    <t>利⼝酒;葡萄酒;茴芹酒（利⼝酒）;茴⾹酒（利⼝酒）;果酒;⽩⼲酒（中国⽩酒）;开胃酒;烧酒（烈酒）;⽩酒;烈酒浓缩汁</t>
  </si>
  <si>
    <t>芳好好</t>
  </si>
  <si>
    <t>门育民</t>
  </si>
  <si>
    <t>含⽔果酒精饮料;酒精饮料浓缩汁;⻩酒;果酒（含酒精）;⽶酒;酒精饮料（啤酒除外）;预先混合的酒精饮料（以啤酒为主的除外）;蒸馏饮料;葡萄酒;酒精饮料原汁</t>
  </si>
  <si>
    <t>牛劲哥</t>
  </si>
  <si>
    <t>吴坚</t>
  </si>
  <si>
    <t>果酒（含酒精）;酒精饮料原汁;⽩酒;⽶酒;酒精饮料（啤酒除外）;烧酒;⻩酒;蒸馏饮料;葡萄酒;苹果酒</t>
  </si>
  <si>
    <t>崇庆王子</t>
  </si>
  <si>
    <t>果酒（含酒精）;蒸馏饮料;烧酒;烈酒（饮料）;⽼酒（中国蒸馏烈酒）;⾷⽤酒精;⽩酒;⽩⼲酒（中国⽩酒）;⽶酒;酒精饮料（啤酒除外）</t>
  </si>
  <si>
    <t>恬果山</t>
  </si>
  <si>
    <t>刘世辉</t>
  </si>
  <si>
    <t>利⼝酒;鸡尾酒;威⼠忌;酒精饮料（啤酒除外）;⻘梅酒;蒸馏饮料;葡萄酒;⽩酒;含酒精⽔果饮料;果酒（含酒精）</t>
  </si>
  <si>
    <t>牧利派</t>
  </si>
  <si>
    <t>潮州市米之科技有限公司</t>
  </si>
  <si>
    <t>蒸馏饮料;威⼠忌;伏特加酒;⾷⽤酒精;酒精饮料原汁;鸡尾酒;⽩酒;含⽔果酒精饮料;烈酒（饮料）;薄荷酒</t>
  </si>
  <si>
    <t>上海醉西红网络科技有限公司</t>
  </si>
  <si>
    <t>利⼝酒;⽩兰地;葡萄潘趣酒;甜果酒;苹果酒;蜂蜜酒;含⽔果酒精饮料;⽩酒;清酒;葡萄汽酒</t>
  </si>
  <si>
    <t>川崇庆</t>
  </si>
  <si>
    <t>烈酒（饮料）;⽩⼲酒（中国⽩酒）;⽼酒（中国蒸馏烈酒）;烧酒;⽶酒;⽩酒;果酒（含酒精）;蒸馏饮料;酒精饮料（啤酒除外）;⾷⽤酒精</t>
  </si>
  <si>
    <t>陕乡山华</t>
  </si>
  <si>
    <t>中和能电力设备河北有限公司</t>
  </si>
  <si>
    <t>酒精饮料（啤酒除外）;⽩酒;⻘稞酒;⻩酒;⾕物制蒸馏酒精饮料;含⽔果酒精饮料;⽶酒;⾼粱酒;葡萄酒;烈酒（饮料）</t>
  </si>
  <si>
    <t>清柔大</t>
  </si>
  <si>
    <t>清酒（⽇本⽶酒）;烧酒;果酒（含酒精）;鸡尾酒;伏特加酒;酒精饮料（啤酒除外）;⽩酒;开胃酒;烈酒（饮料）;葡萄酒</t>
  </si>
  <si>
    <t>知托付</t>
  </si>
  <si>
    <t>南明知托付化妆品经营部（个体工商户）</t>
  </si>
  <si>
    <t>鸡尾酒;酒精饮料（啤酒除外）;⾷⽤酒精;葡萄酒;果酒（含酒精）;⽶酒;⻘稞酒;⽩酒;烧酒;蒸馏饮料</t>
  </si>
  <si>
    <t>郁樽襄</t>
  </si>
  <si>
    <t>威⼠忌;朗姆酒;烈酒（饮料）;葡萄酒;鸡尾酒;⻩酒;开胃酒;果酒（含酒精）;⽩酒;酒精饮料（啤酒除外）</t>
  </si>
  <si>
    <t>星月缔特泥</t>
  </si>
  <si>
    <t>易易特生物科技（上海）有限公司</t>
  </si>
  <si>
    <t>蜂蜜酒;烧酒;果酒（含酒精）;开胃酒;⻘稞酒;⽩酒;鸡尾酒;葡萄酒;⽶酒;⻩酒</t>
  </si>
  <si>
    <t>念兹</t>
  </si>
  <si>
    <t>合肥东方智慧企业管理咨询合伙企业（有限合伙）</t>
  </si>
  <si>
    <t>⽩酒;⽩⼲酒（中国⽩酒）;⽶酒;除啤酒外的酒精饮料;⽼酒（中国蒸馏烈酒）;含⽔果酒精饮料;果酒（含酒精）;蒸馏饮料;酒精饮料（啤酒除外）;⻘稞酒;⾷⽤酒精;五加⽪酒（中国混合烈酒）;由⾕物蒸馏的⽩酒;⾼粱酒;葡萄酒;已调味的⻨芽酿制的酒精饮料（啤酒除外）;⻩酒;甜酒;清酒（⽇本⽶酒）</t>
  </si>
  <si>
    <t>亘医堂</t>
  </si>
  <si>
    <t>国材健康管理（安徽）有限公司</t>
  </si>
  <si>
    <t>汽酒;烧酒;⻘稞酒;⽩酒;清酒;⾷⽤酒精;葡萄酒;酒精饮料（啤酒除外）;烈酒;果酒</t>
  </si>
  <si>
    <t>兴酩臣</t>
  </si>
  <si>
    <t>蜂蜜酒;⽩酒;烈酒（饮料）;鸡尾酒;威⼠忌;⻘稞酒;⻩酒;开胃酒;清酒（⽇本⽶酒）;烧酒</t>
  </si>
  <si>
    <t>紫韵大</t>
  </si>
  <si>
    <t>烈酒（饮料）;果酒（含酒精）;酒精饮料（啤酒除外）;开胃酒;清酒（⽇本⽶酒）;伏特加酒;烧酒;⽩酒;鸡尾酒;葡萄酒</t>
  </si>
  <si>
    <t>福旭鑫</t>
  </si>
  <si>
    <t>合肥泽福堂健康科技有限公司</t>
  </si>
  <si>
    <t>含酒精的⽔果鸡尾酒饮料;果酒（含酒精）;⽶酒;含⽔果酒精饮料;甜酒;烈酒（饮料）;烧酒;⻩酒;⽩酒;预先混合的酒精饮料（以啤酒为主的除外）</t>
  </si>
  <si>
    <t>崇庆樽</t>
  </si>
  <si>
    <t>蒸馏饮料;⽶酒;⽩⼲酒（中国⽩酒）;⽼酒（中国蒸馏烈酒）;烈酒（饮料）;烧酒;⾷⽤酒精;⽩酒;果酒（含酒精）;酒精饮料（啤酒除外）</t>
  </si>
  <si>
    <t>崇庆坊</t>
  </si>
  <si>
    <t>蒸馏饮料;烈酒（饮料）;酒精饮料（啤酒除外）;⽩酒;⽩⼲酒（中国⽩酒）;⽶酒;果酒（含酒精）;烧酒;⾷⽤酒精;⽼酒（中国蒸馏烈酒）</t>
  </si>
  <si>
    <t>梯耙</t>
  </si>
  <si>
    <t>武汉南洋大华商贸中心</t>
  </si>
  <si>
    <t>果酒（含酒精）;蒸馏饮料;清酒;⾷⽤酒精;葡萄酒;酒精饮料（啤酒除外）;开胃酒;烧酒;⽶酒;⽩酒</t>
  </si>
  <si>
    <t>粮美陈</t>
  </si>
  <si>
    <t>武安市粮美陈商贸有限公司</t>
  </si>
  <si>
    <t>葡萄酒;⻘稞酒;果酒（含酒精）;清酒（⽇本⽶酒）;烧酒;威⼠忌;⾼粱酒;烈酒;⽩酒;⻩酒</t>
  </si>
  <si>
    <t>牛韵阁</t>
  </si>
  <si>
    <t>成都市佳丹爱商贸有限公司</t>
  </si>
  <si>
    <t>果酒（含酒精）;烈酒（饮料）;蒸馏饮料;葡萄酒;烧酒;⻩酒;⽩酒;鸡尾酒;⽶酒;酒精饮料（啤酒除外）</t>
  </si>
  <si>
    <t>劈石口</t>
  </si>
  <si>
    <t>青岛盛世高歌文化传媒有限公司</t>
  </si>
  <si>
    <t>葡萄酒;汽酒;⻩酒;⽩兰地;清酒（⽇本⽶酒）;⽩酒;⽶酒;果酒（含酒精）;鸡尾酒;烧酒</t>
  </si>
  <si>
    <t>戈壁星空</t>
  </si>
  <si>
    <t>宁夏沃野丰贝贸易有限公司</t>
  </si>
  <si>
    <t>⽔果汽酒;红葡萄酒;⽩葡萄酒;起泡红葡萄酒;含酒精的饮料（啤酒除外）;果酒（含酒精）;草莓酒;桃红葡萄酒;蒸煮提取物（利⼝酒和烈酒）</t>
  </si>
  <si>
    <t>KAZOO</t>
  </si>
  <si>
    <t>厦门可逐生物科技有限公司</t>
  </si>
  <si>
    <t>葡萄酒;蒸馏饮料;酒精饮料（啤酒除外）;伏特加酒;苦味酒;苹果酒;威⼠忌;薄荷酒;鸡尾酒;⽩酒</t>
  </si>
  <si>
    <t>韩乡来</t>
  </si>
  <si>
    <t>刘博</t>
  </si>
  <si>
    <t>⻩酒;酒精饮料（啤酒除外）;烈酒（饮料）;⽩兰地;葡萄酒;⽶酒;⾷⽤酒精;烧酒;威⼠忌;⽩酒</t>
  </si>
  <si>
    <t>DIYIMING</t>
  </si>
  <si>
    <t>江门兆丰鑫汇照明科技有限公司</t>
  </si>
  <si>
    <t>果酒（含酒精）;⻘稞酒;⽼酒（中国蒸馏烈酒）;⽩酒;⾼粱酒;葡萄酒;烧酒;⽶酒;⻩酒;苹果酒</t>
  </si>
  <si>
    <t>峰源沂蒙</t>
  </si>
  <si>
    <t>刘峰源</t>
  </si>
  <si>
    <t>⽶酒;酒精饮料浓缩汁;果酒（含酒精）;⽩酒;已调味的⻨芽酿制的酒精饮料（啤酒除外）;含⽔果酒精饮料;⻩酒;葡萄酒;酒精饮料（啤酒除外）;烧酒</t>
  </si>
  <si>
    <t>猫不凡</t>
  </si>
  <si>
    <t>⻩酒;⽶酒;烈酒;果酒（含酒精）;清酒（⽇本⽶酒）;鸡尾酒;⽩酒;威⼠忌;葡萄酒;茴⾹酒</t>
  </si>
  <si>
    <t>满江赋</t>
  </si>
  <si>
    <t>班承师</t>
  </si>
  <si>
    <t>烈酒（饮料）;葡萄酒;⻩酒;⽩酒;酒精饮料（啤酒除外）;清酒（⽇本⽶酒）;威⼠忌;果酒;鸡尾酒;开胃酒</t>
  </si>
  <si>
    <t>贤御春</t>
  </si>
  <si>
    <t>青岛京丹序食品饮料有限公司</t>
  </si>
  <si>
    <t>⽶酒;⾕物制蒸馏酒精饮料;⽼酒（中国蒸馏烈酒）;⽩⼲酒（中国⽩酒）;⻩酒;⽩酒;酒精饮料（啤酒除外）;蒸馏饮料;烧酒;由⾕物蒸馏的⽩酒</t>
  </si>
  <si>
    <t>的坤</t>
  </si>
  <si>
    <t>赵兵坤</t>
  </si>
  <si>
    <t>果酒（含酒精）;烧酒;开胃酒;葡萄酒;⻩酒;⽩酒;⽩兰地;威⼠忌;⽶酒;汽酒</t>
  </si>
  <si>
    <t>漫野繁星</t>
  </si>
  <si>
    <t>⽔果汽酒;草莓酒;除啤酒外的酒精饮料;桃红葡萄酒;起泡红葡萄酒;含酒精的饮料（啤酒除外）;蒸煮提取物（利⼝酒和烈酒）;果酒（含酒精）;红葡萄酒;⽩葡萄酒</t>
  </si>
  <si>
    <t>云扇仙</t>
  </si>
  <si>
    <t>由⾕物蒸馏的⽩酒;⽩酒;⽩⼲酒（中国⽩酒）</t>
  </si>
  <si>
    <t>崇庆府</t>
  </si>
  <si>
    <t>蒸馏饮料;酒精饮料（啤酒除外）;果酒（含酒精）;⽶酒;⽼酒（中国蒸馏烈酒）;⾷⽤酒精;⽩酒;⽩⼲酒（中国⽩酒）;烈酒（饮料）;烧酒</t>
  </si>
  <si>
    <t>星钥荟</t>
  </si>
  <si>
    <t>北京途美星钥文化有限公司</t>
  </si>
  <si>
    <t>开胃酒;鸡尾酒;⽶酒;⽩兰地;以葡萄酒为主的饮料;伏特加酒;酒精饮料（啤酒除外）;葡萄酒;威⼠忌;⽩⼲酒（中国⽩酒）</t>
  </si>
  <si>
    <t>清棠月</t>
  </si>
  <si>
    <t>⻩酒;清酒（⽇本⽶酒）;⽩酒;葡萄酒;威⼠忌;蜂蜜酒;烈酒（饮料）;⽶酒;烧酒;果酒（含酒精）</t>
  </si>
  <si>
    <t>耕晋烧坊</t>
  </si>
  <si>
    <t>⽶酒;⻩酒;烧酒;⽩酒;⻘稞酒;鸡尾酒;葡萄酒;烈酒;威⼠忌;⽩兰地</t>
  </si>
  <si>
    <t>戈壁繁星</t>
  </si>
  <si>
    <t>果酒（含酒精）;桃红葡萄酒;红葡萄酒;蒸煮提取物（利⼝酒和烈酒）;含酒精的饮料（啤酒除外）;起泡红葡萄酒;⽔果汽酒;⽩葡萄酒;草莓酒</t>
  </si>
  <si>
    <t>北京京中牛酒业有限公司</t>
  </si>
  <si>
    <t>酒精饮料（啤酒除外）;鸡尾酒;葡萄酒;⽩兰地;⽩酒;烈酒（饮料）;含⽔果酒精饮料;⽶酒;烧酒;果酒（含酒精）</t>
  </si>
  <si>
    <t>甬巷</t>
  </si>
  <si>
    <t>宁波力雅运动服饰有限公司</t>
  </si>
  <si>
    <t>杜松⼦酒;烈酒（饮料）;清酒;果酒（含酒精）;⻩酒;葡萄酒;⽩兰地;威⼠忌;⽶酒;⽩酒</t>
  </si>
  <si>
    <t>人中景</t>
  </si>
  <si>
    <t>河南豫贡酒业有限公司</t>
  </si>
  <si>
    <t>烧酒;⻘稞酒;葡萄酒;开胃酒;果酒（含酒精）;清酒（⽇本⽶酒）;⽶酒;⽩酒;⻩酒;酒精饮料（啤酒除外）</t>
  </si>
  <si>
    <t>紫曲坊</t>
  </si>
  <si>
    <t>果酒（含酒精）;葡萄酒;烈酒（饮料）;清酒（⽇本⽶酒）;烧酒;⽩酒;酒精饮料（啤酒除外）;开胃酒;鸡尾酒;伏特加酒</t>
  </si>
  <si>
    <t>紫陶大</t>
  </si>
  <si>
    <t>烈酒（饮料）;酒精饮料（啤酒除外）;鸡尾酒;⽩酒;烧酒;开胃酒;清酒（⽇本⽶酒）;葡萄酒;伏特加酒;果酒（含酒精）</t>
  </si>
  <si>
    <t>TAN KE JIU</t>
  </si>
  <si>
    <t>⾕物制蒸馏酒精饮料;烧酒;果酒（含酒精）;含⽔果酒精饮料;⻘稞酒;⽩酒;酒精饮料原汁;⽶酒;预先混合的酒精饮料（以啤酒为主的除外）;朝鲜族⽶酒</t>
  </si>
  <si>
    <t>蓉崇庆</t>
  </si>
  <si>
    <t>蒸馏饮料;烈酒（饮料）;烧酒;⽶酒;⽼酒（中国蒸馏烈酒）;果酒（含酒精）;酒精饮料（啤酒除外）;⾷⽤酒精;⽩⼲酒（中国⽩酒）;⽩酒</t>
  </si>
  <si>
    <t>逍游志</t>
  </si>
  <si>
    <t>烈酒（饮料）;开胃酒;鸡尾酒;清酒（⽇本⽶酒）;⻩酒;烧酒;威⼠忌;⽩酒;⻘稞酒;蜂蜜酒</t>
  </si>
  <si>
    <t>古镇液景</t>
  </si>
  <si>
    <t>徐富玉</t>
  </si>
  <si>
    <t>席克</t>
  </si>
  <si>
    <t>以蒸馏酒为主的开胃酒;⾷⽤酒精;烧酒（烈酒）;⻩酒;⽼酒（中国蒸馏烈酒）;⽩酒;果酒（含酒精）;蒸馏⽶酒（泡盛酒）;⽩⼲酒（中国⽩酒）;葡萄酒</t>
  </si>
  <si>
    <t>养益君</t>
  </si>
  <si>
    <t>湖南养益君生物科技有限公司</t>
  </si>
  <si>
    <t>苹果酒;果酒（含酒精）;蒸馏饮料;烈酒（饮料）;含⽔果酒精饮料;葡萄酒;威⼠忌;酒精饮料原汁;⽩兰地;蜂蜜酒</t>
  </si>
  <si>
    <t>齐淮烧坊</t>
  </si>
  <si>
    <t>葡萄酒;烈酒;⽶酒;⽩兰地;⻩酒;烧酒;威⼠忌;鸡尾酒;⽩酒;⻘稞酒</t>
  </si>
  <si>
    <t>众华大昌隆</t>
  </si>
  <si>
    <t>安超</t>
  </si>
  <si>
    <t>烈酒（饮料）;酒精饮料（啤酒除外）;⽶酒;⻩酒;烧酒;葡萄酒;鸡尾酒;果酒（含酒精）;蒸馏饮料;⽩酒</t>
  </si>
  <si>
    <t>王福昌</t>
  </si>
  <si>
    <t>开胃酒;餐后酒（利⼝酒和烈酒）;⻩酒;烧酒;含⽔果酒精饮料;⽶酒;⽩酒;⾷⽤酒精;⽼酒（中国蒸馏烈酒）;果酒（含酒精）</t>
  </si>
  <si>
    <t>崇庆智圣</t>
  </si>
  <si>
    <t>果酒（含酒精）;⽩酒;烧酒;酒精饮料（啤酒除外）;⽼酒（中国蒸馏烈酒）;蒸馏饮料;⾷⽤酒精;⽩⼲酒（中国⽩酒）;烈酒（饮料）;⽶酒</t>
  </si>
  <si>
    <t>福小乔</t>
  </si>
  <si>
    <t>含⽔果酒精饮料;⻩酒;开胃酒;烈酒;葡萄酒;蒸煮提取物（利⼝酒和烈酒）;⻘稞酒;果酒（含酒精）;烧酒;⽩酒</t>
  </si>
  <si>
    <t>纽福曼</t>
  </si>
  <si>
    <t>无锡纽曼福进出口贸易有限公司</t>
  </si>
  <si>
    <t>⽩酒;鸡尾酒;樱桃酒;含⽔果酒精饮料;开胃酒;果酒（含酒精）;利⼝酒;预先混合的酒精饮料（以啤酒为主的除外）;酒精饮料（啤酒除外）;甜酒</t>
  </si>
  <si>
    <t>津尼士</t>
  </si>
  <si>
    <t>开胃酒;烈酒（饮料）;鸡尾酒;蜂蜜酒;威⼠忌;⻘稞酒;⻩酒;清酒（⽇本⽶酒）;烧酒;⽩酒</t>
  </si>
  <si>
    <t>崇庆县令</t>
  </si>
  <si>
    <t>蒸馏饮料;⽶酒;⽩⼲酒（中国⽩酒）;⽼酒（中国蒸馏烈酒）;⾷⽤酒精;⽩酒;酒精饮料（啤酒除外）;烧酒;果酒（含酒精）;烈酒（饮料）</t>
  </si>
  <si>
    <t>彩陶大</t>
  </si>
  <si>
    <t>葡萄酒;烈酒（饮料）;开胃酒;伏特加酒;酒精饮料（啤酒除外）;果酒（含酒精）;清酒（⽇本⽶酒）;烧酒;鸡尾酒;⽩酒</t>
  </si>
  <si>
    <t>唐公欢</t>
  </si>
  <si>
    <t>⽩酒;果酒（含酒精）;威⼠忌;葡萄酒;鸡尾酒;清酒（⽇本⽶酒）;烈酒;开胃酒;酒精饮料（啤酒除外）;⻩酒</t>
  </si>
  <si>
    <t>清韵大</t>
  </si>
  <si>
    <t>清酒（⽇本⽶酒）;酒精饮料（啤酒除外）;开胃酒;鸡尾酒;葡萄酒;伏特加酒;烧酒;⽩酒;果酒（含酒精）;烈酒（饮料）</t>
  </si>
  <si>
    <t>尚巾府</t>
  </si>
  <si>
    <t>吴忠市红寺堡区尚巾府酒店</t>
  </si>
  <si>
    <t>红葡萄酒;桃红葡萄酒;葡萄酒</t>
  </si>
  <si>
    <t>活龄子</t>
  </si>
  <si>
    <t>开胃酒;葡萄酒;清酒（⽇本⽶酒）;鸡尾酒;⽩酒;酒精饮料（啤酒除外）;烧酒;果酒（含酒精）;伏特加酒;烈酒（饮料）</t>
  </si>
  <si>
    <t>茹之福</t>
  </si>
  <si>
    <t>陈春红</t>
  </si>
  <si>
    <t>烧酒;⽩酒;由⾕物蒸馏的⽩酒;⽼酒（中国蒸馏烈酒）;预先混合的酒精饮料（以啤酒为主的除外）;⾼粱酒;⻩酒;烧酒（烈酒）;⽩⼲酒（中国⽩酒）;烈性⼲酒</t>
  </si>
  <si>
    <t>松花渠</t>
  </si>
  <si>
    <t>王春东</t>
  </si>
  <si>
    <t>烧酒;以葡萄酒为主的饮料;⽩酒;烈酒（饮料）;果酒（含酒精）;葡萄酒;酒精饮料（啤酒除外）;⻘稞酒;⽶酒;蒸馏饮料</t>
  </si>
  <si>
    <t>筑悦汇</t>
  </si>
  <si>
    <t>广州筑悦会商贸投资有限公司</t>
  </si>
  <si>
    <t>⻘稞酒;五加⽪酒（中国混合烈酒）;蒸馏饮料;⽩酒;含酒精⽔果饮料;⽶酒;⻩酒;果酒（含酒精）;蝮蛇酒;蜂蜜酒</t>
  </si>
  <si>
    <t>惠郁淳</t>
  </si>
  <si>
    <t>葡萄酒;威⼠忌;⻩酒;朗姆酒;鸡尾酒;⽩酒;酒精饮料（啤酒除外）;开胃酒;果酒（含酒精）;烈酒（饮料）</t>
  </si>
  <si>
    <t>馥莱尼</t>
  </si>
  <si>
    <t>赵美华</t>
  </si>
  <si>
    <t>清酒（⽇本⽶酒）;烧酒;⻩酒;开胃酒;⻘稞酒;⽩酒;鸡尾酒;威⼠忌;烈酒（饮料）;蜂蜜酒</t>
  </si>
  <si>
    <t>金世家缘</t>
  </si>
  <si>
    <t>西安金世家酒业有限公司</t>
  </si>
  <si>
    <t>开胃酒;⽩⼲酒（中国⽩酒）;烧酒（烈酒）;⽩酒;由⾕物蒸馏的⽩酒;⽶酒;⾼粱酒;烧酒;露酒;果酒（含酒精）</t>
  </si>
  <si>
    <t>中灶</t>
  </si>
  <si>
    <t>⻘稞酒;⽶酒;威⼠忌;烧酒;烈酒;⽩酒;⻩酒;鸡尾酒;葡萄酒;⽩兰地</t>
  </si>
  <si>
    <t>崇庆春</t>
  </si>
  <si>
    <t>烈酒（饮料）;⽩酒;⽩⼲酒（中国⽩酒）;蒸馏饮料;烧酒;⾷⽤酒精;果酒（含酒精）;⽶酒;⽼酒（中国蒸馏烈酒）;酒精饮料（啤酒除外）</t>
  </si>
  <si>
    <t>玉粮朝</t>
  </si>
  <si>
    <t>黄旭升</t>
  </si>
  <si>
    <t>清酒（⽇本⽶酒）;葡萄酒;⾷⽤酒精;⽩酒;汽酒;烈酒（饮料）;蒸馏饮料;果酒（含酒精）;⽶酒;酒精饮料（啤酒除外）</t>
  </si>
  <si>
    <t>半闲一余</t>
  </si>
  <si>
    <t>上海满铄企业管理中心</t>
  </si>
  <si>
    <t>开胃酒;葡萄酒;预先混合的酒精饮料（以啤酒为主的除外）;⻩酒;酒精饮料（啤酒除外）;⾕物制蒸馏酒精饮料;酒精饮料浓缩汁;含⽔果酒精饮料;蒸馏饮料;以葡萄酒为主的饮料</t>
  </si>
  <si>
    <t>悦三丰</t>
  </si>
  <si>
    <t>揭凌峰</t>
  </si>
  <si>
    <t>⻩酒;⽩酒;开胃酒;清酒;餐后酒（利⼝酒和烈酒）;烈酒;威⼠忌;蒸馏饮料;果酒;烧酒</t>
  </si>
  <si>
    <t>黔泽涛</t>
  </si>
  <si>
    <t>贵州迅亿企业管理有限公司</t>
  </si>
  <si>
    <t>利⼝酒;⽶酒;烈酒;蜂蜜酒;葡萄酒;⻩酒;⽩酒;果酒;开胃酒;烧酒</t>
  </si>
  <si>
    <t>迅亿</t>
  </si>
  <si>
    <t>烧酒;⽶酒;葡萄酒;⽩酒;蜂蜜酒;⻩酒;开胃酒;利⼝酒;烈酒;果酒</t>
  </si>
  <si>
    <t>洪图格尔</t>
  </si>
  <si>
    <t>崔跃军</t>
  </si>
  <si>
    <t>朝鲜烧酒;⽩⼲酒（中国⽩酒）;⾕物制蒸馏酒精饮料;烧酒;清酒（⽇本⽶酒）;⻩酒;开胃酒;⽼酒（中国蒸馏烈酒）;⾼粱酒;⽩酒</t>
  </si>
  <si>
    <t>诗酒醉梦</t>
  </si>
  <si>
    <t>曾春英</t>
  </si>
  <si>
    <t>⻩酒;酒精饮料（啤酒除外）;果酒;⾼粱酒;烧酒;烈酒;⽼酒（中国蒸馏烈酒）;⽶酒;⽩酒;葡萄酒</t>
  </si>
  <si>
    <t>队的</t>
  </si>
  <si>
    <t>清酒（⽇本⽶酒）;苹果酒;⻩酒;果酒（含酒精）;⽩酒;葡萄酒;酒精饮料（啤酒除外）;⽶酒;⾕物制蒸馏酒精饮料;鸡尾酒</t>
  </si>
  <si>
    <t>武天氏</t>
  </si>
  <si>
    <t>深圳宝贝食光品牌管理有限公司</t>
  </si>
  <si>
    <t>⽩酒;⽶酒;露酒;烈酒;苦荞酒;烧酒;鸡尾酒;梨酒;葡萄酒;果酒（含酒精）</t>
  </si>
  <si>
    <t>怀雅仁</t>
  </si>
  <si>
    <t>山西今樽元酒业有限公司</t>
  </si>
  <si>
    <t>果酒（含酒精）;酒精饮料（啤酒除外）;酒精饮料浓缩汁;烧酒;⽩酒;烈酒（饮料）;⽶酒;蒸馏饮料;含⽔果酒精饮料;葡萄酒</t>
  </si>
  <si>
    <t>故侒</t>
  </si>
  <si>
    <t>固安县特里俱尔商贸有限公司</t>
  </si>
  <si>
    <t>⽩酒;朗姆酒;烧酒;苦味酒;果酒（含酒精）;烈酒（饮料）;酒精饮料原汁;葡萄酒;威⼠忌;利⼝酒</t>
  </si>
  <si>
    <t>人森慢慢</t>
  </si>
  <si>
    <t>人森慢慢（上海）健康科技发展有限公司</t>
  </si>
  <si>
    <t>⾼粱酒;烧酒;开胃酒;烈酒;酒精饮料原汁;利⼝酒;佐餐酒;⽩酒;果酒;葡萄酒</t>
  </si>
  <si>
    <t>邀川</t>
  </si>
  <si>
    <t>龚会玲</t>
  </si>
  <si>
    <t>⻩酒;鸡尾酒;酒精饮料（啤酒除外）;⽩酒;烈酒（饮料）;清酒（⽇本⽶酒）;威⼠忌;果酒;葡萄酒;开胃酒</t>
  </si>
  <si>
    <t>CHUN CHENG XIAO SHAO</t>
  </si>
  <si>
    <t>⽶酒;烧酒;果酒（含酒精）;酒精饮料原汁;⾕物制蒸馏酒精饮料;预先混合的酒精饮料（以啤酒为主的除外）;朝鲜族⽶酒;⻘稞酒;⽩酒;含⽔果酒精饮料</t>
  </si>
  <si>
    <t>中魂天下</t>
  </si>
  <si>
    <t>果酒;含酒精的饮料（啤酒除外）;已调味的蒸馏酒;⽩⼲酒（中国⽩酒）;由⾕物蒸馏的⽩酒;酒精饮料（啤酒除外）;⽼酒（中国蒸馏烈酒）;烧酒（烈酒）;⽩酒;⾼粱酒</t>
  </si>
  <si>
    <t>银昙</t>
  </si>
  <si>
    <t>葡萄酒;烧酒;清酒（⽇本⽶酒）;果酒（含酒精）;威⼠忌;蜂蜜酒;烈酒（饮料）;⽶酒;⻩酒;⽩酒</t>
  </si>
  <si>
    <t>北京元物文化科技有限公司</t>
  </si>
  <si>
    <t>⽩酒;薄荷酒;含⽔果酒精饮料;威⼠忌;葡萄酒;苹果酒;⽩兰地;杜松⼦酒;⽶酒;果酒（含酒精）</t>
  </si>
  <si>
    <t>上田元造</t>
  </si>
  <si>
    <t>酒精饮料（啤酒除外）;烧酒;⽶酒;葡萄酒;蒸馏饮料;清酒（⽇本⽶酒）;⽩酒;⻩酒;开胃酒;果酒（含酒精）</t>
  </si>
  <si>
    <t>果地树满色</t>
  </si>
  <si>
    <t>朝阳区广盛源生鲜经销部</t>
  </si>
  <si>
    <t>含⽔果酒精饮料;樱桃酒;⽩酒;已调味的⻨芽酿制的酒精饮料（啤酒除外）;⻩酒;葡萄酒;果酒（含酒精）;餐后酒（利⼝酒和烈酒）;烧酒;蜂蜜酒</t>
  </si>
  <si>
    <t>胡文信</t>
  </si>
  <si>
    <t>⽩兰地;⻘稞酒;⽩酒;樱桃酒;⻩酒;鸡尾酒;⽶酒;开胃酒;葡萄酒;烧酒</t>
  </si>
  <si>
    <t>葡萄酒;清酒（⽇本⽶酒）;⻩酒;⻘稞酒;烧酒;果酒（含酒精）;⾼粱酒;⽩酒;威⼠忌;烈酒</t>
  </si>
  <si>
    <t>猫无忌</t>
  </si>
  <si>
    <t>⻩酒;⽶酒;威⼠忌;葡萄酒;果酒（含酒精）;⽩酒;烈酒;鸡尾酒;茴⾹酒;清酒（⽇本⽶酒）</t>
  </si>
  <si>
    <t>TDSGR</t>
  </si>
  <si>
    <t>北京泰德斯基尔科技有限公司</t>
  </si>
  <si>
    <t>清酒;开胃酒;果酒（含酒精）;⽩酒;葡萄酒;烧酒;⻩酒;酒精饮料（啤酒除外）;蒸煮提取物（利⼝酒和烈酒）;⽶酒</t>
  </si>
  <si>
    <t>灏煜</t>
  </si>
  <si>
    <t>王才文</t>
  </si>
  <si>
    <t>果酒（含酒精）;酒精饮料（啤酒除外）;⽼酒（中国蒸馏烈酒）;⽩酒;⻩酒;开胃酒;葡萄酒;利⼝酒;清酒（⽇本⽶酒）;⽶酒</t>
  </si>
  <si>
    <t>花酩侯</t>
  </si>
  <si>
    <t>开胃酒;⽩酒;清酒（⽇本⽶酒）;蜂蜜酒;⻩酒;⻘稞酒;鸡尾酒;烈酒（饮料）;威⼠忌;烧酒</t>
  </si>
  <si>
    <t>甘达令</t>
  </si>
  <si>
    <t>清酒（⽇本⽶酒）;蜂蜜酒;烧酒;鸡尾酒;威⼠忌;⽩酒;⻩酒;开胃酒;⻘稞酒;烈酒（饮料）</t>
  </si>
  <si>
    <t>豫章竹叶</t>
  </si>
  <si>
    <t>南昌涂氏家族文化传播有限公司</t>
  </si>
  <si>
    <t>⾼粱酒;露酒;烧酒;薄荷酒;果酒;⻩酒;梅酒;⽩酒;⽼酒（中国蒸馏烈酒）;葡萄酒</t>
  </si>
  <si>
    <t>珑燳</t>
  </si>
  <si>
    <t>青岛欧柏丽设计有限公司</t>
  </si>
  <si>
    <t>⽩酒;果酒;烧酒;汽酒;⻩酒;⽶酒;葡萄酒;威⼠忌;酒精饮料原汁;酒精饮料浓缩汁;清酒</t>
  </si>
  <si>
    <t>杏如故</t>
  </si>
  <si>
    <t>果酒（含酒精）;⽩酒;蒸馏饮料;鸡尾酒;⽩⼲酒（中国⽩酒）;⾕物制蒸馏酒精饮料;烧酒;酒精饮料（啤酒除外）;⽶酒;清酒（⽇本⽶酒）</t>
  </si>
  <si>
    <t>鲤小配</t>
  </si>
  <si>
    <t>山东联众科技企业孵化器有限公司</t>
  </si>
  <si>
    <t>烧酒;酒精饮料（啤酒除外）;⽩酒;葡萄酒;鸡尾酒;果酒（含酒精）;清酒（⽇本⽶酒）;⻩酒;烈酒（饮料）;⽶酒</t>
  </si>
  <si>
    <t>悦唐朝</t>
  </si>
  <si>
    <t>武汉国草堂健康管理有限责任公司</t>
  </si>
  <si>
    <t>⽶酒;⾕物制蒸馏酒精饮料;酒精饮料原汁;佐餐酒;蒸馏饮料;蜂蜜酒;预先混合的酒精饮料（以啤酒为主的除外）;含酒精⽔果饮料;开胃酒;果酒（含酒精）</t>
  </si>
  <si>
    <t>廷养集</t>
  </si>
  <si>
    <t>山西金利科技有限公司</t>
  </si>
  <si>
    <t>甜酒;⾼粱酒;葡萄酒;⻩酒;⽶酒;⾷⽤酒精;烧酒;⽩酒;果酒;烈酒（饮料）</t>
  </si>
  <si>
    <t>仙莺巧</t>
  </si>
  <si>
    <t>威⼠忌;开胃酒;朗姆酒;⻩酒;酒精饮料（啤酒除外）;鸡尾酒;果酒（含酒精）;⽩酒;葡萄酒;烈酒（饮料）</t>
  </si>
  <si>
    <t>里辰</t>
  </si>
  <si>
    <t>烧酒;葡萄酒;⽩酒;⽶酒;⽩兰地;酒精饮料（啤酒除外）;威⼠忌;鸡尾酒;果酒（含酒精）;烈酒（饮料）</t>
  </si>
  <si>
    <t>泰迪熊盖芮</t>
  </si>
  <si>
    <t>泰迪控股有限公司</t>
  </si>
  <si>
    <t>葡萄酒;威⼠忌;⾷⽤酒精;清酒（⽇本⽶酒）;烈酒（饮料）;酒精饮料（啤酒除外）;⽩兰地;鸡尾酒;果酒（含酒精）;⽩酒</t>
  </si>
  <si>
    <t>旗智</t>
  </si>
  <si>
    <t>成都酷吉斯服饰有限公司</t>
  </si>
  <si>
    <t>酒精饮料（啤酒除外）;预先混合的酒精饮料（以啤酒为主的除外）;果酒（含酒精）;葡萄酒;⽩酒;威⼠忌;蒸馏饮料;⽶酒;烧酒;烈酒（饮料）</t>
  </si>
  <si>
    <t>2024/06/08</t>
  </si>
  <si>
    <t>格兰恩佐</t>
  </si>
  <si>
    <t>厦门知酒浓进出口有限公司</t>
  </si>
  <si>
    <t>⽩兰地;威⼠忌;伏特加酒;开胃酒;烈酒（饮料）;葡萄酒;酒精饮料（啤酒除外）;鸡尾酒;含⽔果酒精饮料;红葡萄酒</t>
  </si>
  <si>
    <t>仁至简</t>
  </si>
  <si>
    <t>山西众妙健康服务平台有限公司</t>
  </si>
  <si>
    <t>⽩⼲酒（中国⽩酒）;烈酒（饮料）;果酒（含酒精）;葡萄酒;⾼粱酒;⻩酒;⽶酒;⽩酒;⽼酒（中国蒸馏烈酒）;以葡萄酒为主的饮料</t>
  </si>
  <si>
    <t>涨财猫</t>
  </si>
  <si>
    <t>四川邮约酒类销售有限公司</t>
  </si>
  <si>
    <t>果酒（含酒精）;餐后酒（利⼝酒和烈酒）;⽩酒;烈酒（饮料）;烧酒;⾕物制蒸馏酒精饮料;蒸馏饮料;酒精饮料（啤酒除外）;酒精饮料浓缩汁;葡萄酒</t>
  </si>
  <si>
    <t>心之阳</t>
  </si>
  <si>
    <t>果酒（含酒精）;⽼酒（中国蒸馏烈酒）;⻩酒;⾼粱酒;烈酒（饮料）;葡萄酒;⽩酒;以葡萄酒为主的饮料;⽶酒;⽩⼲酒（中国⽩酒）</t>
  </si>
  <si>
    <t>喜家梁</t>
  </si>
  <si>
    <t>密山市鸿丰农业发展有限公司</t>
  </si>
  <si>
    <t>⾕物制蒸馏酒精饮料;烧酒;果酒（含酒精）;⽶酒;烈酒;含⽔果酒精饮料;⽩酒;⽼酒（中国蒸馏烈酒）;⾼粱酒;⻩酒</t>
  </si>
  <si>
    <t>格雷威蒙</t>
  </si>
  <si>
    <t>鸡尾酒;红葡萄酒;葡萄酒;酒精饮料（啤酒除外）;含⽔果酒精饮料;开胃酒;威⼠忌;伏特加酒;⽩兰地;烈酒（饮料）</t>
  </si>
  <si>
    <t>掌财喵</t>
  </si>
  <si>
    <t>果酒（含酒精）;烈酒（饮料）;⾕物制蒸馏酒精饮料;酒精饮料浓缩汁;葡萄酒;⽩酒;酒精饮料（啤酒除外）;餐后酒（利⼝酒和烈酒）;蒸馏饮料;烧酒</t>
  </si>
  <si>
    <t>贺柏年</t>
  </si>
  <si>
    <t>罗茵茵</t>
  </si>
  <si>
    <t>⽩酒;葡萄酒;酒精饮料（啤酒除外）;⽶酒;⻩酒;餐后酒（利⼝酒和烈酒）;烈酒（饮料）;烧酒;酒精饮料原汁;果酒（含酒精）</t>
  </si>
  <si>
    <t>道昭旨酒</t>
  </si>
  <si>
    <t>孙旭滨</t>
  </si>
  <si>
    <t>酒精饮料（啤酒除外）;⽶酒;⽩酒;开胃酒;⽩兰地;⻩酒;果酒（含酒精）;⽼酒（中国蒸馏烈酒）;鸡尾酒;葡萄酒</t>
  </si>
  <si>
    <t>味归家</t>
  </si>
  <si>
    <t>孙振杰</t>
  </si>
  <si>
    <t>葡萄酒;蒸馏饮料;烈酒（饮料）;威⼠忌;⽩酒;酒精饮料（啤酒除外）;果酒（含酒精）;鸡尾酒;烧酒;⽶酒</t>
  </si>
  <si>
    <t>长青兔</t>
  </si>
  <si>
    <t>湖南长青兔文化发展有限公司</t>
  </si>
  <si>
    <t>威⼠忌;汽酒;鸡尾酒;开胃酒;葡萄酒;苹果酒;薄荷酒;果酒（含酒精）;⽩酒;⽶酒</t>
  </si>
  <si>
    <t>万汇徕</t>
  </si>
  <si>
    <t>安徽万汇徕餐饮管理有限公司</t>
  </si>
  <si>
    <t>蒸煮提取物（利⼝酒和烈酒）;酒精饮料原汁;⾷⽤酒精;⽩酒;酒精饮料（啤酒除外）;烈酒（饮料）;威⼠忌;葡萄酒;预先混合的酒精饮料（以啤酒为主的除外）;含⽔果酒精饮料</t>
  </si>
  <si>
    <t>掌财猫</t>
  </si>
  <si>
    <t>葡萄酒;⾕物制蒸馏酒精饮料;酒精饮料浓缩汁;⽩酒;酒精饮料（啤酒除外）;烈酒（饮料）;餐后酒（利⼝酒和烈酒）;烧酒;蒸馏饮料;果酒（含酒精）</t>
  </si>
  <si>
    <t>浪游柒捌玖</t>
  </si>
  <si>
    <t>宁波浪游柒捌玖科技有限公司</t>
  </si>
  <si>
    <t>烈酒（饮料）;果酒（含酒精）;清酒（⽇本⽶酒）;酒精饮料（啤酒除外）;烧酒;葡萄酒;⽶酒;⻩酒;鸡尾酒;⽩酒</t>
  </si>
  <si>
    <t>2024/06/09</t>
  </si>
  <si>
    <t>浙果妈妈</t>
  </si>
  <si>
    <t>江灵波</t>
  </si>
  <si>
    <t>红葡萄酒;葡萄酒;⽩兰地;烈酒;⽩酒;⻩酒;梅酒;⽩⼲酒（中国⽩酒）;威⼠忌;鸡尾酒</t>
  </si>
  <si>
    <t>礼宾江湖</t>
  </si>
  <si>
    <t>刘秀秀</t>
  </si>
  <si>
    <t>果酒（含酒精）;蒸馏饮料;酒精饮料（啤酒除外）;⾕物制蒸馏酒精饮料;⽩酒;⾷⽤酒精;葡萄酒;⽩兰地;⽶酒;威⼠忌</t>
  </si>
  <si>
    <t>祥贺礼尊</t>
  </si>
  <si>
    <t>露酒;⾼粱酒;⽩酒;⽼酒（中国蒸馏烈酒）;梅酒;⾷⽤酒精;葡萄酒;⾕物制蒸馏酒精饮料;酒精饮料（啤酒除外）;⽩兰地</t>
  </si>
  <si>
    <t>断云</t>
  </si>
  <si>
    <t>绍兴鲁迅故里有限公司</t>
  </si>
  <si>
    <t>⽩兰地;⽩酒;⽼酒（中国蒸馏烈酒）;⽶酒;烧酒;⻩酒;清酒;⻘梅酒;鸡尾酒;葡萄酒</t>
  </si>
  <si>
    <t>南藏邓氏醇</t>
  </si>
  <si>
    <t>北京邓氏汇鑫商贸有限公司</t>
  </si>
  <si>
    <t>果酒（含酒精）;鸡尾酒;⻩酒;酒精饮料（啤酒除外）;⽶酒;烧酒;汽酒;⽩酒;葡萄酒;朗姆酒</t>
  </si>
  <si>
    <t>必卡</t>
  </si>
  <si>
    <t>全天健康管理(深圳)有限公司</t>
  </si>
  <si>
    <t>⽶酒;⻩酒;含⽔果酒精饮料;含酒精的⽓泡⽔;葡萄酒;⾕物制蒸馏酒精饮料;⽩酒;酒精饮料（啤酒除外）;⾷⽤酒精;果酒（含酒精）</t>
  </si>
  <si>
    <t>汉瓷龙尊</t>
  </si>
  <si>
    <t>酒精饮料（啤酒除外）;威⼠忌;⽩酒;⾕物制蒸馏酒精饮料;⽶酒;果酒（含酒精）;蒸馏饮料;葡萄酒;⽩兰地;⾷⽤酒精</t>
  </si>
  <si>
    <t>乐善众合</t>
  </si>
  <si>
    <t>上海峰旋实业有限公司</t>
  </si>
  <si>
    <t>汽酒;⽩酒;⾼粱酒;鸡尾酒;含酒精的饮料（啤酒除外）;⻩酒;果酒;⽶酒;含酒精的⽓泡⽔;葡萄酒</t>
  </si>
  <si>
    <t>紫为你来</t>
  </si>
  <si>
    <t>山东厚德上医生命科学有限公司</t>
  </si>
  <si>
    <t>碧酒芳华</t>
  </si>
  <si>
    <t>哈玛投资（上海）有限公司</t>
  </si>
  <si>
    <t>烧酒;蒸馏饮料;酒精饮料（啤酒除外）;果酒（含酒精）;⽩酒;汽酒;烈酒（饮料）;葡萄酒;⻩酒;⽶酒</t>
  </si>
  <si>
    <t>酒中御典</t>
  </si>
  <si>
    <t>果酒（含酒精）;葡萄酒;⽩兰地;威⼠忌;⾷⽤酒精;⽶酒;⾕物制蒸馏酒精饮料;⽩酒;蒸馏饮料;酒精饮料（啤酒除外）</t>
  </si>
  <si>
    <t>紫年</t>
  </si>
  <si>
    <t>⽶酒;含酒精的饮料（啤酒除外）;开胃酒;鸡尾酒;果酒;利⼝酒;⽩酒;烧酒;葡萄酒;威⼠忌</t>
  </si>
  <si>
    <t>礼遇天藏</t>
  </si>
  <si>
    <t>深圳市宾临门科技有限公司</t>
  </si>
  <si>
    <t>果酒（含酒精）;威⼠忌;⽶酒;⾼粱酒;酒精饮料（啤酒除外）;露酒;清酒（⽇本⽶酒）;⾕物制蒸馏酒精饮料;⽩酒;⻘梅酒</t>
  </si>
  <si>
    <t>爱因纽特</t>
  </si>
  <si>
    <t>安徽国韵堂药业有限公司</t>
  </si>
  <si>
    <t>⽩兰地;含⽔果酒精饮料;含酒精的饮料（啤酒除外）;樱桃酒;葡萄酒;梅酒;甜果酒;果酒（含酒精）;鸡尾酒;酒精饮料原汁</t>
  </si>
  <si>
    <t>2024/06/10</t>
  </si>
  <si>
    <t>响滩醇</t>
  </si>
  <si>
    <t>四川怡力斯酒业有限公司</t>
  </si>
  <si>
    <t>⽩酒;由⾕物蒸馏的⽩酒;⻩酒;⽶酒;以葡萄酒为主的饮料;烧酒;⽩⼲酒（中国⽩酒）;⽩葡萄酒;葡萄酒;果酒</t>
  </si>
  <si>
    <t>寰宇四海</t>
  </si>
  <si>
    <t>韩晓伟</t>
  </si>
  <si>
    <t>酒精饮料（啤酒除外）;⽶酒;⽩酒;烈酒（饮料）;威⼠忌;果酒（含酒精）;烧酒;葡萄酒;蒸馏饮料;鸡尾酒</t>
  </si>
  <si>
    <t>医宗济道</t>
  </si>
  <si>
    <t>山东医宗生物科技有限公司</t>
  </si>
  <si>
    <t>开胃酒;⽩酒;含酒精的⽔果鸡尾酒饮料;苹果酒;烧酒;含酒精的鸡尾酒混合饮品;杜松⼦酒;⽩兰地;⽶酒;葡萄酒</t>
  </si>
  <si>
    <t>秘鹤</t>
  </si>
  <si>
    <t>以烁（深圳）科技有限公司</t>
  </si>
  <si>
    <t>烈酒（饮料）;鸡尾酒;威⼠忌;⽩酒;⽶酒;开胃酒;果酒（含酒精）;烧酒;酒精饮料（啤酒除外）;葡萄酒</t>
  </si>
  <si>
    <t>群心</t>
  </si>
  <si>
    <t>林菲菲</t>
  </si>
  <si>
    <t>烈酒（饮料）;⻘稞酒;⽩酒;⽶酒;⻩酒;酒精饮料（啤酒除外）;开胃酒;⽩兰地;果酒（含酒精）;葡萄酒</t>
  </si>
  <si>
    <t>甄酿天成</t>
  </si>
  <si>
    <t>汾阳市德醇香酒业有限公司</t>
  </si>
  <si>
    <t>烧酒;⽩酒;葡萄酒;果酒（含酒精）;⻩酒;⾷⽤酒精;⽶酒;烈酒（饮料）;酒精饮料（啤酒除外）;⻘稞酒</t>
  </si>
  <si>
    <t>清老板</t>
  </si>
  <si>
    <t>杭州聚舌尖食品销售有限公司</t>
  </si>
  <si>
    <t>梅酒;清酒;杨梅酒;果酒;⻘梅酒;葡萄酒;露酒;⽶酒;⽩酒;汽酒</t>
  </si>
  <si>
    <t>上古门</t>
  </si>
  <si>
    <t>贵州仁怀七星上古门酒业有限责任公司</t>
  </si>
  <si>
    <t>⽩酒;烧酒;酒精饮料（啤酒除外）;果酒;露酒;葡萄酒;烈酒;⽼酒（中国蒸馏烈酒）;清酒;⾼粱酒</t>
  </si>
  <si>
    <t>2024/06/11</t>
  </si>
  <si>
    <t>鹤槿年</t>
  </si>
  <si>
    <t>北京同仁堂商业投资集团有限公司</t>
  </si>
  <si>
    <t>⽼酒（中国蒸馏烈酒）;⽶酒;餐后酒（利⼝酒和烈酒）;葡萄酒;⽩酒;果酒（含酒精）;蒸馏饮料;⻘稞酒;⾷⽤酒精;蜂蜜酒</t>
  </si>
  <si>
    <t>七星上古门</t>
  </si>
  <si>
    <t>清酒;果酒;露酒;⽩酒;⽼酒（中国蒸馏烈酒）;葡萄酒;烈酒;⾼粱酒;酒精饮料（啤酒除外）;烧酒</t>
  </si>
  <si>
    <t>尚果岭</t>
  </si>
  <si>
    <t>尚果岭（广州）文化传播有限公司</t>
  </si>
  <si>
    <t>⽩酒;酒精饮料（啤酒除外）;果酒（含酒精）;清酒;烈酒（饮料）;⻩酒;威⼠忌;开胃酒;葡萄酒;鸡尾酒</t>
  </si>
  <si>
    <t>掼导</t>
  </si>
  <si>
    <t>广州市皇雄贸易有限公司</t>
  </si>
  <si>
    <t>⽩酒;果酒（含酒精）;烈酒（饮料）;⽶酒;蒸馏饮料;鸡尾酒;葡萄酒;⽩兰地;含酒精⽔果饮料;⾷⽤酒精</t>
  </si>
  <si>
    <t>州飞圣</t>
  </si>
  <si>
    <t>贵州省仁怀市飞圣酒业有限公司</t>
  </si>
  <si>
    <t>果酒（含酒精）;⽶酒;⻩酒;⾷⽤酒精;开胃酒;烧酒;葡萄酒;汽酒;⽩酒;酒精饮料原汁</t>
  </si>
  <si>
    <t>麦斐汀</t>
  </si>
  <si>
    <t>刘行标</t>
  </si>
  <si>
    <t>烈酒（饮料）;鸡尾酒;⻩酒;清酒（⽇本⽶酒）;⻘稞酒;开胃酒;威⼠忌;烧酒;⽩酒;蜂蜜酒</t>
  </si>
  <si>
    <t>潭厂潭酒</t>
  </si>
  <si>
    <t>刘贺</t>
  </si>
  <si>
    <t>葡萄酒;⽶酒;⻩酒;含⽔果酒精饮料;⾷⽤酒精;威⼠忌;果酒（含酒精）;⽩酒;开胃酒;烧酒</t>
  </si>
  <si>
    <t>经楼春</t>
  </si>
  <si>
    <t>果酒（含酒精）;酒精饮料原汁;⻩酒;⽩酒;烧酒;蒸煮提取物（利⼝酒和烈酒）;汽酒;烈酒;⽶酒;蒸馏饮料</t>
  </si>
  <si>
    <t>驰野</t>
  </si>
  <si>
    <t>贵州贵美之旅旅行社有限责任公司</t>
  </si>
  <si>
    <t>烧酒;蒸煮提取物（利⼝酒和烈酒）;⽩酒;⽶酒;果酒（含酒精）;利⼝酒;开胃酒;餐后酒（利⼝酒和烈酒）;酒精饮料（啤酒除外）;⾷⽤酒精</t>
  </si>
  <si>
    <t>CATHON</t>
  </si>
  <si>
    <t>赵悦</t>
  </si>
  <si>
    <t>伏特加酒;苹果酒;利⼝酒;果酒（含酒精）;⽩酒;葡萄酒;⽩兰地;朗姆酒;汽酒;威⼠忌</t>
  </si>
  <si>
    <t>赞饮山海</t>
  </si>
  <si>
    <t>烈酒（饮料）;酒精饮料（啤酒除外）;餐后酒（利⼝酒和烈酒）;烧酒;葡萄酒;⾕物制蒸馏酒精饮料;果酒（含酒精）;酒精饮料浓缩汁;蒸馏饮料;⽩酒</t>
  </si>
  <si>
    <t>巴蜀鹤仙</t>
  </si>
  <si>
    <t>张廷培</t>
  </si>
  <si>
    <t>酒精饮料（啤酒除外）;⽶酒;⽩酒;果酒（含酒精）;烧酒;⾷⽤酒精;蒸馏饮料;葡萄酒;酒精饮料原汁;烈酒（饮料）</t>
  </si>
  <si>
    <t>鲜小六</t>
  </si>
  <si>
    <t>丰华</t>
  </si>
  <si>
    <t>葡萄酒;蜂蜜酒;⽶酒;⽩酒;⾷⽤酒精;果酒（含酒精）;酒精饮料（啤酒除外）;含⽔果酒精饮料;⻩酒;烧酒</t>
  </si>
  <si>
    <t>圆圆龙</t>
  </si>
  <si>
    <t>刘芳</t>
  </si>
  <si>
    <t>⽩葡萄酒;果酒（含酒精）;烈酒（饮料）;⻩酒;汽酒;⽶酒;烧酒;葡萄酒;⽩酒;酒精饮料原汁</t>
  </si>
  <si>
    <t>丛小嗨</t>
  </si>
  <si>
    <t>大连鱿渔闲生食品有限公司</t>
  </si>
  <si>
    <t>清酒;⻩酒;鸡尾酒;⽩兰地;威⼠忌;⽩酒;果酒（含酒精）;⽶酒;葡萄酒;酒精饮料（啤酒除外）</t>
  </si>
  <si>
    <t>贵宴民</t>
  </si>
  <si>
    <t>刘小可</t>
  </si>
  <si>
    <t>⽩酒;开胃酒;酒精饮料（啤酒除外）;果酒;利⼝酒;烧酒;葡萄酒;鸡尾酒;清酒（⽇本⽶酒）;朗姆酒</t>
  </si>
  <si>
    <t>由黔</t>
  </si>
  <si>
    <t>刘子香</t>
  </si>
  <si>
    <t>开胃酒;烧酒;酒精饮料（啤酒除外）;⽶酒;⽩酒;⻘稞酒;⻩酒;果酒（含酒精）;葡萄酒;鸡尾酒</t>
  </si>
  <si>
    <t>贵祖凤</t>
  </si>
  <si>
    <t>张利培</t>
  </si>
  <si>
    <t>开胃酒;利⼝酒;葡萄酒;清酒（⽇本⽶酒）;酒精饮料（啤酒除外）;朗姆酒;烧酒;⽩酒;鸡尾酒;果酒</t>
  </si>
  <si>
    <t>巅峰天香</t>
  </si>
  <si>
    <t>果酒（含酒精）;清酒（⽇本⽶酒）;蜂蜜酒;⻩酒;酒精饮料（啤酒除外）;开胃酒;鸡尾酒;⽩酒;葡萄酒;烧酒</t>
  </si>
  <si>
    <t>兜兜爱</t>
  </si>
  <si>
    <t>图灵智能（北京）科技有限公司</t>
  </si>
  <si>
    <t>威⼠忌;汽酒;葡萄酒;⽶酒;清酒（⽇本⽶酒）;⻩酒;果酒;烧酒;⽩酒;⽩兰地</t>
  </si>
  <si>
    <t>蝶蝗神</t>
  </si>
  <si>
    <t>何水丽412721********5442</t>
  </si>
  <si>
    <t>⽶酒;烧酒;⾕物制蒸馏酒精饮料;果酒（含酒精）;鸡尾酒;⽩酒;烈酒（饮料）;开胃酒;蒸馏饮料;葡萄酒</t>
  </si>
  <si>
    <t>杯满尚</t>
  </si>
  <si>
    <t>合肥醉八两电子商务有限公司</t>
  </si>
  <si>
    <t>⻩酒;露酒;蒸馏饮料;⽶酒;⾷⽤酒精;⽼酒（中国蒸馏烈酒）;烈性⼲酒;⽩酒;葡萄酒;烧酒</t>
  </si>
  <si>
    <t>滴监淳</t>
  </si>
  <si>
    <t>黄永军</t>
  </si>
  <si>
    <t>开胃酒;利⼝酒;⽩酒;⾕物制蒸馏酒精饮料;⽶酒;⻘稞酒;烧酒;果酒（含酒精）;⻩酒;烈酒（饮料）</t>
  </si>
  <si>
    <t>观沩</t>
  </si>
  <si>
    <t>龚春华</t>
  </si>
  <si>
    <t>烈酒（饮料）;⽩酒;⻩酒;果酒;甜酒;酒精饮料（啤酒除外）;⽶酒;烧酒;汽酒;葡萄酒</t>
  </si>
  <si>
    <t>京韭</t>
  </si>
  <si>
    <t>金小山</t>
  </si>
  <si>
    <t>威⼠忌;葡萄酒;⻩酒;⽩酒;清酒（⽇本⽶酒）;烈酒;果酒（含酒精）;开胃酒;鸡尾酒;酒精饮料（啤酒除外）</t>
  </si>
  <si>
    <t>SWELLLEE</t>
  </si>
  <si>
    <t>尚羽鑫</t>
  </si>
  <si>
    <t>葡萄酒;威⼠忌;鸡尾酒;⻩酒;含⽔果酒精饮料;烧酒;⽩酒;果酒（含酒精）;⻘稞酒;⽶酒</t>
  </si>
  <si>
    <t>衡昌珍品</t>
  </si>
  <si>
    <t>烧酒;⽩⼲酒（中国⽩酒）;⽩酒;由⾕物蒸馏的⽩酒;⾼粱酒;开胃酒;蒸煮提取物（利⼝酒和烈酒）;五加⽪酒（中国混合烈酒）;⻩酒;⻘稞酒</t>
  </si>
  <si>
    <t>贵州中赤酒业股份有限公司</t>
  </si>
  <si>
    <t>利⼝酒;餐后酒（利⼝酒和烈酒）;蒸馏饮料;⽩酒;⽶酒;预先混合的酒精饮料（以啤酒为主的除外）;烈酒（饮料）;⻘稞酒;烧酒;酒精饮料（啤酒除外）</t>
  </si>
  <si>
    <t>畅仙沛</t>
  </si>
  <si>
    <t>谭勇</t>
  </si>
  <si>
    <t>含⽔果酒精饮料;烧酒;果酒（含酒精）;威⼠忌;蒸馏饮料;鸡尾酒;清酒;⽩酒;烈酒（饮料）;酒精饮料原汁</t>
  </si>
  <si>
    <t>因心甜</t>
  </si>
  <si>
    <t>许汝欢</t>
  </si>
  <si>
    <t>酒精饮料（啤酒除外）;汽酒;含⽔果酒精饮料;⽶酒;⽩酒;烈酒（饮料）;果酒（含酒精）;蒸馏饮料;清酒（⽇本⽶酒）;葡萄酒</t>
  </si>
  <si>
    <t>酣醉幸福</t>
  </si>
  <si>
    <t>浙江家家发水产养殖有限公司</t>
  </si>
  <si>
    <t>⻩酒;⽩酒;威⼠忌;⽶酒;⻘梅酒;鸡尾酒;葡萄酒;烧酒;杨梅酒;⽩兰地</t>
  </si>
  <si>
    <t>七囍七</t>
  </si>
  <si>
    <t>任丘市盐海商贸有限公司</t>
  </si>
  <si>
    <t>露酒;含⽔果酒精饮料;烈酒（饮料）;清酒（⽇本⽶酒）;伏特加酒;⽩酒;烧酒;酒精饮料（啤酒除外）;葡萄酒;⽶酒</t>
  </si>
  <si>
    <t>梁远全</t>
  </si>
  <si>
    <t>烧酒;果酒;⽩酒;⽶酒;果酒（含酒精）;⾷⽤酒精;含⽔果酒精饮料;清酒（⽇本⽶酒）;烈酒（饮料）;⾼粱酒</t>
  </si>
  <si>
    <t>建麟</t>
  </si>
  <si>
    <t>银川舒然商贸有限公司</t>
  </si>
  <si>
    <t>烧酒;清酒;烈酒（饮料）;混合威⼠忌酒;酒精饮料（啤酒除外）;葡萄酒;⽩酒;鸡尾酒;⽶酒;⻩酒</t>
  </si>
  <si>
    <t>九龙双</t>
  </si>
  <si>
    <t>珠海市祖龙酒业有限公司</t>
  </si>
  <si>
    <t>酒精饮料（啤酒除外）;烈酒（饮料）;蒸馏饮料;葡萄酒;烧酒;⽩酒;⽶酒;⻩酒;果酒（含酒精）;酒精饮料浓缩汁</t>
  </si>
  <si>
    <t>粮匠顺</t>
  </si>
  <si>
    <t>利⼝酒;鸡尾酒;开胃酒;果酒;葡萄酒;朗姆酒;烧酒;清酒（⽇本⽶酒）;⽩酒;酒精饮料（啤酒除外）</t>
  </si>
  <si>
    <t>民尚</t>
  </si>
  <si>
    <t>葡萄酒;开胃酒;鸡尾酒;清酒（⽇本⽶酒）;利⼝酒;⽩酒;果酒;朗姆酒;烧酒;酒精饮料（啤酒除外）</t>
  </si>
  <si>
    <t>施娜帕斯</t>
  </si>
  <si>
    <t>冯·赖斯维茨·罗伯托</t>
  </si>
  <si>
    <t>餐后酒（利⼝酒和烈酒）;含⽔果酒精饮料;鸡尾酒;果酒（含酒精）</t>
  </si>
  <si>
    <t>鑫禧禾铁锅炖</t>
  </si>
  <si>
    <t>邵帅</t>
  </si>
  <si>
    <t>烧酒;⻩酒;含⽔果酒精饮料;葡萄酒;汽酒;⽩酒;⽶酒;烈酒;预先混合的酒精饮料（以啤酒为主的除外）;果酒</t>
  </si>
  <si>
    <t>洛峰</t>
  </si>
  <si>
    <t>陈超龙</t>
  </si>
  <si>
    <t>⽩兰地;葡萄酒;伏特加酒;⽩酒;⻩酒;烈酒（饮料）;清酒（⽇本⽶酒）;酒精饮料（啤酒除外）;汽酒;果酒（含酒精）</t>
  </si>
  <si>
    <t>李商汇</t>
  </si>
  <si>
    <t>广州市李氏文化传播有限公司</t>
  </si>
  <si>
    <t>⽶酒;酒精饮料（啤酒除外）;果酒;甜酒;⻩酒;⻘稞酒;露酒;汽酒;⽩酒;葡萄酒</t>
  </si>
  <si>
    <t>慕真</t>
  </si>
  <si>
    <t>黄徐</t>
  </si>
  <si>
    <t>果酒（含酒精）;葡萄酒;⽩酒;⻩酒;⽩兰地;清酒（⽇本⽶酒）;汽酒;酒精饮料（啤酒除外）;伏特加酒;烈酒（饮料）</t>
  </si>
  <si>
    <t>璟樽小酿水调歌头</t>
  </si>
  <si>
    <t>贵州璟樽小酿酒业有限公司</t>
  </si>
  <si>
    <t>豫寿山</t>
  </si>
  <si>
    <t>商丘市众莱商贸有限公司</t>
  </si>
  <si>
    <t>鸡尾酒;蒸馏饮料;酒精饮料（啤酒除外）;烧酒;烈酒（饮料）;⽩酒;葡萄酒;果酒（含酒精）;⽶酒;⻩酒</t>
  </si>
  <si>
    <t>云牧</t>
  </si>
  <si>
    <t>云南勐海牧工商茶叶进出口有限公司</t>
  </si>
  <si>
    <t>⾕物制蒸馏酒精饮料;蒸馏饮料;葡萄酒;⾷⽤酒精;含⽔果酒精饮料;⽩酒;烈酒（饮料）;果酒（含酒精）;酒精饮料（啤酒除外）;预先混合的酒精饮料（以啤酒为主的除外）</t>
  </si>
  <si>
    <t>汉君台山水印象</t>
  </si>
  <si>
    <t>贵州汉君台酒业有限公司</t>
  </si>
  <si>
    <t>南迁八粮</t>
  </si>
  <si>
    <t>龙南市太平堡酒业有限公司</t>
  </si>
  <si>
    <t>蜂蜜酒;⾷⽤酒精;⾼粱酒;葡萄酒;含⽔果酒精饮料;⻩酒;⽩酒;甜酒;果酒;⽶酒</t>
  </si>
  <si>
    <t>首传基</t>
  </si>
  <si>
    <t>重庆济贡商贸有限公司</t>
  </si>
  <si>
    <t>酒精饮料（啤酒除外）;清酒（⽇本⽶酒）;开胃酒;⻩酒;果酒;烧酒;葡萄酒;蒸煮提取物（利⼝酒和烈酒）;⽩酒;⽶酒</t>
  </si>
  <si>
    <t>源中雪</t>
  </si>
  <si>
    <t>四川源中雪国际酒业贸易有限公司</t>
  </si>
  <si>
    <t>⽩酒;威⼠忌;酒精饮料（啤酒除外）;葡萄酒;酒精饮料原汁;伏特加酒;鸡尾酒;烈酒（饮料）;⽶酒;清酒（⽇本⽶酒）</t>
  </si>
  <si>
    <t>瓷色清花</t>
  </si>
  <si>
    <t>酒精饮料（啤酒除外）;鸡尾酒;葡萄酒;烈酒（饮料）;烧酒;果酒（含酒精）;⽩酒;清酒（⽇本⽶酒）;⽶酒;⻩酒</t>
  </si>
  <si>
    <t>醇之美·来野</t>
  </si>
  <si>
    <t>⽩酒;⽶酒;蒸煮提取物（利⼝酒和烈酒）;⾷⽤酒精;烧酒;酒精饮料（啤酒除外）;餐后酒（利⼝酒和烈酒）;开胃酒;果酒（含酒精）;利⼝酒</t>
  </si>
  <si>
    <t>德之巅</t>
  </si>
  <si>
    <t>威⼠忌;烈酒（饮料）;⽩酒;鸡尾酒;⽩兰地;烧酒;⽶酒;葡萄酒;果酒（含酒精）;酒精饮料（啤酒除外）</t>
  </si>
  <si>
    <t>久皓酒窖</t>
  </si>
  <si>
    <t>邱锦海</t>
  </si>
  <si>
    <t>⽩⼲酒（中国⽩酒）;鸡尾酒;葡萄酒;⻩酒;⽼酒（中国蒸馏烈酒）;果酒;⽶酒;⽩酒;烈酒;含酒精的充⽓饮料（啤酒除外）</t>
  </si>
  <si>
    <t>水马仕</t>
  </si>
  <si>
    <t>婺源碳基波生物科技有限公司</t>
  </si>
  <si>
    <t>果酒（含酒精）;葡萄酒;⽩兰地;⽶酒;烧酒;⽩酒;蒸馏饮料;威⼠忌;鸡尾酒;⻩酒</t>
  </si>
  <si>
    <t>吉义生</t>
  </si>
  <si>
    <t>李秀英</t>
  </si>
  <si>
    <t>⽶酒;烧酒;烧酒（烈酒）;⻩酒;葡萄酒;由⾕物蒸馏的⽩酒;含酒精的饮料（啤酒除外）;⽩酒;⾼粱酒;⽩⼲酒（中国⽩酒）</t>
  </si>
  <si>
    <t>赛荧</t>
  </si>
  <si>
    <t>青岛赛荧新能源有限公司</t>
  </si>
  <si>
    <t>果酒（含酒精）;鸡尾酒;⽩兰地;⻘稞酒;⽩酒;威⼠忌;酒精饮料（啤酒除外）;⻩酒;⽶酒;蒸馏饮料</t>
  </si>
  <si>
    <t>馥小侠</t>
  </si>
  <si>
    <t>⻩酒;蜂蜜酒;⽩酒;开胃酒;威⼠忌;⻘稞酒;烈酒（饮料）;鸡尾酒;清酒（⽇本⽶酒）;烧酒</t>
  </si>
  <si>
    <t>听风角</t>
  </si>
  <si>
    <t>浩德财务顾问（山东）有限公司</t>
  </si>
  <si>
    <t>果酒;葡萄酒;⽩酒;烧酒;⾷⽤酒精;鸡尾酒;⻩酒;开胃酒;⽶酒;烈酒</t>
  </si>
  <si>
    <t>琼粮梦</t>
  </si>
  <si>
    <t>周翔翔</t>
  </si>
  <si>
    <t>开胃酒;蜂蜜酒;鸡尾酒;威⼠忌;烧酒;⻘稞酒;⻩酒;烈酒（饮料）;清酒（⽇本⽶酒）;⽩酒</t>
  </si>
  <si>
    <t>鑫泰龙远</t>
  </si>
  <si>
    <t>王金龙</t>
  </si>
  <si>
    <t>葡萄酒;⾷⽤酒精;烈酒（饮料）;酒精饮料（啤酒除外）;果酒（含酒精）;开胃酒;烧酒;⽩酒;含⽔果酒精饮料;⽶酒</t>
  </si>
  <si>
    <t>馥玲珑</t>
  </si>
  <si>
    <t>蜂蜜酒;⻩酒;烧酒;清酒（⽇本⽶酒）;⽩酒;⻘稞酒;威⼠忌;鸡尾酒;开胃酒;烈酒（饮料）</t>
  </si>
  <si>
    <t>甘渠</t>
  </si>
  <si>
    <t>烈酒（饮料）;开胃酒;⽩酒;威⼠忌;⻘稞酒;⻩酒;鸡尾酒;清酒（⽇本⽶酒）;蜂蜜酒;烧酒</t>
  </si>
  <si>
    <t>美九天下</t>
  </si>
  <si>
    <t>⻘稞酒;⻩酒;⽼酒（中国蒸馏烈酒）;薄荷酒;清酒;⽩酒;果酒（含酒精）;烈酒（饮料）;⽶酒;烧酒</t>
  </si>
  <si>
    <t>贵春忆</t>
  </si>
  <si>
    <t>开胃酒;果酒;朗姆酒;清酒（⽇本⽶酒）;葡萄酒;鸡尾酒;酒精饮料（啤酒除外）;利⼝酒;⽩酒;烧酒</t>
  </si>
  <si>
    <t>厚客天香</t>
  </si>
  <si>
    <t>吴军</t>
  </si>
  <si>
    <t>鸡尾酒;⽩酒;果酒（含酒精）;清酒（⽇本⽶酒）;开胃酒;⻩酒;蜂蜜酒;葡萄酒;烧酒;酒精饮料（啤酒除外）</t>
  </si>
  <si>
    <t>吴万顺绛记</t>
  </si>
  <si>
    <t>史志晔</t>
  </si>
  <si>
    <t>⾼粱酒;葡萄酒;⻩酒;⽶酒;烧酒;⽩酒;果酒;甜酒;清酒;烈酒</t>
  </si>
  <si>
    <t>骁天下</t>
  </si>
  <si>
    <t>威⼠忌;开胃酒;烧酒;⽩酒;葡萄酒;⽩兰地;⽶酒;⾼粱酒;鸡尾酒;烈酒（饮料）</t>
  </si>
  <si>
    <t>贵龙浔</t>
  </si>
  <si>
    <t>康宇</t>
  </si>
  <si>
    <t>⻩酒;威⼠忌;烈酒;清酒（⽇本⽶酒）;果酒（含酒精）;开胃酒;鸡尾酒;⽩酒;酒精饮料（啤酒除外）;葡萄酒</t>
  </si>
  <si>
    <t>天九池</t>
  </si>
  <si>
    <t>葡萄酒;⽶酒;⽩兰地;⽩酒;威⼠忌;酒精饮料（啤酒除外）;果酒（含酒精）;烧酒;烈酒（饮料）;鸡尾酒</t>
  </si>
  <si>
    <t>梦江客</t>
  </si>
  <si>
    <t>⽩酒;鸡尾酒;果酒（含酒精）;酒精饮料（啤酒除外）;葡萄酒;烈酒（饮料）;⽩兰地;威⼠忌;⽶酒;烧酒</t>
  </si>
  <si>
    <t>奥马仕</t>
  </si>
  <si>
    <t>贵州奥玛仕酒业有限公司</t>
  </si>
  <si>
    <t>含酒精⽔果饮料;果酒（含酒精）;⽩酒;⾷⽤酒精;⻩酒;烈酒（饮料）;汽酒;红葡萄酒;葡萄酒;鸡尾酒</t>
  </si>
  <si>
    <t>良盛老</t>
  </si>
  <si>
    <t>贵州省仁怀市良盛酒业有限公司</t>
  </si>
  <si>
    <t>⽩酒;烧酒;⽶酒;⽼酒（中国蒸馏烈酒）;烈酒;果酒;酒精饮料（啤酒除外）;⻩酒;⽩⼲酒（中国⽩酒）;⾼粱酒</t>
  </si>
  <si>
    <t>仙荟萃</t>
  </si>
  <si>
    <t>温州萨为科技有限公司</t>
  </si>
  <si>
    <t>威⼠忌;⽩酒;朗姆酒;⽶酒;酒精饮料（啤酒除外）;⻩酒;葡萄酒;鸡尾酒;蜂蜜酒;果酒（含酒精）;⽩兰地</t>
  </si>
  <si>
    <t>锦意</t>
  </si>
  <si>
    <t>海宁市东源纺织有限公司</t>
  </si>
  <si>
    <t>混合威⼠忌酒;果酒;开胃酒;葡萄酒;烈酒;含酒精⽔果饮料;甜酒;⽩酒;烈性⼲酒;⻘梅酒</t>
  </si>
  <si>
    <t>锦蓝台</t>
  </si>
  <si>
    <t>欧杨</t>
  </si>
  <si>
    <t>清酒（⽇本⽶酒）;甜酒;果酒（含酒精）;烈酒（饮料）;葡萄酒;⻩酒;烧酒;⽶酒;⽩酒;酒精饮料（啤酒除外）</t>
  </si>
  <si>
    <t>蓝妃堡</t>
  </si>
  <si>
    <t>北京馥雅泰和商贸有限公司</t>
  </si>
  <si>
    <t>果酒（含酒精）;鸡尾酒;葡萄酒;汽酒;烈酒（饮料）;⽩兰地;威⼠忌;酒精饮料（啤酒除外）;⽩酒;利⼝酒</t>
  </si>
  <si>
    <t>F SOFEE GO！</t>
  </si>
  <si>
    <t>陈强</t>
  </si>
  <si>
    <t>果酒（含酒精）;葡萄酒;烈酒（饮料）;伏特加酒;威⼠忌;酒精饮料（啤酒除外）;⻩酒;⾷⽤酒精;⽩兰地;⽩酒</t>
  </si>
  <si>
    <t>玉福银福</t>
  </si>
  <si>
    <t>贵州玉福酒业（集团）有限公司</t>
  </si>
  <si>
    <t>酒精饮料（啤酒除外）;⽼酒（中国蒸馏烈酒）;甜酒;果酒;葡萄酒;烈酒;⾼粱酒;⽩酒;烧酒;⽶酒</t>
  </si>
  <si>
    <t>万拜</t>
  </si>
  <si>
    <t>贵州祥鲲酒业有限公司</t>
  </si>
  <si>
    <t>果酒（含酒精）;⻩酒;威⼠忌;烈酒（饮料）;⽩兰地;⾷⽤酒精;伏特加酒;⽩酒;葡萄酒;朗姆酒</t>
  </si>
  <si>
    <t>邢小农</t>
  </si>
  <si>
    <t>乔立华</t>
  </si>
  <si>
    <t>葡萄酒;鸡尾酒;⽶酒;酒精饮料（啤酒除外）;⽩酒;开胃酒;果酒（含酒精）;酒精饮料原汁;烧酒;威⼠忌</t>
  </si>
  <si>
    <t>三顺顺三</t>
  </si>
  <si>
    <t>露酒;⽶酒;含⽔果酒精饮料;清酒（⽇本⽶酒）;酒精饮料（啤酒除外）;葡萄酒;烈酒（饮料）;⽩酒;伏特加酒;烧酒</t>
  </si>
  <si>
    <t>伊挑</t>
  </si>
  <si>
    <t>双丽托马斯进出口贸易（深圳）有限公司</t>
  </si>
  <si>
    <t>已调味的⻨芽酿制的酒精饮料（啤酒除外）;鸡尾酒;葡萄酒;红葡萄酒;以葡萄酒为主的饮料;餐后酒（利⼝酒和烈酒）;开胃酒;葡萄汽酒;含酒精的饮料（啤酒除外）;⽩葡萄酒</t>
  </si>
  <si>
    <t>粮地利</t>
  </si>
  <si>
    <t>鸡尾酒;开胃酒;⽩酒;⽶酒;烧酒;酒精饮料（啤酒除外）;酒精饮料原汁;威⼠忌;果酒（含酒精）;葡萄酒</t>
  </si>
  <si>
    <t>鸽秋山</t>
  </si>
  <si>
    <t>黄超林</t>
  </si>
  <si>
    <t>葡萄酒;威⼠忌;苹果酒;伏特加酒;清酒;含酒精的饮料（啤酒除外）;⽩酒;鸡尾酒;⽶酒;薄荷酒</t>
  </si>
  <si>
    <t>稻仲听</t>
  </si>
  <si>
    <t>孙新立410325********4050</t>
  </si>
  <si>
    <t>果酒（含酒精）;⽩酒;⽶酒;烈酒（饮料）;鸡尾酒;烧酒;⻩酒;⽢蔗制烈酒;酒精饮料（啤酒除外）;葡萄酒</t>
  </si>
  <si>
    <t>振辉康典</t>
  </si>
  <si>
    <t>周振辉</t>
  </si>
  <si>
    <t>葡萄酒;酒精饮料（啤酒除外）;⻩酒;汽酒;⽩酒;鸡尾酒;清酒（⽇本⽶酒）;威⼠忌;烈酒（饮料）;⽶酒</t>
  </si>
  <si>
    <t>村佬头</t>
  </si>
  <si>
    <t>徐福会</t>
  </si>
  <si>
    <t>⽩⼲酒（中国⽩酒）;烈酒（饮料）;葡萄酒;⾼粱酒;⽶酒;烧酒;⽩酒;清酒（⽇本⽶酒）;含⽔果酒精饮料;烈酒</t>
  </si>
  <si>
    <t>南越春秋</t>
  </si>
  <si>
    <t>应永刚</t>
  </si>
  <si>
    <t>烈酒;⽩酒;烧酒;佐餐酒;开胃酒;果酒（含酒精）;酒精饮料（啤酒除外）;⽶酒;⽩兰地;⻩酒</t>
  </si>
  <si>
    <t>贵春贵</t>
  </si>
  <si>
    <t>葡萄酒;清酒（⽇本⽶酒）;朗姆酒;⽩酒;开胃酒;果酒;烧酒;鸡尾酒;酒精饮料（啤酒除外）;利⼝酒</t>
  </si>
  <si>
    <t>恒银昌</t>
  </si>
  <si>
    <t>太原汾水谣酒业有限公司</t>
  </si>
  <si>
    <t>烈酒;清酒;⽶酒;烧酒;⾼粱酒;⽩酒;⽼酒（中国蒸馏烈酒）;⽩⼲酒（中国⽩酒）;⻩酒;汽酒</t>
  </si>
  <si>
    <t>来野一族</t>
  </si>
  <si>
    <t>开胃酒;餐后酒（利⼝酒和烈酒）;酒精饮料（啤酒除外）;利⼝酒;⾷⽤酒精;⽩酒;⽶酒;果酒（含酒精）;蒸煮提取物（利⼝酒和烈酒）;烧酒</t>
  </si>
  <si>
    <t>HENDE</t>
  </si>
  <si>
    <t>四川省很德电器有限公司</t>
  </si>
  <si>
    <t>汽酒;蒸馏饮料;开胃酒;酒精饮料（啤酒除外）;葡萄酒;⽶酒;⻩酒;鸡尾酒;⽩酒;果酒</t>
  </si>
  <si>
    <t>巧老太</t>
  </si>
  <si>
    <t>安阳越鼎建材有限责任公司</t>
  </si>
  <si>
    <t>酒精饮料（啤酒除外）;⾷⽤酒精;开胃酒;果酒（含酒精）;鸡尾酒;⽶酒;伏特加酒;⽩酒;葡萄酒;烧酒</t>
  </si>
  <si>
    <t>经楼福</t>
  </si>
  <si>
    <t>蒸馏饮料;果酒（含酒精）;蒸煮提取物（利⼝酒和烈酒）;⽩酒;⻩酒;烈酒;⽶酒;汽酒;酒精饮料原汁;烧酒</t>
  </si>
  <si>
    <t>羧定</t>
  </si>
  <si>
    <t>陕西君诚华盛农特科技有限公司</t>
  </si>
  <si>
    <t>葡萄酒;汽酒;烈酒（饮料）;鸡尾酒;⽶酒;⽩酒;烧酒;酒精饮料（啤酒除外）;果酒（含酒精）;⻩酒</t>
  </si>
  <si>
    <t>粮德利</t>
  </si>
  <si>
    <t>酒精饮料原汁;果酒（含酒精）;葡萄酒;酒精饮料（啤酒除外）;开胃酒;⽩酒;⽶酒;鸡尾酒;威⼠忌;烧酒</t>
  </si>
  <si>
    <t>囍丞相</t>
  </si>
  <si>
    <t>刘广磊</t>
  </si>
  <si>
    <t>烧酒;葡萄酒;蒸馏饮料;⻩酒;⽩酒;烈酒（饮料）;威⼠忌;⽶酒;酒精饮料（啤酒除外）;果酒（含酒精）</t>
  </si>
  <si>
    <t>笛帆</t>
  </si>
  <si>
    <t>付丽丽</t>
  </si>
  <si>
    <t>⽶酒;蒸馏饮料;⽩兰地;威⼠忌;⽩酒;烧酒;果酒（含酒精）;鸡尾酒;⻩酒;葡萄酒</t>
  </si>
  <si>
    <t>哈悠希</t>
  </si>
  <si>
    <t>陈爱云</t>
  </si>
  <si>
    <t>⽩酒;果酒（含酒精）;烧酒;苹果酒;鸡尾酒;汽酒;葡萄酒;⽶酒;朗姆酒;⻩酒</t>
  </si>
  <si>
    <t>NATIVE GOOSE</t>
  </si>
  <si>
    <t>库纳瓦拉葡萄酒有限公司</t>
  </si>
  <si>
    <t>烈酒（饮料）;酸酒（低等葡萄酒）;开胃酒;亚⼒酒;⽩兰地;威⼠忌;葡萄酒;薄荷酒;利⼝酒;朗姆酒</t>
  </si>
  <si>
    <t>甬蔬心</t>
  </si>
  <si>
    <t>宁波市农业发展集团有限公司</t>
  </si>
  <si>
    <t>苦味酒;酒精饮料原汁;酒精饮料（啤酒除外）;⻩酒;烧酒;果酒（含酒精）;蜂蜜酒;⽶酒;⾷⽤酒精;⽩酒</t>
  </si>
  <si>
    <t>金藤龄</t>
  </si>
  <si>
    <t>黄静娴</t>
  </si>
  <si>
    <t>威⼠忌;⽩酒;⽶酒;酸酒（低等葡萄酒）;⻩酒;清酒（⽇本⽶酒）;⽩兰地;葡萄酒;酒精饮料（啤酒除外）;伏特加酒</t>
  </si>
  <si>
    <t>麦家舅舅</t>
  </si>
  <si>
    <t>麦林海</t>
  </si>
  <si>
    <t>利⼝酒;含⽔果酒精饮料;⽶酒;烧酒;果酒（含酒精）;开胃酒;⻩酒;烈酒（饮料）;蒸煮提取物（利⼝酒和烈酒）;⽩酒</t>
  </si>
  <si>
    <t>SPINNING PLATES</t>
  </si>
  <si>
    <t>布雷顿葡萄酒有限公司</t>
  </si>
  <si>
    <t>定康中泰</t>
  </si>
  <si>
    <t>张应淑</t>
  </si>
  <si>
    <t>酒精饮料（啤酒除外）;烧酒;⻘稞酒;烈酒;⽩酒;⽶酒;开胃酒;⻩酒;葡萄酒;⾼粱酒</t>
  </si>
  <si>
    <t>醴品天</t>
  </si>
  <si>
    <t>新余长丽贸易有限公司</t>
  </si>
  <si>
    <t>果酒（含酒精）;威⼠忌;⽶酒;汽酒;⽩兰地;烧酒;伏特加酒;⽩酒;鸡尾酒;葡萄酒</t>
  </si>
  <si>
    <t>曲凤元</t>
  </si>
  <si>
    <t>李艳</t>
  </si>
  <si>
    <t>开胃酒;鸡尾酒;⽩酒;⻩酒;烧酒;⻘稞酒;烈酒（饮料）;清酒（⽇本⽶酒）;威⼠忌;蜂蜜酒</t>
  </si>
  <si>
    <t>冰山灰雁</t>
  </si>
  <si>
    <t>徐州摩登家族商贸有限公司</t>
  </si>
  <si>
    <t>⽶酒;葡萄酒;预先混合的酒精饮料（以啤酒为主的除外）;汽酒;蒸煮提取物（利⼝酒和烈酒）;伏特加酒;果酒（含酒精）;烧酒;威⼠忌;⽩兰地</t>
  </si>
  <si>
    <t>仙求草</t>
  </si>
  <si>
    <t>成都新源工贸有限公司</t>
  </si>
  <si>
    <t>⽩兰地;含酒精的⽓泡⽔;烈酒;⽶酒;酒精饮料原汁;露酒;果酒（含酒精）;⽩酒;⻩酒;葡萄酒</t>
  </si>
  <si>
    <t>贵窖赢</t>
  </si>
  <si>
    <t>葡萄酒;鸡尾酒;烧酒;朗姆酒;酒精饮料（啤酒除外）;利⼝酒;开胃酒;清酒（⽇本⽶酒）;果酒;⽩酒</t>
  </si>
  <si>
    <t>贵藏鼎</t>
  </si>
  <si>
    <t>酒精饮料（啤酒除外）;烧酒;开胃酒;葡萄酒;⽩酒;朗姆酒;利⼝酒;清酒（⽇本⽶酒）;果酒;鸡尾酒</t>
  </si>
  <si>
    <t>问鼎境界</t>
  </si>
  <si>
    <t>谢可恩</t>
  </si>
  <si>
    <t>⽩酒;⽩兰地;⽶酒;⻘稞酒;葡萄酒;烧酒;果酒（含酒精）;清酒（⽇本⽶酒）;⻩酒;威⼠忌</t>
  </si>
  <si>
    <t>董卫</t>
  </si>
  <si>
    <t>张志刚</t>
  </si>
  <si>
    <t>清酒;烧酒;伏特加酒;⻩酒;烈酒（饮料）;⽩酒;葡萄酒;酒精饮料（啤酒除外）;含⽔果酒精饮料;⽶酒</t>
  </si>
  <si>
    <t>黔酿凤</t>
  </si>
  <si>
    <t>魏丰登</t>
  </si>
  <si>
    <t>烧酒;⽩酒;鸡尾酒;利⼝酒;酒精饮料（啤酒除外）;朗姆酒;葡萄酒;清酒（⽇本⽶酒）;果酒;开胃酒</t>
  </si>
  <si>
    <t>亚明将</t>
  </si>
  <si>
    <t>张云锋</t>
  </si>
  <si>
    <t>⽶酒;威⼠忌;⽩酒;伏特加酒;⽩兰地;开胃酒;果酒（含酒精）;烧酒;葡萄酒;酒精饮料（啤酒除外）</t>
  </si>
  <si>
    <t>赫泊仑</t>
  </si>
  <si>
    <t>蜂蜜酒;烈酒（饮料）;⻩酒;鸡尾酒;⻘稞酒;开胃酒;清酒（⽇本⽶酒）;烧酒;⽩酒;威⼠忌</t>
  </si>
  <si>
    <t>汇达利</t>
  </si>
  <si>
    <t>张丽红</t>
  </si>
  <si>
    <t>果酒（含酒精）;烧酒（烈酒）;⽩酒;烧酒;露酒;⾼粱酒;烈酒（饮料）;⽩⼲酒（中国⽩酒）;⽼酒（中国蒸馏烈酒）;由⾕物蒸馏的⽩酒</t>
  </si>
  <si>
    <t>马帮来</t>
  </si>
  <si>
    <t>葡萄酒;预先混合的酒精饮料（以啤酒为主的除外）;⾕物制蒸馏酒精饮料;果酒（含酒精）;蒸馏饮料;烈酒（饮料）;酒精饮料（啤酒除外）;⾷⽤酒精;含⽔果酒精饮料;⽩酒</t>
  </si>
  <si>
    <t>贵遵禧</t>
  </si>
  <si>
    <t>开胃酒;清酒（⽇本⽶酒）;烧酒;利⼝酒;朗姆酒;酒精饮料（啤酒除外）;⽩酒;葡萄酒;鸡尾酒;果酒</t>
  </si>
  <si>
    <t>帝仑司</t>
  </si>
  <si>
    <t>覃雪珠</t>
  </si>
  <si>
    <t>⽩酒;清酒（⽇本⽶酒）;鸡尾酒;酒精饮料（啤酒除外）;烈酒;威⼠忌;开胃酒;⻩酒;果酒（含酒精）;葡萄酒</t>
  </si>
  <si>
    <t>京将梦</t>
  </si>
  <si>
    <t>⽶酒;⽩兰地;烧酒;⽩酒;威⼠忌;酒精饮料（啤酒除外）;葡萄酒;果酒（含酒精）;烈酒（饮料）;鸡尾酒</t>
  </si>
  <si>
    <t>节补方物</t>
  </si>
  <si>
    <t>果酒（含酒精）;清酒（⽇本⽶酒）;含⽔果酒精饮料;烈酒（饮料）;⽶酒;汽酒;⽩酒;蒸馏饮料;葡萄酒;酒精饮料（啤酒除外）</t>
  </si>
  <si>
    <t>烈酩公</t>
  </si>
  <si>
    <t>鸡尾酒;开胃酒;烈酒（饮料）;⽩酒;烧酒;蜂蜜酒;⻘稞酒;⻩酒;威⼠忌;清酒（⽇本⽶酒）</t>
  </si>
  <si>
    <t>金炒古</t>
  </si>
  <si>
    <t>山东三角洲孤岛酒业有限公司</t>
  </si>
  <si>
    <t>⾼粱酒;威⼠忌;果酒（含酒精）;⽼酒（中国蒸馏烈酒）;以葡萄酒为主的饮料;鸡尾酒;⽶酒;⽩⼲酒（中国⽩酒）;伏特加酒;⽩酒</t>
  </si>
  <si>
    <t>经楼醇</t>
  </si>
  <si>
    <t>酒精饮料原汁;⻩酒;蒸煮提取物（利⼝酒和烈酒）;⽩酒;烧酒;⽶酒;果酒（含酒精）;蒸馏饮料;烈酒;汽酒</t>
  </si>
  <si>
    <t>昊天剑</t>
  </si>
  <si>
    <t>中酒投企业管理（贵州）有限公司</t>
  </si>
  <si>
    <t>酒精饮料（啤酒除外）;烧酒;葡萄酒;⽩酒;果酒（含酒精）</t>
  </si>
  <si>
    <t>六囍六</t>
  </si>
  <si>
    <t>伏特加酒;酒精饮料（啤酒除外）;⽶酒;⽩酒;葡萄酒;烧酒;烈酒（饮料）;含⽔果酒精饮料;露酒;清酒（⽇本⽶酒）</t>
  </si>
  <si>
    <t>叶化蝶 LEAF BUTTERFLY</t>
  </si>
  <si>
    <t>刘强</t>
  </si>
  <si>
    <t>仁贤上淳</t>
  </si>
  <si>
    <t>蒋志英</t>
  </si>
  <si>
    <t>⽼酒（中国蒸馏烈酒）;含酒精的充⽓饮料（啤酒除外）;烈酒;鸡尾酒;⻩酒;⽩酒;果酒;⽩⼲酒（中国⽩酒）;⽶酒;葡萄酒</t>
  </si>
  <si>
    <t>壮天神酒</t>
  </si>
  <si>
    <t>安徽纪酿酒业有限公司</t>
  </si>
  <si>
    <t>⽩酒;含酒精的饮料（啤酒除外）;果酒（含酒精）;鸡尾酒;烧酒;⽶酒;葡萄酒;⻩酒;⻘稞酒;威⼠忌</t>
  </si>
  <si>
    <t>GOBLIN SHARKS</t>
  </si>
  <si>
    <t>圣泽西集团有限公司</t>
  </si>
  <si>
    <t>葡萄酒;⻩酒;酒精饮料（啤酒除外）;⽶酒;果酒（含酒精）;酒精饮料原汁;威⼠忌;鸡尾酒;烧酒;蒸馏饮料</t>
  </si>
  <si>
    <t>华酒酒海</t>
  </si>
  <si>
    <t>贵州南窖酒业有限公司</t>
  </si>
  <si>
    <t>⽩酒;含⽔果酒精饮料;汽酒;蒸馏饮料;由⾕物蒸馏的⽩酒;⻩酒;⾷⽤酒精;⽶酒;烧酒;⾕物制蒸馏酒精饮料</t>
  </si>
  <si>
    <t>利⼝酒;酒精饮料浓缩汁;果酒（含酒精）;蒸馏饮料;酒精饮料（啤酒除外）;烈酒（饮料）;⽩酒;⽩兰地;威⼠忌;餐后酒（利⼝酒和烈酒）</t>
  </si>
  <si>
    <t>夵沙</t>
  </si>
  <si>
    <t>酒精饮料（啤酒除外）;葡萄酒;⽩酒;由⾕物蒸馏的⽩酒;⽩⼲酒（中国⽩酒）;鸡尾酒;含酒精的饮料（啤酒除外）;烈酒（饮料）;果酒（含酒精）;⻩酒</t>
  </si>
  <si>
    <t>ARCHERY ROAD</t>
  </si>
  <si>
    <t>酸酒（低等葡萄酒）;葡萄酒;薄荷酒;朗姆酒;威⼠忌;烈酒（饮料）;⽩兰地;亚⼒酒;利⼝酒;开胃酒</t>
  </si>
  <si>
    <t>THOMPSON STEER</t>
  </si>
  <si>
    <t>薄荷酒;利⼝酒;酸酒（低等葡萄酒）;朗姆酒;亚⼒酒;威⼠忌;烈酒（饮料）;葡萄酒;开胃酒;⽩兰地</t>
  </si>
  <si>
    <t>新一族来野</t>
  </si>
  <si>
    <t>蒸煮提取物（利⼝酒和烈酒）;⾷⽤酒精;利⼝酒;果酒（含酒精）;⽶酒;⽩酒;酒精饮料（啤酒除外）;餐后酒（利⼝酒和烈酒）;开胃酒;烧酒</t>
  </si>
  <si>
    <t>北京京象供应链管理有限公司</t>
  </si>
  <si>
    <t>果酒（含酒精）;蒸馏饮料;预先混合的酒精饮料（以啤酒为主的除外）;鸡尾酒;⻩酒;开胃酒;⽩酒;葡萄酒;汽酒;含⽔果酒精饮料</t>
  </si>
  <si>
    <t>上海易测企业咨询有限公司</t>
  </si>
  <si>
    <t>⻩酒;果酒（含酒精）;威⼠忌;朗姆酒;开胃酒;⽩酒;⽶酒;烧酒（烈酒）;烧酒;伏特加酒</t>
  </si>
  <si>
    <t>必士筹</t>
  </si>
  <si>
    <t>上海无术餐饮管理有限公司</t>
  </si>
  <si>
    <t>葡萄酒;烈酒（饮料）;清酒（⽇本⽶酒）;⽶酒;烧酒;果酒（含酒精）;蒸馏饮料;⽩酒;鸡尾酒;⻩酒</t>
  </si>
  <si>
    <t>施娜帕丝</t>
  </si>
  <si>
    <t>果酒（含酒精）;含⽔果酒精饮料;餐后酒（利⼝酒和烈酒）;鸡尾酒</t>
  </si>
  <si>
    <t>银食</t>
  </si>
  <si>
    <t>辽宁东阔商贸发展有限公司</t>
  </si>
  <si>
    <t>⽩酒;烧酒;⽩⼲酒（中国⽩酒）;⻩酒;除啤酒外的酒精饮料;烈酒浓缩汁;烈酒（饮料）;烈性⼲酒;⾼粱酒;烧酒（烈酒）</t>
  </si>
  <si>
    <t>驹群</t>
  </si>
  <si>
    <t>刘万聪</t>
  </si>
  <si>
    <t>红葡萄酒;⻘稞酒;⽩酒;桃红葡萄酒;酒精饮料原汁;蒸馏饮料;葡萄酒;含⽔果酒精饮料;果酒（含酒精）;⽩葡萄酒</t>
  </si>
  <si>
    <t>衡云边</t>
  </si>
  <si>
    <t>康倩</t>
  </si>
  <si>
    <t>鸡尾酒;威⼠忌;蜂蜜酒;⽩酒;⻩酒;开胃酒;清酒（⽇本⽶酒）;烧酒;⻘稞酒;烈酒（饮料）</t>
  </si>
  <si>
    <t>泸子窑</t>
  </si>
  <si>
    <t>泸州勇涛商贸有限公司</t>
  </si>
  <si>
    <t>⾷⽤酒精;酸酒（低等葡萄酒）;樱桃酒;蜂蜜酒;葡萄酒;⻘稞酒;⽩酒;预先混合的酒精饮料（以啤酒为主的除外）;⽶酒;烧酒</t>
  </si>
  <si>
    <t>戈兰觅</t>
  </si>
  <si>
    <t>宁夏戈兰酒庄有限公司</t>
  </si>
  <si>
    <t>桃红葡萄酒;⽩兰地;以葡萄酒为主的饮料;⽩酒;除啤酒外的酒精饮料;起泡⽩葡萄酒;加烈葡萄酒;葡萄酒;⽩葡萄酒;红葡萄酒</t>
  </si>
  <si>
    <t>匠汇匠</t>
  </si>
  <si>
    <t>华骆世家服饰有限公司</t>
  </si>
  <si>
    <t>含⽔果酒精饮料;⽶酒;果酒（含酒精）;⽩酒;⽩兰地;⾷⽤酒精;葡萄酒;酒精饮料（啤酒除外）;⻩酒;鸡尾酒</t>
  </si>
  <si>
    <t>禧焱年</t>
  </si>
  <si>
    <t>山东藏蕴酒业有限公司</t>
  </si>
  <si>
    <t>果酒（含酒精）;烈酒（饮料）;葡萄酒;⽩酒;⽶酒;威⼠忌;⻩酒;已调味的蒸馏酒;烧酒;⽩兰地</t>
  </si>
  <si>
    <t>玉福福韵</t>
  </si>
  <si>
    <t>⽶酒;烧酒;⽼酒（中国蒸馏烈酒）;葡萄酒;果酒;⽩酒;烈酒;甜酒;⾼粱酒;酒精饮料（啤酒除外）</t>
  </si>
  <si>
    <t>予禧悦</t>
  </si>
  <si>
    <t>宋炳妮</t>
  </si>
  <si>
    <t>⾷⽤酒精;开胃酒;酒精饮料（啤酒除外）;预先混合的酒精饮料（以啤酒为主的除外）;⻩酒;果酒;烧酒;蒸馏饮料;含⽔果酒精饮料;⽩酒</t>
  </si>
  <si>
    <t>贵遵父</t>
  </si>
  <si>
    <t>⽩酒;清酒（⽇本⽶酒）;烧酒;鸡尾酒;酒精饮料（啤酒除外）;葡萄酒;开胃酒;果酒;朗姆酒;利⼝酒</t>
  </si>
  <si>
    <t>酒州皇子</t>
  </si>
  <si>
    <t>⽩酒;葡萄酒;烈酒;清酒（⽇本⽶酒）;烧酒;⽶酒;⾼粱酒;烈酒（饮料）;⽩⼲酒（中国⽩酒）;含⽔果酒精饮料</t>
  </si>
  <si>
    <t>臻鲜拾客</t>
  </si>
  <si>
    <t>董宝庆</t>
  </si>
  <si>
    <t>果酒（含酒精）;⽩酒;酒精饮料（啤酒除外）;烈酒（饮料）;汽酒;烧酒;⻩酒;葡萄酒;伏特加酒;⽶酒</t>
  </si>
  <si>
    <t>湘友</t>
  </si>
  <si>
    <t>鸡尾酒;⽩酒;开胃酒;清酒（⽇本⽶酒）;利⼝酒;酒精饮料（啤酒除外）;葡萄酒;朗姆酒;烧酒;果酒</t>
  </si>
  <si>
    <t>包清源</t>
  </si>
  <si>
    <t>包头轻工职业技术学院</t>
  </si>
  <si>
    <t>烧酒;⽶酒;⻘稞酒;⽩酒;薄荷酒;鸡尾酒;⾷⽤酒精</t>
  </si>
  <si>
    <t>宝实·赤宝</t>
  </si>
  <si>
    <t>银川宝实葡萄酒庄有限公司</t>
  </si>
  <si>
    <t>⽩酒;⽶酒;酒精饮料（啤酒除外）;鸡尾酒;⾷⽤酒精;烈酒（饮料）;烧酒;葡萄酒;甜果酒;果酒（含酒精）</t>
  </si>
  <si>
    <t>百里川</t>
  </si>
  <si>
    <t>吉克名庄荟葡萄酒（北京）有限公司</t>
  </si>
  <si>
    <t>伏特加酒;⽩兰地;⽶酒;清酒;鸡尾酒;汽酒;威⼠忌;⽩酒;⻩酒;葡萄酒</t>
  </si>
  <si>
    <t>宝实·墨宝</t>
  </si>
  <si>
    <t>甜果酒;⽩酒;⾷⽤酒精;烧酒;烈酒（饮料）;葡萄酒;酒精饮料（啤酒除外）;鸡尾酒;果酒（含酒精）;⽶酒</t>
  </si>
  <si>
    <t>贵遵喜</t>
  </si>
  <si>
    <t>鸡尾酒;烧酒;葡萄酒;酒精饮料（啤酒除外）;利⼝酒;果酒;朗姆酒;开胃酒;清酒（⽇本⽶酒）;⽩酒</t>
  </si>
  <si>
    <t>山海飞鸿</t>
  </si>
  <si>
    <t>⽩酒;⾕物制蒸馏酒精饮料;餐后酒（利⼝酒和烈酒）;果酒（含酒精）;蒸馏饮料;酒精饮料浓缩汁;葡萄酒;烧酒;烈酒（饮料）;酒精饮料（啤酒除外）</t>
  </si>
  <si>
    <t>祁儒</t>
  </si>
  <si>
    <t>蜂蜜酒;烧酒;烈酒（饮料）;威⼠忌;⽩酒;⻘稞酒;⻩酒;开胃酒;鸡尾酒;清酒（⽇本⽶酒）</t>
  </si>
  <si>
    <t>DEVITT&amp;MOORE</t>
  </si>
  <si>
    <t>酸酒（低等葡萄酒）;葡萄酒;薄荷酒;亚⼒酒;开胃酒;⽩兰地;威⼠忌;烈酒（饮料）;朗姆酒;利⼝酒</t>
  </si>
  <si>
    <t>贵庄华</t>
  </si>
  <si>
    <t>叶孝敏</t>
  </si>
  <si>
    <t>开胃酒;朗姆酒;酒精饮料（啤酒除外）;烧酒;⽩酒;清酒（⽇本⽶酒）;鸡尾酒;果酒;利⼝酒;葡萄酒</t>
  </si>
  <si>
    <t>祁员外</t>
  </si>
  <si>
    <t>鸡尾酒;清酒（⽇本⽶酒）;⻘稞酒;⻩酒;烧酒;威⼠忌;⽩酒;开胃酒;烈酒（饮料）;蜂蜜酒</t>
  </si>
  <si>
    <t>津武旗农</t>
  </si>
  <si>
    <t>杜志山</t>
  </si>
  <si>
    <t>预先混合的酒精饮料（以啤酒为主的除外）;梨酒;⽩酒;⾕物制蒸馏酒精饮料;烧酒;葡萄酒;蒸馏饮料;⽶酒;酒精饮料（啤酒除外）;鸡尾酒</t>
  </si>
  <si>
    <t>缘君道</t>
  </si>
  <si>
    <t>贵州省仁怀市茅思缘酒业有限公司</t>
  </si>
  <si>
    <t>葡萄酒;含酒精⽔果饮料;清酒;⽶酒;⽩酒;⾼粱酒;果酒（含酒精）;烈酒;烧酒;⽼酒（中国蒸馏烈酒）</t>
  </si>
  <si>
    <t>北晓南</t>
  </si>
  <si>
    <t>果酒（含酒精）;⽩酒;烈酒（饮料）;葡萄酒;朗姆酒;⾷⽤酒精;⻩酒;伏特加酒;威⼠忌;⽩兰地</t>
  </si>
  <si>
    <t>曾沅</t>
  </si>
  <si>
    <t>含⽔果酒精饮料;甜酒;果酒（含酒精）;⽩酒;汽酒;鸡尾酒;酒精饮料（啤酒除外）;⻩酒;⽶酒;烈酒</t>
  </si>
  <si>
    <t>桃醴颜</t>
  </si>
  <si>
    <t>北京醴醪汤液科技有限公司</t>
  </si>
  <si>
    <t>果酒（含酒精）;⽩酒;鸡尾酒;葡萄酒;蒸馏饮料;威⼠忌;⽶酒;烧酒;酒精饮料（啤酒除外）;⻩酒</t>
  </si>
  <si>
    <t>妃渠</t>
  </si>
  <si>
    <t>开胃酒;蜂蜜酒;烧酒;清酒（⽇本⽶酒）;⻩酒;鸡尾酒;威⼠忌;⽩酒;⻘稞酒;烈酒（饮料）</t>
  </si>
  <si>
    <t>爱伯格</t>
  </si>
  <si>
    <t>汽酒;葡萄酒;⽶酒;伏特加酒;⻩酒;清酒;⽩兰地;⽩酒;鸡尾酒;威⼠忌</t>
  </si>
  <si>
    <t>玉福福运</t>
  </si>
  <si>
    <t>葡萄酒;⽶酒;⾼粱酒;果酒;甜酒;⽩酒;⽼酒（中国蒸馏烈酒）;烧酒;烈酒;酒精饮料（啤酒除外）</t>
  </si>
  <si>
    <t>果仙友</t>
  </si>
  <si>
    <t>陕西鑫利隆辉农业发展有限公司</t>
  </si>
  <si>
    <t>薄荷酒;果酒（含酒精）;鸡尾酒;威⼠忌;⼲型苹果酒;⽩酒;苹果酒;烈酒（饮料）;含⽔果酒精饮料;⻩酒</t>
  </si>
  <si>
    <t>窖祥春</t>
  </si>
  <si>
    <t>威⼠忌;清酒（⽇本⽶酒）;开胃酒;⻘稞酒;烧酒;⽩酒;鸡尾酒;烈酒（饮料）;蜂蜜酒;⻩酒</t>
  </si>
  <si>
    <t>兰花宏图</t>
  </si>
  <si>
    <t>赵耀煜</t>
  </si>
  <si>
    <t>⻩酒;汽酒;烧酒;烈酒;⽩酒;以葡萄酒为主的饮料;⽶酒;甜酒;葡萄酒;酒精饮料（啤酒除外）</t>
  </si>
  <si>
    <t>AIDD</t>
  </si>
  <si>
    <t>合阳五粮丰酒坊</t>
  </si>
  <si>
    <t>⽩兰地;⽩酒;葡萄酒;烈酒（饮料）;果酒（含酒精）;樱桃酒;伏特加酒;⻘稞酒;⾕物制蒸馏酒精饮料;威⼠忌</t>
  </si>
  <si>
    <t>翠翠湘艺</t>
  </si>
  <si>
    <t>张仕翠</t>
  </si>
  <si>
    <t>开胃酒;葡萄酒;酒精饮料（啤酒除外）;⻩酒;含⽔果酒精饮料;威⼠忌;果酒（含酒精）;薄荷酒;⽩酒;蒸馏饮料</t>
  </si>
  <si>
    <t>MAGAREY LANE</t>
  </si>
  <si>
    <t>酸酒（低等葡萄酒）;亚⼒酒;烈酒（饮料）;⽩兰地;威⼠忌;薄荷酒;朗姆酒;开胃酒;利⼝酒;葡萄酒</t>
  </si>
  <si>
    <t>吴万顺绍记</t>
  </si>
  <si>
    <t>⾼粱酒;清酒;甜酒;葡萄酒;烧酒;⽩酒;果酒;⽶酒;烈酒;⻩酒</t>
  </si>
  <si>
    <t>千古天娇</t>
  </si>
  <si>
    <t>烧酒;葡萄酒;⽩酒;⽶酒;烈酒;烈酒（饮料）;含⽔果酒精饮料;⽩⼲酒（中国⽩酒）;⾼粱酒;清酒（⽇本⽶酒）</t>
  </si>
  <si>
    <t>九五天娇</t>
  </si>
  <si>
    <t>⽶酒;烈酒;烧酒;⽩酒;含⽔果酒精饮料;⽩⼲酒（中国⽩酒）;⾼粱酒;烈酒（饮料）;清酒（⽇本⽶酒）;葡萄酒</t>
  </si>
  <si>
    <t>谷中井</t>
  </si>
  <si>
    <t>鸡尾酒;酒精饮料（啤酒除外）;⽶酒;烈酒（饮料）;威⼠忌;⽩酒;烧酒;葡萄酒;果酒（含酒精）;⽩兰地</t>
  </si>
  <si>
    <t>甘岳山</t>
  </si>
  <si>
    <t>梁佳佳</t>
  </si>
  <si>
    <t>⽩酒;威⼠忌;鸡尾酒;烈酒（饮料）;果酒（含酒精）;酒精饮料（啤酒除外）;⽶酒;烧酒;葡萄酒;⽩兰地</t>
  </si>
  <si>
    <t>齐硕</t>
  </si>
  <si>
    <t>上海齐硕实业有限公司</t>
  </si>
  <si>
    <t>葡萄酒;果酒（含酒精）;⽩酒;⻩酒;⽩兰地;⽶酒;酒精饮料（啤酒除外）;薄荷酒;含⽔果酒精饮料;⻘稞酒</t>
  </si>
  <si>
    <t>宝实·福宝</t>
  </si>
  <si>
    <t>⽩酒;葡萄酒;酒精饮料（啤酒除外）;⾷⽤酒精;⽶酒;甜果酒;鸡尾酒;果酒（含酒精）;烈酒（饮料）;烧酒</t>
  </si>
  <si>
    <t>宝实·幕之</t>
  </si>
  <si>
    <t>果酒（含酒精）;烈酒（饮料）;葡萄酒;鸡尾酒;⽶酒;甜果酒;酒精饮料（啤酒除外）;⾷⽤酒精;⽩酒;烧酒</t>
  </si>
  <si>
    <t>厚太傅</t>
  </si>
  <si>
    <t>鸡尾酒;蜂蜜酒;⽩酒;⻘稞酒;⻩酒;开胃酒;烈酒（饮料）;清酒（⽇本⽶酒）;烧酒;威⼠忌</t>
  </si>
  <si>
    <t>淮稷</t>
  </si>
  <si>
    <t>开胃酒;鸡尾酒;威⼠忌;蜂蜜酒;⻩酒;清酒（⽇本⽶酒）;烈酒（饮料）;烧酒;⻘稞酒;⽩酒</t>
  </si>
  <si>
    <t>祝叙</t>
  </si>
  <si>
    <t>开胃酒;鸡尾酒;清酒（⽇本⽶酒）;烧酒;⻩酒;蜂蜜酒;⻘稞酒;⽩酒;威⼠忌;烈酒（饮料）</t>
  </si>
  <si>
    <t>花谷月</t>
  </si>
  <si>
    <t>刘高</t>
  </si>
  <si>
    <t>烧酒;果酒;威⼠忌;葡萄酒;已调味的蒸馏酒;⻩酒;⽶酒;⽩酒;由⾕物蒸馏的⽩酒;⽼酒（中国蒸馏烈酒）</t>
  </si>
  <si>
    <t>端宫</t>
  </si>
  <si>
    <t>烧酒;葡萄酒;⻘稞酒;酒精饮料（啤酒除外）;果酒;⽶酒;⽩酒;⽼酒（中国蒸馏烈酒）;烈酒（饮料）;⾼粱酒</t>
  </si>
  <si>
    <t>经楼红</t>
  </si>
  <si>
    <t>果酒（含酒精）;酒精饮料原汁;⽶酒;汽酒;烧酒;蒸馏饮料;蒸煮提取物（利⼝酒和烈酒）;烈酒;⽩酒;⻩酒</t>
  </si>
  <si>
    <t>谯百味</t>
  </si>
  <si>
    <t>亳州市谯城区农业投资集团有限责任公司</t>
  </si>
  <si>
    <t>葡萄酒;烈酒（饮料）;⽩酒;酒精饮料（啤酒除外）;烧酒;⽶酒;果酒（含酒精）;含⽔果酒精饮料;⻩酒;鸡尾酒</t>
  </si>
  <si>
    <t>2024/06/12</t>
  </si>
  <si>
    <t>淮岁</t>
  </si>
  <si>
    <t>卢雪梅</t>
  </si>
  <si>
    <t>鸡尾酒;清酒（⽇本⽶酒）;威⼠忌;酒精饮料（啤酒除外）;果酒（含酒精）;开胃酒;葡萄酒;⻩酒;烈酒;⽩酒</t>
  </si>
  <si>
    <t>黔贵恭</t>
  </si>
  <si>
    <t>邵石磙</t>
  </si>
  <si>
    <t>葡萄酒;鸡尾酒;清酒（⽇本⽶酒）;果酒;利⼝酒;开胃酒;朗姆酒;酒精饮料（啤酒除外）;烧酒;⽩酒</t>
  </si>
  <si>
    <t>爱德旭</t>
  </si>
  <si>
    <t>李会杰</t>
  </si>
  <si>
    <t>烈酒（饮料）;果酒（含酒精）;酒精饮料浓缩汁;酒精饮料（啤酒除外）;⽶酒;烧酒;蒸馏饮料;葡萄酒;含⽔果酒精饮料;⽩酒</t>
  </si>
  <si>
    <t>华东尚贺</t>
  </si>
  <si>
    <t>青岛华东葡萄酿酒有限公司</t>
  </si>
  <si>
    <t>果酒（含酒精）;含酒精的饮料（啤酒除外）;烈酒;威⼠忌;⻩酒;开胃酒;酒精饮料（啤酒除外）;汽酒;⽩兰地;葡萄酒</t>
  </si>
  <si>
    <t>SAPOUDR</t>
  </si>
  <si>
    <t>佛山市尚贝里智能科技有限公司</t>
  </si>
  <si>
    <t>葡萄酒;甜酒;含酒精的⽔果鸡尾酒饮料;威⼠忌;朗姆酒;果酒;含酒精的充⽓饮料（啤酒除外）;含奶油利⼝酒;薄荷酒;伏特加酒</t>
  </si>
  <si>
    <t>花崌堂</t>
  </si>
  <si>
    <t>河南园林小镇电子商务有限公司</t>
  </si>
  <si>
    <t>⽶酒;鸡尾酒;果酒（含酒精）;酒精饮料（啤酒除外）;葡萄酒;烈酒（饮料）;⻩酒;威⼠忌;⽩酒;烧酒</t>
  </si>
  <si>
    <t>贵小极</t>
  </si>
  <si>
    <t>贵州艾威德生态农业发展有限公司</t>
  </si>
  <si>
    <t>苹果酒;葡萄酒;果酒（含酒精）;⽩兰地;烈酒（饮料）;威⼠忌;酒精饮料（啤酒除外）;含⽔果酒精饮料;⽩酒;果酒</t>
  </si>
  <si>
    <t>彤河</t>
  </si>
  <si>
    <t>陈晓辉</t>
  </si>
  <si>
    <t>烧酒;⻩酒;酒精饮料原汁;⽶酒;酒精饮料（啤酒除外）;⽩酒;蒸煮提取物（利⼝酒和烈酒）;果酒（含酒精）;葡萄酒;烈酒（饮料）</t>
  </si>
  <si>
    <t>广宣</t>
  </si>
  <si>
    <t>邯郸市漳东酒业有限公司</t>
  </si>
  <si>
    <t>徽与白</t>
  </si>
  <si>
    <t>任勇</t>
  </si>
  <si>
    <t>清酒（⽇本⽶酒）;⽶酒;烧酒;果酒（含酒精）;红葡萄酒;鸡尾酒;威⼠忌;汽酒;⽩酒;开胃酒</t>
  </si>
  <si>
    <t>黔香恭</t>
  </si>
  <si>
    <t>果酒;朗姆酒;⽩酒;鸡尾酒;清酒（⽇本⽶酒）;酒精饮料（啤酒除外）;葡萄酒;烧酒;利⼝酒;开胃酒</t>
  </si>
  <si>
    <t>眼镜湖</t>
  </si>
  <si>
    <t>尚道先生（北京）科技有限公司</t>
  </si>
  <si>
    <t>⽩酒;含⽔果酒精饮料;⽶酒;酒精饮料（啤酒除外）;烈酒（饮料）;葡萄酒;开胃酒;烧酒;⻩酒;鸡尾酒</t>
  </si>
  <si>
    <t>翠仙勋</t>
  </si>
  <si>
    <t>王超越</t>
  </si>
  <si>
    <t>酒精饮料原汁;威⼠忌;鸡尾酒;烧酒;含⽔果酒精饮料;清酒;⽩酒;果酒（含酒精）;烈酒（饮料）;蒸馏饮料</t>
  </si>
  <si>
    <t>袋鼠瑞恩</t>
  </si>
  <si>
    <t>葡萄酒;⽩葡萄酒;威⼠忌;朗姆酒;⽩酒;红葡萄酒;开胃酒;伏特加酒;烧酒;甜果酒</t>
  </si>
  <si>
    <t>赛普达</t>
  </si>
  <si>
    <t>威⼠忌;朗姆酒;甜酒;含酒精的⽔果鸡尾酒饮料;伏特加酒;薄荷酒;果酒;含酒精的充⽓饮料（啤酒除外）;含奶油利⼝酒;葡萄酒</t>
  </si>
  <si>
    <t>杉页</t>
  </si>
  <si>
    <t>成都市杉页工贸有限公司</t>
  </si>
  <si>
    <t>清酒;⻘梅酒;⽩酒;葡萄酒;⽩⼲酒（中国⽩酒）;⽶酒;甜果酒;⾼粱酒;果酒;鸡尾酒</t>
  </si>
  <si>
    <t>鸿衔</t>
  </si>
  <si>
    <t>鸿流科技（深圳）有限公司</t>
  </si>
  <si>
    <t>朗姆酒;⽩酒;烧酒;⻩酒;伏特加酒;葡萄酒;威⼠忌;清酒（⽇本⽶酒）;⽩兰地;烈酒（饮料）</t>
  </si>
  <si>
    <t>君台厚 7</t>
  </si>
  <si>
    <t>贵州君台厚酱酒业有限公司</t>
  </si>
  <si>
    <t>威⼠忌;朗姆酒;⽩酒;酒精饮料（啤酒除外）;⻩酒;⽩兰地;葡萄酒;烧酒;鸡尾酒;果酒（含酒精）</t>
  </si>
  <si>
    <t>鋆酿若兰</t>
  </si>
  <si>
    <t>英才添翼教育科技（西安）有限公司</t>
  </si>
  <si>
    <t>酒精饮料（啤酒除外）;以葡萄酒为主的饮料;酒精饮料原汁;樱桃酒;开胃酒;苹果酒;果酒（含酒精）;⽩酒;酒精饮料浓缩汁;葡萄酒</t>
  </si>
  <si>
    <t>浠喜庆</t>
  </si>
  <si>
    <t>湖北传明花木苗圃有限责任公司</t>
  </si>
  <si>
    <t>⾕物制蒸馏酒精饮料;苹果酒;果酒（含酒精）;鸡尾酒;⽶酒;⽩酒;葡萄酒;⾼粱酒;樱桃酒;汽酒</t>
  </si>
  <si>
    <t>东颢</t>
  </si>
  <si>
    <t>内蒙古东颢项目管理有限公司</t>
  </si>
  <si>
    <t>⽶酒;果酒（含酒精）;⽩酒;烈酒（饮料）;⻩酒;蒸馏饮料;⾷⽤酒精;清酒（⽇本⽶酒）;酒精饮料（啤酒除外）;烧酒</t>
  </si>
  <si>
    <t>泉井</t>
  </si>
  <si>
    <t>山西甲客传媒有限公司</t>
  </si>
  <si>
    <t>果酒（含酒精）;⽼酒（中国蒸馏烈酒）;⽩酒;烧酒;刺五加酒;葡萄酒;五加⽪酒（中国混合烈酒）;烈酒;⾼粱酒;⻩酒</t>
  </si>
  <si>
    <t>巍德</t>
  </si>
  <si>
    <t>山西辉玉农业科技有限公司</t>
  </si>
  <si>
    <t>葡萄酒;含⽔果酒精饮料;⻩酒;果酒（含酒精）;⽶酒;⽩酒;烈酒（饮料）;蒸馏饮料;苹果酒;烧酒</t>
  </si>
  <si>
    <t>蔡家秀才</t>
  </si>
  <si>
    <t>⽩酒;果酒(含酒精);清酒;葡萄酒;⽶酒;酒精饮料(啤酒除外);⻩酒;烧酒;酒(利⼝酒);汽酒</t>
  </si>
  <si>
    <t>PRATI</t>
  </si>
  <si>
    <t>叁代企业有限公司</t>
  </si>
  <si>
    <t>翰章赋</t>
  </si>
  <si>
    <t>刘亚辉</t>
  </si>
  <si>
    <t>⽩兰地;⽩酒;威⼠忌;开胃酒;⻘稞酒;烧酒;酒精饮料（啤酒除外）;苦味酒;果酒（含酒精）;葡萄酒</t>
  </si>
  <si>
    <t>天泉谷</t>
  </si>
  <si>
    <t>刘群321323********1522</t>
  </si>
  <si>
    <t>⽩酒;⽩兰地;鸡尾酒;烧酒;⻘稞酒;葡萄酒;⻩酒;威⼠忌;果酒（含酒精）;烈酒</t>
  </si>
  <si>
    <t>瓦窑头</t>
  </si>
  <si>
    <t>郭庆花</t>
  </si>
  <si>
    <t>含⽔果酒精饮料;⽩酒;烧酒;威⼠忌;⻘稞酒;葡萄酒;朗姆酒（酒精饮料）;薄荷酒;⽶酒;蒸煮提取物（利⼝酒和烈酒）</t>
  </si>
  <si>
    <t>祥湖</t>
  </si>
  <si>
    <t>贵州仁怀祥湖酒业有限公司</t>
  </si>
  <si>
    <t>果酒（含酒精）;⻩酒;鸡尾酒;葡萄酒;⽶酒;含⽔果酒精饮料;烧酒;⽩酒;酒精饮料（啤酒除外）;烈酒（饮料）</t>
  </si>
  <si>
    <t>汪睛睛</t>
  </si>
  <si>
    <t>云南达渼锋汇商贸有限公司</t>
  </si>
  <si>
    <t>鸡尾酒;葡萄酒;酒精饮料（啤酒除外）;烧酒;⽶酒;威⼠忌;烈酒（饮料）;⽩酒;果酒（含酒精）;蒸馏饮料</t>
  </si>
  <si>
    <t>渡疆</t>
  </si>
  <si>
    <t>唐家标</t>
  </si>
  <si>
    <t>烈酒;⻩酒;酒精饮料（啤酒除外）;威⼠忌;果酒（含酒精）;葡萄酒;开胃酒;清酒（⽇本⽶酒）;鸡尾酒;⽩酒</t>
  </si>
  <si>
    <t>青岛欣力无限实业有限公司</t>
  </si>
  <si>
    <t>利⼝酒;果酒;⽩酒;⾼粱酒;汽酒;威⼠忌;葡萄酒;⽶酒;⽼酒（中国蒸馏烈酒）;清酒</t>
  </si>
  <si>
    <t>玉液梦</t>
  </si>
  <si>
    <t>李佳伟</t>
  </si>
  <si>
    <t>葡萄酒;清酒（⽇本⽶酒）;开胃酒;酒精饮料（啤酒除外）;烈酒;果酒（含酒精）;鸡尾酒;威⼠忌;⽩酒;⻩酒</t>
  </si>
  <si>
    <t>浆九洲</t>
  </si>
  <si>
    <t>开胃酒;清酒（⽇本⽶酒）;葡萄酒;⽩酒;威⼠忌;酒精饮料（啤酒除外）;⻩酒;烈酒;果酒（含酒精）;鸡尾酒</t>
  </si>
  <si>
    <t>MEEBELLA</t>
  </si>
  <si>
    <t>南京超乐创界国际贸易有限公司</t>
  </si>
  <si>
    <t>烧酒;⻩酒;酒精饮料（啤酒除外）;鸡尾酒;烈酒（饮料）;⽩酒;葡萄酒;⽶酒;果酒（含酒精）;⽢蔗制烈酒</t>
  </si>
  <si>
    <t>芸梦康</t>
  </si>
  <si>
    <t>新疆云德赛商贸有限公司</t>
  </si>
  <si>
    <t>⻩酒;起泡⽩葡萄酒;葡萄酒;已调味的蒸馏酒;果酒;酒精饮料（啤酒除外）;烧酒;⻘稞酒;清酒;⽩酒</t>
  </si>
  <si>
    <t>龙思合创</t>
  </si>
  <si>
    <t>哈尔滨思和信息技术股份有限公司</t>
  </si>
  <si>
    <t>酒精饮料（啤酒除外）;⽶酒;⻩酒;葡萄酒;果酒（含酒精）;蒸馏饮料;⽩酒;鸡尾酒;烈酒（饮料）;烧酒</t>
  </si>
  <si>
    <t>考拉杰瑞</t>
  </si>
  <si>
    <t>开胃酒;葡萄酒;伏特加酒;威⼠忌;烧酒;朗姆酒;红葡萄酒;甜果酒;⽩酒;⽩葡萄酒</t>
  </si>
  <si>
    <t>梓粒香</t>
  </si>
  <si>
    <t>赵荣</t>
  </si>
  <si>
    <t>⽶酒;烧酒;⽩酒;鸡尾酒;⻩酒;威⼠忌;汽酒;果酒（含酒精）;葡萄酒;⽩兰地</t>
  </si>
  <si>
    <t>樽贵门</t>
  </si>
  <si>
    <t>清酒（⽇本⽶酒）;红葡萄酒;⽶酒;汽酒;烧酒;鸡尾酒;威⼠忌;果酒（含酒精）;开胃酒;⽩酒</t>
  </si>
  <si>
    <t>星布谷地</t>
  </si>
  <si>
    <t>上海米哈游璃月科技有限公司</t>
  </si>
  <si>
    <t>烈酒（饮料）;酒精饮料（啤酒除外）;含⽔果酒精饮料;预先混合的酒精饮料（以啤酒为主的除外）;葡萄酒;利⼝酒;鸡尾酒;果酒（含酒精）;蒸馏饮料;薄荷酒</t>
  </si>
  <si>
    <t>唐隐客</t>
  </si>
  <si>
    <t>遇见无忧（陕西）数字科技有限公司</t>
  </si>
  <si>
    <t>烈酒（饮料）;⽶酒;鸡尾酒;酒精饮料（啤酒除外）;预先混合的酒精饮料（以啤酒为主的除外）;⾷⽤酒精;薄荷酒;果酒（含酒精）;蒸煮提取物（利⼝酒和烈酒）;汽酒</t>
  </si>
  <si>
    <t>方山境</t>
  </si>
  <si>
    <t>唐晓燕</t>
  </si>
  <si>
    <t>⽩酒;⻘稞酒;含⽔果酒精饮料;葡萄酒;鸡尾酒;果酒（含酒精）;⽶酒;酒精饮料（啤酒除外）;烈酒;⻩酒</t>
  </si>
  <si>
    <t>猎神谷</t>
  </si>
  <si>
    <t>汪帅</t>
  </si>
  <si>
    <t>⽩酒;烧酒（烈酒）;烈酒;杨梅酒;由⾕物蒸馏的⽩酒;烈性⼲酒;烧酒;⻩酒;蒸煮提取物（利⼝酒和烈酒）;甜酒</t>
  </si>
  <si>
    <t>淮令</t>
  </si>
  <si>
    <t>果酒（含酒精）;开胃酒;鸡尾酒;葡萄酒;烈酒;⻩酒;⽩酒;清酒（⽇本⽶酒）;威⼠忌;酒精饮料（啤酒除外）</t>
  </si>
  <si>
    <t>今自在自在荟</t>
  </si>
  <si>
    <t>威⼠忌;烈酒（饮料）;朗姆酒;⽩兰地;清酒（⽇本⽶酒）;酒精饮料（啤酒除外）;⽩酒;葡萄酒;鸡尾酒;果酒（含酒精）</t>
  </si>
  <si>
    <t>河车之路</t>
  </si>
  <si>
    <t>遆玉敏</t>
  </si>
  <si>
    <t>含⽔果酒精饮料;蒸馏饮料;⽶酒;清酒（⽇本⽶酒）;酒精饮料（啤酒除外）;烧酒;⽩酒;葡萄酒;伏特加酒;⻩酒</t>
  </si>
  <si>
    <t>纷良</t>
  </si>
  <si>
    <t>王若楠</t>
  </si>
  <si>
    <t>⻘稞酒;烧酒;果酒（含酒精）;蒸馏饮料;⾷⽤酒精;葡萄酒;⽶酒;酒精饮料（啤酒除外）;⽩酒;⻩酒</t>
  </si>
  <si>
    <t>贡福盛</t>
  </si>
  <si>
    <t>海南贡福喆投资有限公司</t>
  </si>
  <si>
    <t>开胃酒;威⼠忌;果酒（含酒精）;葡萄酒;⽩酒;烈酒（饮料）;酒精饮料（啤酒除外）;⽶酒;烧酒;清酒（⽇本⽶酒）</t>
  </si>
  <si>
    <t>黄瓦小财</t>
  </si>
  <si>
    <t>北京东体信达文化体育有限公司</t>
  </si>
  <si>
    <t>葡萄酒;⽩兰地;威⼠忌;⽶酒;蒸馏饮料;烈酒;果酒（含酒精）;鸡尾酒;⻩酒;⽩酒</t>
  </si>
  <si>
    <t>爱德玛</t>
  </si>
  <si>
    <t>烧酒;⽶酒;酒精饮料（啤酒除外）;含⽔果酒精饮料;⽩酒;蒸馏饮料;烈酒（饮料）;葡萄酒;酒精饮料浓缩汁;果酒（含酒精）</t>
  </si>
  <si>
    <t>蜜蓓尔娜</t>
  </si>
  <si>
    <t>果酒（含酒精）;⽶酒;烧酒;⽢蔗制烈酒;鸡尾酒;烈酒（饮料）;葡萄酒;⽩酒;⻩酒;酒精饮料（啤酒除外）</t>
  </si>
  <si>
    <t>老家中原</t>
  </si>
  <si>
    <t>郑州酒中粹酒业有限公司</t>
  </si>
  <si>
    <t>⽩酒;⻩酒;果酒（含酒精）;清酒;烧酒;酒精饮料（啤酒除外）;酒精饮料原汁;含⽔果酒精饮料;葡萄酒;烈酒（饮料）</t>
  </si>
  <si>
    <t>渝拌香</t>
  </si>
  <si>
    <t>重庆新锦悦食品有限公司</t>
  </si>
  <si>
    <t>果酒（含酒精）;⻩酒;⽶酒</t>
  </si>
  <si>
    <t>麦威蓝</t>
  </si>
  <si>
    <t>邓帅贤</t>
  </si>
  <si>
    <t>蜂蜜酒;⽩兰地;⻩酒;⽩酒;鸡尾酒;利⼝酒;⽶酒;烧酒;葡萄酒;果酒（含酒精）</t>
  </si>
  <si>
    <t>卓醺</t>
  </si>
  <si>
    <t>张春勤</t>
  </si>
  <si>
    <t>果酒（含酒精）;鸡尾酒;⻩酒;⽩酒;威⼠忌;蒸馏饮料;酒精饮料（啤酒除外）;⽶酒;葡萄酒;开胃酒</t>
  </si>
  <si>
    <t>文酒三千</t>
  </si>
  <si>
    <t>佛山市维美文化创新发展有限公司</t>
  </si>
  <si>
    <t>⽶酒;开胃酒;葡萄酒;伏特加酒;烈酒（饮料）;烧酒;⻩酒;⾷⽤酒精;利⼝酒;⽩酒</t>
  </si>
  <si>
    <t>雨林秘境 SECRET RAINFOREST</t>
  </si>
  <si>
    <t>聊城和韵建筑装饰工程有限公司</t>
  </si>
  <si>
    <t>朗姆酒;酒精饮料（啤酒除外）;⻩酒;⽶酒;⾕物制蒸馏酒精饮料;烧酒;鸡尾酒;葡萄酒;汽酒;果酒（含酒精）</t>
  </si>
  <si>
    <t>清照福满园</t>
  </si>
  <si>
    <t>⽩酒;开胃酒;果酒（含酒精）;苹果酒;⻩酒;酒精饮料（啤酒除外）;⽶酒;汽酒;酸酒（低等葡萄酒）;葡萄酒</t>
  </si>
  <si>
    <t>考拉杰尼</t>
  </si>
  <si>
    <t>葡萄酒;⽩葡萄酒;威⼠忌;⽩酒;烧酒;伏特加酒;红葡萄酒;开胃酒;甜果酒;朗姆酒</t>
  </si>
  <si>
    <t>正永和</t>
  </si>
  <si>
    <t>⽩酒;⻩酒;清酒;⾼粱酒;露酒;烈酒;⽼酒（中国蒸馏烈酒）;烧酒;⻘稞酒;⽩⼲酒（中国⽩酒）</t>
  </si>
  <si>
    <t>仙余鸿</t>
  </si>
  <si>
    <t>杨秀兰</t>
  </si>
  <si>
    <t>蒸馏饮料;清酒;果酒（含酒精）;酒精饮料原汁;鸡尾酒;⽩酒;威⼠忌;烧酒;烈酒（饮料）;含⽔果酒精饮料</t>
  </si>
  <si>
    <t>畅享董</t>
  </si>
  <si>
    <t>果酒（含酒精）;开胃酒;餐后酒（利⼝酒和烈酒）;清酒（⽇本⽶酒）;⽩酒;葡萄酒;梨酒;烧酒;⽶酒;酒精饮料（啤酒除外）</t>
  </si>
  <si>
    <t>易土</t>
  </si>
  <si>
    <t>⽩酒;果酒;⽶酒;⾷⽤酒精;⾼粱酒;⽼酒（中国蒸馏烈酒）;果酒（含酒精）;烧酒;蒸馏⽶酒（泡盛酒）;烧酒（烈酒）</t>
  </si>
  <si>
    <t>惜花公子</t>
  </si>
  <si>
    <t>山东台庄酒厂股份有限公司</t>
  </si>
  <si>
    <t>⻩酒;果酒;酒精饮料（啤酒除外）;⽶酒;葡萄酒;清酒（⽇本⽶酒）;⽩酒;伏特加酒;烧酒;⾕物制蒸馏酒精饮料</t>
  </si>
  <si>
    <t>阿克兮</t>
  </si>
  <si>
    <t>安吉容承科技有限责任公司</t>
  </si>
  <si>
    <t>鸡尾酒;⽶酒;果酒;五加⽪酒（中国混合烈酒）;⽩酒;⻩酒;汽酒;⽼酒（中国蒸馏烈酒）;酒精饮料（啤酒除外）;葡萄酒</t>
  </si>
  <si>
    <t>君台厚 9</t>
  </si>
  <si>
    <t>烧酒;葡萄酒;果酒（含酒精）;酒精饮料（啤酒除外）;⽩酒;威⼠忌;朗姆酒;⻩酒;⽩兰地;鸡尾酒</t>
  </si>
  <si>
    <t>竹宗师</t>
  </si>
  <si>
    <t>果酒（含酒精）;葡萄酒;⽩兰地;⽩酒;⽩⼲酒（中国⽩酒）;烧酒;清酒;威⼠忌;⽶酒;⻘稞酒</t>
  </si>
  <si>
    <t>祥康青云</t>
  </si>
  <si>
    <t>贵州省仁怀市君尧酒业有限公司</t>
  </si>
  <si>
    <t>果酒（含酒精）;开胃酒;⾷⽤酒精;⽶酒;蒸煮提取物（利⼝酒和烈酒）;酒精饮料（啤酒除外）;⻩酒;烧酒;葡萄酒;⽩酒</t>
  </si>
  <si>
    <t>粮窖匠</t>
  </si>
  <si>
    <t>刘静静</t>
  </si>
  <si>
    <t>烧酒;利⼝酒;⽩酒;清酒（⽇本⽶酒）;朗姆酒;鸡尾酒;开胃酒;酒精饮料（啤酒除外）;果酒;葡萄酒</t>
  </si>
  <si>
    <t>LIANG SHANG LIANG</t>
  </si>
  <si>
    <t>黑龙江良上粮酒业有限公司</t>
  </si>
  <si>
    <t>行走的羊</t>
  </si>
  <si>
    <t>霍南</t>
  </si>
  <si>
    <t>清酒（⽇本⽶酒）;含⽔果酒精饮料;⽩酒;果酒（含酒精）;⾷⽤酒精;⽩兰地;烧酒;葡萄酒;汽酒;烈酒（饮料）</t>
  </si>
  <si>
    <t>怡孔缘</t>
  </si>
  <si>
    <t>谢海明</t>
  </si>
  <si>
    <t>酒精饮料原汁;⽩酒;烈酒（饮料）;威⼠忌;清酒;烧酒;果酒（含酒精）;蒸馏饮料;鸡尾酒;含⽔果酒精饮料</t>
  </si>
  <si>
    <t>鎏金传奇</t>
  </si>
  <si>
    <t>⽩⼲酒（中国⽩酒）;烈酒（饮料）;清酒（⽇本⽶酒）;葡萄酒;⾼粱酒;含⽔果酒精饮料;⽩酒;⽶酒;烈酒;烧酒</t>
  </si>
  <si>
    <t>稛门</t>
  </si>
  <si>
    <t>贵州酱源台酒业有限公司</t>
  </si>
  <si>
    <t>⽩酒;鸡尾酒;葡萄酒;酒精饮料（啤酒除外）;⾷⽤酒精;烧酒（烈酒）;清酒;⽶酒;⻩酒</t>
  </si>
  <si>
    <t>蔓葭城</t>
  </si>
  <si>
    <t>河北挂云山酒厂</t>
  </si>
  <si>
    <t>酒精饮料（啤酒除外）;⽩酒;含⽔果酒精饮料;果酒（含酒精）;⽶酒;利⼝酒;⾷⽤酒精;⻩酒;烧酒;酒精饮料原汁</t>
  </si>
  <si>
    <t>箭人戏鹤</t>
  </si>
  <si>
    <t>深圳复力得科技有限公司</t>
  </si>
  <si>
    <t>果酒（含酒精）;葡萄酒;威⼠忌;烈酒（饮料）;⽩酒;⾕物制蒸馏酒精饮料;鸡尾酒;⽩兰地;酒精饮料（啤酒除外）</t>
  </si>
  <si>
    <t>早享</t>
  </si>
  <si>
    <t>河北你和我食品有限公司</t>
  </si>
  <si>
    <t>⽶酒;葡萄酒;蒸馏饮料;利⼝酒;蒸煮提取物（利⼝酒和烈酒）;酒精饮料原汁;含⽔果酒精饮料;烈酒（饮料）;果酒（含酒精）;⽩酒</t>
  </si>
  <si>
    <t>方寸静</t>
  </si>
  <si>
    <t>贵州静天商贸有限公司</t>
  </si>
  <si>
    <t>酒精饮料浓缩汁;⽩酒;烈酒;⽶酒;开胃酒;除啤酒外的酒精饮料;鸡尾酒;果酒;葡萄酒;⾕物制蒸馏酒精饮料</t>
  </si>
  <si>
    <t>阿古米色</t>
  </si>
  <si>
    <t>惠州市昇泰利实业有限公司</t>
  </si>
  <si>
    <t>蜂蜜酒;露酒;烧酒;⽩酒;苹果酒;梨酒;威⼠忌;⻩酒;果酒（含酒精）;蒸馏饮料</t>
  </si>
  <si>
    <t>天聚恒</t>
  </si>
  <si>
    <t>太原双友酒业有限公司</t>
  </si>
  <si>
    <t>果酒（含酒精）;烈酒（饮料）;酒精饮料（啤酒除外）;⻩酒;烧酒;⽩酒;鸡尾酒;葡萄酒;⽶酒;威⼠忌</t>
  </si>
  <si>
    <t>燕南堤</t>
  </si>
  <si>
    <t>河北雄安燕容酒业有限公司</t>
  </si>
  <si>
    <t>⽶酒;烈酒（饮料）;烧酒;⽩酒;清酒（⽇本⽶酒）;酒精饮料（啤酒除外）;⻩酒;果酒（含酒精）;葡萄酒;鸡尾酒</t>
  </si>
  <si>
    <t>黔父鉴</t>
  </si>
  <si>
    <t>清酒（⽇本⽶酒）;⽩酒;开胃酒;朗姆酒;鸡尾酒;烧酒;利⼝酒;葡萄酒;果酒;酒精饮料（啤酒除外）</t>
  </si>
  <si>
    <t>白如冰</t>
  </si>
  <si>
    <t>贵州如冰酒业有限公司</t>
  </si>
  <si>
    <t>⽶酒;餐后酒（利⼝酒和烈酒）;⾕物制蒸馏酒精饮料;苹果酒;露酒;果酒（含酒精）;葡萄酒;烈酒（饮料）;蒸馏饮料;⽩酒</t>
  </si>
  <si>
    <t>忠悦佰客爽</t>
  </si>
  <si>
    <t>尹猛</t>
  </si>
  <si>
    <t>威⼠忌;果酒;葡萄酒;⽩兰地;露酒;果酒（含酒精）;伏特加酒;利⼝酒;朗姆酒;⽩酒</t>
  </si>
  <si>
    <t>馥窖领航</t>
  </si>
  <si>
    <t>贵州贵玺茶叶有限公司</t>
  </si>
  <si>
    <t>酒精饮料（啤酒除外）;酒精饮料原汁;果酒（含酒精）;葡萄酒;酒精饮料浓缩汁;烈酒（饮料）;⽶酒;⽩酒;威⼠忌;开胃酒</t>
  </si>
  <si>
    <t>纵横交错</t>
  </si>
  <si>
    <t>杭州瑾慧贸易有限公司</t>
  </si>
  <si>
    <t>樱桃酒;烧酒;⽶酒;葡萄酒;苹果酒;鸡尾酒;含⽔果酒精饮料;威⼠忌;果酒（含酒精）;⽩酒</t>
  </si>
  <si>
    <t>非花</t>
  </si>
  <si>
    <t>趁年华酒业（宿迁）有限公司</t>
  </si>
  <si>
    <t>⽩酒;酒精饮料原汁;葡萄酒;酒精饮料（啤酒除外）;烧酒;⽶酒;烈酒（饮料）;⽩兰地;果酒（含酒精）;⾼粱酒</t>
  </si>
  <si>
    <t>鸿行</t>
  </si>
  <si>
    <t>清酒（⽇本⽶酒）;威⼠忌;伏特加酒;⾷⽤酒精;⻩酒;朗姆酒;⽩酒;⽩兰地;⻘稞酒;烈酒（饮料）</t>
  </si>
  <si>
    <t>圆山境</t>
  </si>
  <si>
    <t>⻩酒;果酒（含酒精）;⽶酒;酒精饮料（啤酒除外）;⻘稞酒;葡萄酒;鸡尾酒;含⽔果酒精饮料;烈酒;⽩酒</t>
  </si>
  <si>
    <t>意维森</t>
  </si>
  <si>
    <t>凝成（宁波）生物科技有限公司</t>
  </si>
  <si>
    <t>烧酒;葡萄酒;⽩酒;酒精饮料原汁;⾷⽤酒精;蒸馏饮料;⾕物制蒸馏酒精饮料;清酒;果酒;餐后酒（利⼝酒和烈酒）</t>
  </si>
  <si>
    <t>生根深地</t>
  </si>
  <si>
    <t>夏晨曦</t>
  </si>
  <si>
    <t>烈酒（饮料）;鸡尾酒;葡萄酒;开胃酒;⽶酒;朗姆酒;⽩酒;⻩酒;⽩兰地;餐后酒（利⼝酒和烈酒）</t>
  </si>
  <si>
    <t>竹小顺</t>
  </si>
  <si>
    <t>黄琦</t>
  </si>
  <si>
    <t>⾷⽤酒精;果酒（含酒精）;⽩酒;葡萄酒;⽶酒;⽩兰地;鸡尾酒;含⽔果酒精饮料;⻩酒;酒精饮料（啤酒除外）</t>
  </si>
  <si>
    <t>聪好</t>
  </si>
  <si>
    <t>廖文松</t>
  </si>
  <si>
    <t>果酒;⻩酒;酒精饮料（啤酒除外）;威⼠忌;烈酒（饮料）;⽩酒;葡萄酒;烧酒;⽶酒;⽩兰地</t>
  </si>
  <si>
    <t>馋酒匠</t>
  </si>
  <si>
    <t>⽶酒;红葡萄酒;开胃酒;鸡尾酒;果酒（含酒精）;清酒（⽇本⽶酒）;威⼠忌;烧酒;汽酒;⽩酒</t>
  </si>
  <si>
    <t>幻天下</t>
  </si>
  <si>
    <t>⽩兰地;威⼠忌;开胃酒;烧酒;⾼粱酒;⽶酒;鸡尾酒;烈酒（饮料）;葡萄酒;⽩酒</t>
  </si>
  <si>
    <t>吕大妈</t>
  </si>
  <si>
    <t>吕自云</t>
  </si>
  <si>
    <t>蒸馏饮料;葡萄酒;⻩酒;⽩酒;⽶酒;果酒（含酒精）;酒精饮料（啤酒除外）;烧酒;开胃酒;⾕物制蒸馏酒精饮料</t>
  </si>
  <si>
    <t>文木元青</t>
  </si>
  <si>
    <t>刘晓辉</t>
  </si>
  <si>
    <t>葡萄酒;薄荷酒;含酒精的饮料（啤酒除外）;酒精饮料（啤酒除外）;⻘稞酒;⻩酒;清酒（⽇本⽶酒）;烧酒;⽩酒;鸡尾酒</t>
  </si>
  <si>
    <t>酿金宵</t>
  </si>
  <si>
    <t>⽶酒;汽酒;⽩酒;红葡萄酒;清酒（⽇本⽶酒）;威⼠忌;烧酒;果酒（含酒精）;开胃酒;鸡尾酒</t>
  </si>
  <si>
    <t>植醺</t>
  </si>
  <si>
    <t>姜元俊</t>
  </si>
  <si>
    <t>酒精饮料（啤酒除外）;⽶酒;⻩酒;果酒（含酒精）;⽩酒;鸡尾酒;开胃酒;葡萄酒;威⼠忌;蒸馏饮料</t>
  </si>
  <si>
    <t>厚锄农耕</t>
  </si>
  <si>
    <t>上饶市后锄农业有限公司</t>
  </si>
  <si>
    <t>含⽔果酒精饮料;清酒（⽇本⽶酒）;葡萄酒;果酒（含酒精）;⽩兰地;⽩酒;开胃酒;⽶酒;利⼝酒;烧酒（烈酒）</t>
  </si>
  <si>
    <t>峥嵘华酿</t>
  </si>
  <si>
    <t>贵州旺酒酒业有限公司</t>
  </si>
  <si>
    <t>⽩酒;果酒;⾼粱酒;⽩⼲酒（中国⽩酒）;露酒;烧酒;⻩酒;葡萄酒;烈酒;⽼酒（中国蒸馏烈酒）</t>
  </si>
  <si>
    <t>武乐饮膳</t>
  </si>
  <si>
    <t>张宇涵</t>
  </si>
  <si>
    <t>果酒（含酒精）;葡萄酒;清酒（⽇本⽶酒）;酒精饮料（啤酒除外）;烈酒（饮料）;⽶酒;烧酒;⽩酒;鸡尾酒;⻩酒</t>
  </si>
  <si>
    <t>兖矿能源 YANKUANG ENERGY</t>
  </si>
  <si>
    <t>兖矿能源集团股份有限公司</t>
  </si>
  <si>
    <t>烈性⼲酒;⾕物制蒸馏酒精饮料;酒精饮料（啤酒除外）;含酒精的饮料（啤酒除外）;清酒;果酒;预先混合的酒精饮料（以啤酒为主的除外）;葡萄酒;蒸煮提取物（利⼝酒和烈酒）;⽩酒</t>
  </si>
  <si>
    <t>畅曲乐</t>
  </si>
  <si>
    <t>滕子文</t>
  </si>
  <si>
    <t>果酒（含酒精）;蒸馏饮料;鸡尾酒;清酒;⽩酒;威⼠忌;酒精饮料原汁;烧酒;含⽔果酒精饮料;烈酒（饮料）</t>
  </si>
  <si>
    <t>源之淼</t>
  </si>
  <si>
    <t>四会市源之淼饮用水有限责任公司</t>
  </si>
  <si>
    <t>酒精饮料（啤酒除外）;⻩酒;⽩酒;蒸馏饮料;果酒（含酒精）;⽩兰地;威⼠忌;⽶酒;烧酒;⾷⽤酒精</t>
  </si>
  <si>
    <t>佳品臻</t>
  </si>
  <si>
    <t>邵文约</t>
  </si>
  <si>
    <t>酒精饮料（啤酒除外）;伏特加酒;⽩酒;葡萄酒;⻩酒;威⼠忌;以葡萄酒为主的饮料;鸡尾酒;⽩兰地;清酒（⽇本⽶酒）</t>
  </si>
  <si>
    <t>羌脉本草</t>
  </si>
  <si>
    <t>陈清蓉</t>
  </si>
  <si>
    <t>蒸馏饮料;蜂蜜酒;⻩酒;果酒（含酒精）;酒精饮料原汁;⽩酒;以葡萄酒为主的饮料;⻘稞酒;葡萄酒;⾷⽤酒精;⽶酒</t>
  </si>
  <si>
    <t>全喜贵</t>
  </si>
  <si>
    <t>贵州高全酒业有限公司</t>
  </si>
  <si>
    <t>⽶酒;含酒精的⽓泡⽔;⽼酒（中国蒸馏烈酒）;⾼粱酒;⻩酒;蒸馏⽶酒（泡盛酒）;⾕物制蒸馏酒精饮料;⽩⼲酒（中国⽩酒）;葡萄酒;烧酒（烈酒）;除啤酒外的酒精饮料;⽩酒;苦荞酒;杨梅酒;酒精饮料（啤酒除外）</t>
  </si>
  <si>
    <t>鸿山庭</t>
  </si>
  <si>
    <t>品今（山东）商贸有限公司</t>
  </si>
  <si>
    <t>⾼粱酒;甜酒;⽩酒;烈性⼲酒;烈酒（饮料）;⽩葡萄酒;伏特加酒;⽩⼲酒（中国⽩酒）;开胃酒;果酒</t>
  </si>
  <si>
    <t>西周芳记</t>
  </si>
  <si>
    <t>象山芳记食品有限公司</t>
  </si>
  <si>
    <t>烧酒;⽶酒;酒精饮料（啤酒除外）;威⼠忌;烈酒（饮料）;鸡尾酒;开胃酒;⽩酒;⻩酒;果酒</t>
  </si>
  <si>
    <t>岗家村</t>
  </si>
  <si>
    <t>贵州仁馆品牌管理有限公司</t>
  </si>
  <si>
    <t>餐后酒（利⼝酒和烈酒）;葡萄酒;⽩酒;苹果酒;蒸馏饮料;露酒;⾕物制蒸馏酒精饮料;果酒（含酒精）;烈酒（饮料）;⽶酒</t>
  </si>
  <si>
    <t>冰火赤焰</t>
  </si>
  <si>
    <t>⽩酒;烧酒;葡萄酒;含⽔果酒精饮料;⽶酒;⻩酒;酒精饮料（啤酒除外）;清酒（⽇本⽶酒）;蒸馏饮料;伏特加酒</t>
  </si>
  <si>
    <t>黔王庆</t>
  </si>
  <si>
    <t>酒精饮料（啤酒除外）;⽩酒;葡萄酒;开胃酒;烧酒;利⼝酒;鸡尾酒;清酒（⽇本⽶酒）;果酒;朗姆酒</t>
  </si>
  <si>
    <t>春江愿</t>
  </si>
  <si>
    <t>文淇</t>
  </si>
  <si>
    <t>鸡尾酒;威⼠忌;清酒（⽇本⽶酒）;酒精饮料（啤酒除外）;⽩酒;蒸馏饮料;开胃酒;果酒（含酒精）;葡萄酒;烈酒（饮料）</t>
  </si>
  <si>
    <t>巴蜀相约</t>
  </si>
  <si>
    <t>四川一片天建材销售有限公司</t>
  </si>
  <si>
    <t>开胃酒;酒精饮料（啤酒除外）;⻩酒;烈酒（饮料）;清酒;⽩酒;鸡尾酒;葡萄酒;果酒;⽩兰地</t>
  </si>
  <si>
    <t>ADVENTITIA XIANG</t>
  </si>
  <si>
    <t>高建华</t>
  </si>
  <si>
    <t>鸡尾酒;果酒;威⼠忌;⽩酒;酒精饮料（啤酒除外）;⽩兰地;苹果酒;含⽔果酒精饮料;利⼝酒;葡萄酒</t>
  </si>
  <si>
    <t>翙龙</t>
  </si>
  <si>
    <t>黄小进</t>
  </si>
  <si>
    <t>烧酒;⾼粱酒;清酒（⽇本⽶酒）;威⼠忌;果酒（含酒精）;⻩酒;鸡尾酒;⽩兰地;⽩酒;⽶酒</t>
  </si>
  <si>
    <t>贵州诣丰酒业有限公司</t>
  </si>
  <si>
    <t>溪百量</t>
  </si>
  <si>
    <t>徐达真</t>
  </si>
  <si>
    <t>威⼠忌;蒸馏饮料;酒精饮料原汁;清酒;含⽔果酒精饮料;鸡尾酒;烧酒;果酒（含酒精）;烈酒（饮料）;⽩酒</t>
  </si>
  <si>
    <t>金蜂福</t>
  </si>
  <si>
    <t>高廷会</t>
  </si>
  <si>
    <t>⻩酒;⽩酒;鸡尾酒;葡萄酒;烈酒;威⼠忌;酒精饮料（啤酒除外）;果酒（含酒精）;清酒（⽇本⽶酒）;开胃酒</t>
  </si>
  <si>
    <t>窖怡量</t>
  </si>
  <si>
    <t>许先鑫</t>
  </si>
  <si>
    <t>果酒（含酒精）;酒精饮料原汁;烧酒;蒸馏饮料;清酒;含⽔果酒精饮料;烈酒（饮料）;威⼠忌;⽩酒;鸡尾酒</t>
  </si>
  <si>
    <t>海边山</t>
  </si>
  <si>
    <t>广西荣兴元集团有限公司</t>
  </si>
  <si>
    <t>⻩酒;餐后酒（利⼝酒和烈酒）;烈酒（饮料）;⽩酒;⽶酒;烧酒;果酒（含酒精）;蒸馏饮料;酒精饮料（啤酒除外）;葡萄酒</t>
  </si>
  <si>
    <t>百脉泉珍情</t>
  </si>
  <si>
    <t>酸酒（低等葡萄酒）;⽩酒;果酒（含酒精）;开胃酒;⻩酒;葡萄酒;⽶酒;酒精饮料（啤酒除外）;汽酒;苹果酒</t>
  </si>
  <si>
    <t>珍品董</t>
  </si>
  <si>
    <t>烧酒;⽩酒;葡萄酒;果酒（含酒精）;⽶酒;酒精饮料（啤酒除外）;餐后酒（利⼝酒和烈酒）;梨酒;清酒（⽇本⽶酒）;开胃酒</t>
  </si>
  <si>
    <t>黔贵庆</t>
  </si>
  <si>
    <t>开胃酒;鸡尾酒;酒精饮料（啤酒除外）;烧酒;果酒;朗姆酒;利⼝酒;⽩酒;葡萄酒;清酒（⽇本⽶酒）</t>
  </si>
  <si>
    <t>喻戎同行</t>
  </si>
  <si>
    <t>湖北金质通科技有限公司</t>
  </si>
  <si>
    <t>⽩酒;果酒（含酒精）;酒精饮料（啤酒除外）;威⼠忌;葡萄酒;⻩酒;汽酒;⽶酒;烧酒;伏特加酒</t>
  </si>
  <si>
    <t>鹏化泉</t>
  </si>
  <si>
    <t>⽩酒;⽶酒;⻩酒;果酒（含酒精）;酒精饮料（啤酒除外）;酒精饮料原汁;蒸馏饮料;烧酒;苹果酒;葡萄酒</t>
  </si>
  <si>
    <t>图诺涌昌</t>
  </si>
  <si>
    <t>上海涌昌贸易有限公司</t>
  </si>
  <si>
    <t>酒精饮料浓缩汁;酒精饮料(啤酒除外);果酒(含酒精);威⼠忌;⻩酒;蒸馏饮料;开胃酒;葡萄酒;烧酒;伏特加酒</t>
  </si>
  <si>
    <t>佰客爽</t>
  </si>
  <si>
    <t>威⼠忌;果酒;⽩兰地;⽩酒;果酒（含酒精）;伏特加酒;利⼝酒;朗姆酒;露酒;葡萄酒</t>
  </si>
  <si>
    <t>猛士庄园</t>
  </si>
  <si>
    <t>果酒;⽩酒;烈酒;⽼酒（中国蒸馏烈酒）;⻩酒;烧酒;露酒;⾼粱酒;葡萄酒;⽩⼲酒（中国⽩酒）</t>
  </si>
  <si>
    <t>幸薏斋</t>
  </si>
  <si>
    <t>李仁辰</t>
  </si>
  <si>
    <t>烈酒;酒精饮料（啤酒除外）;果酒;杜松⼦酒;汽酒;蒸馏饮料;威⼠忌;伏特加酒;葡萄酒;⽩兰地;⽩酒;鸡尾酒</t>
  </si>
  <si>
    <t>锦棠清花</t>
  </si>
  <si>
    <t>李健</t>
  </si>
  <si>
    <t>葡萄酒;酒精饮料（啤酒除外）;烧酒;果酒（含酒精）;⻩酒;鸡尾酒;烈酒（饮料）;⽩酒;⽶酒;蒸馏饮料</t>
  </si>
  <si>
    <t>美旺湘</t>
  </si>
  <si>
    <t>彭永红</t>
  </si>
  <si>
    <t>烧酒;⽩兰地;开胃酒;⽩酒;汽酒;⻩酒;鸡尾酒;酒精饮料原汁;果酒（含酒精）;葡萄酒</t>
  </si>
  <si>
    <t>考拉巴特</t>
  </si>
  <si>
    <t>⽩酒;葡萄酒;威⼠忌;甜果酒;开胃酒;红葡萄酒;朗姆酒;伏特加酒;烧酒;⽩葡萄酒</t>
  </si>
  <si>
    <t>邝龙</t>
  </si>
  <si>
    <t>聂玉红</t>
  </si>
  <si>
    <t>⻩酒;果酒（含酒精）;清酒（⽇本⽶酒）;⽶酒;威⼠忌;⾼粱酒;⽩兰地;鸡尾酒;烧酒;⽩酒</t>
  </si>
  <si>
    <t>遵阔</t>
  </si>
  <si>
    <t>遵义市汇川区莲花山商业运营管理有限公司</t>
  </si>
  <si>
    <t>以葡萄酒为主的饮料;果酒（含酒精）;红葡萄酒;桃红葡萄酒;⽩葡萄酒;葡萄酒;⽩酒;⽩⼲酒（中国⽩酒）;含酒精的⽔果鸡尾酒饮料;由⾕物蒸馏的⽩酒</t>
  </si>
  <si>
    <t>充悦</t>
  </si>
  <si>
    <t>⽩兰地;烧酒;⽩酒;果酒;⽶酒;葡萄酒;烈酒（饮料）;酒精饮料（啤酒除外）;威⼠忌;⻩酒</t>
  </si>
  <si>
    <t>贵春祖</t>
  </si>
  <si>
    <t>⽩酒;葡萄酒;清酒（⽇本⽶酒）;朗姆酒;开胃酒;鸡尾酒;果酒;酒精饮料（啤酒除外）;利⼝酒;烧酒</t>
  </si>
  <si>
    <t>黔金喜</t>
  </si>
  <si>
    <t>朗姆酒;烧酒;⽩酒;清酒（⽇本⽶酒）;开胃酒;鸡尾酒;果酒;酒精饮料（啤酒除外）;利⼝酒;葡萄酒</t>
  </si>
  <si>
    <t>醺邦</t>
  </si>
  <si>
    <t>果酒（含酒精）;威⼠忌;鸡尾酒;葡萄酒;⽩酒;⻩酒;⽶酒;开胃酒;蒸馏饮料;酒精饮料（啤酒除外）</t>
  </si>
  <si>
    <t>贵醇丰</t>
  </si>
  <si>
    <t>贵州长义酒业有限公司</t>
  </si>
  <si>
    <t>含酒精的鸡尾酒混合饮品;⽩酒;⽶酒;烈酒;鸡尾酒;甜酒;酒精饮料（啤酒除外）;⽼酒（中国蒸馏烈酒）;果酒;葡萄酒</t>
  </si>
  <si>
    <t>梦佑</t>
  </si>
  <si>
    <t>⽩酒;酒精饮料（啤酒除外）;威⼠忌;葡萄酒;开胃酒;果酒（含酒精）;烈酒;⻩酒;清酒（⽇本⽶酒）;鸡尾酒</t>
  </si>
  <si>
    <t>千坛坤</t>
  </si>
  <si>
    <t>刘莉</t>
  </si>
  <si>
    <t>烧酒;⽶酒;⻘稞酒;清酒（⽇本⽶酒）;朗姆酒;⾼粱酒;伏特加酒;⽩酒;果酒（含酒精）;⽩葡萄酒</t>
  </si>
  <si>
    <t>BIONEER</t>
  </si>
  <si>
    <t>吴毓斌</t>
  </si>
  <si>
    <t>梅酒;红葡萄酒;⻘梅酒;杨梅酒;⽩酒;⻩酒;果酒;朗姆酒;伏特加酒;威⼠忌</t>
  </si>
  <si>
    <t>洋缘杰</t>
  </si>
  <si>
    <t>潍坊洋杰酒业有限公司</t>
  </si>
  <si>
    <t>果酒（含酒精）;蒸馏饮料;⽶酒;苦味酒;蜂蜜酒;葡萄酒;烈酒（饮料）;酒精饮料（啤酒除外）;⽩酒;开胃酒</t>
  </si>
  <si>
    <t>牧邻农（厦门）农业科技有限公司</t>
  </si>
  <si>
    <t>含⽔果酒精饮料;汽酒;果酒（含酒精）;⽶酒;⽩酒;酒精饮料（啤酒除外）;柑⾹酒;鸡尾酒;⾕物制蒸馏酒精饮料;预先混合的酒精饮料（以啤酒为主的除外）</t>
  </si>
  <si>
    <t>⾼粱酒;⻩酒;⽩酒;五加⽪酒（中国混合烈酒）;⽼酒（中国蒸馏烈酒）;烈酒;烧酒;葡萄酒;果酒（含酒精）;刺五加酒</t>
  </si>
  <si>
    <t>拾壶炮</t>
  </si>
  <si>
    <t>贵州青丘酱香酒业有限公司</t>
  </si>
  <si>
    <t>预先混合的酒精饮料（以啤酒为主的除外）;苦味酒;酒精饮料原汁;酒精饮料浓缩汁;烈酒（饮料）;⾕物制蒸馏酒精饮料;⽩酒;蒸馏饮料;烧酒;含⽔果酒精饮料</t>
  </si>
  <si>
    <t>君台厚 5</t>
  </si>
  <si>
    <t>⽩酒;鸡尾酒;威⼠忌;酒精饮料（啤酒除外）;葡萄酒;⻩酒;果酒（含酒精）;朗姆酒;烧酒;⽩兰地</t>
  </si>
  <si>
    <t>CROVIK</t>
  </si>
  <si>
    <t>王涛</t>
  </si>
  <si>
    <t>葡萄酒;⽩兰地;酒精饮料（啤酒除外）;威⼠忌;⽩酒;鸡尾酒;朗姆酒;伏特加酒;薄荷酒;⻩酒</t>
  </si>
  <si>
    <t>鸿医扁鹊</t>
  </si>
  <si>
    <t>含酒精的饮料（啤酒除外）;以葡萄酒为主的饮料;⽶酒;⽩酒;以葡萄酒为主的开胃酒;汽酒;烧酒;烈酒（饮料）;⻩酒;威⼠忌</t>
  </si>
  <si>
    <t>梦花溪</t>
  </si>
  <si>
    <t>⽩酒;果酒;酒精饮料（啤酒除外）;烧酒;⻘稞酒;威⼠忌;葡萄酒;清酒（⽇本⽶酒）;⽶酒;⻩酒</t>
  </si>
  <si>
    <t>游裕台</t>
  </si>
  <si>
    <t>徐海林</t>
  </si>
  <si>
    <t>蒸馏饮料;果酒（含酒精）;威⼠忌;鸡尾酒;清酒;含⽔果酒精饮料;⽩酒;烈酒（饮料）;酒精饮料原汁;烧酒</t>
  </si>
  <si>
    <t>南通重任酒业有限公司</t>
  </si>
  <si>
    <t>鸡尾酒;⻘稞酒;⽩酒;清酒（⽇本⽶酒）;果酒（含酒精）;威⼠忌;⻩酒;烧酒;⽩兰地;烈酒（饮料）</t>
  </si>
  <si>
    <t>孔怡贡</t>
  </si>
  <si>
    <t>吴京洲</t>
  </si>
  <si>
    <t>威⼠忌;蒸馏饮料;果酒（含酒精）;鸡尾酒;烧酒;清酒;烈酒（饮料）;⽩酒;酒精饮料原汁;含⽔果酒精饮料</t>
  </si>
  <si>
    <t>为尘</t>
  </si>
  <si>
    <t>徐顺锡330324********4512</t>
  </si>
  <si>
    <t>葡萄酒;蒸馏饮料;⻩酒;⽩酒;⽶酒;烧酒;果酒（含酒精）;威⼠忌;酒精饮料（啤酒除外）;⾕物制蒸馏酒精饮料</t>
  </si>
  <si>
    <t>不咸山冰韵</t>
  </si>
  <si>
    <t>北京超煜科技有限公司</t>
  </si>
  <si>
    <t>⽶酒;梨酒;苹果酒;⽩酒;以葡萄酒为主的饮料;含⽔果酒精饮料;含酒精的⽓泡⽔;果酒（含酒精）;葡萄酒;蜂蜜酒</t>
  </si>
  <si>
    <t>黔世间</t>
  </si>
  <si>
    <t>⽩酒;烈酒;⻩酒;葡萄酒;果酒（含酒精）;清酒（⽇本⽶酒）;鸡尾酒;酒精饮料（啤酒除外）;威⼠忌;开胃酒</t>
  </si>
  <si>
    <t>泉广申</t>
  </si>
  <si>
    <t>山西省泉广申酒业有限公司</t>
  </si>
  <si>
    <t>⾼粱酒;⽼酒（中国蒸馏烈酒）;葡萄酒;果酒（含酒精）;已调味的蒸馏酒;开胃酒;烧酒;利⼝酒;⻩酒;⽩酒</t>
  </si>
  <si>
    <t>晓真</t>
  </si>
  <si>
    <t>以葡萄酒为主的饮料;桃红葡萄酒;含酒精的⽔果鸡尾酒饮料;葡萄酒;⽩葡萄酒;⽩⼲酒（中国⽩酒）;⽩酒;由⾕物蒸馏的⽩酒;果酒（含酒精）;红葡萄酒</t>
  </si>
  <si>
    <t>HANSCH</t>
  </si>
  <si>
    <t>浙江汉世工具有限公司</t>
  </si>
  <si>
    <t>烈酒（饮料）;清酒（⽇本⽶酒）;果酒（含酒精）;葡萄酒;⻩酒;烧酒;⽩酒;⽶酒;汽酒;酒精饮料（啤酒除外）</t>
  </si>
  <si>
    <t>吕志雄</t>
  </si>
  <si>
    <t>蒸馏饮料;酒精饮料（啤酒除外）;酒精饮料原汁;⽩酒;含⽔果酒精饮料;鸡尾酒;蒸煮提取物（利⼝酒和烈酒）;⾷⽤酒精;果酒（含酒精）;葡萄酒</t>
  </si>
  <si>
    <t>2024/06/13</t>
  </si>
  <si>
    <t>悦景汇</t>
  </si>
  <si>
    <t>章贡区悦景餐厅</t>
  </si>
  <si>
    <t>威⼠忌;伏特加酒;果酒（含酒精）;酒精饮料（啤酒除外）;鸡尾酒;烈酒（饮料）;⻩酒;⽩酒;⽩兰地;葡萄酒</t>
  </si>
  <si>
    <t>晏同瑞</t>
  </si>
  <si>
    <t>贵州晏同瑞商贸有限公司</t>
  </si>
  <si>
    <t>酒精饮料（啤酒除外）;⽶酒;⾷⽤酒精;⽩⼲酒（中国⽩酒）;烧酒（烈酒）;⻘稞酒;烧酒;开胃酒;⽩酒;烈酒</t>
  </si>
  <si>
    <t>鑫不焕</t>
  </si>
  <si>
    <t>腾冲鑫稳酒业有限责任公司</t>
  </si>
  <si>
    <t>烧酒;薄荷酒;葡萄酒;利⼝酒;鸡尾酒;烈酒（饮料）;⾕物制蒸馏酒精饮料;⽩酒;苹果酒;威⼠忌</t>
  </si>
  <si>
    <t>捧香客</t>
  </si>
  <si>
    <t>闵含金</t>
  </si>
  <si>
    <t>汽酒;果酒（含酒精）;烈酒（饮料）;⻘稞酒;⻩酒;含⽔果酒精饮料;伏特加酒;葡萄酒;烧酒;⽩酒</t>
  </si>
  <si>
    <t>莓加仑</t>
  </si>
  <si>
    <t>海口秀英奶小欢食品经营部（个体工商户）</t>
  </si>
  <si>
    <t>蒸馏饮料;酒精饮料（啤酒除外）;朗姆酒;⾷⽤酒精;清酒（⽇本⽶酒）;威⼠忌;⽩兰地;鸡尾酒;葡萄酒;⽩酒</t>
  </si>
  <si>
    <t>徽秦夜</t>
  </si>
  <si>
    <t>王子豪</t>
  </si>
  <si>
    <t>果酒（含酒精）;烧酒;酒精饮料（啤酒除外）;葡萄酒;烈酒（饮料）;⻩酒;⾷⽤酒精;⽩酒;含⽔果酒精饮料;⽶酒</t>
  </si>
  <si>
    <t>皖令工</t>
  </si>
  <si>
    <t>⽩酒;含⽔果酒精饮料;酒精饮料（啤酒除外）;烧酒;⻩酒;果酒（含酒精）;烈酒（饮料）;⾷⽤酒精;⽶酒;葡萄酒</t>
  </si>
  <si>
    <t>杭州二麻文化创意有限公司</t>
  </si>
  <si>
    <t>果酒（含酒精）;⽩兰地;利⼝酒;杜松⼦酒;蜂蜜酒;薄荷酒;葡萄酒;樱桃酒;烈酒;餐后酒（利⼝酒和烈酒）</t>
  </si>
  <si>
    <t>赤万梵</t>
  </si>
  <si>
    <t>贵州叁加贰酒业有限公司</t>
  </si>
  <si>
    <t>含⽔果酒精饮料;果酒（含酒精）;⽩酒;蒸馏饮料;酒精饮料（啤酒除外）;⽶酒;汽酒;清酒;葡萄酒;利⼝酒</t>
  </si>
  <si>
    <t>容徽</t>
  </si>
  <si>
    <t>河北雄安容徽科技有限公司</t>
  </si>
  <si>
    <t>果酒（含酒精）;含酒精的鸡尾酒混合饮品;调制好的葡萄酒鸡尾酒;以朗姆酒为主的饮料;酒精饮料（啤酒除外）;蒸煮提取物（利⼝酒和烈酒）;利⼝酒;⽩酒;⻩酒;含酒精⽔果饮料</t>
  </si>
  <si>
    <t>赤壁炎</t>
  </si>
  <si>
    <t>蜂蜜酒;⻩酒;清酒（⽇本⽶酒）;⾷⽤酒精;酒精饮料原汁;开胃酒;烈酒（饮料）;⾕物制蒸馏酒精饮料;⽩酒;⽶酒</t>
  </si>
  <si>
    <t>金渡浪</t>
  </si>
  <si>
    <t>王修善</t>
  </si>
  <si>
    <t>烈酒（饮料）;烧酒;开胃酒;果酒（含酒精）;⻘稞酒;蜂蜜酒;酒精饮料（啤酒除外）;⽶酒;⽩酒;利⼝酒</t>
  </si>
  <si>
    <t>唯品爱</t>
  </si>
  <si>
    <t>唯品会（中国）有限公司</t>
  </si>
  <si>
    <t>⽩酒;烧酒;开胃酒;苹果酒;含酒精的饮料（啤酒除外）;果酒;果酒（含酒精）;⻩酒;以葡萄酒为主的饮料;⽶酒</t>
  </si>
  <si>
    <t>众味多</t>
  </si>
  <si>
    <t>贵州省仁怀市众味多餐饮文化发展有限公司</t>
  </si>
  <si>
    <t>鸡尾酒;⽩⼲酒（中国⽩酒）;烈酒（饮料）;果酒;⽩酒;烈酒;⽼酒（中国蒸馏烈酒）;葡萄酒;酒精饮料（啤酒除外）;⾼粱酒</t>
  </si>
  <si>
    <t>年轻力（梅州）文化传媒有限公司</t>
  </si>
  <si>
    <t>果酒（含酒精）;蒸馏饮料;烈酒（饮料）;鸡尾酒;葡萄酒;酒精饮料（啤酒除外）;⽩酒;⻩酒;烧酒;⽶酒</t>
  </si>
  <si>
    <t>赖峰淘</t>
  </si>
  <si>
    <t>⽩酒;⽶酒;⾷⽤酒精;烧酒;含⽔果酒精饮料;⻩酒;葡萄酒;果酒（含酒精）;烈酒（饮料）;酒精饮料（啤酒除外）</t>
  </si>
  <si>
    <t>锦凰鸣</t>
  </si>
  <si>
    <t>王一冠</t>
  </si>
  <si>
    <t>酒精饮料原汁;⽶酒;烈酒（饮料）;⽩葡萄酒;果酒（含酒精）;⻩酒;烧酒;汽酒;⽩酒;葡萄酒</t>
  </si>
  <si>
    <t>黎头叔</t>
  </si>
  <si>
    <t>广东京兆系集团有限公司</t>
  </si>
  <si>
    <t>⽩酒;葡萄酒;开胃酒;烧酒;清酒（⽇本⽶酒）;蒸煮提取物（利⼝酒和烈酒）;酒精饮料（啤酒除外）;果酒;⻩酒;⽶酒</t>
  </si>
  <si>
    <t>活力象</t>
  </si>
  <si>
    <t>⻩酒;酒精饮料原汁;烧酒;汽酒;葡萄酒;⽶酒;烈酒（饮料）;果酒（含酒精）;⽩酒;利⼝酒</t>
  </si>
  <si>
    <t>汉信铭</t>
  </si>
  <si>
    <t>贵州省仁怀市汉信铭酒业有限公司</t>
  </si>
  <si>
    <t>酒精饮料（啤酒除外）;⽩⼲酒（中国⽩酒）;葡萄酒;含⽔果酒精饮料;烈酒（饮料）;烧酒;由⾕物蒸馏的⽩酒;⽶酒;⾷⽤酒精;⽩酒</t>
  </si>
  <si>
    <t>摩亲舟</t>
  </si>
  <si>
    <t>王元龙</t>
  </si>
  <si>
    <t>清酒;⽩酒;酒精饮料原汁;果酒（含酒精）;含⽔果酒精饮料;烈酒（饮料）;蒸馏饮料;烧酒;鸡尾酒;威⼠忌</t>
  </si>
  <si>
    <t>乐与兰</t>
  </si>
  <si>
    <t>蒲成竹</t>
  </si>
  <si>
    <t>果酒（含酒精）;含⽔果酒精饮料;葡萄酒</t>
  </si>
  <si>
    <t>2024/06/14</t>
  </si>
  <si>
    <t>炊六郎</t>
  </si>
  <si>
    <t>陶金龙</t>
  </si>
  <si>
    <t>威⼠忌;鸡尾酒;⽩兰地;蜂蜜酒;⾕物制蒸馏酒精饮料;⽶酒;烧酒;果酒（含酒精）;葡萄酒;烈酒（饮料）</t>
  </si>
  <si>
    <t>福水咕沖</t>
  </si>
  <si>
    <t>黄含君</t>
  </si>
  <si>
    <t>⽩酒;果酒;含酒精的饮料（啤酒除外）;红葡萄酒;含酒精的充⽓饮料（啤酒除外）;烧酒;⽶酒;甜酒;酒精饮料浓缩汁;⻩酒</t>
  </si>
  <si>
    <t>黔粮鼎</t>
  </si>
  <si>
    <t>利⼝酒;葡萄酒;烧酒;鸡尾酒;⽩酒;开胃酒;清酒（⽇本⽶酒）;果酒;朗姆酒;酒精饮料（啤酒除外）</t>
  </si>
  <si>
    <t>零态成春</t>
  </si>
  <si>
    <t>零态文化发展（济南）有限公司</t>
  </si>
  <si>
    <t>⽩酒;开胃酒;汽酒;清酒（⽇本⽶酒）;酒精饮料（啤酒除外）;果酒（含酒精）;葡萄酒;烧酒;⽩兰地;⾷⽤酒精</t>
  </si>
  <si>
    <t>卜迷路</t>
  </si>
  <si>
    <t>深圳市百翼企业策划咨询有限公司</t>
  </si>
  <si>
    <t>葡萄酒;⽩酒;果酒（含酒精）;⽶酒;⽩兰地;⻩酒;烧酒;汽酒;开胃酒;威⼠忌</t>
  </si>
  <si>
    <t>怀能量</t>
  </si>
  <si>
    <t>⽩酒;开胃酒;酒精饮料（啤酒除外）;烈酒（饮料）;甜果酒;⽼酒（中国蒸馏烈酒）;⻩酒;含⽔果酒精饮料;葡萄酒;⽶酒</t>
  </si>
  <si>
    <t>耀全庭</t>
  </si>
  <si>
    <t>草木堂健康管理（江苏）有限公司</t>
  </si>
  <si>
    <t>⽶酒;含酒精⽔果饮料;⽼酒（中国蒸馏烈酒）;⽔果汽酒;清酒;伏特加酒;咖啡利⼝酒;酒精饮料（啤酒除外）;⽩酒;开胃酒</t>
  </si>
  <si>
    <t>难言醉</t>
  </si>
  <si>
    <t>福建省正堃富民农业发展有限公司</t>
  </si>
  <si>
    <t>果酒（含酒精）;葡萄酒;含⽔果酒精饮料;⽩酒;果酒;梅酒;预先混合的酒精饮料（以啤酒为主的除外）;⾕物制蒸馏酒精饮料;⽶酒;⻩酒;烈酒（饮料）</t>
  </si>
  <si>
    <t>雨沅窖湘</t>
  </si>
  <si>
    <t>黎银娥</t>
  </si>
  <si>
    <t>蒸馏饮料;⽩酒;⾷⽤酒精;果酒（含酒精）;烧酒;酒精饮料原汁;葡萄酒;酒精饮料（啤酒除外）;⽶酒;烈酒（饮料）</t>
  </si>
  <si>
    <t>浙哥俩 ZHEHELIA</t>
  </si>
  <si>
    <t>张远胜</t>
  </si>
  <si>
    <t>蜂蜜酒;⻘稞酒;开胃酒;鸡尾酒;⻩酒;威⼠忌;清酒（⽇本⽶酒）;烈酒（饮料）;烧酒;⽩酒</t>
  </si>
  <si>
    <t>2024/06/15</t>
  </si>
  <si>
    <t>遵每</t>
  </si>
  <si>
    <t>杨倩</t>
  </si>
  <si>
    <t>汽酒;⻩酒;葡萄酒;⽩酒;果酒（含酒精）;清酒（⽇本⽶酒）;酒精饮料原汁;烧酒;⾷⽤酒精;烈酒（饮料）</t>
  </si>
  <si>
    <t>龙跃福祥</t>
  </si>
  <si>
    <t>成都市尊伍堂商贸有限公司</t>
  </si>
  <si>
    <t>果酒（含酒精）;⽩酒;⾷⽤酒精;葡萄酒;烧酒;酒精饮料（啤酒除外）;⻩酒;烈酒（饮料）;除啤酒外的酒精饮料;清酒（⽇本⽶酒）</t>
  </si>
  <si>
    <t>佑卫水乡</t>
  </si>
  <si>
    <t>张家口万利生态旅游开发有限公司</t>
  </si>
  <si>
    <t>清酒（⽇本⽶酒）;烈酒（饮料）;酒精饮料（啤酒除外）;⽶酒;⽩酒;烧酒;果酒（含酒精）;葡萄酒;甜酒;⻩酒</t>
  </si>
  <si>
    <t>馀庆老</t>
  </si>
  <si>
    <t>李德洪</t>
  </si>
  <si>
    <t>烈酒（饮料）;烧酒;⾷⽤酒精;⽼酒（中国蒸馏烈酒）;⽩酒;葡萄酒;⽶酒;⽩⼲酒（中国⽩酒）;果酒（含酒精）;蒸馏饮料</t>
  </si>
  <si>
    <t>畅玲珑</t>
  </si>
  <si>
    <t>蜂蜜酒;鸡尾酒;清酒（⽇本⽶酒）;烧酒;⻘稞酒;开胃酒;⻩酒;烈酒（饮料）;⽩酒;威⼠忌</t>
  </si>
  <si>
    <t>妙理贡</t>
  </si>
  <si>
    <t>威⼠忌;葡萄酒;⽩兰地;⽼酒（中国蒸馏烈酒）;蜂蜜酒;果酒（含酒精）;⽩酒;含⽔果酒精饮料;⽩⼲酒（中国⽩酒）;⻩酒</t>
  </si>
  <si>
    <t>亦河王子</t>
  </si>
  <si>
    <t>汽酒;⻩酒;果酒（含酒精）;烈酒（饮料）;烧酒;⾷⽤酒精;⽩酒;葡萄酒;酒精饮料原汁;清酒（⽇本⽶酒）</t>
  </si>
  <si>
    <t>尚新向善</t>
  </si>
  <si>
    <t>果酒（含酒精）;烧酒;蒸馏饮料;酒精饮料（啤酒除外）;葡萄酒;⾷⽤酒精;威⼠忌;朗姆酒;⽶酒;鸡尾酒</t>
  </si>
  <si>
    <t>冻媒</t>
  </si>
  <si>
    <t>河南顶润供应链有限公司</t>
  </si>
  <si>
    <t>伏特加酒;⽩酒;⽩兰地;果酒（含酒精）;酒精饮料（啤酒除外）;⻩酒;⾕物制蒸馏酒精饮料;葡萄酒;威⼠忌;含酒精的⽓泡⽔</t>
  </si>
  <si>
    <t>道无涯</t>
  </si>
  <si>
    <t>杜永强</t>
  </si>
  <si>
    <t>葡萄酒;⽩兰地;⽶酒;⽩酒;甜酒;蜂蜜酒;烈酒（饮料）;烧酒;果酒（含酒精）;鸡尾酒</t>
  </si>
  <si>
    <t>粮子君</t>
  </si>
  <si>
    <t>向刚</t>
  </si>
  <si>
    <t>果酒（含酒精）;烧酒;酒精饮料（啤酒除外）;葡萄酒;⽶酒;⽩酒;烈酒（饮料）;鸡尾酒;⽩兰地;威⼠忌</t>
  </si>
  <si>
    <t>楚凤祥</t>
  </si>
  <si>
    <t>蜂蜜酒;⻘稞酒;烧酒;威⼠忌;⻩酒;烈酒（饮料）;⽩酒;开胃酒;鸡尾酒;清酒（⽇本⽶酒）</t>
  </si>
  <si>
    <t>出水福龙</t>
  </si>
  <si>
    <t>果酒（含酒精）;⾷⽤酒精;烧酒;酒精饮料（啤酒除外）;除啤酒外的酒精饮料;清酒（⽇本⽶酒）;⻩酒;烈酒（饮料）;葡萄酒;⽩酒</t>
  </si>
  <si>
    <t>妙理原</t>
  </si>
  <si>
    <t>葡萄酒;⻩酒;⽩⼲酒（中国⽩酒）;⽩酒;果酒（含酒精）;蜂蜜酒;威⼠忌;⽼酒（中国蒸馏烈酒）;含⽔果酒精饮料;⽩兰地</t>
  </si>
  <si>
    <t>百村行</t>
  </si>
  <si>
    <t>集安市百村行农业科技有限公司</t>
  </si>
  <si>
    <t>葡萄酒;蜂蜜酒;烈酒（饮料）;汽酒;⽩酒;烧酒;⾷⽤酒精;鸡尾酒;⽶酒;以葡萄酒为主的饮料</t>
  </si>
  <si>
    <t>兔子唠唠</t>
  </si>
  <si>
    <t>奇松贸易(深圳)有限公司</t>
  </si>
  <si>
    <t>预先混合的酒精饮料（以啤酒为主的除外）;葡萄酒;果酒（含酒精）;蒸馏饮料;酒精饮料（啤酒除外）;以葡萄酒为主的饮料</t>
  </si>
  <si>
    <t>2024/06/16</t>
  </si>
  <si>
    <t>绽将</t>
  </si>
  <si>
    <t>陕西三丹全健康管理有限公司</t>
  </si>
  <si>
    <t>威⼠忌;果酒（含酒精）;烧酒;⽩酒;⻩酒;酒精饮料（啤酒除外）;⾼粱酒;烈酒（饮料）;葡萄酒;⽶酒</t>
  </si>
  <si>
    <t>2024/06/17</t>
  </si>
  <si>
    <t>湖屿桥</t>
  </si>
  <si>
    <t>陈军将</t>
  </si>
  <si>
    <t>⽩酒;葡萄酒;烈酒（饮料）;果酒（含酒精）;汽酒;⾕物制蒸馏酒精饮料;酒精饮料（啤酒除外）;蒸馏饮料;⻩酒;预先混合的酒精饮料（以啤酒为主的除外）</t>
  </si>
  <si>
    <t>牦阿哥</t>
  </si>
  <si>
    <t>青海牦阿哥品牌运营管理有限公司</t>
  </si>
  <si>
    <t>汽酒;⻩酒;烈酒（饮料）;⽩酒;⽶酒;⾷⽤酒精;烧酒;果酒（含酒精）;酒精饮料（啤酒除外）;葡萄酒</t>
  </si>
  <si>
    <t>宁满驿</t>
  </si>
  <si>
    <t>宁夏同元交通资产管理有限公司</t>
  </si>
  <si>
    <t>⾷⽤酒精;⻩酒;蜂蜜酒;烈酒（饮料）;果酒;含酒精的饮料（啤酒除外）;蒸馏饮料;烧酒;⽩酒;葡萄酒</t>
  </si>
  <si>
    <t>千佳万惠</t>
  </si>
  <si>
    <t>陈利</t>
  </si>
  <si>
    <t>⻩酒;葡萄酒;烧酒;烈酒（饮料）;⽶酒;⽩酒;果酒（含酒精）;蜂蜜酒;⾷⽤酒精;酒精饮料（啤酒除外）</t>
  </si>
  <si>
    <t>星吉星</t>
  </si>
  <si>
    <t>史维</t>
  </si>
  <si>
    <t>酒精饮料（啤酒除外）;清酒;烧酒;葡萄酒;果酒（含酒精）;⻩酒;开胃酒;⽶酒;⽩酒;蒸煮提取物（利⼝酒和烈酒）</t>
  </si>
  <si>
    <t>丰良登</t>
  </si>
  <si>
    <t>陕西丰良登富硒农业科技有限公司</t>
  </si>
  <si>
    <t>鸡尾酒;⾼粱酒;果酒（含酒精）;⻩酒;⽩酒;葡萄酒;梨酒;⽶酒;甜酒;烧酒</t>
  </si>
  <si>
    <t>天命隆昌</t>
  </si>
  <si>
    <t>清酒（⽇本⽶酒）;⾷⽤酒精;⽩酒;果酒（含酒精）;威⼠忌;蒸馏饮料;葡萄酒;⽩兰地;餐后酒（利⼝酒和烈酒）;酒精饮料（啤酒除外）</t>
  </si>
  <si>
    <t>漆小天</t>
  </si>
  <si>
    <t>陈建玲</t>
  </si>
  <si>
    <t>蜂蜜酒;酒精饮料（啤酒除外）;⻩酒;果酒（含酒精）;⽩酒;⽶酒;烧酒;⻘稞酒;鸡尾酒;葡萄酒</t>
  </si>
  <si>
    <t>吾千岁</t>
  </si>
  <si>
    <t>北京三合高远生物科技有限公司</t>
  </si>
  <si>
    <t>甜果酒;果酒（含酒精）;鸡尾酒;葡萄酒;⽶酒;除啤酒外的酒精饮料;威⼠忌;薄荷酒;⽩兰地;⽩酒</t>
  </si>
  <si>
    <t>鹿禄福</t>
  </si>
  <si>
    <t>阳新县鹿之源养殖专业合作社</t>
  </si>
  <si>
    <t>苹果酒;薄荷酒;威⼠忌;烈酒;威末酒;咖啡利⼝酒;果酒（含酒精）;苦味酒;⽩酒;烧酒（烈酒）</t>
  </si>
  <si>
    <t>龙醉春风</t>
  </si>
  <si>
    <t>威⼠忌;⾷⽤酒精;⽩酒;果酒（含酒精）;⽶酒;⾕物制蒸馏酒精饮料;餐后酒（利⼝酒和烈酒）;葡萄酒;⽩兰地;酒精饮料（啤酒除外）</t>
  </si>
  <si>
    <t>润泉清</t>
  </si>
  <si>
    <t>朱前彪</t>
  </si>
  <si>
    <t>蒸馏饮料;⻩酒;鸡尾酒;⽩酒;果酒（含酒精）;烈酒（饮料）;酒精饮料（啤酒除外）;⽶酒;⾷⽤酒精;葡萄酒</t>
  </si>
  <si>
    <t>真辉真情</t>
  </si>
  <si>
    <t>李真辉</t>
  </si>
  <si>
    <t>蜂蜜酒;酒精饮料（啤酒除外）;烈酒（饮料）;果酒（含酒精）;⽶酒;⻩酒;烧酒;⽩酒;甜酒;葡萄酒</t>
  </si>
  <si>
    <t>真辉真意</t>
  </si>
  <si>
    <t>酒精饮料（啤酒除外）;葡萄酒;烧酒;⽩酒;甜酒;⻩酒;果酒（含酒精）;烈酒（饮料）;⽶酒;蜂蜜酒</t>
  </si>
  <si>
    <t>伊农有情</t>
  </si>
  <si>
    <t>伊犁惠远鑫驰商贸有限公司</t>
  </si>
  <si>
    <t>葡萄酒;⽩酒;含⽔果酒精饮料;鸡尾酒;酒精饮料（啤酒除外）;蒸馏饮料;苹果酒;⽶酒;烧酒;果酒（含酒精）</t>
  </si>
  <si>
    <t>曾阿妹</t>
  </si>
  <si>
    <t>曾阿妹大健康科技（湖北）有限公司</t>
  </si>
  <si>
    <t>⽩酒;果酒（含酒精）;葡萄酒;⽶酒;烈酒（饮料）;⻩酒;鸡尾酒;⽢蔗制烈酒;酒精饮料（啤酒除外）;烧酒</t>
  </si>
  <si>
    <t>华眙（淮安）企业管理有限公司</t>
  </si>
  <si>
    <t>果酒（含酒精）;葡萄酒;鸡尾酒;伏特加酒;⽩酒;⽩兰地;清酒（⽇本⽶酒）;威⼠忌;酒精饮料（啤酒除外）;薄荷酒</t>
  </si>
  <si>
    <t>居安发</t>
  </si>
  <si>
    <t>三台县安发门业有限公司</t>
  </si>
  <si>
    <t>⽶酒;⾼粱酒;果酒（含酒精）;蜂蜜酒;鸡尾酒;⻩酒;开胃酒;葡萄酒;⾕物制蒸馏酒精饮料;⽩酒</t>
  </si>
  <si>
    <t>2024/06/18</t>
  </si>
  <si>
    <t>铭亿鑫</t>
  </si>
  <si>
    <t>厦门铭亿鑫食品有限公司</t>
  </si>
  <si>
    <t>葡萄酒;威⼠忌;鸡尾酒;果酒;⽩酒;烈酒;⽶酒;烧酒;⻩酒;开胃酒</t>
  </si>
  <si>
    <t>元气袋鼠</t>
  </si>
  <si>
    <t>刘民办</t>
  </si>
  <si>
    <t>甜酒;⽶酒;开胃酒;⾷⽤酒精;葡萄酒;清酒;⻩酒;果酒;⽩酒;汽酒</t>
  </si>
  <si>
    <t>天智睿利</t>
  </si>
  <si>
    <t>武义乐丰休闲用品有限公司</t>
  </si>
  <si>
    <t>开胃酒;⽩酒;含酒精的饮料（啤酒除外）;果酒（含酒精）;⽶酒;⾕物制蒸馏酒精饮料;⾷⽤酒精;烧酒;酒精饮料原汁;预先混合的酒精饮料（以啤酒为主的除外）</t>
  </si>
  <si>
    <t>PLANDOO</t>
  </si>
  <si>
    <t>上海帕兰朵纺织科技发展有限公司</t>
  </si>
  <si>
    <t>果酒（含酒精）;葡萄酒;⽩兰地;⽶酒;烧酒;开胃酒;⽩酒;⻩酒;烈酒（饮料）;酒精饮料（啤酒除外）;汽酒</t>
  </si>
  <si>
    <t>帕兰朵</t>
  </si>
  <si>
    <t>酒精饮料（啤酒除外）;烧酒;烈酒（饮料）;葡萄酒;汽酒;⻩酒;果酒（含酒精）;⽩酒;开胃酒;⽶酒;⽩兰地</t>
  </si>
  <si>
    <t>念楚江</t>
  </si>
  <si>
    <t>黄亚鹏</t>
  </si>
  <si>
    <t>⻩酒;果酒（含酒精）;⽩兰地;⽩酒;鸡尾酒;⽶酒;⾷⽤酒精;酒精饮料（啤酒除外）;含⽔果酒精饮料;葡萄酒</t>
  </si>
  <si>
    <t>必旭弟</t>
  </si>
  <si>
    <t>北京稻香通宝商贸有限公司</t>
  </si>
  <si>
    <t>⽶酒;烧酒;⽩酒;由⾕物蒸馏的⽩酒;蒸煮提取物（利⼝酒和烈酒）;蜂蜜酒;葡萄酒;烈酒;酒精饮料（啤酒除外）;果酒（含酒精）</t>
  </si>
  <si>
    <t>万广兴</t>
  </si>
  <si>
    <t>开胃酒;⽩兰地;酒精饮料（啤酒除外）;鸡尾酒;果酒（含酒精）;葡萄酒;含⽔果酒精饮料;汽酒;烈酒（饮料）;朗姆酒</t>
  </si>
  <si>
    <t>遇见朝歌</t>
  </si>
  <si>
    <t>鹤壁笨老大淇河三珍食品有限公司</t>
  </si>
  <si>
    <t>⽩酒;⻩酒;清酒;葡萄酒;⽩兰地;⽶酒;威⼠忌;烧酒;鸡尾酒;果酒</t>
  </si>
  <si>
    <t>佛山市三水海江建设投资有限公司</t>
  </si>
  <si>
    <t>万响达</t>
  </si>
  <si>
    <t>上海万响达食品有限公司</t>
  </si>
  <si>
    <t>烈酒（饮料）;烧酒;⽩酒;酒精饮料（啤酒除外）;⽶酒;蒸馏饮料;酒精饮料浓缩汁;含⽔果酒精饮料;果酒（含酒精）;葡萄酒</t>
  </si>
  <si>
    <t>陈柳</t>
  </si>
  <si>
    <t>杭州陈柳农业科技有限公司</t>
  </si>
  <si>
    <t>清酒;⻘梅酒;威⼠忌;⽶酒;甜酒;⻩酒;已调味的⻨芽酿制的酒精饮料（啤酒除外）;葡萄酒;⽩酒;果酒</t>
  </si>
  <si>
    <t>京盛阳</t>
  </si>
  <si>
    <t>保定来此购商贸有限公司</t>
  </si>
  <si>
    <t>⽶酒;开胃酒;酒精饮料（啤酒除外）;利⼝酒;⾷⽤酒精;⽩兰地;葡萄酒;⽩酒;烧酒;烈酒（饮料）</t>
  </si>
  <si>
    <t>漫山川</t>
  </si>
  <si>
    <t>雷炼红</t>
  </si>
  <si>
    <t>烈酒（饮料）;威⼠忌;葡萄酒;果酒（含酒精）;鸡尾酒;酒精饮料（啤酒除外）;烧酒;⽶酒;⽩兰地;⽩酒</t>
  </si>
  <si>
    <t>2024/06/19</t>
  </si>
  <si>
    <t>懂力齐</t>
  </si>
  <si>
    <t>方周健</t>
  </si>
  <si>
    <t>⽩酒;果酒（含酒精）;烈酒（饮料）;蒸馏饮料;清酒;烧酒;威⼠忌;酒精饮料原汁;含⽔果酒精饮料;鸡尾酒</t>
  </si>
  <si>
    <t>亚赏</t>
  </si>
  <si>
    <t>佛山市迪奥比家具有限公司</t>
  </si>
  <si>
    <t>开胃酒;以蒸馏酒为主的开胃酒;⽩酒;葡萄酒;果酒;⻩酒;威⼠忌;以葡萄酒为主的饮料;烈酒（饮料）;酒精饮料（啤酒除外）</t>
  </si>
  <si>
    <t>墨仙莺</t>
  </si>
  <si>
    <t>冯定录</t>
  </si>
  <si>
    <t>鸡尾酒;烧酒;烈酒（饮料）;威⼠忌;蒸馏饮料;含⽔果酒精饮料;清酒;⽩酒;果酒（含酒精）;酒精饮料原汁</t>
  </si>
  <si>
    <t>顺绵仙</t>
  </si>
  <si>
    <t>李殷宇</t>
  </si>
  <si>
    <t>清酒（⽇本⽶酒）;葡萄酒;酒精饮料（啤酒除外）;开胃酒;⻩酒;烈酒;⽩酒;威⼠忌;鸡尾酒;果酒（含酒精）</t>
  </si>
  <si>
    <t>沁雪留</t>
  </si>
  <si>
    <t>付松奥</t>
  </si>
  <si>
    <t>⽩酒;烈酒（饮料）;威⼠忌;清酒;含⽔果酒精饮料;烧酒;蒸馏饮料;酒精饮料原汁;鸡尾酒;果酒（含酒精）</t>
  </si>
  <si>
    <t>鹏涛水一汸</t>
  </si>
  <si>
    <t>湖南鹏涛食品有限公司</t>
  </si>
  <si>
    <t>⽩酒;樱桃⽩兰地;预先混合的酒精饮料（以啤酒为主的除外）;⻩酒;⻘梅酒;烧酒;清酒（⽇本⽶酒）;梅酒;果酒（含酒精）;清酒</t>
  </si>
  <si>
    <t>打兰鸟石</t>
  </si>
  <si>
    <t>陈少健</t>
  </si>
  <si>
    <t>⽶酒;果酒（含酒精）;清酒（⽇本⽶酒）;葡萄酒;酒精饮料（啤酒除外）;⽩酒;⻩酒;⽩兰地;蒸馏饮料;烧酒</t>
  </si>
  <si>
    <t>酒精饮料（啤酒除外）;威⼠忌;⻩酒;以蒸馏酒为主的开胃酒;葡萄酒;烈酒（饮料）;⽩酒;果酒;以葡萄酒为主的饮料;开胃酒</t>
  </si>
  <si>
    <t>永福好妈咪</t>
  </si>
  <si>
    <t>刘丽玲</t>
  </si>
  <si>
    <t>苹果酒;利⼝酒;葡萄酒;⽩兰地;烧酒;⻩酒;清酒（⽇本⽶酒）;果酒（含酒精）;鸡尾酒;汽酒</t>
  </si>
  <si>
    <t>闻渊</t>
  </si>
  <si>
    <t>鸡尾酒;果酒（含酒精）;⽩兰地;⽩酒;葡萄酒;威⼠忌;烈酒（饮料）;酒精饮料（啤酒除外）;⽶酒;烧酒</t>
  </si>
  <si>
    <t>坤晨沃亩</t>
  </si>
  <si>
    <t>南京沃亩智慧农业科技有限公司</t>
  </si>
  <si>
    <t>⽩酒;葡萄酒;酒精饮料（啤酒除外）;⻩酒;果酒（含酒精）;⻘稞酒;鸡尾酒</t>
  </si>
  <si>
    <t>谜偶</t>
  </si>
  <si>
    <t>长沙越途电子商务有限公司</t>
  </si>
  <si>
    <t>⽶酒;烈酒（饮料）;葡萄酒;威⼠忌;⽩酒;鸡尾酒;烧酒;⻘稞酒;酒精饮料（啤酒除外）;果酒（含酒精）</t>
  </si>
  <si>
    <t>招风崖</t>
  </si>
  <si>
    <t>重庆市巴南区招风崖竹柳种植场</t>
  </si>
  <si>
    <t>鸡尾酒;烧酒;果酒（含酒精）;开胃酒;⽩酒;餐后酒（利⼝酒和烈酒）;烈酒（饮料）;⽩兰地;⻩酒;⽶酒</t>
  </si>
  <si>
    <t>仙养健</t>
  </si>
  <si>
    <t>陈文武</t>
  </si>
  <si>
    <t>烧酒;果酒（含酒精）;鸡尾酒;葡萄酒;⽶酒;⻩酒;⾷⽤酒精;⻘稞酒;清酒（⽇本⽶酒）;⽩酒</t>
  </si>
  <si>
    <t>赣境</t>
  </si>
  <si>
    <t>⽩酒;开胃酒;果酒（含酒精）;烈酒（饮料）;⻩酒;酒精饮料（啤酒除外）;鸡尾酒;清酒（⽇本⽶酒）;葡萄酒;威⼠忌</t>
  </si>
  <si>
    <t>2024/06/20</t>
  </si>
  <si>
    <t>孟名酒业</t>
  </si>
  <si>
    <t>李楷</t>
  </si>
  <si>
    <t>⽩酒;清酒（⽇本⽶酒）;威⼠忌;果酒;烈酒（饮料）;开胃酒;鸡尾酒;酒精饮料（啤酒除外）;葡萄酒;⻩酒</t>
  </si>
  <si>
    <t>健鹿山</t>
  </si>
  <si>
    <t>刘海欢</t>
  </si>
  <si>
    <t>⽩酒;烈酒;葡萄酒;酒精饮料（啤酒除外）;果酒（含酒精）;开胃酒;鸡尾酒;清酒（⽇本⽶酒）;威⼠忌;⻩酒</t>
  </si>
  <si>
    <t>赣津</t>
  </si>
  <si>
    <t>陈健昌</t>
  </si>
  <si>
    <t>⻩酒;开胃酒;葡萄酒;烈酒（饮料）;果酒（含酒精）;鸡尾酒;清酒（⽇本⽶酒）;威⼠忌;⽩酒;酒精饮料（啤酒除外）</t>
  </si>
  <si>
    <t>壶御雾</t>
  </si>
  <si>
    <t>郭敏</t>
  </si>
  <si>
    <t>烧酒;果酒（含酒精）;威⼠忌;鸡尾酒;酒精饮料原汁;⽩酒;蒸馏饮料;清酒;烈酒（饮料）;含⽔果酒精饮料</t>
  </si>
  <si>
    <t>弥堡</t>
  </si>
  <si>
    <t>金刚亥母(厦门)投资咨询有限公司</t>
  </si>
  <si>
    <t>清酒（⽇本⽶酒）;⽩酒;⻩酒;鸡尾酒;威⼠忌;⽶酒;果酒（含酒精）;葡萄酒;⽩兰地;酒精饮料（啤酒除外）</t>
  </si>
  <si>
    <t>鸟歌</t>
  </si>
  <si>
    <t>于洪涛</t>
  </si>
  <si>
    <t>酒精饮料（啤酒除外）;葡萄酒;⽩酒;⾷⽤酒精;果酒（含酒精）;汽酒;⽩兰地;利⼝酒;清酒;开胃酒</t>
  </si>
  <si>
    <t>和一托</t>
  </si>
  <si>
    <t>北京远荐文化传媒有限公司</t>
  </si>
  <si>
    <t>葡萄酒;⽩酒;威⼠忌;果酒;⻨芽威⼠忌;含酒精的饮料（啤酒除外）;⽼酒（中国蒸馏烈酒）;⻩酒;伏特加酒;朗姆酒</t>
  </si>
  <si>
    <t>CHONGXJ 虫小将</t>
  </si>
  <si>
    <t>临泉县任意球网络科技有限公司</t>
  </si>
  <si>
    <t>葡萄酒;伏特加酒;⻩酒;威⼠忌;⾷⽤酒精;朗姆酒;烈酒（饮料）;⽩兰地;⽩酒;果酒（含酒精）</t>
  </si>
  <si>
    <t>莲青松籁</t>
  </si>
  <si>
    <t>重庆抗战遗址博物馆</t>
  </si>
  <si>
    <t>⾕物制蒸馏酒精饮料;⽶酒;含⽔果酒精饮料;果酒（含酒精）;果酒;⾼粱酒;含酒精的⽓泡⽔;⽔果汽酒;⽩酒;烧酒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</si>
</sst>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m/dd"/>
    <numFmt numFmtId="177" formatCode="0_ "/>
  </numFmts>
  <fonts count="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4" fillId="0" borderId="0" applyNumberForma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2" borderId="1" xfId="0" applyFill="1" applyBorder="1" applyAlignment="1">
      <alignment horizontal="center" vertical="top" wrapText="1"/>
    </xf>
    <xf numFmtId="49" fontId="0" fillId="2" borderId="1" xfId="0" applyNumberFormat="1" applyFill="1" applyBorder="1" applyAlignment="1">
      <alignment horizontal="center" vertical="top" wrapText="1"/>
    </xf>
    <xf numFmtId="177" fontId="0" fillId="2" borderId="1" xfId="0" applyNumberFormat="1" applyFill="1" applyBorder="1" applyAlignment="1">
      <alignment horizontal="center" vertical="top" wrapText="1"/>
    </xf>
    <xf numFmtId="176" fontId="0" fillId="2" borderId="1" xfId="0" applyNumberForma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49" fontId="0" fillId="0" borderId="0" xfId="0" applyNumberFormat="1" applyAlignment="1">
      <alignment vertical="top" wrapText="1"/>
    </xf>
    <xf numFmtId="177" fontId="0" fillId="0" borderId="0" xfId="0" applyNumberFormat="1" applyAlignment="1">
      <alignment vertical="top" wrapText="1"/>
    </xf>
    <xf numFmtId="176" fontId="0" fillId="0" borderId="0" xfId="0" applyNumberFormat="1" applyAlignment="1">
      <alignment vertical="top" wrapText="1"/>
    </xf>
    <xf numFmtId="0" fontId="3" fillId="0" borderId="1" xfId="1" applyBorder="1" applyAlignment="1">
      <alignment horizontal="right"/>
    </xf>
    <xf numFmtId="0" fontId="3" fillId="0" borderId="1" xfId="1" applyBorder="1"/>
    <xf numFmtId="0" fontId="4" fillId="0" borderId="1" xfId="2" applyFill="1" applyBorder="1" applyAlignment="1"/>
  </cellXfs>
  <cellStyles count="3">
    <cellStyle name="ハイパーリンク" xfId="2" builtinId="8"/>
    <cellStyle name="標準" xfId="0" builtinId="0"/>
    <cellStyle name="標準_1889th" xfId="1" xr:uid="{4AA09252-DDF1-4F95-95DD-DD10F46928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FB343-47C0-4CE0-8FAB-E7608847F386}">
  <dimension ref="A1:I2660"/>
  <sheetViews>
    <sheetView tabSelected="1" workbookViewId="0"/>
  </sheetViews>
  <sheetFormatPr defaultRowHeight="13.5" x14ac:dyDescent="0.15"/>
  <cols>
    <col min="1" max="1" width="9" style="5"/>
    <col min="2" max="2" width="9" style="6"/>
    <col min="3" max="3" width="9" style="7"/>
    <col min="4" max="4" width="11.625" style="8" customWidth="1"/>
    <col min="5" max="5" width="10.625" style="7" bestFit="1" customWidth="1"/>
    <col min="6" max="6" width="28.375" style="6" customWidth="1"/>
    <col min="7" max="7" width="31.375" style="6" customWidth="1"/>
    <col min="8" max="8" width="30.625" style="6" customWidth="1"/>
    <col min="9" max="9" width="11.625" style="8" bestFit="1" customWidth="1"/>
  </cols>
  <sheetData>
    <row r="1" spans="1:9" x14ac:dyDescent="0.15">
      <c r="A1" s="1" t="s">
        <v>8</v>
      </c>
      <c r="B1" s="2" t="s">
        <v>0</v>
      </c>
      <c r="C1" s="3" t="s">
        <v>1</v>
      </c>
      <c r="D1" s="4" t="s">
        <v>2</v>
      </c>
      <c r="E1" s="3" t="s">
        <v>3</v>
      </c>
      <c r="F1" s="2" t="s">
        <v>4</v>
      </c>
      <c r="G1" s="2" t="s">
        <v>5</v>
      </c>
      <c r="H1" s="2" t="s">
        <v>6</v>
      </c>
      <c r="I1" s="4" t="s">
        <v>7</v>
      </c>
    </row>
    <row r="2" spans="1:9" x14ac:dyDescent="0.15">
      <c r="A2" s="9">
        <v>1</v>
      </c>
      <c r="B2" s="10" t="s">
        <v>9</v>
      </c>
      <c r="C2" s="10" t="s">
        <v>164</v>
      </c>
      <c r="D2" s="10" t="s">
        <v>165</v>
      </c>
      <c r="E2" s="11" t="str">
        <f>+HYPERLINK("http://trademark.i-assist.jp/data/china/image_1901th/52900945.pdf", "52900945")</f>
        <v>52900945</v>
      </c>
      <c r="F2" s="10" t="s">
        <v>166</v>
      </c>
      <c r="G2" s="10" t="s">
        <v>167</v>
      </c>
      <c r="H2" s="10" t="s">
        <v>19</v>
      </c>
      <c r="I2" s="10" t="s">
        <v>19</v>
      </c>
    </row>
    <row r="3" spans="1:9" x14ac:dyDescent="0.15">
      <c r="A3" s="9">
        <v>2</v>
      </c>
      <c r="B3" s="10" t="s">
        <v>9</v>
      </c>
      <c r="C3" s="10" t="s">
        <v>164</v>
      </c>
      <c r="D3" s="10" t="s">
        <v>165</v>
      </c>
      <c r="E3" s="11" t="str">
        <f>+HYPERLINK("http://trademark.i-assist.jp/data/china/image_1901th/53178080.pdf", "53178080")</f>
        <v>53178080</v>
      </c>
      <c r="F3" s="10" t="s">
        <v>168</v>
      </c>
      <c r="G3" s="10" t="s">
        <v>169</v>
      </c>
      <c r="H3" s="10" t="s">
        <v>170</v>
      </c>
      <c r="I3" s="10" t="s">
        <v>171</v>
      </c>
    </row>
    <row r="4" spans="1:9" x14ac:dyDescent="0.15">
      <c r="A4" s="9">
        <v>3</v>
      </c>
      <c r="B4" s="10" t="s">
        <v>9</v>
      </c>
      <c r="C4" s="10" t="s">
        <v>164</v>
      </c>
      <c r="D4" s="10" t="s">
        <v>165</v>
      </c>
      <c r="E4" s="11" t="str">
        <f>+HYPERLINK("http://trademark.i-assist.jp/data/china/image_1901th/54179067.pdf", "54179067")</f>
        <v>54179067</v>
      </c>
      <c r="F4" s="10" t="s">
        <v>172</v>
      </c>
      <c r="G4" s="10" t="s">
        <v>169</v>
      </c>
      <c r="H4" s="10" t="s">
        <v>173</v>
      </c>
      <c r="I4" s="10" t="s">
        <v>174</v>
      </c>
    </row>
    <row r="5" spans="1:9" x14ac:dyDescent="0.15">
      <c r="A5" s="9">
        <v>4</v>
      </c>
      <c r="B5" s="10" t="s">
        <v>9</v>
      </c>
      <c r="C5" s="10" t="s">
        <v>164</v>
      </c>
      <c r="D5" s="10" t="s">
        <v>165</v>
      </c>
      <c r="E5" s="11" t="str">
        <f>+HYPERLINK("http://trademark.i-assist.jp/data/china/image_1901th/54203457.pdf", "54203457")</f>
        <v>54203457</v>
      </c>
      <c r="F5" s="10" t="s">
        <v>175</v>
      </c>
      <c r="G5" s="10" t="s">
        <v>169</v>
      </c>
      <c r="H5" s="10" t="s">
        <v>173</v>
      </c>
      <c r="I5" s="10" t="s">
        <v>174</v>
      </c>
    </row>
    <row r="6" spans="1:9" x14ac:dyDescent="0.15">
      <c r="A6" s="9">
        <v>5</v>
      </c>
      <c r="B6" s="10" t="s">
        <v>9</v>
      </c>
      <c r="C6" s="10" t="s">
        <v>164</v>
      </c>
      <c r="D6" s="10" t="s">
        <v>165</v>
      </c>
      <c r="E6" s="11" t="str">
        <f>+HYPERLINK("http://trademark.i-assist.jp/data/china/image_1901th/59970923.pdf", "59970923")</f>
        <v>59970923</v>
      </c>
      <c r="F6" s="10" t="s">
        <v>168</v>
      </c>
      <c r="G6" s="10" t="s">
        <v>169</v>
      </c>
      <c r="H6" s="10" t="s">
        <v>176</v>
      </c>
      <c r="I6" s="10" t="s">
        <v>177</v>
      </c>
    </row>
    <row r="7" spans="1:9" x14ac:dyDescent="0.15">
      <c r="A7" s="9">
        <v>6</v>
      </c>
      <c r="B7" s="10" t="s">
        <v>9</v>
      </c>
      <c r="C7" s="10" t="s">
        <v>164</v>
      </c>
      <c r="D7" s="10" t="s">
        <v>165</v>
      </c>
      <c r="E7" s="11" t="str">
        <f>+HYPERLINK("http://trademark.i-assist.jp/data/china/image_1901th/62274199.pdf", "62274199")</f>
        <v>62274199</v>
      </c>
      <c r="F7" s="10" t="s">
        <v>178</v>
      </c>
      <c r="G7" s="10" t="s">
        <v>179</v>
      </c>
      <c r="H7" s="10" t="s">
        <v>180</v>
      </c>
      <c r="I7" s="10" t="s">
        <v>181</v>
      </c>
    </row>
    <row r="8" spans="1:9" x14ac:dyDescent="0.15">
      <c r="A8" s="9">
        <v>7</v>
      </c>
      <c r="B8" s="10" t="s">
        <v>9</v>
      </c>
      <c r="C8" s="10" t="s">
        <v>164</v>
      </c>
      <c r="D8" s="10" t="s">
        <v>165</v>
      </c>
      <c r="E8" s="11" t="str">
        <f>+HYPERLINK("http://trademark.i-assist.jp/data/china/image_1901th/63726561.pdf", "63726561")</f>
        <v>63726561</v>
      </c>
      <c r="F8" s="10" t="s">
        <v>182</v>
      </c>
      <c r="G8" s="10" t="s">
        <v>183</v>
      </c>
      <c r="H8" s="10" t="s">
        <v>184</v>
      </c>
      <c r="I8" s="10" t="s">
        <v>185</v>
      </c>
    </row>
    <row r="9" spans="1:9" x14ac:dyDescent="0.15">
      <c r="A9" s="9">
        <v>8</v>
      </c>
      <c r="B9" s="10" t="s">
        <v>9</v>
      </c>
      <c r="C9" s="10" t="s">
        <v>164</v>
      </c>
      <c r="D9" s="10" t="s">
        <v>165</v>
      </c>
      <c r="E9" s="11" t="str">
        <f>+HYPERLINK("http://trademark.i-assist.jp/data/china/image_1901th/64609151.pdf", "64609151")</f>
        <v>64609151</v>
      </c>
      <c r="F9" s="10" t="s">
        <v>186</v>
      </c>
      <c r="G9" s="10" t="s">
        <v>187</v>
      </c>
      <c r="H9" s="10" t="s">
        <v>188</v>
      </c>
      <c r="I9" s="10" t="s">
        <v>189</v>
      </c>
    </row>
    <row r="10" spans="1:9" x14ac:dyDescent="0.15">
      <c r="A10" s="9">
        <v>9</v>
      </c>
      <c r="B10" s="10" t="s">
        <v>9</v>
      </c>
      <c r="C10" s="10" t="s">
        <v>164</v>
      </c>
      <c r="D10" s="10" t="s">
        <v>165</v>
      </c>
      <c r="E10" s="11" t="str">
        <f>+HYPERLINK("http://trademark.i-assist.jp/data/china/image_1901th/65056958.pdf", "65056958")</f>
        <v>65056958</v>
      </c>
      <c r="F10" s="10" t="s">
        <v>190</v>
      </c>
      <c r="G10" s="10" t="s">
        <v>191</v>
      </c>
      <c r="H10" s="10" t="s">
        <v>192</v>
      </c>
      <c r="I10" s="10" t="s">
        <v>193</v>
      </c>
    </row>
    <row r="11" spans="1:9" x14ac:dyDescent="0.15">
      <c r="A11" s="9">
        <v>10</v>
      </c>
      <c r="B11" s="10" t="s">
        <v>9</v>
      </c>
      <c r="C11" s="10" t="s">
        <v>164</v>
      </c>
      <c r="D11" s="10" t="s">
        <v>165</v>
      </c>
      <c r="E11" s="11" t="str">
        <f>+HYPERLINK("http://trademark.i-assist.jp/data/china/image_1901th/65543491.pdf", "65543491")</f>
        <v>65543491</v>
      </c>
      <c r="F11" s="10" t="s">
        <v>194</v>
      </c>
      <c r="G11" s="10" t="s">
        <v>10</v>
      </c>
      <c r="H11" s="10" t="s">
        <v>195</v>
      </c>
      <c r="I11" s="10" t="s">
        <v>196</v>
      </c>
    </row>
    <row r="12" spans="1:9" x14ac:dyDescent="0.15">
      <c r="A12" s="9">
        <v>11</v>
      </c>
      <c r="B12" s="10" t="s">
        <v>9</v>
      </c>
      <c r="C12" s="10" t="s">
        <v>164</v>
      </c>
      <c r="D12" s="10" t="s">
        <v>165</v>
      </c>
      <c r="E12" s="11" t="str">
        <f>+HYPERLINK("http://trademark.i-assist.jp/data/china/image_1901th/66370464.pdf", "66370464")</f>
        <v>66370464</v>
      </c>
      <c r="F12" s="10" t="s">
        <v>197</v>
      </c>
      <c r="G12" s="10" t="s">
        <v>10</v>
      </c>
      <c r="H12" s="10" t="s">
        <v>198</v>
      </c>
      <c r="I12" s="10" t="s">
        <v>199</v>
      </c>
    </row>
    <row r="13" spans="1:9" x14ac:dyDescent="0.15">
      <c r="A13" s="9">
        <v>12</v>
      </c>
      <c r="B13" s="10" t="s">
        <v>9</v>
      </c>
      <c r="C13" s="10" t="s">
        <v>164</v>
      </c>
      <c r="D13" s="10" t="s">
        <v>165</v>
      </c>
      <c r="E13" s="11" t="str">
        <f>+HYPERLINK("http://trademark.i-assist.jp/data/china/image_1901th/66813256.pdf", "66813256")</f>
        <v>66813256</v>
      </c>
      <c r="F13" s="10" t="s">
        <v>200</v>
      </c>
      <c r="G13" s="10" t="s">
        <v>201</v>
      </c>
      <c r="H13" s="10" t="s">
        <v>202</v>
      </c>
      <c r="I13" s="10" t="s">
        <v>203</v>
      </c>
    </row>
    <row r="14" spans="1:9" x14ac:dyDescent="0.15">
      <c r="A14" s="9">
        <v>13</v>
      </c>
      <c r="B14" s="10" t="s">
        <v>9</v>
      </c>
      <c r="C14" s="10" t="s">
        <v>164</v>
      </c>
      <c r="D14" s="10" t="s">
        <v>165</v>
      </c>
      <c r="E14" s="11" t="str">
        <f>+HYPERLINK("http://trademark.i-assist.jp/data/china/image_1901th/67568273.pdf", "67568273")</f>
        <v>67568273</v>
      </c>
      <c r="F14" s="10" t="s">
        <v>168</v>
      </c>
      <c r="G14" s="10" t="s">
        <v>169</v>
      </c>
      <c r="H14" s="10" t="s">
        <v>204</v>
      </c>
      <c r="I14" s="10" t="s">
        <v>205</v>
      </c>
    </row>
    <row r="15" spans="1:9" x14ac:dyDescent="0.15">
      <c r="A15" s="9">
        <v>14</v>
      </c>
      <c r="B15" s="10" t="s">
        <v>9</v>
      </c>
      <c r="C15" s="10" t="s">
        <v>164</v>
      </c>
      <c r="D15" s="10" t="s">
        <v>165</v>
      </c>
      <c r="E15" s="11" t="str">
        <f>+HYPERLINK("http://trademark.i-assist.jp/data/china/image_1901th/67780291.pdf", "67780291")</f>
        <v>67780291</v>
      </c>
      <c r="F15" s="10" t="s">
        <v>206</v>
      </c>
      <c r="G15" s="10" t="s">
        <v>207</v>
      </c>
      <c r="H15" s="10" t="s">
        <v>208</v>
      </c>
      <c r="I15" s="10" t="s">
        <v>209</v>
      </c>
    </row>
    <row r="16" spans="1:9" x14ac:dyDescent="0.15">
      <c r="A16" s="9">
        <v>15</v>
      </c>
      <c r="B16" s="10" t="s">
        <v>9</v>
      </c>
      <c r="C16" s="10" t="s">
        <v>164</v>
      </c>
      <c r="D16" s="10" t="s">
        <v>165</v>
      </c>
      <c r="E16" s="11" t="str">
        <f>+HYPERLINK("http://trademark.i-assist.jp/data/china/image_1901th/68088725.pdf", "68088725")</f>
        <v>68088725</v>
      </c>
      <c r="F16" s="10" t="s">
        <v>210</v>
      </c>
      <c r="G16" s="10" t="s">
        <v>211</v>
      </c>
      <c r="H16" s="10" t="s">
        <v>212</v>
      </c>
      <c r="I16" s="10" t="s">
        <v>213</v>
      </c>
    </row>
    <row r="17" spans="1:9" x14ac:dyDescent="0.15">
      <c r="A17" s="9">
        <v>16</v>
      </c>
      <c r="B17" s="10" t="s">
        <v>9</v>
      </c>
      <c r="C17" s="10" t="s">
        <v>164</v>
      </c>
      <c r="D17" s="10" t="s">
        <v>165</v>
      </c>
      <c r="E17" s="11" t="str">
        <f>+HYPERLINK("http://trademark.i-assist.jp/data/china/image_1901th/68363675.pdf", "68363675")</f>
        <v>68363675</v>
      </c>
      <c r="F17" s="10" t="s">
        <v>214</v>
      </c>
      <c r="G17" s="10" t="s">
        <v>10</v>
      </c>
      <c r="H17" s="10" t="s">
        <v>215</v>
      </c>
      <c r="I17" s="10" t="s">
        <v>216</v>
      </c>
    </row>
    <row r="18" spans="1:9" x14ac:dyDescent="0.15">
      <c r="A18" s="9">
        <v>17</v>
      </c>
      <c r="B18" s="10" t="s">
        <v>9</v>
      </c>
      <c r="C18" s="10" t="s">
        <v>164</v>
      </c>
      <c r="D18" s="10" t="s">
        <v>165</v>
      </c>
      <c r="E18" s="11" t="str">
        <f>+HYPERLINK("http://trademark.i-assist.jp/data/china/image_1901th/68429039.pdf", "68429039")</f>
        <v>68429039</v>
      </c>
      <c r="F18" s="10" t="s">
        <v>217</v>
      </c>
      <c r="G18" s="10" t="s">
        <v>218</v>
      </c>
      <c r="H18" s="10" t="s">
        <v>11</v>
      </c>
      <c r="I18" s="10" t="s">
        <v>219</v>
      </c>
    </row>
    <row r="19" spans="1:9" x14ac:dyDescent="0.15">
      <c r="A19" s="9">
        <v>18</v>
      </c>
      <c r="B19" s="10" t="s">
        <v>9</v>
      </c>
      <c r="C19" s="10" t="s">
        <v>164</v>
      </c>
      <c r="D19" s="10" t="s">
        <v>165</v>
      </c>
      <c r="E19" s="11" t="str">
        <f>+HYPERLINK("http://trademark.i-assist.jp/data/china/image_1901th/68596563.pdf", "68596563")</f>
        <v>68596563</v>
      </c>
      <c r="F19" s="10" t="s">
        <v>220</v>
      </c>
      <c r="G19" s="10" t="s">
        <v>221</v>
      </c>
      <c r="H19" s="10" t="s">
        <v>222</v>
      </c>
      <c r="I19" s="10" t="s">
        <v>223</v>
      </c>
    </row>
    <row r="20" spans="1:9" x14ac:dyDescent="0.15">
      <c r="A20" s="9">
        <v>19</v>
      </c>
      <c r="B20" s="10" t="s">
        <v>9</v>
      </c>
      <c r="C20" s="10" t="s">
        <v>164</v>
      </c>
      <c r="D20" s="10" t="s">
        <v>165</v>
      </c>
      <c r="E20" s="11" t="str">
        <f>+HYPERLINK("http://trademark.i-assist.jp/data/china/image_1901th/69102532.pdf", "69102532")</f>
        <v>69102532</v>
      </c>
      <c r="F20" s="10" t="s">
        <v>224</v>
      </c>
      <c r="G20" s="10" t="s">
        <v>225</v>
      </c>
      <c r="H20" s="10" t="s">
        <v>11</v>
      </c>
      <c r="I20" s="10" t="s">
        <v>226</v>
      </c>
    </row>
    <row r="21" spans="1:9" x14ac:dyDescent="0.15">
      <c r="A21" s="9">
        <v>20</v>
      </c>
      <c r="B21" s="10" t="s">
        <v>9</v>
      </c>
      <c r="C21" s="10" t="s">
        <v>164</v>
      </c>
      <c r="D21" s="10" t="s">
        <v>165</v>
      </c>
      <c r="E21" s="11" t="str">
        <f>+HYPERLINK("http://trademark.i-assist.jp/data/china/image_1901th/69194286.pdf", "69194286")</f>
        <v>69194286</v>
      </c>
      <c r="F21" s="10" t="s">
        <v>227</v>
      </c>
      <c r="G21" s="10" t="s">
        <v>228</v>
      </c>
      <c r="H21" s="10" t="s">
        <v>229</v>
      </c>
      <c r="I21" s="10" t="s">
        <v>230</v>
      </c>
    </row>
    <row r="22" spans="1:9" x14ac:dyDescent="0.15">
      <c r="A22" s="9">
        <v>21</v>
      </c>
      <c r="B22" s="10" t="s">
        <v>9</v>
      </c>
      <c r="C22" s="10" t="s">
        <v>164</v>
      </c>
      <c r="D22" s="10" t="s">
        <v>165</v>
      </c>
      <c r="E22" s="11" t="str">
        <f>+HYPERLINK("http://trademark.i-assist.jp/data/china/image_1901th/70247558.pdf", "70247558")</f>
        <v>70247558</v>
      </c>
      <c r="F22" s="10" t="s">
        <v>231</v>
      </c>
      <c r="G22" s="10" t="s">
        <v>232</v>
      </c>
      <c r="H22" s="10" t="s">
        <v>233</v>
      </c>
      <c r="I22" s="10" t="s">
        <v>234</v>
      </c>
    </row>
    <row r="23" spans="1:9" x14ac:dyDescent="0.15">
      <c r="A23" s="9">
        <v>22</v>
      </c>
      <c r="B23" s="10" t="s">
        <v>9</v>
      </c>
      <c r="C23" s="10" t="s">
        <v>164</v>
      </c>
      <c r="D23" s="10" t="s">
        <v>165</v>
      </c>
      <c r="E23" s="11" t="str">
        <f>+HYPERLINK("http://trademark.i-assist.jp/data/china/image_1901th/70296368.pdf", "70296368")</f>
        <v>70296368</v>
      </c>
      <c r="F23" s="10" t="s">
        <v>235</v>
      </c>
      <c r="G23" s="10" t="s">
        <v>236</v>
      </c>
      <c r="H23" s="10" t="s">
        <v>237</v>
      </c>
      <c r="I23" s="10" t="s">
        <v>238</v>
      </c>
    </row>
    <row r="24" spans="1:9" x14ac:dyDescent="0.15">
      <c r="A24" s="9">
        <v>23</v>
      </c>
      <c r="B24" s="10" t="s">
        <v>9</v>
      </c>
      <c r="C24" s="10" t="s">
        <v>164</v>
      </c>
      <c r="D24" s="10" t="s">
        <v>165</v>
      </c>
      <c r="E24" s="11" t="str">
        <f>+HYPERLINK("http://trademark.i-assist.jp/data/china/image_1901th/70405835.pdf", "70405835")</f>
        <v>70405835</v>
      </c>
      <c r="F24" s="10" t="s">
        <v>239</v>
      </c>
      <c r="G24" s="10" t="s">
        <v>240</v>
      </c>
      <c r="H24" s="10" t="s">
        <v>241</v>
      </c>
      <c r="I24" s="10" t="s">
        <v>242</v>
      </c>
    </row>
    <row r="25" spans="1:9" x14ac:dyDescent="0.15">
      <c r="A25" s="9">
        <v>24</v>
      </c>
      <c r="B25" s="10" t="s">
        <v>9</v>
      </c>
      <c r="C25" s="10" t="s">
        <v>164</v>
      </c>
      <c r="D25" s="10" t="s">
        <v>165</v>
      </c>
      <c r="E25" s="11" t="str">
        <f>+HYPERLINK("http://trademark.i-assist.jp/data/china/image_1901th/70889555.pdf", "70889555")</f>
        <v>70889555</v>
      </c>
      <c r="F25" s="10" t="s">
        <v>243</v>
      </c>
      <c r="G25" s="10" t="s">
        <v>244</v>
      </c>
      <c r="H25" s="10" t="s">
        <v>245</v>
      </c>
      <c r="I25" s="10" t="s">
        <v>246</v>
      </c>
    </row>
    <row r="26" spans="1:9" x14ac:dyDescent="0.15">
      <c r="A26" s="9">
        <v>25</v>
      </c>
      <c r="B26" s="10" t="s">
        <v>9</v>
      </c>
      <c r="C26" s="10" t="s">
        <v>164</v>
      </c>
      <c r="D26" s="10" t="s">
        <v>165</v>
      </c>
      <c r="E26" s="11" t="str">
        <f>+HYPERLINK("http://trademark.i-assist.jp/data/china/image_1901th/71194640.pdf", "71194640")</f>
        <v>71194640</v>
      </c>
      <c r="F26" s="10" t="s">
        <v>12</v>
      </c>
      <c r="G26" s="10" t="s">
        <v>247</v>
      </c>
      <c r="H26" s="10" t="s">
        <v>248</v>
      </c>
      <c r="I26" s="10" t="s">
        <v>249</v>
      </c>
    </row>
    <row r="27" spans="1:9" x14ac:dyDescent="0.15">
      <c r="A27" s="9">
        <v>26</v>
      </c>
      <c r="B27" s="10" t="s">
        <v>9</v>
      </c>
      <c r="C27" s="10" t="s">
        <v>164</v>
      </c>
      <c r="D27" s="10" t="s">
        <v>165</v>
      </c>
      <c r="E27" s="11" t="str">
        <f>+HYPERLINK("http://trademark.i-assist.jp/data/china/image_1901th/71427251.pdf", "71427251")</f>
        <v>71427251</v>
      </c>
      <c r="F27" s="10" t="s">
        <v>250</v>
      </c>
      <c r="G27" s="10" t="s">
        <v>251</v>
      </c>
      <c r="H27" s="10" t="s">
        <v>252</v>
      </c>
      <c r="I27" s="10" t="s">
        <v>253</v>
      </c>
    </row>
    <row r="28" spans="1:9" x14ac:dyDescent="0.15">
      <c r="A28" s="9">
        <v>27</v>
      </c>
      <c r="B28" s="10" t="s">
        <v>9</v>
      </c>
      <c r="C28" s="10" t="s">
        <v>164</v>
      </c>
      <c r="D28" s="10" t="s">
        <v>165</v>
      </c>
      <c r="E28" s="11" t="str">
        <f>+HYPERLINK("http://trademark.i-assist.jp/data/china/image_1901th/71469181.pdf", "71469181")</f>
        <v>71469181</v>
      </c>
      <c r="F28" s="10" t="s">
        <v>254</v>
      </c>
      <c r="G28" s="10" t="s">
        <v>255</v>
      </c>
      <c r="H28" s="10" t="s">
        <v>256</v>
      </c>
      <c r="I28" s="10" t="s">
        <v>257</v>
      </c>
    </row>
    <row r="29" spans="1:9" x14ac:dyDescent="0.15">
      <c r="A29" s="9">
        <v>28</v>
      </c>
      <c r="B29" s="10" t="s">
        <v>9</v>
      </c>
      <c r="C29" s="10" t="s">
        <v>164</v>
      </c>
      <c r="D29" s="10" t="s">
        <v>165</v>
      </c>
      <c r="E29" s="11" t="str">
        <f>+HYPERLINK("http://trademark.i-assist.jp/data/china/image_1901th/71579603.pdf", "71579603")</f>
        <v>71579603</v>
      </c>
      <c r="F29" s="10" t="s">
        <v>258</v>
      </c>
      <c r="G29" s="10" t="s">
        <v>259</v>
      </c>
      <c r="H29" s="10" t="s">
        <v>260</v>
      </c>
      <c r="I29" s="10" t="s">
        <v>261</v>
      </c>
    </row>
    <row r="30" spans="1:9" x14ac:dyDescent="0.15">
      <c r="A30" s="9">
        <v>29</v>
      </c>
      <c r="B30" s="10" t="s">
        <v>9</v>
      </c>
      <c r="C30" s="10" t="s">
        <v>164</v>
      </c>
      <c r="D30" s="10" t="s">
        <v>165</v>
      </c>
      <c r="E30" s="11" t="str">
        <f>+HYPERLINK("http://trademark.i-assist.jp/data/china/image_1901th/71596031.pdf", "71596031")</f>
        <v>71596031</v>
      </c>
      <c r="F30" s="10" t="s">
        <v>262</v>
      </c>
      <c r="G30" s="10" t="s">
        <v>263</v>
      </c>
      <c r="H30" s="10" t="s">
        <v>264</v>
      </c>
      <c r="I30" s="10" t="s">
        <v>261</v>
      </c>
    </row>
    <row r="31" spans="1:9" x14ac:dyDescent="0.15">
      <c r="A31" s="9">
        <v>30</v>
      </c>
      <c r="B31" s="10" t="s">
        <v>9</v>
      </c>
      <c r="C31" s="10" t="s">
        <v>164</v>
      </c>
      <c r="D31" s="10" t="s">
        <v>165</v>
      </c>
      <c r="E31" s="11" t="str">
        <f>+HYPERLINK("http://trademark.i-assist.jp/data/china/image_1901th/71678254.pdf", "71678254")</f>
        <v>71678254</v>
      </c>
      <c r="F31" s="10" t="s">
        <v>265</v>
      </c>
      <c r="G31" s="10" t="s">
        <v>266</v>
      </c>
      <c r="H31" s="10" t="s">
        <v>267</v>
      </c>
      <c r="I31" s="10" t="s">
        <v>13</v>
      </c>
    </row>
    <row r="32" spans="1:9" x14ac:dyDescent="0.15">
      <c r="A32" s="9">
        <v>31</v>
      </c>
      <c r="B32" s="10" t="s">
        <v>9</v>
      </c>
      <c r="C32" s="10" t="s">
        <v>164</v>
      </c>
      <c r="D32" s="10" t="s">
        <v>165</v>
      </c>
      <c r="E32" s="11" t="str">
        <f>+HYPERLINK("http://trademark.i-assist.jp/data/china/image_1901th/71737341.pdf", "71737341")</f>
        <v>71737341</v>
      </c>
      <c r="F32" s="10" t="s">
        <v>268</v>
      </c>
      <c r="G32" s="10" t="s">
        <v>269</v>
      </c>
      <c r="H32" s="10" t="s">
        <v>270</v>
      </c>
      <c r="I32" s="10" t="s">
        <v>14</v>
      </c>
    </row>
    <row r="33" spans="1:9" x14ac:dyDescent="0.15">
      <c r="A33" s="9">
        <v>32</v>
      </c>
      <c r="B33" s="10" t="s">
        <v>9</v>
      </c>
      <c r="C33" s="10" t="s">
        <v>164</v>
      </c>
      <c r="D33" s="10" t="s">
        <v>165</v>
      </c>
      <c r="E33" s="11" t="str">
        <f>+HYPERLINK("http://trademark.i-assist.jp/data/china/image_1901th/71862253.pdf", "71862253")</f>
        <v>71862253</v>
      </c>
      <c r="F33" s="10" t="s">
        <v>271</v>
      </c>
      <c r="G33" s="10" t="s">
        <v>272</v>
      </c>
      <c r="H33" s="10" t="s">
        <v>273</v>
      </c>
      <c r="I33" s="10" t="s">
        <v>274</v>
      </c>
    </row>
    <row r="34" spans="1:9" x14ac:dyDescent="0.15">
      <c r="A34" s="9">
        <v>33</v>
      </c>
      <c r="B34" s="10" t="s">
        <v>9</v>
      </c>
      <c r="C34" s="10" t="s">
        <v>164</v>
      </c>
      <c r="D34" s="10" t="s">
        <v>165</v>
      </c>
      <c r="E34" s="11" t="str">
        <f>+HYPERLINK("http://trademark.i-assist.jp/data/china/image_1901th/72017402.pdf", "72017402")</f>
        <v>72017402</v>
      </c>
      <c r="F34" s="10" t="s">
        <v>275</v>
      </c>
      <c r="G34" s="10" t="s">
        <v>276</v>
      </c>
      <c r="H34" s="10" t="s">
        <v>277</v>
      </c>
      <c r="I34" s="10" t="s">
        <v>16</v>
      </c>
    </row>
    <row r="35" spans="1:9" x14ac:dyDescent="0.15">
      <c r="A35" s="9">
        <v>34</v>
      </c>
      <c r="B35" s="10" t="s">
        <v>9</v>
      </c>
      <c r="C35" s="10" t="s">
        <v>164</v>
      </c>
      <c r="D35" s="10" t="s">
        <v>165</v>
      </c>
      <c r="E35" s="11" t="str">
        <f>+HYPERLINK("http://trademark.i-assist.jp/data/china/image_1901th/72020054.pdf", "72020054")</f>
        <v>72020054</v>
      </c>
      <c r="F35" s="10" t="s">
        <v>12</v>
      </c>
      <c r="G35" s="10" t="s">
        <v>278</v>
      </c>
      <c r="H35" s="10" t="s">
        <v>279</v>
      </c>
      <c r="I35" s="10" t="s">
        <v>16</v>
      </c>
    </row>
    <row r="36" spans="1:9" x14ac:dyDescent="0.15">
      <c r="A36" s="9">
        <v>35</v>
      </c>
      <c r="B36" s="10" t="s">
        <v>9</v>
      </c>
      <c r="C36" s="10" t="s">
        <v>164</v>
      </c>
      <c r="D36" s="10" t="s">
        <v>165</v>
      </c>
      <c r="E36" s="11" t="str">
        <f>+HYPERLINK("http://trademark.i-assist.jp/data/china/image_1901th/72240392.pdf", "72240392")</f>
        <v>72240392</v>
      </c>
      <c r="F36" s="10" t="s">
        <v>280</v>
      </c>
      <c r="G36" s="10" t="s">
        <v>281</v>
      </c>
      <c r="H36" s="10" t="s">
        <v>282</v>
      </c>
      <c r="I36" s="10" t="s">
        <v>17</v>
      </c>
    </row>
    <row r="37" spans="1:9" x14ac:dyDescent="0.15">
      <c r="A37" s="9">
        <v>36</v>
      </c>
      <c r="B37" s="10" t="s">
        <v>9</v>
      </c>
      <c r="C37" s="10" t="s">
        <v>164</v>
      </c>
      <c r="D37" s="10" t="s">
        <v>165</v>
      </c>
      <c r="E37" s="11" t="str">
        <f>+HYPERLINK("http://trademark.i-assist.jp/data/china/image_1901th/72603849.pdf", "72603849")</f>
        <v>72603849</v>
      </c>
      <c r="F37" s="10" t="s">
        <v>283</v>
      </c>
      <c r="G37" s="10" t="s">
        <v>284</v>
      </c>
      <c r="H37" s="10" t="s">
        <v>285</v>
      </c>
      <c r="I37" s="10" t="s">
        <v>286</v>
      </c>
    </row>
    <row r="38" spans="1:9" x14ac:dyDescent="0.15">
      <c r="A38" s="9">
        <v>37</v>
      </c>
      <c r="B38" s="10" t="s">
        <v>9</v>
      </c>
      <c r="C38" s="10" t="s">
        <v>164</v>
      </c>
      <c r="D38" s="10" t="s">
        <v>165</v>
      </c>
      <c r="E38" s="11" t="str">
        <f>+HYPERLINK("http://trademark.i-assist.jp/data/china/image_1901th/72693267.pdf", "72693267")</f>
        <v>72693267</v>
      </c>
      <c r="F38" s="10" t="s">
        <v>287</v>
      </c>
      <c r="G38" s="10" t="s">
        <v>288</v>
      </c>
      <c r="H38" s="10" t="s">
        <v>289</v>
      </c>
      <c r="I38" s="10" t="s">
        <v>290</v>
      </c>
    </row>
    <row r="39" spans="1:9" x14ac:dyDescent="0.15">
      <c r="A39" s="9">
        <v>38</v>
      </c>
      <c r="B39" s="10" t="s">
        <v>9</v>
      </c>
      <c r="C39" s="10" t="s">
        <v>164</v>
      </c>
      <c r="D39" s="10" t="s">
        <v>165</v>
      </c>
      <c r="E39" s="11" t="str">
        <f>+HYPERLINK("http://trademark.i-assist.jp/data/china/image_1901th/72782673.pdf", "72782673")</f>
        <v>72782673</v>
      </c>
      <c r="F39" s="10" t="s">
        <v>291</v>
      </c>
      <c r="G39" s="10" t="s">
        <v>292</v>
      </c>
      <c r="H39" s="10" t="s">
        <v>293</v>
      </c>
      <c r="I39" s="10" t="s">
        <v>294</v>
      </c>
    </row>
    <row r="40" spans="1:9" x14ac:dyDescent="0.15">
      <c r="A40" s="9">
        <v>39</v>
      </c>
      <c r="B40" s="10" t="s">
        <v>9</v>
      </c>
      <c r="C40" s="10" t="s">
        <v>164</v>
      </c>
      <c r="D40" s="10" t="s">
        <v>165</v>
      </c>
      <c r="E40" s="11" t="str">
        <f>+HYPERLINK("http://trademark.i-assist.jp/data/china/image_1901th/72925585.pdf", "72925585")</f>
        <v>72925585</v>
      </c>
      <c r="F40" s="10" t="s">
        <v>295</v>
      </c>
      <c r="G40" s="10" t="s">
        <v>296</v>
      </c>
      <c r="H40" s="10" t="s">
        <v>297</v>
      </c>
      <c r="I40" s="10" t="s">
        <v>298</v>
      </c>
    </row>
    <row r="41" spans="1:9" x14ac:dyDescent="0.15">
      <c r="A41" s="9">
        <v>40</v>
      </c>
      <c r="B41" s="10" t="s">
        <v>9</v>
      </c>
      <c r="C41" s="10" t="s">
        <v>164</v>
      </c>
      <c r="D41" s="10" t="s">
        <v>165</v>
      </c>
      <c r="E41" s="11" t="str">
        <f>+HYPERLINK("http://trademark.i-assist.jp/data/china/image_1901th/72932531.pdf", "72932531")</f>
        <v>72932531</v>
      </c>
      <c r="F41" s="10" t="s">
        <v>299</v>
      </c>
      <c r="G41" s="10" t="s">
        <v>296</v>
      </c>
      <c r="H41" s="10" t="s">
        <v>300</v>
      </c>
      <c r="I41" s="10" t="s">
        <v>298</v>
      </c>
    </row>
    <row r="42" spans="1:9" x14ac:dyDescent="0.15">
      <c r="A42" s="9">
        <v>41</v>
      </c>
      <c r="B42" s="10" t="s">
        <v>9</v>
      </c>
      <c r="C42" s="10" t="s">
        <v>164</v>
      </c>
      <c r="D42" s="10" t="s">
        <v>165</v>
      </c>
      <c r="E42" s="11" t="str">
        <f>+HYPERLINK("http://trademark.i-assist.jp/data/china/image_1901th/72956079.pdf", "72956079")</f>
        <v>72956079</v>
      </c>
      <c r="F42" s="10" t="s">
        <v>301</v>
      </c>
      <c r="G42" s="10" t="s">
        <v>302</v>
      </c>
      <c r="H42" s="10" t="s">
        <v>303</v>
      </c>
      <c r="I42" s="10" t="s">
        <v>304</v>
      </c>
    </row>
    <row r="43" spans="1:9" x14ac:dyDescent="0.15">
      <c r="A43" s="9">
        <v>42</v>
      </c>
      <c r="B43" s="10" t="s">
        <v>9</v>
      </c>
      <c r="C43" s="10" t="s">
        <v>164</v>
      </c>
      <c r="D43" s="10" t="s">
        <v>165</v>
      </c>
      <c r="E43" s="11" t="str">
        <f>+HYPERLINK("http://trademark.i-assist.jp/data/china/image_1901th/73128647.pdf", "73128647")</f>
        <v>73128647</v>
      </c>
      <c r="F43" s="10" t="s">
        <v>305</v>
      </c>
      <c r="G43" s="10" t="s">
        <v>306</v>
      </c>
      <c r="H43" s="10" t="s">
        <v>307</v>
      </c>
      <c r="I43" s="10" t="s">
        <v>308</v>
      </c>
    </row>
    <row r="44" spans="1:9" x14ac:dyDescent="0.15">
      <c r="A44" s="9">
        <v>43</v>
      </c>
      <c r="B44" s="10" t="s">
        <v>9</v>
      </c>
      <c r="C44" s="10" t="s">
        <v>164</v>
      </c>
      <c r="D44" s="10" t="s">
        <v>165</v>
      </c>
      <c r="E44" s="11" t="str">
        <f>+HYPERLINK("http://trademark.i-assist.jp/data/china/image_1901th/73216502.pdf", "73216502")</f>
        <v>73216502</v>
      </c>
      <c r="F44" s="10" t="s">
        <v>309</v>
      </c>
      <c r="G44" s="10" t="s">
        <v>310</v>
      </c>
      <c r="H44" s="10" t="s">
        <v>311</v>
      </c>
      <c r="I44" s="10" t="s">
        <v>18</v>
      </c>
    </row>
    <row r="45" spans="1:9" x14ac:dyDescent="0.15">
      <c r="A45" s="9">
        <v>44</v>
      </c>
      <c r="B45" s="10" t="s">
        <v>9</v>
      </c>
      <c r="C45" s="10" t="s">
        <v>164</v>
      </c>
      <c r="D45" s="10" t="s">
        <v>165</v>
      </c>
      <c r="E45" s="11" t="str">
        <f>+HYPERLINK("http://trademark.i-assist.jp/data/china/image_1901th/73293214.pdf", "73293214")</f>
        <v>73293214</v>
      </c>
      <c r="F45" s="10" t="s">
        <v>312</v>
      </c>
      <c r="G45" s="10" t="s">
        <v>313</v>
      </c>
      <c r="H45" s="10" t="s">
        <v>314</v>
      </c>
      <c r="I45" s="10" t="s">
        <v>315</v>
      </c>
    </row>
    <row r="46" spans="1:9" x14ac:dyDescent="0.15">
      <c r="A46" s="9">
        <v>45</v>
      </c>
      <c r="B46" s="10" t="s">
        <v>9</v>
      </c>
      <c r="C46" s="10" t="s">
        <v>164</v>
      </c>
      <c r="D46" s="10" t="s">
        <v>165</v>
      </c>
      <c r="E46" s="11" t="str">
        <f>+HYPERLINK("http://trademark.i-assist.jp/data/china/image_1901th/73333394.pdf", "73333394")</f>
        <v>73333394</v>
      </c>
      <c r="F46" s="10" t="s">
        <v>316</v>
      </c>
      <c r="G46" s="10" t="s">
        <v>317</v>
      </c>
      <c r="H46" s="10" t="s">
        <v>318</v>
      </c>
      <c r="I46" s="10" t="s">
        <v>319</v>
      </c>
    </row>
    <row r="47" spans="1:9" x14ac:dyDescent="0.15">
      <c r="A47" s="9">
        <v>46</v>
      </c>
      <c r="B47" s="10" t="s">
        <v>9</v>
      </c>
      <c r="C47" s="10" t="s">
        <v>164</v>
      </c>
      <c r="D47" s="10" t="s">
        <v>165</v>
      </c>
      <c r="E47" s="11" t="str">
        <f>+HYPERLINK("http://trademark.i-assist.jp/data/china/image_1901th/73382105.pdf", "73382105")</f>
        <v>73382105</v>
      </c>
      <c r="F47" s="10" t="s">
        <v>320</v>
      </c>
      <c r="G47" s="10" t="s">
        <v>321</v>
      </c>
      <c r="H47" s="10" t="s">
        <v>322</v>
      </c>
      <c r="I47" s="10" t="s">
        <v>323</v>
      </c>
    </row>
    <row r="48" spans="1:9" x14ac:dyDescent="0.15">
      <c r="A48" s="9">
        <v>47</v>
      </c>
      <c r="B48" s="10" t="s">
        <v>9</v>
      </c>
      <c r="C48" s="10" t="s">
        <v>164</v>
      </c>
      <c r="D48" s="10" t="s">
        <v>165</v>
      </c>
      <c r="E48" s="11" t="str">
        <f>+HYPERLINK("http://trademark.i-assist.jp/data/china/image_1901th/73434698.pdf", "73434698")</f>
        <v>73434698</v>
      </c>
      <c r="F48" s="10" t="s">
        <v>324</v>
      </c>
      <c r="G48" s="10" t="s">
        <v>325</v>
      </c>
      <c r="H48" s="10" t="s">
        <v>326</v>
      </c>
      <c r="I48" s="10" t="s">
        <v>327</v>
      </c>
    </row>
    <row r="49" spans="1:9" x14ac:dyDescent="0.15">
      <c r="A49" s="9">
        <v>48</v>
      </c>
      <c r="B49" s="10" t="s">
        <v>9</v>
      </c>
      <c r="C49" s="10" t="s">
        <v>164</v>
      </c>
      <c r="D49" s="10" t="s">
        <v>165</v>
      </c>
      <c r="E49" s="11" t="str">
        <f>+HYPERLINK("http://trademark.i-assist.jp/data/china/image_1901th/73463604.pdf", "73463604")</f>
        <v>73463604</v>
      </c>
      <c r="F49" s="10" t="s">
        <v>328</v>
      </c>
      <c r="G49" s="10" t="s">
        <v>329</v>
      </c>
      <c r="H49" s="10" t="s">
        <v>330</v>
      </c>
      <c r="I49" s="10" t="s">
        <v>331</v>
      </c>
    </row>
    <row r="50" spans="1:9" x14ac:dyDescent="0.15">
      <c r="A50" s="9">
        <v>49</v>
      </c>
      <c r="B50" s="10" t="s">
        <v>9</v>
      </c>
      <c r="C50" s="10" t="s">
        <v>164</v>
      </c>
      <c r="D50" s="10" t="s">
        <v>165</v>
      </c>
      <c r="E50" s="11" t="str">
        <f>+HYPERLINK("http://trademark.i-assist.jp/data/china/image_1901th/73497624.pdf", "73497624")</f>
        <v>73497624</v>
      </c>
      <c r="F50" s="10" t="s">
        <v>332</v>
      </c>
      <c r="G50" s="10" t="s">
        <v>333</v>
      </c>
      <c r="H50" s="10" t="s">
        <v>334</v>
      </c>
      <c r="I50" s="10" t="s">
        <v>335</v>
      </c>
    </row>
    <row r="51" spans="1:9" x14ac:dyDescent="0.15">
      <c r="A51" s="9">
        <v>50</v>
      </c>
      <c r="B51" s="10" t="s">
        <v>9</v>
      </c>
      <c r="C51" s="10" t="s">
        <v>164</v>
      </c>
      <c r="D51" s="10" t="s">
        <v>165</v>
      </c>
      <c r="E51" s="11" t="str">
        <f>+HYPERLINK("http://trademark.i-assist.jp/data/china/image_1901th/73574448.pdf", "73574448")</f>
        <v>73574448</v>
      </c>
      <c r="F51" s="10" t="s">
        <v>336</v>
      </c>
      <c r="G51" s="10" t="s">
        <v>337</v>
      </c>
      <c r="H51" s="10" t="s">
        <v>338</v>
      </c>
      <c r="I51" s="10" t="s">
        <v>339</v>
      </c>
    </row>
    <row r="52" spans="1:9" x14ac:dyDescent="0.15">
      <c r="A52" s="9">
        <v>51</v>
      </c>
      <c r="B52" s="10" t="s">
        <v>9</v>
      </c>
      <c r="C52" s="10" t="s">
        <v>164</v>
      </c>
      <c r="D52" s="10" t="s">
        <v>165</v>
      </c>
      <c r="E52" s="11" t="str">
        <f>+HYPERLINK("http://trademark.i-assist.jp/data/china/image_1901th/73646389.pdf", "73646389")</f>
        <v>73646389</v>
      </c>
      <c r="F52" s="10" t="s">
        <v>340</v>
      </c>
      <c r="G52" s="10" t="s">
        <v>341</v>
      </c>
      <c r="H52" s="10" t="s">
        <v>342</v>
      </c>
      <c r="I52" s="10" t="s">
        <v>343</v>
      </c>
    </row>
    <row r="53" spans="1:9" x14ac:dyDescent="0.15">
      <c r="A53" s="9">
        <v>52</v>
      </c>
      <c r="B53" s="10" t="s">
        <v>9</v>
      </c>
      <c r="C53" s="10" t="s">
        <v>164</v>
      </c>
      <c r="D53" s="10" t="s">
        <v>165</v>
      </c>
      <c r="E53" s="11" t="str">
        <f>+HYPERLINK("http://trademark.i-assist.jp/data/china/image_1901th/73703717.pdf", "73703717")</f>
        <v>73703717</v>
      </c>
      <c r="F53" s="10" t="s">
        <v>344</v>
      </c>
      <c r="G53" s="10" t="s">
        <v>345</v>
      </c>
      <c r="H53" s="10" t="s">
        <v>346</v>
      </c>
      <c r="I53" s="10" t="s">
        <v>347</v>
      </c>
    </row>
    <row r="54" spans="1:9" x14ac:dyDescent="0.15">
      <c r="A54" s="9">
        <v>53</v>
      </c>
      <c r="B54" s="10" t="s">
        <v>9</v>
      </c>
      <c r="C54" s="10" t="s">
        <v>164</v>
      </c>
      <c r="D54" s="10" t="s">
        <v>165</v>
      </c>
      <c r="E54" s="11" t="str">
        <f>+HYPERLINK("http://trademark.i-assist.jp/data/china/image_1901th/73751910.pdf", "73751910")</f>
        <v>73751910</v>
      </c>
      <c r="F54" s="10" t="s">
        <v>348</v>
      </c>
      <c r="G54" s="10" t="s">
        <v>349</v>
      </c>
      <c r="H54" s="10" t="s">
        <v>19</v>
      </c>
      <c r="I54" s="10" t="s">
        <v>19</v>
      </c>
    </row>
    <row r="55" spans="1:9" x14ac:dyDescent="0.15">
      <c r="A55" s="9">
        <v>54</v>
      </c>
      <c r="B55" s="10" t="s">
        <v>9</v>
      </c>
      <c r="C55" s="10" t="s">
        <v>164</v>
      </c>
      <c r="D55" s="10" t="s">
        <v>165</v>
      </c>
      <c r="E55" s="11" t="str">
        <f>+HYPERLINK("http://trademark.i-assist.jp/data/china/image_1901th/73769314.pdf", "73769314")</f>
        <v>73769314</v>
      </c>
      <c r="F55" s="10" t="s">
        <v>350</v>
      </c>
      <c r="G55" s="10" t="s">
        <v>351</v>
      </c>
      <c r="H55" s="10" t="s">
        <v>352</v>
      </c>
      <c r="I55" s="10" t="s">
        <v>353</v>
      </c>
    </row>
    <row r="56" spans="1:9" x14ac:dyDescent="0.15">
      <c r="A56" s="9">
        <v>55</v>
      </c>
      <c r="B56" s="10" t="s">
        <v>9</v>
      </c>
      <c r="C56" s="10" t="s">
        <v>164</v>
      </c>
      <c r="D56" s="10" t="s">
        <v>165</v>
      </c>
      <c r="E56" s="11" t="str">
        <f>+HYPERLINK("http://trademark.i-assist.jp/data/china/image_1901th/73832948.pdf", "73832948")</f>
        <v>73832948</v>
      </c>
      <c r="F56" s="10" t="s">
        <v>12</v>
      </c>
      <c r="G56" s="10" t="s">
        <v>354</v>
      </c>
      <c r="H56" s="10" t="s">
        <v>355</v>
      </c>
      <c r="I56" s="10" t="s">
        <v>356</v>
      </c>
    </row>
    <row r="57" spans="1:9" x14ac:dyDescent="0.15">
      <c r="A57" s="9">
        <v>56</v>
      </c>
      <c r="B57" s="10" t="s">
        <v>9</v>
      </c>
      <c r="C57" s="10" t="s">
        <v>164</v>
      </c>
      <c r="D57" s="10" t="s">
        <v>165</v>
      </c>
      <c r="E57" s="11" t="str">
        <f>+HYPERLINK("http://trademark.i-assist.jp/data/china/image_1901th/73955041.pdf", "73955041")</f>
        <v>73955041</v>
      </c>
      <c r="F57" s="10" t="s">
        <v>357</v>
      </c>
      <c r="G57" s="10" t="s">
        <v>358</v>
      </c>
      <c r="H57" s="10" t="s">
        <v>359</v>
      </c>
      <c r="I57" s="10" t="s">
        <v>360</v>
      </c>
    </row>
    <row r="58" spans="1:9" x14ac:dyDescent="0.15">
      <c r="A58" s="9">
        <v>57</v>
      </c>
      <c r="B58" s="10" t="s">
        <v>9</v>
      </c>
      <c r="C58" s="10" t="s">
        <v>164</v>
      </c>
      <c r="D58" s="10" t="s">
        <v>165</v>
      </c>
      <c r="E58" s="11" t="str">
        <f>+HYPERLINK("http://trademark.i-assist.jp/data/china/image_1901th/73968079.pdf", "73968079")</f>
        <v>73968079</v>
      </c>
      <c r="F58" s="10" t="s">
        <v>361</v>
      </c>
      <c r="G58" s="10" t="s">
        <v>362</v>
      </c>
      <c r="H58" s="10" t="s">
        <v>363</v>
      </c>
      <c r="I58" s="10" t="s">
        <v>20</v>
      </c>
    </row>
    <row r="59" spans="1:9" x14ac:dyDescent="0.15">
      <c r="A59" s="9">
        <v>58</v>
      </c>
      <c r="B59" s="10" t="s">
        <v>9</v>
      </c>
      <c r="C59" s="10" t="s">
        <v>164</v>
      </c>
      <c r="D59" s="10" t="s">
        <v>165</v>
      </c>
      <c r="E59" s="11" t="str">
        <f>+HYPERLINK("http://trademark.i-assist.jp/data/china/image_1901th/74067034.pdf", "74067034")</f>
        <v>74067034</v>
      </c>
      <c r="F59" s="10" t="s">
        <v>364</v>
      </c>
      <c r="G59" s="10" t="s">
        <v>365</v>
      </c>
      <c r="H59" s="10" t="s">
        <v>366</v>
      </c>
      <c r="I59" s="10" t="s">
        <v>21</v>
      </c>
    </row>
    <row r="60" spans="1:9" x14ac:dyDescent="0.15">
      <c r="A60" s="9">
        <v>59</v>
      </c>
      <c r="B60" s="10" t="s">
        <v>9</v>
      </c>
      <c r="C60" s="10" t="s">
        <v>164</v>
      </c>
      <c r="D60" s="10" t="s">
        <v>165</v>
      </c>
      <c r="E60" s="11" t="str">
        <f>+HYPERLINK("http://trademark.i-assist.jp/data/china/image_1901th/74221566.pdf", "74221566")</f>
        <v>74221566</v>
      </c>
      <c r="F60" s="10" t="s">
        <v>367</v>
      </c>
      <c r="G60" s="10" t="s">
        <v>368</v>
      </c>
      <c r="H60" s="10" t="s">
        <v>369</v>
      </c>
      <c r="I60" s="10" t="s">
        <v>370</v>
      </c>
    </row>
    <row r="61" spans="1:9" x14ac:dyDescent="0.15">
      <c r="A61" s="9">
        <v>60</v>
      </c>
      <c r="B61" s="10" t="s">
        <v>9</v>
      </c>
      <c r="C61" s="10" t="s">
        <v>164</v>
      </c>
      <c r="D61" s="10" t="s">
        <v>165</v>
      </c>
      <c r="E61" s="11" t="str">
        <f>+HYPERLINK("http://trademark.i-assist.jp/data/china/image_1901th/74234067.pdf", "74234067")</f>
        <v>74234067</v>
      </c>
      <c r="F61" s="10" t="s">
        <v>371</v>
      </c>
      <c r="G61" s="10" t="s">
        <v>372</v>
      </c>
      <c r="H61" s="10" t="s">
        <v>373</v>
      </c>
      <c r="I61" s="10" t="s">
        <v>370</v>
      </c>
    </row>
    <row r="62" spans="1:9" x14ac:dyDescent="0.15">
      <c r="A62" s="9">
        <v>61</v>
      </c>
      <c r="B62" s="10" t="s">
        <v>9</v>
      </c>
      <c r="C62" s="10" t="s">
        <v>164</v>
      </c>
      <c r="D62" s="10" t="s">
        <v>165</v>
      </c>
      <c r="E62" s="11" t="str">
        <f>+HYPERLINK("http://trademark.i-assist.jp/data/china/image_1901th/74291943.pdf", "74291943")</f>
        <v>74291943</v>
      </c>
      <c r="F62" s="10" t="s">
        <v>374</v>
      </c>
      <c r="G62" s="10" t="s">
        <v>375</v>
      </c>
      <c r="H62" s="10" t="s">
        <v>376</v>
      </c>
      <c r="I62" s="10" t="s">
        <v>377</v>
      </c>
    </row>
    <row r="63" spans="1:9" x14ac:dyDescent="0.15">
      <c r="A63" s="9">
        <v>62</v>
      </c>
      <c r="B63" s="10" t="s">
        <v>9</v>
      </c>
      <c r="C63" s="10" t="s">
        <v>164</v>
      </c>
      <c r="D63" s="10" t="s">
        <v>165</v>
      </c>
      <c r="E63" s="11" t="str">
        <f>+HYPERLINK("http://trademark.i-assist.jp/data/china/image_1901th/74300386.pdf", "74300386")</f>
        <v>74300386</v>
      </c>
      <c r="F63" s="10" t="s">
        <v>378</v>
      </c>
      <c r="G63" s="10" t="s">
        <v>379</v>
      </c>
      <c r="H63" s="10" t="s">
        <v>380</v>
      </c>
      <c r="I63" s="10" t="s">
        <v>381</v>
      </c>
    </row>
    <row r="64" spans="1:9" x14ac:dyDescent="0.15">
      <c r="A64" s="9">
        <v>63</v>
      </c>
      <c r="B64" s="10" t="s">
        <v>9</v>
      </c>
      <c r="C64" s="10" t="s">
        <v>164</v>
      </c>
      <c r="D64" s="10" t="s">
        <v>165</v>
      </c>
      <c r="E64" s="11" t="str">
        <f>+HYPERLINK("http://trademark.i-assist.jp/data/china/image_1901th/74329243.pdf", "74329243")</f>
        <v>74329243</v>
      </c>
      <c r="F64" s="10" t="s">
        <v>382</v>
      </c>
      <c r="G64" s="10" t="s">
        <v>383</v>
      </c>
      <c r="H64" s="10" t="s">
        <v>384</v>
      </c>
      <c r="I64" s="10" t="s">
        <v>385</v>
      </c>
    </row>
    <row r="65" spans="1:9" x14ac:dyDescent="0.15">
      <c r="A65" s="9">
        <v>64</v>
      </c>
      <c r="B65" s="10" t="s">
        <v>9</v>
      </c>
      <c r="C65" s="10" t="s">
        <v>164</v>
      </c>
      <c r="D65" s="10" t="s">
        <v>165</v>
      </c>
      <c r="E65" s="11" t="str">
        <f>+HYPERLINK("http://trademark.i-assist.jp/data/china/image_1901th/74329429.pdf", "74329429")</f>
        <v>74329429</v>
      </c>
      <c r="F65" s="10" t="s">
        <v>386</v>
      </c>
      <c r="G65" s="10" t="s">
        <v>387</v>
      </c>
      <c r="H65" s="10" t="s">
        <v>388</v>
      </c>
      <c r="I65" s="10" t="s">
        <v>385</v>
      </c>
    </row>
    <row r="66" spans="1:9" x14ac:dyDescent="0.15">
      <c r="A66" s="9">
        <v>65</v>
      </c>
      <c r="B66" s="10" t="s">
        <v>9</v>
      </c>
      <c r="C66" s="10" t="s">
        <v>164</v>
      </c>
      <c r="D66" s="10" t="s">
        <v>165</v>
      </c>
      <c r="E66" s="11" t="str">
        <f>+HYPERLINK("http://trademark.i-assist.jp/data/china/image_1901th/74401475.pdf", "74401475")</f>
        <v>74401475</v>
      </c>
      <c r="F66" s="10" t="s">
        <v>389</v>
      </c>
      <c r="G66" s="10" t="s">
        <v>390</v>
      </c>
      <c r="H66" s="10" t="s">
        <v>391</v>
      </c>
      <c r="I66" s="10" t="s">
        <v>392</v>
      </c>
    </row>
    <row r="67" spans="1:9" x14ac:dyDescent="0.15">
      <c r="A67" s="9">
        <v>66</v>
      </c>
      <c r="B67" s="10" t="s">
        <v>9</v>
      </c>
      <c r="C67" s="10" t="s">
        <v>164</v>
      </c>
      <c r="D67" s="10" t="s">
        <v>165</v>
      </c>
      <c r="E67" s="11" t="str">
        <f>+HYPERLINK("http://trademark.i-assist.jp/data/china/image_1901th/74408124.pdf", "74408124")</f>
        <v>74408124</v>
      </c>
      <c r="F67" s="10" t="s">
        <v>393</v>
      </c>
      <c r="G67" s="10" t="s">
        <v>394</v>
      </c>
      <c r="H67" s="10" t="s">
        <v>395</v>
      </c>
      <c r="I67" s="10" t="s">
        <v>392</v>
      </c>
    </row>
    <row r="68" spans="1:9" x14ac:dyDescent="0.15">
      <c r="A68" s="9">
        <v>67</v>
      </c>
      <c r="B68" s="10" t="s">
        <v>9</v>
      </c>
      <c r="C68" s="10" t="s">
        <v>164</v>
      </c>
      <c r="D68" s="10" t="s">
        <v>165</v>
      </c>
      <c r="E68" s="11" t="str">
        <f>+HYPERLINK("http://trademark.i-assist.jp/data/china/image_1901th/74428732.pdf", "74428732")</f>
        <v>74428732</v>
      </c>
      <c r="F68" s="10" t="s">
        <v>396</v>
      </c>
      <c r="G68" s="10" t="s">
        <v>397</v>
      </c>
      <c r="H68" s="10" t="s">
        <v>398</v>
      </c>
      <c r="I68" s="10" t="s">
        <v>22</v>
      </c>
    </row>
    <row r="69" spans="1:9" x14ac:dyDescent="0.15">
      <c r="A69" s="9">
        <v>68</v>
      </c>
      <c r="B69" s="10" t="s">
        <v>9</v>
      </c>
      <c r="C69" s="10" t="s">
        <v>164</v>
      </c>
      <c r="D69" s="10" t="s">
        <v>165</v>
      </c>
      <c r="E69" s="11" t="str">
        <f>+HYPERLINK("http://trademark.i-assist.jp/data/china/image_1901th/74430439.pdf", "74430439")</f>
        <v>74430439</v>
      </c>
      <c r="F69" s="10" t="s">
        <v>12</v>
      </c>
      <c r="G69" s="10" t="s">
        <v>399</v>
      </c>
      <c r="H69" s="10" t="s">
        <v>400</v>
      </c>
      <c r="I69" s="10" t="s">
        <v>22</v>
      </c>
    </row>
    <row r="70" spans="1:9" x14ac:dyDescent="0.15">
      <c r="A70" s="9">
        <v>69</v>
      </c>
      <c r="B70" s="10" t="s">
        <v>9</v>
      </c>
      <c r="C70" s="10" t="s">
        <v>164</v>
      </c>
      <c r="D70" s="10" t="s">
        <v>165</v>
      </c>
      <c r="E70" s="11" t="str">
        <f>+HYPERLINK("http://trademark.i-assist.jp/data/china/image_1901th/74455317.pdf", "74455317")</f>
        <v>74455317</v>
      </c>
      <c r="F70" s="10" t="s">
        <v>401</v>
      </c>
      <c r="G70" s="10" t="s">
        <v>402</v>
      </c>
      <c r="H70" s="10" t="s">
        <v>403</v>
      </c>
      <c r="I70" s="10" t="s">
        <v>23</v>
      </c>
    </row>
    <row r="71" spans="1:9" x14ac:dyDescent="0.15">
      <c r="A71" s="9">
        <v>70</v>
      </c>
      <c r="B71" s="10" t="s">
        <v>9</v>
      </c>
      <c r="C71" s="10" t="s">
        <v>164</v>
      </c>
      <c r="D71" s="10" t="s">
        <v>165</v>
      </c>
      <c r="E71" s="11" t="str">
        <f>+HYPERLINK("http://trademark.i-assist.jp/data/china/image_1901th/74460055.pdf", "74460055")</f>
        <v>74460055</v>
      </c>
      <c r="F71" s="10" t="s">
        <v>404</v>
      </c>
      <c r="G71" s="10" t="s">
        <v>405</v>
      </c>
      <c r="H71" s="10" t="s">
        <v>406</v>
      </c>
      <c r="I71" s="10" t="s">
        <v>23</v>
      </c>
    </row>
    <row r="72" spans="1:9" x14ac:dyDescent="0.15">
      <c r="A72" s="9">
        <v>71</v>
      </c>
      <c r="B72" s="10" t="s">
        <v>9</v>
      </c>
      <c r="C72" s="10" t="s">
        <v>164</v>
      </c>
      <c r="D72" s="10" t="s">
        <v>165</v>
      </c>
      <c r="E72" s="11" t="str">
        <f>+HYPERLINK("http://trademark.i-assist.jp/data/china/image_1901th/74529134.pdf", "74529134")</f>
        <v>74529134</v>
      </c>
      <c r="F72" s="10" t="s">
        <v>407</v>
      </c>
      <c r="G72" s="10" t="s">
        <v>405</v>
      </c>
      <c r="H72" s="10" t="s">
        <v>408</v>
      </c>
      <c r="I72" s="10" t="s">
        <v>409</v>
      </c>
    </row>
    <row r="73" spans="1:9" x14ac:dyDescent="0.15">
      <c r="A73" s="9">
        <v>72</v>
      </c>
      <c r="B73" s="10" t="s">
        <v>9</v>
      </c>
      <c r="C73" s="10" t="s">
        <v>164</v>
      </c>
      <c r="D73" s="10" t="s">
        <v>165</v>
      </c>
      <c r="E73" s="11" t="str">
        <f>+HYPERLINK("http://trademark.i-assist.jp/data/china/image_1901th/74531668.pdf", "74531668")</f>
        <v>74531668</v>
      </c>
      <c r="F73" s="10" t="s">
        <v>410</v>
      </c>
      <c r="G73" s="10" t="s">
        <v>411</v>
      </c>
      <c r="H73" s="10" t="s">
        <v>412</v>
      </c>
      <c r="I73" s="10" t="s">
        <v>409</v>
      </c>
    </row>
    <row r="74" spans="1:9" x14ac:dyDescent="0.15">
      <c r="A74" s="9">
        <v>73</v>
      </c>
      <c r="B74" s="10" t="s">
        <v>9</v>
      </c>
      <c r="C74" s="10" t="s">
        <v>164</v>
      </c>
      <c r="D74" s="10" t="s">
        <v>165</v>
      </c>
      <c r="E74" s="11" t="str">
        <f>+HYPERLINK("http://trademark.i-assist.jp/data/china/image_1901th/74564365.pdf", "74564365")</f>
        <v>74564365</v>
      </c>
      <c r="F74" s="10" t="s">
        <v>413</v>
      </c>
      <c r="G74" s="10" t="s">
        <v>414</v>
      </c>
      <c r="H74" s="10" t="s">
        <v>415</v>
      </c>
      <c r="I74" s="10" t="s">
        <v>416</v>
      </c>
    </row>
    <row r="75" spans="1:9" x14ac:dyDescent="0.15">
      <c r="A75" s="9">
        <v>74</v>
      </c>
      <c r="B75" s="10" t="s">
        <v>9</v>
      </c>
      <c r="C75" s="10" t="s">
        <v>164</v>
      </c>
      <c r="D75" s="10" t="s">
        <v>165</v>
      </c>
      <c r="E75" s="11" t="str">
        <f>+HYPERLINK("http://trademark.i-assist.jp/data/china/image_1901th/74674663.pdf", "74674663")</f>
        <v>74674663</v>
      </c>
      <c r="F75" s="10" t="s">
        <v>417</v>
      </c>
      <c r="G75" s="10" t="s">
        <v>418</v>
      </c>
      <c r="H75" s="10" t="s">
        <v>419</v>
      </c>
      <c r="I75" s="10" t="s">
        <v>420</v>
      </c>
    </row>
    <row r="76" spans="1:9" x14ac:dyDescent="0.15">
      <c r="A76" s="9">
        <v>75</v>
      </c>
      <c r="B76" s="10" t="s">
        <v>9</v>
      </c>
      <c r="C76" s="10" t="s">
        <v>164</v>
      </c>
      <c r="D76" s="10" t="s">
        <v>165</v>
      </c>
      <c r="E76" s="11" t="str">
        <f>+HYPERLINK("http://trademark.i-assist.jp/data/china/image_1901th/74777583.pdf", "74777583")</f>
        <v>74777583</v>
      </c>
      <c r="F76" s="10" t="s">
        <v>421</v>
      </c>
      <c r="G76" s="10" t="s">
        <v>422</v>
      </c>
      <c r="H76" s="10" t="s">
        <v>423</v>
      </c>
      <c r="I76" s="10" t="s">
        <v>424</v>
      </c>
    </row>
    <row r="77" spans="1:9" x14ac:dyDescent="0.15">
      <c r="A77" s="9">
        <v>76</v>
      </c>
      <c r="B77" s="10" t="s">
        <v>9</v>
      </c>
      <c r="C77" s="10" t="s">
        <v>164</v>
      </c>
      <c r="D77" s="10" t="s">
        <v>165</v>
      </c>
      <c r="E77" s="11" t="str">
        <f>+HYPERLINK("http://trademark.i-assist.jp/data/china/image_1901th/74845435.pdf", "74845435")</f>
        <v>74845435</v>
      </c>
      <c r="F77" s="10" t="s">
        <v>425</v>
      </c>
      <c r="G77" s="10" t="s">
        <v>426</v>
      </c>
      <c r="H77" s="10" t="s">
        <v>427</v>
      </c>
      <c r="I77" s="10" t="s">
        <v>428</v>
      </c>
    </row>
    <row r="78" spans="1:9" x14ac:dyDescent="0.15">
      <c r="A78" s="9">
        <v>77</v>
      </c>
      <c r="B78" s="10" t="s">
        <v>9</v>
      </c>
      <c r="C78" s="10" t="s">
        <v>164</v>
      </c>
      <c r="D78" s="10" t="s">
        <v>165</v>
      </c>
      <c r="E78" s="11" t="str">
        <f>+HYPERLINK("http://trademark.i-assist.jp/data/china/image_1901th/74938451.pdf", "74938451")</f>
        <v>74938451</v>
      </c>
      <c r="F78" s="10" t="s">
        <v>429</v>
      </c>
      <c r="G78" s="10" t="s">
        <v>430</v>
      </c>
      <c r="H78" s="10" t="s">
        <v>431</v>
      </c>
      <c r="I78" s="10" t="s">
        <v>432</v>
      </c>
    </row>
    <row r="79" spans="1:9" x14ac:dyDescent="0.15">
      <c r="A79" s="9">
        <v>78</v>
      </c>
      <c r="B79" s="10" t="s">
        <v>9</v>
      </c>
      <c r="C79" s="10" t="s">
        <v>164</v>
      </c>
      <c r="D79" s="10" t="s">
        <v>165</v>
      </c>
      <c r="E79" s="11" t="str">
        <f>+HYPERLINK("http://trademark.i-assist.jp/data/china/image_1901th/75658073.pdf", "75658073")</f>
        <v>75658073</v>
      </c>
      <c r="F79" s="10" t="s">
        <v>433</v>
      </c>
      <c r="G79" s="10" t="s">
        <v>49</v>
      </c>
      <c r="H79" s="10" t="s">
        <v>434</v>
      </c>
      <c r="I79" s="10" t="s">
        <v>435</v>
      </c>
    </row>
    <row r="80" spans="1:9" x14ac:dyDescent="0.15">
      <c r="A80" s="9">
        <v>79</v>
      </c>
      <c r="B80" s="10" t="s">
        <v>9</v>
      </c>
      <c r="C80" s="10" t="s">
        <v>164</v>
      </c>
      <c r="D80" s="10" t="s">
        <v>165</v>
      </c>
      <c r="E80" s="11" t="str">
        <f>+HYPERLINK("http://trademark.i-assist.jp/data/china/image_1901th/75843542.pdf", "75843542")</f>
        <v>75843542</v>
      </c>
      <c r="F80" s="10" t="s">
        <v>436</v>
      </c>
      <c r="G80" s="10" t="s">
        <v>437</v>
      </c>
      <c r="H80" s="10" t="s">
        <v>438</v>
      </c>
      <c r="I80" s="10" t="s">
        <v>439</v>
      </c>
    </row>
    <row r="81" spans="1:9" x14ac:dyDescent="0.15">
      <c r="A81" s="9">
        <v>80</v>
      </c>
      <c r="B81" s="10" t="s">
        <v>9</v>
      </c>
      <c r="C81" s="10" t="s">
        <v>164</v>
      </c>
      <c r="D81" s="10" t="s">
        <v>165</v>
      </c>
      <c r="E81" s="11" t="str">
        <f>+HYPERLINK("http://trademark.i-assist.jp/data/china/image_1901th/76011969.pdf", "76011969")</f>
        <v>76011969</v>
      </c>
      <c r="F81" s="10" t="s">
        <v>440</v>
      </c>
      <c r="G81" s="10" t="s">
        <v>441</v>
      </c>
      <c r="H81" s="10" t="s">
        <v>442</v>
      </c>
      <c r="I81" s="10" t="s">
        <v>443</v>
      </c>
    </row>
    <row r="82" spans="1:9" x14ac:dyDescent="0.15">
      <c r="A82" s="9">
        <v>81</v>
      </c>
      <c r="B82" s="10" t="s">
        <v>9</v>
      </c>
      <c r="C82" s="10" t="s">
        <v>164</v>
      </c>
      <c r="D82" s="10" t="s">
        <v>165</v>
      </c>
      <c r="E82" s="11" t="str">
        <f>+HYPERLINK("http://trademark.i-assist.jp/data/china/image_1901th/76469437.pdf", "76469437")</f>
        <v>76469437</v>
      </c>
      <c r="F82" s="10" t="s">
        <v>444</v>
      </c>
      <c r="G82" s="10" t="s">
        <v>49</v>
      </c>
      <c r="H82" s="10" t="s">
        <v>445</v>
      </c>
      <c r="I82" s="10" t="s">
        <v>446</v>
      </c>
    </row>
    <row r="83" spans="1:9" x14ac:dyDescent="0.15">
      <c r="A83" s="9">
        <v>82</v>
      </c>
      <c r="B83" s="10" t="s">
        <v>9</v>
      </c>
      <c r="C83" s="10" t="s">
        <v>164</v>
      </c>
      <c r="D83" s="10" t="s">
        <v>165</v>
      </c>
      <c r="E83" s="11" t="str">
        <f>+HYPERLINK("http://trademark.i-assist.jp/data/china/image_1901th/76817838A.pdf", "76817838A")</f>
        <v>76817838A</v>
      </c>
      <c r="F83" s="10" t="s">
        <v>447</v>
      </c>
      <c r="G83" s="10" t="s">
        <v>448</v>
      </c>
      <c r="H83" s="10" t="s">
        <v>449</v>
      </c>
      <c r="I83" s="10" t="s">
        <v>450</v>
      </c>
    </row>
    <row r="84" spans="1:9" x14ac:dyDescent="0.15">
      <c r="A84" s="9">
        <v>83</v>
      </c>
      <c r="B84" s="10" t="s">
        <v>9</v>
      </c>
      <c r="C84" s="10" t="s">
        <v>164</v>
      </c>
      <c r="D84" s="10" t="s">
        <v>165</v>
      </c>
      <c r="E84" s="11" t="str">
        <f>+HYPERLINK("http://trademark.i-assist.jp/data/china/image_1901th/76835992.pdf", "76835992")</f>
        <v>76835992</v>
      </c>
      <c r="F84" s="10" t="s">
        <v>451</v>
      </c>
      <c r="G84" s="10" t="s">
        <v>452</v>
      </c>
      <c r="H84" s="10" t="s">
        <v>453</v>
      </c>
      <c r="I84" s="10" t="s">
        <v>26</v>
      </c>
    </row>
    <row r="85" spans="1:9" x14ac:dyDescent="0.15">
      <c r="A85" s="9">
        <v>84</v>
      </c>
      <c r="B85" s="10" t="s">
        <v>9</v>
      </c>
      <c r="C85" s="10" t="s">
        <v>164</v>
      </c>
      <c r="D85" s="10" t="s">
        <v>165</v>
      </c>
      <c r="E85" s="11" t="str">
        <f>+HYPERLINK("http://trademark.i-assist.jp/data/china/image_1901th/76926327.pdf", "76926327")</f>
        <v>76926327</v>
      </c>
      <c r="F85" s="10" t="s">
        <v>454</v>
      </c>
      <c r="G85" s="10" t="s">
        <v>455</v>
      </c>
      <c r="H85" s="10" t="s">
        <v>456</v>
      </c>
      <c r="I85" s="10" t="s">
        <v>457</v>
      </c>
    </row>
    <row r="86" spans="1:9" x14ac:dyDescent="0.15">
      <c r="A86" s="9">
        <v>85</v>
      </c>
      <c r="B86" s="10" t="s">
        <v>9</v>
      </c>
      <c r="C86" s="10" t="s">
        <v>164</v>
      </c>
      <c r="D86" s="10" t="s">
        <v>165</v>
      </c>
      <c r="E86" s="11" t="str">
        <f>+HYPERLINK("http://trademark.i-assist.jp/data/china/image_1901th/76942781.pdf", "76942781")</f>
        <v>76942781</v>
      </c>
      <c r="F86" s="10" t="s">
        <v>458</v>
      </c>
      <c r="G86" s="10" t="s">
        <v>459</v>
      </c>
      <c r="H86" s="10" t="s">
        <v>460</v>
      </c>
      <c r="I86" s="10" t="s">
        <v>28</v>
      </c>
    </row>
    <row r="87" spans="1:9" x14ac:dyDescent="0.15">
      <c r="A87" s="9">
        <v>86</v>
      </c>
      <c r="B87" s="10" t="s">
        <v>9</v>
      </c>
      <c r="C87" s="10" t="s">
        <v>164</v>
      </c>
      <c r="D87" s="10" t="s">
        <v>165</v>
      </c>
      <c r="E87" s="11" t="str">
        <f>+HYPERLINK("http://trademark.i-assist.jp/data/china/image_1901th/76958066.pdf", "76958066")</f>
        <v>76958066</v>
      </c>
      <c r="F87" s="10" t="s">
        <v>461</v>
      </c>
      <c r="G87" s="10" t="s">
        <v>459</v>
      </c>
      <c r="H87" s="10" t="s">
        <v>462</v>
      </c>
      <c r="I87" s="10" t="s">
        <v>29</v>
      </c>
    </row>
    <row r="88" spans="1:9" x14ac:dyDescent="0.15">
      <c r="A88" s="9">
        <v>87</v>
      </c>
      <c r="B88" s="10" t="s">
        <v>9</v>
      </c>
      <c r="C88" s="10" t="s">
        <v>164</v>
      </c>
      <c r="D88" s="10" t="s">
        <v>165</v>
      </c>
      <c r="E88" s="11" t="str">
        <f>+HYPERLINK("http://trademark.i-assist.jp/data/china/image_1901th/76972407.pdf", "76972407")</f>
        <v>76972407</v>
      </c>
      <c r="F88" s="10" t="s">
        <v>463</v>
      </c>
      <c r="G88" s="10" t="s">
        <v>452</v>
      </c>
      <c r="H88" s="10" t="s">
        <v>464</v>
      </c>
      <c r="I88" s="10" t="s">
        <v>30</v>
      </c>
    </row>
    <row r="89" spans="1:9" x14ac:dyDescent="0.15">
      <c r="A89" s="9">
        <v>88</v>
      </c>
      <c r="B89" s="10" t="s">
        <v>9</v>
      </c>
      <c r="C89" s="10" t="s">
        <v>164</v>
      </c>
      <c r="D89" s="10" t="s">
        <v>165</v>
      </c>
      <c r="E89" s="11" t="str">
        <f>+HYPERLINK("http://trademark.i-assist.jp/data/china/image_1901th/77029303.pdf", "77029303")</f>
        <v>77029303</v>
      </c>
      <c r="F89" s="10" t="s">
        <v>465</v>
      </c>
      <c r="G89" s="10" t="s">
        <v>466</v>
      </c>
      <c r="H89" s="10" t="s">
        <v>467</v>
      </c>
      <c r="I89" s="10" t="s">
        <v>31</v>
      </c>
    </row>
    <row r="90" spans="1:9" x14ac:dyDescent="0.15">
      <c r="A90" s="9">
        <v>89</v>
      </c>
      <c r="B90" s="10" t="s">
        <v>9</v>
      </c>
      <c r="C90" s="10" t="s">
        <v>164</v>
      </c>
      <c r="D90" s="10" t="s">
        <v>165</v>
      </c>
      <c r="E90" s="11" t="str">
        <f>+HYPERLINK("http://trademark.i-assist.jp/data/china/image_1901th/77040930.pdf", "77040930")</f>
        <v>77040930</v>
      </c>
      <c r="F90" s="10" t="s">
        <v>468</v>
      </c>
      <c r="G90" s="10" t="s">
        <v>469</v>
      </c>
      <c r="H90" s="10" t="s">
        <v>470</v>
      </c>
      <c r="I90" s="10" t="s">
        <v>32</v>
      </c>
    </row>
    <row r="91" spans="1:9" x14ac:dyDescent="0.15">
      <c r="A91" s="9">
        <v>90</v>
      </c>
      <c r="B91" s="10" t="s">
        <v>9</v>
      </c>
      <c r="C91" s="10" t="s">
        <v>164</v>
      </c>
      <c r="D91" s="10" t="s">
        <v>165</v>
      </c>
      <c r="E91" s="11" t="str">
        <f>+HYPERLINK("http://trademark.i-assist.jp/data/china/image_1901th/77067127.pdf", "77067127")</f>
        <v>77067127</v>
      </c>
      <c r="F91" s="10" t="s">
        <v>471</v>
      </c>
      <c r="G91" s="10" t="s">
        <v>472</v>
      </c>
      <c r="H91" s="10" t="s">
        <v>473</v>
      </c>
      <c r="I91" s="10" t="s">
        <v>474</v>
      </c>
    </row>
    <row r="92" spans="1:9" x14ac:dyDescent="0.15">
      <c r="A92" s="9">
        <v>91</v>
      </c>
      <c r="B92" s="10" t="s">
        <v>9</v>
      </c>
      <c r="C92" s="10" t="s">
        <v>164</v>
      </c>
      <c r="D92" s="10" t="s">
        <v>165</v>
      </c>
      <c r="E92" s="11" t="str">
        <f>+HYPERLINK("http://trademark.i-assist.jp/data/china/image_1901th/77096926.pdf", "77096926")</f>
        <v>77096926</v>
      </c>
      <c r="F92" s="10" t="s">
        <v>475</v>
      </c>
      <c r="G92" s="10" t="s">
        <v>452</v>
      </c>
      <c r="H92" s="10" t="s">
        <v>476</v>
      </c>
      <c r="I92" s="10" t="s">
        <v>33</v>
      </c>
    </row>
    <row r="93" spans="1:9" x14ac:dyDescent="0.15">
      <c r="A93" s="9">
        <v>92</v>
      </c>
      <c r="B93" s="10" t="s">
        <v>9</v>
      </c>
      <c r="C93" s="10" t="s">
        <v>164</v>
      </c>
      <c r="D93" s="10" t="s">
        <v>165</v>
      </c>
      <c r="E93" s="11" t="str">
        <f>+HYPERLINK("http://trademark.i-assist.jp/data/china/image_1901th/77208288.pdf", "77208288")</f>
        <v>77208288</v>
      </c>
      <c r="F93" s="10" t="s">
        <v>34</v>
      </c>
      <c r="G93" s="10" t="s">
        <v>35</v>
      </c>
      <c r="H93" s="10" t="s">
        <v>477</v>
      </c>
      <c r="I93" s="10" t="s">
        <v>36</v>
      </c>
    </row>
    <row r="94" spans="1:9" x14ac:dyDescent="0.15">
      <c r="A94" s="9">
        <v>93</v>
      </c>
      <c r="B94" s="10" t="s">
        <v>9</v>
      </c>
      <c r="C94" s="10" t="s">
        <v>164</v>
      </c>
      <c r="D94" s="10" t="s">
        <v>165</v>
      </c>
      <c r="E94" s="11" t="str">
        <f>+HYPERLINK("http://trademark.i-assist.jp/data/china/image_1901th/77217752.pdf", "77217752")</f>
        <v>77217752</v>
      </c>
      <c r="F94" s="10" t="s">
        <v>478</v>
      </c>
      <c r="G94" s="10" t="s">
        <v>479</v>
      </c>
      <c r="H94" s="10" t="s">
        <v>480</v>
      </c>
      <c r="I94" s="10" t="s">
        <v>36</v>
      </c>
    </row>
    <row r="95" spans="1:9" x14ac:dyDescent="0.15">
      <c r="A95" s="9">
        <v>94</v>
      </c>
      <c r="B95" s="10" t="s">
        <v>9</v>
      </c>
      <c r="C95" s="10" t="s">
        <v>164</v>
      </c>
      <c r="D95" s="10" t="s">
        <v>165</v>
      </c>
      <c r="E95" s="11" t="str">
        <f>+HYPERLINK("http://trademark.i-assist.jp/data/china/image_1901th/77221464.pdf", "77221464")</f>
        <v>77221464</v>
      </c>
      <c r="F95" s="10" t="s">
        <v>481</v>
      </c>
      <c r="G95" s="10" t="s">
        <v>482</v>
      </c>
      <c r="H95" s="10" t="s">
        <v>483</v>
      </c>
      <c r="I95" s="10" t="s">
        <v>36</v>
      </c>
    </row>
    <row r="96" spans="1:9" x14ac:dyDescent="0.15">
      <c r="A96" s="9">
        <v>95</v>
      </c>
      <c r="B96" s="10" t="s">
        <v>9</v>
      </c>
      <c r="C96" s="10" t="s">
        <v>164</v>
      </c>
      <c r="D96" s="10" t="s">
        <v>165</v>
      </c>
      <c r="E96" s="11" t="str">
        <f>+HYPERLINK("http://trademark.i-assist.jp/data/china/image_1901th/77227716.pdf", "77227716")</f>
        <v>77227716</v>
      </c>
      <c r="F96" s="10" t="s">
        <v>484</v>
      </c>
      <c r="G96" s="10" t="s">
        <v>485</v>
      </c>
      <c r="H96" s="10" t="s">
        <v>486</v>
      </c>
      <c r="I96" s="10" t="s">
        <v>36</v>
      </c>
    </row>
    <row r="97" spans="1:9" x14ac:dyDescent="0.15">
      <c r="A97" s="9">
        <v>96</v>
      </c>
      <c r="B97" s="10" t="s">
        <v>9</v>
      </c>
      <c r="C97" s="10" t="s">
        <v>164</v>
      </c>
      <c r="D97" s="10" t="s">
        <v>165</v>
      </c>
      <c r="E97" s="11" t="str">
        <f>+HYPERLINK("http://trademark.i-assist.jp/data/china/image_1901th/77233617.pdf", "77233617")</f>
        <v>77233617</v>
      </c>
      <c r="F97" s="10" t="s">
        <v>487</v>
      </c>
      <c r="G97" s="10" t="s">
        <v>485</v>
      </c>
      <c r="H97" s="10" t="s">
        <v>488</v>
      </c>
      <c r="I97" s="10" t="s">
        <v>36</v>
      </c>
    </row>
    <row r="98" spans="1:9" x14ac:dyDescent="0.15">
      <c r="A98" s="9">
        <v>97</v>
      </c>
      <c r="B98" s="10" t="s">
        <v>9</v>
      </c>
      <c r="C98" s="10" t="s">
        <v>164</v>
      </c>
      <c r="D98" s="10" t="s">
        <v>165</v>
      </c>
      <c r="E98" s="11" t="str">
        <f>+HYPERLINK("http://trademark.i-assist.jp/data/china/image_1901th/77289076.pdf", "77289076")</f>
        <v>77289076</v>
      </c>
      <c r="F98" s="10" t="s">
        <v>489</v>
      </c>
      <c r="G98" s="10" t="s">
        <v>490</v>
      </c>
      <c r="H98" s="10" t="s">
        <v>491</v>
      </c>
      <c r="I98" s="10" t="s">
        <v>37</v>
      </c>
    </row>
    <row r="99" spans="1:9" x14ac:dyDescent="0.15">
      <c r="A99" s="9">
        <v>98</v>
      </c>
      <c r="B99" s="10" t="s">
        <v>9</v>
      </c>
      <c r="C99" s="10" t="s">
        <v>164</v>
      </c>
      <c r="D99" s="10" t="s">
        <v>165</v>
      </c>
      <c r="E99" s="11" t="str">
        <f>+HYPERLINK("http://trademark.i-assist.jp/data/china/image_1901th/77294283.pdf", "77294283")</f>
        <v>77294283</v>
      </c>
      <c r="F99" s="10" t="s">
        <v>492</v>
      </c>
      <c r="G99" s="10" t="s">
        <v>493</v>
      </c>
      <c r="H99" s="10" t="s">
        <v>494</v>
      </c>
      <c r="I99" s="10" t="s">
        <v>38</v>
      </c>
    </row>
    <row r="100" spans="1:9" x14ac:dyDescent="0.15">
      <c r="A100" s="9">
        <v>99</v>
      </c>
      <c r="B100" s="10" t="s">
        <v>9</v>
      </c>
      <c r="C100" s="10" t="s">
        <v>164</v>
      </c>
      <c r="D100" s="10" t="s">
        <v>165</v>
      </c>
      <c r="E100" s="11" t="str">
        <f>+HYPERLINK("http://trademark.i-assist.jp/data/china/image_1901th/77295508.pdf", "77295508")</f>
        <v>77295508</v>
      </c>
      <c r="F100" s="10" t="s">
        <v>495</v>
      </c>
      <c r="G100" s="10" t="s">
        <v>496</v>
      </c>
      <c r="H100" s="10" t="s">
        <v>497</v>
      </c>
      <c r="I100" s="10" t="s">
        <v>38</v>
      </c>
    </row>
    <row r="101" spans="1:9" x14ac:dyDescent="0.15">
      <c r="A101" s="9">
        <v>100</v>
      </c>
      <c r="B101" s="10" t="s">
        <v>9</v>
      </c>
      <c r="C101" s="10" t="s">
        <v>164</v>
      </c>
      <c r="D101" s="10" t="s">
        <v>165</v>
      </c>
      <c r="E101" s="11" t="str">
        <f>+HYPERLINK("http://trademark.i-assist.jp/data/china/image_1901th/77348667.pdf", "77348667")</f>
        <v>77348667</v>
      </c>
      <c r="F101" s="10" t="s">
        <v>498</v>
      </c>
      <c r="G101" s="10" t="s">
        <v>499</v>
      </c>
      <c r="H101" s="10" t="s">
        <v>500</v>
      </c>
      <c r="I101" s="10" t="s">
        <v>501</v>
      </c>
    </row>
    <row r="102" spans="1:9" x14ac:dyDescent="0.15">
      <c r="A102" s="9">
        <v>101</v>
      </c>
      <c r="B102" s="10" t="s">
        <v>9</v>
      </c>
      <c r="C102" s="10" t="s">
        <v>164</v>
      </c>
      <c r="D102" s="10" t="s">
        <v>165</v>
      </c>
      <c r="E102" s="11" t="str">
        <f>+HYPERLINK("http://trademark.i-assist.jp/data/china/image_1901th/77363787.pdf", "77363787")</f>
        <v>77363787</v>
      </c>
      <c r="F102" s="10" t="s">
        <v>502</v>
      </c>
      <c r="G102" s="10" t="s">
        <v>503</v>
      </c>
      <c r="H102" s="10" t="s">
        <v>504</v>
      </c>
      <c r="I102" s="10" t="s">
        <v>39</v>
      </c>
    </row>
    <row r="103" spans="1:9" x14ac:dyDescent="0.15">
      <c r="A103" s="9">
        <v>102</v>
      </c>
      <c r="B103" s="10" t="s">
        <v>9</v>
      </c>
      <c r="C103" s="10" t="s">
        <v>164</v>
      </c>
      <c r="D103" s="10" t="s">
        <v>165</v>
      </c>
      <c r="E103" s="11" t="str">
        <f>+HYPERLINK("http://trademark.i-assist.jp/data/china/image_1901th/77368577.pdf", "77368577")</f>
        <v>77368577</v>
      </c>
      <c r="F103" s="10" t="s">
        <v>505</v>
      </c>
      <c r="G103" s="10" t="s">
        <v>506</v>
      </c>
      <c r="H103" s="10" t="s">
        <v>507</v>
      </c>
      <c r="I103" s="10" t="s">
        <v>39</v>
      </c>
    </row>
    <row r="104" spans="1:9" x14ac:dyDescent="0.15">
      <c r="A104" s="9">
        <v>103</v>
      </c>
      <c r="B104" s="10" t="s">
        <v>9</v>
      </c>
      <c r="C104" s="10" t="s">
        <v>164</v>
      </c>
      <c r="D104" s="10" t="s">
        <v>165</v>
      </c>
      <c r="E104" s="11" t="str">
        <f>+HYPERLINK("http://trademark.i-assist.jp/data/china/image_1901th/77402337.pdf", "77402337")</f>
        <v>77402337</v>
      </c>
      <c r="F104" s="10" t="s">
        <v>508</v>
      </c>
      <c r="G104" s="10" t="s">
        <v>509</v>
      </c>
      <c r="H104" s="10" t="s">
        <v>510</v>
      </c>
      <c r="I104" s="10" t="s">
        <v>511</v>
      </c>
    </row>
    <row r="105" spans="1:9" x14ac:dyDescent="0.15">
      <c r="A105" s="9">
        <v>104</v>
      </c>
      <c r="B105" s="10" t="s">
        <v>9</v>
      </c>
      <c r="C105" s="10" t="s">
        <v>164</v>
      </c>
      <c r="D105" s="10" t="s">
        <v>165</v>
      </c>
      <c r="E105" s="11" t="str">
        <f>+HYPERLINK("http://trademark.i-assist.jp/data/china/image_1901th/77466624.pdf", "77466624")</f>
        <v>77466624</v>
      </c>
      <c r="F105" s="10" t="s">
        <v>12</v>
      </c>
      <c r="G105" s="10" t="s">
        <v>512</v>
      </c>
      <c r="H105" s="10" t="s">
        <v>513</v>
      </c>
      <c r="I105" s="10" t="s">
        <v>40</v>
      </c>
    </row>
    <row r="106" spans="1:9" x14ac:dyDescent="0.15">
      <c r="A106" s="9">
        <v>105</v>
      </c>
      <c r="B106" s="10" t="s">
        <v>9</v>
      </c>
      <c r="C106" s="10" t="s">
        <v>164</v>
      </c>
      <c r="D106" s="10" t="s">
        <v>165</v>
      </c>
      <c r="E106" s="11" t="str">
        <f>+HYPERLINK("http://trademark.i-assist.jp/data/china/image_1901th/77474837.pdf", "77474837")</f>
        <v>77474837</v>
      </c>
      <c r="F106" s="10" t="s">
        <v>514</v>
      </c>
      <c r="G106" s="10" t="s">
        <v>515</v>
      </c>
      <c r="H106" s="10" t="s">
        <v>516</v>
      </c>
      <c r="I106" s="10" t="s">
        <v>517</v>
      </c>
    </row>
    <row r="107" spans="1:9" x14ac:dyDescent="0.15">
      <c r="A107" s="9">
        <v>106</v>
      </c>
      <c r="B107" s="10" t="s">
        <v>9</v>
      </c>
      <c r="C107" s="10" t="s">
        <v>164</v>
      </c>
      <c r="D107" s="10" t="s">
        <v>165</v>
      </c>
      <c r="E107" s="11" t="str">
        <f>+HYPERLINK("http://trademark.i-assist.jp/data/china/image_1901th/77478565.pdf", "77478565")</f>
        <v>77478565</v>
      </c>
      <c r="F107" s="10" t="s">
        <v>518</v>
      </c>
      <c r="G107" s="10" t="s">
        <v>47</v>
      </c>
      <c r="H107" s="10" t="s">
        <v>519</v>
      </c>
      <c r="I107" s="10" t="s">
        <v>41</v>
      </c>
    </row>
    <row r="108" spans="1:9" x14ac:dyDescent="0.15">
      <c r="A108" s="9">
        <v>107</v>
      </c>
      <c r="B108" s="10" t="s">
        <v>9</v>
      </c>
      <c r="C108" s="10" t="s">
        <v>164</v>
      </c>
      <c r="D108" s="10" t="s">
        <v>165</v>
      </c>
      <c r="E108" s="11" t="str">
        <f>+HYPERLINK("http://trademark.i-assist.jp/data/china/image_1901th/77551390.pdf", "77551390")</f>
        <v>77551390</v>
      </c>
      <c r="F108" s="10" t="s">
        <v>520</v>
      </c>
      <c r="G108" s="10" t="s">
        <v>521</v>
      </c>
      <c r="H108" s="10" t="s">
        <v>522</v>
      </c>
      <c r="I108" s="10" t="s">
        <v>42</v>
      </c>
    </row>
    <row r="109" spans="1:9" x14ac:dyDescent="0.15">
      <c r="A109" s="9">
        <v>108</v>
      </c>
      <c r="B109" s="10" t="s">
        <v>9</v>
      </c>
      <c r="C109" s="10" t="s">
        <v>164</v>
      </c>
      <c r="D109" s="10" t="s">
        <v>165</v>
      </c>
      <c r="E109" s="11" t="str">
        <f>+HYPERLINK("http://trademark.i-assist.jp/data/china/image_1901th/77566547.pdf", "77566547")</f>
        <v>77566547</v>
      </c>
      <c r="F109" s="10" t="s">
        <v>523</v>
      </c>
      <c r="G109" s="10" t="s">
        <v>524</v>
      </c>
      <c r="H109" s="10" t="s">
        <v>525</v>
      </c>
      <c r="I109" s="10" t="s">
        <v>42</v>
      </c>
    </row>
    <row r="110" spans="1:9" x14ac:dyDescent="0.15">
      <c r="A110" s="9">
        <v>109</v>
      </c>
      <c r="B110" s="10" t="s">
        <v>9</v>
      </c>
      <c r="C110" s="10" t="s">
        <v>164</v>
      </c>
      <c r="D110" s="10" t="s">
        <v>165</v>
      </c>
      <c r="E110" s="11" t="str">
        <f>+HYPERLINK("http://trademark.i-assist.jp/data/china/image_1901th/77626087.pdf", "77626087")</f>
        <v>77626087</v>
      </c>
      <c r="F110" s="10" t="s">
        <v>526</v>
      </c>
      <c r="G110" s="10" t="s">
        <v>527</v>
      </c>
      <c r="H110" s="10" t="s">
        <v>528</v>
      </c>
      <c r="I110" s="10" t="s">
        <v>43</v>
      </c>
    </row>
    <row r="111" spans="1:9" x14ac:dyDescent="0.15">
      <c r="A111" s="9">
        <v>110</v>
      </c>
      <c r="B111" s="10" t="s">
        <v>9</v>
      </c>
      <c r="C111" s="10" t="s">
        <v>164</v>
      </c>
      <c r="D111" s="10" t="s">
        <v>165</v>
      </c>
      <c r="E111" s="11" t="str">
        <f>+HYPERLINK("http://trademark.i-assist.jp/data/china/image_1901th/77649544.pdf", "77649544")</f>
        <v>77649544</v>
      </c>
      <c r="F111" s="10" t="s">
        <v>529</v>
      </c>
      <c r="G111" s="10" t="s">
        <v>530</v>
      </c>
      <c r="H111" s="10" t="s">
        <v>531</v>
      </c>
      <c r="I111" s="10" t="s">
        <v>44</v>
      </c>
    </row>
    <row r="112" spans="1:9" x14ac:dyDescent="0.15">
      <c r="A112" s="9">
        <v>111</v>
      </c>
      <c r="B112" s="10" t="s">
        <v>9</v>
      </c>
      <c r="C112" s="10" t="s">
        <v>164</v>
      </c>
      <c r="D112" s="10" t="s">
        <v>165</v>
      </c>
      <c r="E112" s="11" t="str">
        <f>+HYPERLINK("http://trademark.i-assist.jp/data/china/image_1901th/77693139.pdf", "77693139")</f>
        <v>77693139</v>
      </c>
      <c r="F112" s="10" t="s">
        <v>532</v>
      </c>
      <c r="G112" s="10" t="s">
        <v>533</v>
      </c>
      <c r="H112" s="10" t="s">
        <v>534</v>
      </c>
      <c r="I112" s="10" t="s">
        <v>46</v>
      </c>
    </row>
    <row r="113" spans="1:9" x14ac:dyDescent="0.15">
      <c r="A113" s="9">
        <v>112</v>
      </c>
      <c r="B113" s="10" t="s">
        <v>9</v>
      </c>
      <c r="C113" s="10" t="s">
        <v>164</v>
      </c>
      <c r="D113" s="10" t="s">
        <v>165</v>
      </c>
      <c r="E113" s="11" t="str">
        <f>+HYPERLINK("http://trademark.i-assist.jp/data/china/image_1901th/77731880.pdf", "77731880")</f>
        <v>77731880</v>
      </c>
      <c r="F113" s="10" t="s">
        <v>535</v>
      </c>
      <c r="G113" s="10" t="s">
        <v>536</v>
      </c>
      <c r="H113" s="10" t="s">
        <v>537</v>
      </c>
      <c r="I113" s="10" t="s">
        <v>50</v>
      </c>
    </row>
    <row r="114" spans="1:9" x14ac:dyDescent="0.15">
      <c r="A114" s="9">
        <v>113</v>
      </c>
      <c r="B114" s="10" t="s">
        <v>9</v>
      </c>
      <c r="C114" s="10" t="s">
        <v>164</v>
      </c>
      <c r="D114" s="10" t="s">
        <v>165</v>
      </c>
      <c r="E114" s="11" t="str">
        <f>+HYPERLINK("http://trademark.i-assist.jp/data/china/image_1901th/77735438.pdf", "77735438")</f>
        <v>77735438</v>
      </c>
      <c r="F114" s="10" t="s">
        <v>538</v>
      </c>
      <c r="G114" s="10" t="s">
        <v>539</v>
      </c>
      <c r="H114" s="10" t="s">
        <v>540</v>
      </c>
      <c r="I114" s="10" t="s">
        <v>50</v>
      </c>
    </row>
    <row r="115" spans="1:9" x14ac:dyDescent="0.15">
      <c r="A115" s="9">
        <v>114</v>
      </c>
      <c r="B115" s="10" t="s">
        <v>9</v>
      </c>
      <c r="C115" s="10" t="s">
        <v>164</v>
      </c>
      <c r="D115" s="10" t="s">
        <v>165</v>
      </c>
      <c r="E115" s="11" t="str">
        <f>+HYPERLINK("http://trademark.i-assist.jp/data/china/image_1901th/77745800.pdf", "77745800")</f>
        <v>77745800</v>
      </c>
      <c r="F115" s="10" t="s">
        <v>12</v>
      </c>
      <c r="G115" s="10" t="s">
        <v>541</v>
      </c>
      <c r="H115" s="10" t="s">
        <v>542</v>
      </c>
      <c r="I115" s="10" t="s">
        <v>50</v>
      </c>
    </row>
    <row r="116" spans="1:9" x14ac:dyDescent="0.15">
      <c r="A116" s="9">
        <v>115</v>
      </c>
      <c r="B116" s="10" t="s">
        <v>9</v>
      </c>
      <c r="C116" s="10" t="s">
        <v>164</v>
      </c>
      <c r="D116" s="10" t="s">
        <v>165</v>
      </c>
      <c r="E116" s="11" t="str">
        <f>+HYPERLINK("http://trademark.i-assist.jp/data/china/image_1901th/77759562.pdf", "77759562")</f>
        <v>77759562</v>
      </c>
      <c r="F116" s="10" t="s">
        <v>543</v>
      </c>
      <c r="G116" s="10" t="s">
        <v>544</v>
      </c>
      <c r="H116" s="10" t="s">
        <v>545</v>
      </c>
      <c r="I116" s="10" t="s">
        <v>50</v>
      </c>
    </row>
    <row r="117" spans="1:9" x14ac:dyDescent="0.15">
      <c r="A117" s="9">
        <v>116</v>
      </c>
      <c r="B117" s="10" t="s">
        <v>9</v>
      </c>
      <c r="C117" s="10" t="s">
        <v>164</v>
      </c>
      <c r="D117" s="10" t="s">
        <v>165</v>
      </c>
      <c r="E117" s="11" t="str">
        <f>+HYPERLINK("http://trademark.i-assist.jp/data/china/image_1901th/77759731.pdf", "77759731")</f>
        <v>77759731</v>
      </c>
      <c r="F117" s="10" t="s">
        <v>546</v>
      </c>
      <c r="G117" s="10" t="s">
        <v>547</v>
      </c>
      <c r="H117" s="10" t="s">
        <v>548</v>
      </c>
      <c r="I117" s="10" t="s">
        <v>50</v>
      </c>
    </row>
    <row r="118" spans="1:9" x14ac:dyDescent="0.15">
      <c r="A118" s="9">
        <v>117</v>
      </c>
      <c r="B118" s="10" t="s">
        <v>9</v>
      </c>
      <c r="C118" s="10" t="s">
        <v>164</v>
      </c>
      <c r="D118" s="10" t="s">
        <v>165</v>
      </c>
      <c r="E118" s="11" t="str">
        <f>+HYPERLINK("http://trademark.i-assist.jp/data/china/image_1901th/77777564.pdf", "77777564")</f>
        <v>77777564</v>
      </c>
      <c r="F118" s="10" t="s">
        <v>549</v>
      </c>
      <c r="G118" s="10" t="s">
        <v>550</v>
      </c>
      <c r="H118" s="10" t="s">
        <v>551</v>
      </c>
      <c r="I118" s="10" t="s">
        <v>52</v>
      </c>
    </row>
    <row r="119" spans="1:9" x14ac:dyDescent="0.15">
      <c r="A119" s="9">
        <v>118</v>
      </c>
      <c r="B119" s="10" t="s">
        <v>9</v>
      </c>
      <c r="C119" s="10" t="s">
        <v>164</v>
      </c>
      <c r="D119" s="10" t="s">
        <v>165</v>
      </c>
      <c r="E119" s="11" t="str">
        <f>+HYPERLINK("http://trademark.i-assist.jp/data/china/image_1901th/77796028.pdf", "77796028")</f>
        <v>77796028</v>
      </c>
      <c r="F119" s="10" t="s">
        <v>552</v>
      </c>
      <c r="G119" s="10" t="s">
        <v>553</v>
      </c>
      <c r="H119" s="10" t="s">
        <v>554</v>
      </c>
      <c r="I119" s="10" t="s">
        <v>52</v>
      </c>
    </row>
    <row r="120" spans="1:9" x14ac:dyDescent="0.15">
      <c r="A120" s="9">
        <v>119</v>
      </c>
      <c r="B120" s="10" t="s">
        <v>9</v>
      </c>
      <c r="C120" s="10" t="s">
        <v>164</v>
      </c>
      <c r="D120" s="10" t="s">
        <v>165</v>
      </c>
      <c r="E120" s="11" t="str">
        <f>+HYPERLINK("http://trademark.i-assist.jp/data/china/image_1901th/77804109.pdf", "77804109")</f>
        <v>77804109</v>
      </c>
      <c r="F120" s="10" t="s">
        <v>12</v>
      </c>
      <c r="G120" s="10" t="s">
        <v>555</v>
      </c>
      <c r="H120" s="10" t="s">
        <v>556</v>
      </c>
      <c r="I120" s="10" t="s">
        <v>54</v>
      </c>
    </row>
    <row r="121" spans="1:9" x14ac:dyDescent="0.15">
      <c r="A121" s="9">
        <v>120</v>
      </c>
      <c r="B121" s="10" t="s">
        <v>9</v>
      </c>
      <c r="C121" s="10" t="s">
        <v>164</v>
      </c>
      <c r="D121" s="10" t="s">
        <v>165</v>
      </c>
      <c r="E121" s="11" t="str">
        <f>+HYPERLINK("http://trademark.i-assist.jp/data/china/image_1901th/77810865.pdf", "77810865")</f>
        <v>77810865</v>
      </c>
      <c r="F121" s="10" t="s">
        <v>557</v>
      </c>
      <c r="G121" s="10" t="s">
        <v>558</v>
      </c>
      <c r="H121" s="10" t="s">
        <v>559</v>
      </c>
      <c r="I121" s="10" t="s">
        <v>54</v>
      </c>
    </row>
    <row r="122" spans="1:9" x14ac:dyDescent="0.15">
      <c r="A122" s="9">
        <v>121</v>
      </c>
      <c r="B122" s="10" t="s">
        <v>9</v>
      </c>
      <c r="C122" s="10" t="s">
        <v>164</v>
      </c>
      <c r="D122" s="10" t="s">
        <v>165</v>
      </c>
      <c r="E122" s="11" t="str">
        <f>+HYPERLINK("http://trademark.i-assist.jp/data/china/image_1901th/77822019.pdf", "77822019")</f>
        <v>77822019</v>
      </c>
      <c r="F122" s="10" t="s">
        <v>560</v>
      </c>
      <c r="G122" s="10" t="s">
        <v>558</v>
      </c>
      <c r="H122" s="10" t="s">
        <v>561</v>
      </c>
      <c r="I122" s="10" t="s">
        <v>54</v>
      </c>
    </row>
    <row r="123" spans="1:9" x14ac:dyDescent="0.15">
      <c r="A123" s="9">
        <v>122</v>
      </c>
      <c r="B123" s="10" t="s">
        <v>9</v>
      </c>
      <c r="C123" s="10" t="s">
        <v>164</v>
      </c>
      <c r="D123" s="10" t="s">
        <v>165</v>
      </c>
      <c r="E123" s="11" t="str">
        <f>+HYPERLINK("http://trademark.i-assist.jp/data/china/image_1901th/77825659.pdf", "77825659")</f>
        <v>77825659</v>
      </c>
      <c r="F123" s="10" t="s">
        <v>562</v>
      </c>
      <c r="G123" s="10" t="s">
        <v>563</v>
      </c>
      <c r="H123" s="10" t="s">
        <v>564</v>
      </c>
      <c r="I123" s="10" t="s">
        <v>54</v>
      </c>
    </row>
    <row r="124" spans="1:9" x14ac:dyDescent="0.15">
      <c r="A124" s="9">
        <v>123</v>
      </c>
      <c r="B124" s="10" t="s">
        <v>9</v>
      </c>
      <c r="C124" s="10" t="s">
        <v>164</v>
      </c>
      <c r="D124" s="10" t="s">
        <v>165</v>
      </c>
      <c r="E124" s="11" t="str">
        <f>+HYPERLINK("http://trademark.i-assist.jp/data/china/image_1901th/77830275.pdf", "77830275")</f>
        <v>77830275</v>
      </c>
      <c r="F124" s="10" t="s">
        <v>12</v>
      </c>
      <c r="G124" s="10" t="s">
        <v>555</v>
      </c>
      <c r="H124" s="10" t="s">
        <v>565</v>
      </c>
      <c r="I124" s="10" t="s">
        <v>54</v>
      </c>
    </row>
    <row r="125" spans="1:9" x14ac:dyDescent="0.15">
      <c r="A125" s="9">
        <v>124</v>
      </c>
      <c r="B125" s="10" t="s">
        <v>9</v>
      </c>
      <c r="C125" s="10" t="s">
        <v>164</v>
      </c>
      <c r="D125" s="10" t="s">
        <v>165</v>
      </c>
      <c r="E125" s="11" t="str">
        <f>+HYPERLINK("http://trademark.i-assist.jp/data/china/image_1901th/77867071.pdf", "77867071")</f>
        <v>77867071</v>
      </c>
      <c r="F125" s="10" t="s">
        <v>566</v>
      </c>
      <c r="G125" s="10" t="s">
        <v>567</v>
      </c>
      <c r="H125" s="10" t="s">
        <v>15</v>
      </c>
      <c r="I125" s="10" t="s">
        <v>55</v>
      </c>
    </row>
    <row r="126" spans="1:9" x14ac:dyDescent="0.15">
      <c r="A126" s="9">
        <v>125</v>
      </c>
      <c r="B126" s="10" t="s">
        <v>9</v>
      </c>
      <c r="C126" s="10" t="s">
        <v>164</v>
      </c>
      <c r="D126" s="10" t="s">
        <v>165</v>
      </c>
      <c r="E126" s="11" t="str">
        <f>+HYPERLINK("http://trademark.i-assist.jp/data/china/image_1901th/77884207.pdf", "77884207")</f>
        <v>77884207</v>
      </c>
      <c r="F126" s="10" t="s">
        <v>568</v>
      </c>
      <c r="G126" s="10" t="s">
        <v>569</v>
      </c>
      <c r="H126" s="10" t="s">
        <v>570</v>
      </c>
      <c r="I126" s="10" t="s">
        <v>55</v>
      </c>
    </row>
    <row r="127" spans="1:9" x14ac:dyDescent="0.15">
      <c r="A127" s="9">
        <v>126</v>
      </c>
      <c r="B127" s="10" t="s">
        <v>9</v>
      </c>
      <c r="C127" s="10" t="s">
        <v>164</v>
      </c>
      <c r="D127" s="10" t="s">
        <v>165</v>
      </c>
      <c r="E127" s="11" t="str">
        <f>+HYPERLINK("http://trademark.i-assist.jp/data/china/image_1901th/77897909.pdf", "77897909")</f>
        <v>77897909</v>
      </c>
      <c r="F127" s="10" t="s">
        <v>571</v>
      </c>
      <c r="G127" s="10" t="s">
        <v>572</v>
      </c>
      <c r="H127" s="10" t="s">
        <v>573</v>
      </c>
      <c r="I127" s="10" t="s">
        <v>58</v>
      </c>
    </row>
    <row r="128" spans="1:9" x14ac:dyDescent="0.15">
      <c r="A128" s="9">
        <v>127</v>
      </c>
      <c r="B128" s="10" t="s">
        <v>9</v>
      </c>
      <c r="C128" s="10" t="s">
        <v>164</v>
      </c>
      <c r="D128" s="10" t="s">
        <v>165</v>
      </c>
      <c r="E128" s="11" t="str">
        <f>+HYPERLINK("http://trademark.i-assist.jp/data/china/image_1901th/77898420A.pdf", "77898420A")</f>
        <v>77898420A</v>
      </c>
      <c r="F128" s="10" t="s">
        <v>574</v>
      </c>
      <c r="G128" s="10" t="s">
        <v>25</v>
      </c>
      <c r="H128" s="10" t="s">
        <v>575</v>
      </c>
      <c r="I128" s="10" t="s">
        <v>58</v>
      </c>
    </row>
    <row r="129" spans="1:9" x14ac:dyDescent="0.15">
      <c r="A129" s="9">
        <v>128</v>
      </c>
      <c r="B129" s="10" t="s">
        <v>9</v>
      </c>
      <c r="C129" s="10" t="s">
        <v>164</v>
      </c>
      <c r="D129" s="10" t="s">
        <v>165</v>
      </c>
      <c r="E129" s="11" t="str">
        <f>+HYPERLINK("http://trademark.i-assist.jp/data/china/image_1901th/77903584.pdf", "77903584")</f>
        <v>77903584</v>
      </c>
      <c r="F129" s="10" t="s">
        <v>576</v>
      </c>
      <c r="G129" s="10" t="s">
        <v>577</v>
      </c>
      <c r="H129" s="10" t="s">
        <v>578</v>
      </c>
      <c r="I129" s="10" t="s">
        <v>58</v>
      </c>
    </row>
    <row r="130" spans="1:9" x14ac:dyDescent="0.15">
      <c r="A130" s="9">
        <v>129</v>
      </c>
      <c r="B130" s="10" t="s">
        <v>9</v>
      </c>
      <c r="C130" s="10" t="s">
        <v>164</v>
      </c>
      <c r="D130" s="10" t="s">
        <v>165</v>
      </c>
      <c r="E130" s="11" t="str">
        <f>+HYPERLINK("http://trademark.i-assist.jp/data/china/image_1901th/77944970.pdf", "77944970")</f>
        <v>77944970</v>
      </c>
      <c r="F130" s="10" t="s">
        <v>579</v>
      </c>
      <c r="G130" s="10" t="s">
        <v>64</v>
      </c>
      <c r="H130" s="10" t="s">
        <v>580</v>
      </c>
      <c r="I130" s="10" t="s">
        <v>61</v>
      </c>
    </row>
    <row r="131" spans="1:9" x14ac:dyDescent="0.15">
      <c r="A131" s="9">
        <v>130</v>
      </c>
      <c r="B131" s="10" t="s">
        <v>9</v>
      </c>
      <c r="C131" s="10" t="s">
        <v>164</v>
      </c>
      <c r="D131" s="10" t="s">
        <v>165</v>
      </c>
      <c r="E131" s="11" t="str">
        <f>+HYPERLINK("http://trademark.i-assist.jp/data/china/image_1901th/77960832.pdf", "77960832")</f>
        <v>77960832</v>
      </c>
      <c r="F131" s="10" t="s">
        <v>581</v>
      </c>
      <c r="G131" s="10" t="s">
        <v>582</v>
      </c>
      <c r="H131" s="10" t="s">
        <v>583</v>
      </c>
      <c r="I131" s="10" t="s">
        <v>63</v>
      </c>
    </row>
    <row r="132" spans="1:9" x14ac:dyDescent="0.15">
      <c r="A132" s="9">
        <v>131</v>
      </c>
      <c r="B132" s="10" t="s">
        <v>9</v>
      </c>
      <c r="C132" s="10" t="s">
        <v>164</v>
      </c>
      <c r="D132" s="10" t="s">
        <v>165</v>
      </c>
      <c r="E132" s="11" t="str">
        <f>+HYPERLINK("http://trademark.i-assist.jp/data/china/image_1901th/77975733.pdf", "77975733")</f>
        <v>77975733</v>
      </c>
      <c r="F132" s="10" t="s">
        <v>529</v>
      </c>
      <c r="G132" s="10" t="s">
        <v>530</v>
      </c>
      <c r="H132" s="10" t="s">
        <v>584</v>
      </c>
      <c r="I132" s="10" t="s">
        <v>63</v>
      </c>
    </row>
    <row r="133" spans="1:9" x14ac:dyDescent="0.15">
      <c r="A133" s="9">
        <v>132</v>
      </c>
      <c r="B133" s="10" t="s">
        <v>9</v>
      </c>
      <c r="C133" s="10" t="s">
        <v>164</v>
      </c>
      <c r="D133" s="10" t="s">
        <v>165</v>
      </c>
      <c r="E133" s="11" t="str">
        <f>+HYPERLINK("http://trademark.i-assist.jp/data/china/image_1901th/77998391.pdf", "77998391")</f>
        <v>77998391</v>
      </c>
      <c r="F133" s="10" t="s">
        <v>585</v>
      </c>
      <c r="G133" s="10" t="s">
        <v>586</v>
      </c>
      <c r="H133" s="10" t="s">
        <v>587</v>
      </c>
      <c r="I133" s="10" t="s">
        <v>66</v>
      </c>
    </row>
    <row r="134" spans="1:9" x14ac:dyDescent="0.15">
      <c r="A134" s="9">
        <v>133</v>
      </c>
      <c r="B134" s="10" t="s">
        <v>9</v>
      </c>
      <c r="C134" s="10" t="s">
        <v>164</v>
      </c>
      <c r="D134" s="10" t="s">
        <v>165</v>
      </c>
      <c r="E134" s="11" t="str">
        <f>+HYPERLINK("http://trademark.i-assist.jp/data/china/image_1901th/78036031.pdf", "78036031")</f>
        <v>78036031</v>
      </c>
      <c r="F134" s="10" t="s">
        <v>588</v>
      </c>
      <c r="G134" s="10" t="s">
        <v>589</v>
      </c>
      <c r="H134" s="10" t="s">
        <v>590</v>
      </c>
      <c r="I134" s="10" t="s">
        <v>67</v>
      </c>
    </row>
    <row r="135" spans="1:9" x14ac:dyDescent="0.15">
      <c r="A135" s="9">
        <v>134</v>
      </c>
      <c r="B135" s="10" t="s">
        <v>9</v>
      </c>
      <c r="C135" s="10" t="s">
        <v>164</v>
      </c>
      <c r="D135" s="10" t="s">
        <v>165</v>
      </c>
      <c r="E135" s="11" t="str">
        <f>+HYPERLINK("http://trademark.i-assist.jp/data/china/image_1901th/78061241.pdf", "78061241")</f>
        <v>78061241</v>
      </c>
      <c r="F135" s="10" t="s">
        <v>12</v>
      </c>
      <c r="G135" s="10" t="s">
        <v>591</v>
      </c>
      <c r="H135" s="10" t="s">
        <v>592</v>
      </c>
      <c r="I135" s="10" t="s">
        <v>68</v>
      </c>
    </row>
    <row r="136" spans="1:9" x14ac:dyDescent="0.15">
      <c r="A136" s="9">
        <v>135</v>
      </c>
      <c r="B136" s="10" t="s">
        <v>9</v>
      </c>
      <c r="C136" s="10" t="s">
        <v>164</v>
      </c>
      <c r="D136" s="10" t="s">
        <v>165</v>
      </c>
      <c r="E136" s="11" t="str">
        <f>+HYPERLINK("http://trademark.i-assist.jp/data/china/image_1901th/78066043.pdf", "78066043")</f>
        <v>78066043</v>
      </c>
      <c r="F136" s="10" t="s">
        <v>593</v>
      </c>
      <c r="G136" s="10" t="s">
        <v>594</v>
      </c>
      <c r="H136" s="10" t="s">
        <v>595</v>
      </c>
      <c r="I136" s="10" t="s">
        <v>68</v>
      </c>
    </row>
    <row r="137" spans="1:9" x14ac:dyDescent="0.15">
      <c r="A137" s="9">
        <v>136</v>
      </c>
      <c r="B137" s="10" t="s">
        <v>9</v>
      </c>
      <c r="C137" s="10" t="s">
        <v>164</v>
      </c>
      <c r="D137" s="10" t="s">
        <v>165</v>
      </c>
      <c r="E137" s="11" t="str">
        <f>+HYPERLINK("http://trademark.i-assist.jp/data/china/image_1901th/78068217.pdf", "78068217")</f>
        <v>78068217</v>
      </c>
      <c r="F137" s="10" t="s">
        <v>12</v>
      </c>
      <c r="G137" s="10" t="s">
        <v>596</v>
      </c>
      <c r="H137" s="10" t="s">
        <v>597</v>
      </c>
      <c r="I137" s="10" t="s">
        <v>68</v>
      </c>
    </row>
    <row r="138" spans="1:9" x14ac:dyDescent="0.15">
      <c r="A138" s="9">
        <v>137</v>
      </c>
      <c r="B138" s="10" t="s">
        <v>9</v>
      </c>
      <c r="C138" s="10" t="s">
        <v>164</v>
      </c>
      <c r="D138" s="10" t="s">
        <v>165</v>
      </c>
      <c r="E138" s="11" t="str">
        <f>+HYPERLINK("http://trademark.i-assist.jp/data/china/image_1901th/78107966.pdf", "78107966")</f>
        <v>78107966</v>
      </c>
      <c r="F138" s="10" t="s">
        <v>598</v>
      </c>
      <c r="G138" s="10" t="s">
        <v>599</v>
      </c>
      <c r="H138" s="10" t="s">
        <v>600</v>
      </c>
      <c r="I138" s="10" t="s">
        <v>71</v>
      </c>
    </row>
    <row r="139" spans="1:9" x14ac:dyDescent="0.15">
      <c r="A139" s="9">
        <v>138</v>
      </c>
      <c r="B139" s="10" t="s">
        <v>9</v>
      </c>
      <c r="C139" s="10" t="s">
        <v>164</v>
      </c>
      <c r="D139" s="10" t="s">
        <v>165</v>
      </c>
      <c r="E139" s="11" t="str">
        <f>+HYPERLINK("http://trademark.i-assist.jp/data/china/image_1901th/78155405.pdf", "78155405")</f>
        <v>78155405</v>
      </c>
      <c r="F139" s="10" t="s">
        <v>601</v>
      </c>
      <c r="G139" s="10" t="s">
        <v>602</v>
      </c>
      <c r="H139" s="10" t="s">
        <v>603</v>
      </c>
      <c r="I139" s="10" t="s">
        <v>73</v>
      </c>
    </row>
    <row r="140" spans="1:9" x14ac:dyDescent="0.15">
      <c r="A140" s="9">
        <v>139</v>
      </c>
      <c r="B140" s="10" t="s">
        <v>9</v>
      </c>
      <c r="C140" s="10" t="s">
        <v>164</v>
      </c>
      <c r="D140" s="10" t="s">
        <v>165</v>
      </c>
      <c r="E140" s="11" t="str">
        <f>+HYPERLINK("http://trademark.i-assist.jp/data/china/image_1901th/78169943.pdf", "78169943")</f>
        <v>78169943</v>
      </c>
      <c r="F140" s="10" t="s">
        <v>604</v>
      </c>
      <c r="G140" s="10" t="s">
        <v>605</v>
      </c>
      <c r="H140" s="10" t="s">
        <v>606</v>
      </c>
      <c r="I140" s="10" t="s">
        <v>73</v>
      </c>
    </row>
    <row r="141" spans="1:9" x14ac:dyDescent="0.15">
      <c r="A141" s="9">
        <v>140</v>
      </c>
      <c r="B141" s="10" t="s">
        <v>9</v>
      </c>
      <c r="C141" s="10" t="s">
        <v>164</v>
      </c>
      <c r="D141" s="10" t="s">
        <v>165</v>
      </c>
      <c r="E141" s="11" t="str">
        <f>+HYPERLINK("http://trademark.i-assist.jp/data/china/image_1901th/78179005.pdf", "78179005")</f>
        <v>78179005</v>
      </c>
      <c r="F141" s="10" t="s">
        <v>607</v>
      </c>
      <c r="G141" s="10" t="s">
        <v>98</v>
      </c>
      <c r="H141" s="10" t="s">
        <v>608</v>
      </c>
      <c r="I141" s="10" t="s">
        <v>73</v>
      </c>
    </row>
    <row r="142" spans="1:9" x14ac:dyDescent="0.15">
      <c r="A142" s="9">
        <v>141</v>
      </c>
      <c r="B142" s="10" t="s">
        <v>9</v>
      </c>
      <c r="C142" s="10" t="s">
        <v>164</v>
      </c>
      <c r="D142" s="10" t="s">
        <v>165</v>
      </c>
      <c r="E142" s="11" t="str">
        <f>+HYPERLINK("http://trademark.i-assist.jp/data/china/image_1901th/78215601.pdf", "78215601")</f>
        <v>78215601</v>
      </c>
      <c r="F142" s="10" t="s">
        <v>609</v>
      </c>
      <c r="G142" s="10" t="s">
        <v>77</v>
      </c>
      <c r="H142" s="10" t="s">
        <v>610</v>
      </c>
      <c r="I142" s="10" t="s">
        <v>76</v>
      </c>
    </row>
    <row r="143" spans="1:9" x14ac:dyDescent="0.15">
      <c r="A143" s="9">
        <v>142</v>
      </c>
      <c r="B143" s="10" t="s">
        <v>9</v>
      </c>
      <c r="C143" s="10" t="s">
        <v>164</v>
      </c>
      <c r="D143" s="10" t="s">
        <v>165</v>
      </c>
      <c r="E143" s="11" t="str">
        <f>+HYPERLINK("http://trademark.i-assist.jp/data/china/image_1901th/78216261.pdf", "78216261")</f>
        <v>78216261</v>
      </c>
      <c r="F143" s="10" t="s">
        <v>529</v>
      </c>
      <c r="G143" s="10" t="s">
        <v>530</v>
      </c>
      <c r="H143" s="10" t="s">
        <v>611</v>
      </c>
      <c r="I143" s="10" t="s">
        <v>76</v>
      </c>
    </row>
    <row r="144" spans="1:9" x14ac:dyDescent="0.15">
      <c r="A144" s="9">
        <v>143</v>
      </c>
      <c r="B144" s="10" t="s">
        <v>9</v>
      </c>
      <c r="C144" s="10" t="s">
        <v>164</v>
      </c>
      <c r="D144" s="10" t="s">
        <v>165</v>
      </c>
      <c r="E144" s="11" t="str">
        <f>+HYPERLINK("http://trademark.i-assist.jp/data/china/image_1901th/78236263.pdf", "78236263")</f>
        <v>78236263</v>
      </c>
      <c r="F144" s="10" t="s">
        <v>612</v>
      </c>
      <c r="G144" s="10" t="s">
        <v>613</v>
      </c>
      <c r="H144" s="10" t="s">
        <v>614</v>
      </c>
      <c r="I144" s="10" t="s">
        <v>76</v>
      </c>
    </row>
    <row r="145" spans="1:9" x14ac:dyDescent="0.15">
      <c r="A145" s="9">
        <v>144</v>
      </c>
      <c r="B145" s="10" t="s">
        <v>9</v>
      </c>
      <c r="C145" s="10" t="s">
        <v>164</v>
      </c>
      <c r="D145" s="10" t="s">
        <v>165</v>
      </c>
      <c r="E145" s="11" t="str">
        <f>+HYPERLINK("http://trademark.i-assist.jp/data/china/image_1901th/78244061.pdf", "78244061")</f>
        <v>78244061</v>
      </c>
      <c r="F145" s="10" t="s">
        <v>615</v>
      </c>
      <c r="G145" s="10" t="s">
        <v>57</v>
      </c>
      <c r="H145" s="10" t="s">
        <v>616</v>
      </c>
      <c r="I145" s="10" t="s">
        <v>78</v>
      </c>
    </row>
    <row r="146" spans="1:9" x14ac:dyDescent="0.15">
      <c r="A146" s="9">
        <v>145</v>
      </c>
      <c r="B146" s="10" t="s">
        <v>9</v>
      </c>
      <c r="C146" s="10" t="s">
        <v>164</v>
      </c>
      <c r="D146" s="10" t="s">
        <v>165</v>
      </c>
      <c r="E146" s="11" t="str">
        <f>+HYPERLINK("http://trademark.i-assist.jp/data/china/image_1901th/78249360.pdf", "78249360")</f>
        <v>78249360</v>
      </c>
      <c r="F146" s="10" t="s">
        <v>12</v>
      </c>
      <c r="G146" s="10" t="s">
        <v>617</v>
      </c>
      <c r="H146" s="10" t="s">
        <v>618</v>
      </c>
      <c r="I146" s="10" t="s">
        <v>78</v>
      </c>
    </row>
    <row r="147" spans="1:9" x14ac:dyDescent="0.15">
      <c r="A147" s="9">
        <v>146</v>
      </c>
      <c r="B147" s="10" t="s">
        <v>9</v>
      </c>
      <c r="C147" s="10" t="s">
        <v>164</v>
      </c>
      <c r="D147" s="10" t="s">
        <v>165</v>
      </c>
      <c r="E147" s="11" t="str">
        <f>+HYPERLINK("http://trademark.i-assist.jp/data/china/image_1901th/78261512.pdf", "78261512")</f>
        <v>78261512</v>
      </c>
      <c r="F147" s="10" t="s">
        <v>619</v>
      </c>
      <c r="G147" s="10" t="s">
        <v>620</v>
      </c>
      <c r="H147" s="10" t="s">
        <v>621</v>
      </c>
      <c r="I147" s="10" t="s">
        <v>78</v>
      </c>
    </row>
    <row r="148" spans="1:9" x14ac:dyDescent="0.15">
      <c r="A148" s="9">
        <v>147</v>
      </c>
      <c r="B148" s="10" t="s">
        <v>9</v>
      </c>
      <c r="C148" s="10" t="s">
        <v>164</v>
      </c>
      <c r="D148" s="10" t="s">
        <v>165</v>
      </c>
      <c r="E148" s="11" t="str">
        <f>+HYPERLINK("http://trademark.i-assist.jp/data/china/image_1901th/78267423.pdf", "78267423")</f>
        <v>78267423</v>
      </c>
      <c r="F148" s="10" t="s">
        <v>622</v>
      </c>
      <c r="G148" s="10" t="s">
        <v>623</v>
      </c>
      <c r="H148" s="10" t="s">
        <v>624</v>
      </c>
      <c r="I148" s="10" t="s">
        <v>78</v>
      </c>
    </row>
    <row r="149" spans="1:9" x14ac:dyDescent="0.15">
      <c r="A149" s="9">
        <v>148</v>
      </c>
      <c r="B149" s="10" t="s">
        <v>9</v>
      </c>
      <c r="C149" s="10" t="s">
        <v>164</v>
      </c>
      <c r="D149" s="10" t="s">
        <v>165</v>
      </c>
      <c r="E149" s="11" t="str">
        <f>+HYPERLINK("http://trademark.i-assist.jp/data/china/image_1901th/78269507.pdf", "78269507")</f>
        <v>78269507</v>
      </c>
      <c r="F149" s="10" t="s">
        <v>625</v>
      </c>
      <c r="G149" s="10" t="s">
        <v>57</v>
      </c>
      <c r="H149" s="10" t="s">
        <v>626</v>
      </c>
      <c r="I149" s="10" t="s">
        <v>78</v>
      </c>
    </row>
    <row r="150" spans="1:9" x14ac:dyDescent="0.15">
      <c r="A150" s="9">
        <v>149</v>
      </c>
      <c r="B150" s="10" t="s">
        <v>9</v>
      </c>
      <c r="C150" s="10" t="s">
        <v>164</v>
      </c>
      <c r="D150" s="10" t="s">
        <v>165</v>
      </c>
      <c r="E150" s="11" t="str">
        <f>+HYPERLINK("http://trademark.i-assist.jp/data/china/image_1901th/78285824.pdf", "78285824")</f>
        <v>78285824</v>
      </c>
      <c r="F150" s="10" t="s">
        <v>627</v>
      </c>
      <c r="G150" s="10" t="s">
        <v>628</v>
      </c>
      <c r="H150" s="10" t="s">
        <v>629</v>
      </c>
      <c r="I150" s="10" t="s">
        <v>83</v>
      </c>
    </row>
    <row r="151" spans="1:9" x14ac:dyDescent="0.15">
      <c r="A151" s="9">
        <v>150</v>
      </c>
      <c r="B151" s="10" t="s">
        <v>9</v>
      </c>
      <c r="C151" s="10" t="s">
        <v>164</v>
      </c>
      <c r="D151" s="10" t="s">
        <v>165</v>
      </c>
      <c r="E151" s="11" t="str">
        <f>+HYPERLINK("http://trademark.i-assist.jp/data/china/image_1901th/78286567.pdf", "78286567")</f>
        <v>78286567</v>
      </c>
      <c r="F151" s="10" t="s">
        <v>630</v>
      </c>
      <c r="G151" s="10" t="s">
        <v>82</v>
      </c>
      <c r="H151" s="10" t="s">
        <v>631</v>
      </c>
      <c r="I151" s="10" t="s">
        <v>83</v>
      </c>
    </row>
    <row r="152" spans="1:9" x14ac:dyDescent="0.15">
      <c r="A152" s="9">
        <v>151</v>
      </c>
      <c r="B152" s="10" t="s">
        <v>9</v>
      </c>
      <c r="C152" s="10" t="s">
        <v>164</v>
      </c>
      <c r="D152" s="10" t="s">
        <v>165</v>
      </c>
      <c r="E152" s="11" t="str">
        <f>+HYPERLINK("http://trademark.i-assist.jp/data/china/image_1901th/78295856.pdf", "78295856")</f>
        <v>78295856</v>
      </c>
      <c r="F152" s="10" t="s">
        <v>12</v>
      </c>
      <c r="G152" s="10" t="s">
        <v>632</v>
      </c>
      <c r="H152" s="10" t="s">
        <v>633</v>
      </c>
      <c r="I152" s="10" t="s">
        <v>83</v>
      </c>
    </row>
    <row r="153" spans="1:9" x14ac:dyDescent="0.15">
      <c r="A153" s="9">
        <v>152</v>
      </c>
      <c r="B153" s="10" t="s">
        <v>9</v>
      </c>
      <c r="C153" s="10" t="s">
        <v>164</v>
      </c>
      <c r="D153" s="10" t="s">
        <v>165</v>
      </c>
      <c r="E153" s="11" t="str">
        <f>+HYPERLINK("http://trademark.i-assist.jp/data/china/image_1901th/78298403.pdf", "78298403")</f>
        <v>78298403</v>
      </c>
      <c r="F153" s="10" t="s">
        <v>634</v>
      </c>
      <c r="G153" s="10" t="s">
        <v>635</v>
      </c>
      <c r="H153" s="10" t="s">
        <v>636</v>
      </c>
      <c r="I153" s="10" t="s">
        <v>83</v>
      </c>
    </row>
    <row r="154" spans="1:9" x14ac:dyDescent="0.15">
      <c r="A154" s="9">
        <v>153</v>
      </c>
      <c r="B154" s="10" t="s">
        <v>9</v>
      </c>
      <c r="C154" s="10" t="s">
        <v>164</v>
      </c>
      <c r="D154" s="10" t="s">
        <v>165</v>
      </c>
      <c r="E154" s="11" t="str">
        <f>+HYPERLINK("http://trademark.i-assist.jp/data/china/image_1901th/78305649.pdf", "78305649")</f>
        <v>78305649</v>
      </c>
      <c r="F154" s="10" t="s">
        <v>637</v>
      </c>
      <c r="G154" s="10" t="s">
        <v>638</v>
      </c>
      <c r="H154" s="10" t="s">
        <v>639</v>
      </c>
      <c r="I154" s="10" t="s">
        <v>83</v>
      </c>
    </row>
    <row r="155" spans="1:9" x14ac:dyDescent="0.15">
      <c r="A155" s="9">
        <v>154</v>
      </c>
      <c r="B155" s="10" t="s">
        <v>9</v>
      </c>
      <c r="C155" s="10" t="s">
        <v>164</v>
      </c>
      <c r="D155" s="10" t="s">
        <v>165</v>
      </c>
      <c r="E155" s="11" t="str">
        <f>+HYPERLINK("http://trademark.i-assist.jp/data/china/image_1901th/78311606A.pdf", "78311606A")</f>
        <v>78311606A</v>
      </c>
      <c r="F155" s="10" t="s">
        <v>640</v>
      </c>
      <c r="G155" s="10" t="s">
        <v>641</v>
      </c>
      <c r="H155" s="10" t="s">
        <v>642</v>
      </c>
      <c r="I155" s="10" t="s">
        <v>86</v>
      </c>
    </row>
    <row r="156" spans="1:9" x14ac:dyDescent="0.15">
      <c r="A156" s="9">
        <v>155</v>
      </c>
      <c r="B156" s="10" t="s">
        <v>9</v>
      </c>
      <c r="C156" s="10" t="s">
        <v>164</v>
      </c>
      <c r="D156" s="10" t="s">
        <v>165</v>
      </c>
      <c r="E156" s="11" t="str">
        <f>+HYPERLINK("http://trademark.i-assist.jp/data/china/image_1901th/78316126.pdf", "78316126")</f>
        <v>78316126</v>
      </c>
      <c r="F156" s="10" t="s">
        <v>643</v>
      </c>
      <c r="G156" s="10" t="s">
        <v>644</v>
      </c>
      <c r="H156" s="10" t="s">
        <v>645</v>
      </c>
      <c r="I156" s="10" t="s">
        <v>86</v>
      </c>
    </row>
    <row r="157" spans="1:9" x14ac:dyDescent="0.15">
      <c r="A157" s="9">
        <v>156</v>
      </c>
      <c r="B157" s="10" t="s">
        <v>9</v>
      </c>
      <c r="C157" s="10" t="s">
        <v>164</v>
      </c>
      <c r="D157" s="10" t="s">
        <v>165</v>
      </c>
      <c r="E157" s="11" t="str">
        <f>+HYPERLINK("http://trademark.i-assist.jp/data/china/image_1901th/78320661.pdf", "78320661")</f>
        <v>78320661</v>
      </c>
      <c r="F157" s="10" t="s">
        <v>646</v>
      </c>
      <c r="G157" s="10" t="s">
        <v>647</v>
      </c>
      <c r="H157" s="10" t="s">
        <v>648</v>
      </c>
      <c r="I157" s="10" t="s">
        <v>86</v>
      </c>
    </row>
    <row r="158" spans="1:9" x14ac:dyDescent="0.15">
      <c r="A158" s="9">
        <v>157</v>
      </c>
      <c r="B158" s="10" t="s">
        <v>9</v>
      </c>
      <c r="C158" s="10" t="s">
        <v>164</v>
      </c>
      <c r="D158" s="10" t="s">
        <v>165</v>
      </c>
      <c r="E158" s="11" t="str">
        <f>+HYPERLINK("http://trademark.i-assist.jp/data/china/image_1901th/78324446.pdf", "78324446")</f>
        <v>78324446</v>
      </c>
      <c r="F158" s="10" t="s">
        <v>649</v>
      </c>
      <c r="G158" s="10" t="s">
        <v>650</v>
      </c>
      <c r="H158" s="10" t="s">
        <v>651</v>
      </c>
      <c r="I158" s="10" t="s">
        <v>86</v>
      </c>
    </row>
    <row r="159" spans="1:9" x14ac:dyDescent="0.15">
      <c r="A159" s="9">
        <v>158</v>
      </c>
      <c r="B159" s="10" t="s">
        <v>9</v>
      </c>
      <c r="C159" s="10" t="s">
        <v>164</v>
      </c>
      <c r="D159" s="10" t="s">
        <v>165</v>
      </c>
      <c r="E159" s="11" t="str">
        <f>+HYPERLINK("http://trademark.i-assist.jp/data/china/image_1901th/78325461.pdf", "78325461")</f>
        <v>78325461</v>
      </c>
      <c r="F159" s="10" t="s">
        <v>652</v>
      </c>
      <c r="G159" s="10" t="s">
        <v>653</v>
      </c>
      <c r="H159" s="10" t="s">
        <v>654</v>
      </c>
      <c r="I159" s="10" t="s">
        <v>86</v>
      </c>
    </row>
    <row r="160" spans="1:9" x14ac:dyDescent="0.15">
      <c r="A160" s="9">
        <v>159</v>
      </c>
      <c r="B160" s="10" t="s">
        <v>9</v>
      </c>
      <c r="C160" s="10" t="s">
        <v>164</v>
      </c>
      <c r="D160" s="10" t="s">
        <v>165</v>
      </c>
      <c r="E160" s="11" t="str">
        <f>+HYPERLINK("http://trademark.i-assist.jp/data/china/image_1901th/78326394.pdf", "78326394")</f>
        <v>78326394</v>
      </c>
      <c r="F160" s="10" t="s">
        <v>655</v>
      </c>
      <c r="G160" s="10" t="s">
        <v>656</v>
      </c>
      <c r="H160" s="10" t="s">
        <v>657</v>
      </c>
      <c r="I160" s="10" t="s">
        <v>86</v>
      </c>
    </row>
    <row r="161" spans="1:9" x14ac:dyDescent="0.15">
      <c r="A161" s="9">
        <v>160</v>
      </c>
      <c r="B161" s="10" t="s">
        <v>9</v>
      </c>
      <c r="C161" s="10" t="s">
        <v>164</v>
      </c>
      <c r="D161" s="10" t="s">
        <v>165</v>
      </c>
      <c r="E161" s="11" t="str">
        <f>+HYPERLINK("http://trademark.i-assist.jp/data/china/image_1901th/78327289.pdf", "78327289")</f>
        <v>78327289</v>
      </c>
      <c r="F161" s="10" t="s">
        <v>658</v>
      </c>
      <c r="G161" s="10" t="s">
        <v>659</v>
      </c>
      <c r="H161" s="10" t="s">
        <v>660</v>
      </c>
      <c r="I161" s="10" t="s">
        <v>86</v>
      </c>
    </row>
    <row r="162" spans="1:9" x14ac:dyDescent="0.15">
      <c r="A162" s="9">
        <v>161</v>
      </c>
      <c r="B162" s="10" t="s">
        <v>9</v>
      </c>
      <c r="C162" s="10" t="s">
        <v>164</v>
      </c>
      <c r="D162" s="10" t="s">
        <v>165</v>
      </c>
      <c r="E162" s="11" t="str">
        <f>+HYPERLINK("http://trademark.i-assist.jp/data/china/image_1901th/78327698.pdf", "78327698")</f>
        <v>78327698</v>
      </c>
      <c r="F162" s="10" t="s">
        <v>661</v>
      </c>
      <c r="G162" s="10" t="s">
        <v>662</v>
      </c>
      <c r="H162" s="10" t="s">
        <v>663</v>
      </c>
      <c r="I162" s="10" t="s">
        <v>86</v>
      </c>
    </row>
    <row r="163" spans="1:9" x14ac:dyDescent="0.15">
      <c r="A163" s="9">
        <v>162</v>
      </c>
      <c r="B163" s="10" t="s">
        <v>9</v>
      </c>
      <c r="C163" s="10" t="s">
        <v>164</v>
      </c>
      <c r="D163" s="10" t="s">
        <v>165</v>
      </c>
      <c r="E163" s="11" t="str">
        <f>+HYPERLINK("http://trademark.i-assist.jp/data/china/image_1901th/78334346.pdf", "78334346")</f>
        <v>78334346</v>
      </c>
      <c r="F163" s="10" t="s">
        <v>12</v>
      </c>
      <c r="G163" s="10" t="s">
        <v>664</v>
      </c>
      <c r="H163" s="10" t="s">
        <v>665</v>
      </c>
      <c r="I163" s="10" t="s">
        <v>86</v>
      </c>
    </row>
    <row r="164" spans="1:9" x14ac:dyDescent="0.15">
      <c r="A164" s="9">
        <v>163</v>
      </c>
      <c r="B164" s="10" t="s">
        <v>9</v>
      </c>
      <c r="C164" s="10" t="s">
        <v>164</v>
      </c>
      <c r="D164" s="10" t="s">
        <v>165</v>
      </c>
      <c r="E164" s="11" t="str">
        <f>+HYPERLINK("http://trademark.i-assist.jp/data/china/image_1901th/78344310.pdf", "78344310")</f>
        <v>78344310</v>
      </c>
      <c r="F164" s="10" t="s">
        <v>666</v>
      </c>
      <c r="G164" s="10" t="s">
        <v>92</v>
      </c>
      <c r="H164" s="10" t="s">
        <v>667</v>
      </c>
      <c r="I164" s="10" t="s">
        <v>86</v>
      </c>
    </row>
    <row r="165" spans="1:9" x14ac:dyDescent="0.15">
      <c r="A165" s="9">
        <v>164</v>
      </c>
      <c r="B165" s="10" t="s">
        <v>9</v>
      </c>
      <c r="C165" s="10" t="s">
        <v>164</v>
      </c>
      <c r="D165" s="10" t="s">
        <v>165</v>
      </c>
      <c r="E165" s="11" t="str">
        <f>+HYPERLINK("http://trademark.i-assist.jp/data/china/image_1901th/78349742.pdf", "78349742")</f>
        <v>78349742</v>
      </c>
      <c r="F165" s="10" t="s">
        <v>668</v>
      </c>
      <c r="G165" s="10" t="s">
        <v>669</v>
      </c>
      <c r="H165" s="10" t="s">
        <v>670</v>
      </c>
      <c r="I165" s="10" t="s">
        <v>86</v>
      </c>
    </row>
    <row r="166" spans="1:9" x14ac:dyDescent="0.15">
      <c r="A166" s="9">
        <v>165</v>
      </c>
      <c r="B166" s="10" t="s">
        <v>9</v>
      </c>
      <c r="C166" s="10" t="s">
        <v>164</v>
      </c>
      <c r="D166" s="10" t="s">
        <v>165</v>
      </c>
      <c r="E166" s="11" t="str">
        <f>+HYPERLINK("http://trademark.i-assist.jp/data/china/image_1901th/78356962.pdf", "78356962")</f>
        <v>78356962</v>
      </c>
      <c r="F166" s="10" t="s">
        <v>671</v>
      </c>
      <c r="G166" s="10" t="s">
        <v>672</v>
      </c>
      <c r="H166" s="10" t="s">
        <v>673</v>
      </c>
      <c r="I166" s="10" t="s">
        <v>90</v>
      </c>
    </row>
    <row r="167" spans="1:9" x14ac:dyDescent="0.15">
      <c r="A167" s="9">
        <v>166</v>
      </c>
      <c r="B167" s="10" t="s">
        <v>9</v>
      </c>
      <c r="C167" s="10" t="s">
        <v>164</v>
      </c>
      <c r="D167" s="10" t="s">
        <v>165</v>
      </c>
      <c r="E167" s="11" t="str">
        <f>+HYPERLINK("http://trademark.i-assist.jp/data/china/image_1901th/78358351.pdf", "78358351")</f>
        <v>78358351</v>
      </c>
      <c r="F167" s="10" t="s">
        <v>674</v>
      </c>
      <c r="G167" s="10" t="s">
        <v>675</v>
      </c>
      <c r="H167" s="10" t="s">
        <v>676</v>
      </c>
      <c r="I167" s="10" t="s">
        <v>93</v>
      </c>
    </row>
    <row r="168" spans="1:9" x14ac:dyDescent="0.15">
      <c r="A168" s="9">
        <v>167</v>
      </c>
      <c r="B168" s="10" t="s">
        <v>9</v>
      </c>
      <c r="C168" s="10" t="s">
        <v>164</v>
      </c>
      <c r="D168" s="10" t="s">
        <v>165</v>
      </c>
      <c r="E168" s="11" t="str">
        <f>+HYPERLINK("http://trademark.i-assist.jp/data/china/image_1901th/78361605.pdf", "78361605")</f>
        <v>78361605</v>
      </c>
      <c r="F168" s="10" t="s">
        <v>677</v>
      </c>
      <c r="G168" s="10" t="s">
        <v>678</v>
      </c>
      <c r="H168" s="10" t="s">
        <v>679</v>
      </c>
      <c r="I168" s="10" t="s">
        <v>90</v>
      </c>
    </row>
    <row r="169" spans="1:9" x14ac:dyDescent="0.15">
      <c r="A169" s="9">
        <v>168</v>
      </c>
      <c r="B169" s="10" t="s">
        <v>9</v>
      </c>
      <c r="C169" s="10" t="s">
        <v>164</v>
      </c>
      <c r="D169" s="10" t="s">
        <v>165</v>
      </c>
      <c r="E169" s="11" t="str">
        <f>+HYPERLINK("http://trademark.i-assist.jp/data/china/image_1901th/78361717.pdf", "78361717")</f>
        <v>78361717</v>
      </c>
      <c r="F169" s="10" t="s">
        <v>680</v>
      </c>
      <c r="G169" s="10" t="s">
        <v>59</v>
      </c>
      <c r="H169" s="10" t="s">
        <v>681</v>
      </c>
      <c r="I169" s="10" t="s">
        <v>90</v>
      </c>
    </row>
    <row r="170" spans="1:9" x14ac:dyDescent="0.15">
      <c r="A170" s="9">
        <v>169</v>
      </c>
      <c r="B170" s="10" t="s">
        <v>9</v>
      </c>
      <c r="C170" s="10" t="s">
        <v>164</v>
      </c>
      <c r="D170" s="10" t="s">
        <v>165</v>
      </c>
      <c r="E170" s="11" t="str">
        <f>+HYPERLINK("http://trademark.i-assist.jp/data/china/image_1901th/78361857.pdf", "78361857")</f>
        <v>78361857</v>
      </c>
      <c r="F170" s="10" t="s">
        <v>682</v>
      </c>
      <c r="G170" s="10" t="s">
        <v>683</v>
      </c>
      <c r="H170" s="10" t="s">
        <v>684</v>
      </c>
      <c r="I170" s="10" t="s">
        <v>90</v>
      </c>
    </row>
    <row r="171" spans="1:9" x14ac:dyDescent="0.15">
      <c r="A171" s="9">
        <v>170</v>
      </c>
      <c r="B171" s="10" t="s">
        <v>9</v>
      </c>
      <c r="C171" s="10" t="s">
        <v>164</v>
      </c>
      <c r="D171" s="10" t="s">
        <v>165</v>
      </c>
      <c r="E171" s="11" t="str">
        <f>+HYPERLINK("http://trademark.i-assist.jp/data/china/image_1901th/78362882.pdf", "78362882")</f>
        <v>78362882</v>
      </c>
      <c r="F171" s="10" t="s">
        <v>12</v>
      </c>
      <c r="G171" s="10" t="s">
        <v>685</v>
      </c>
      <c r="H171" s="10" t="s">
        <v>686</v>
      </c>
      <c r="I171" s="10" t="s">
        <v>90</v>
      </c>
    </row>
    <row r="172" spans="1:9" x14ac:dyDescent="0.15">
      <c r="A172" s="9">
        <v>171</v>
      </c>
      <c r="B172" s="10" t="s">
        <v>9</v>
      </c>
      <c r="C172" s="10" t="s">
        <v>164</v>
      </c>
      <c r="D172" s="10" t="s">
        <v>165</v>
      </c>
      <c r="E172" s="11" t="str">
        <f>+HYPERLINK("http://trademark.i-assist.jp/data/china/image_1901th/78364650.pdf", "78364650")</f>
        <v>78364650</v>
      </c>
      <c r="F172" s="10" t="s">
        <v>687</v>
      </c>
      <c r="G172" s="10" t="s">
        <v>688</v>
      </c>
      <c r="H172" s="10" t="s">
        <v>689</v>
      </c>
      <c r="I172" s="10" t="s">
        <v>90</v>
      </c>
    </row>
    <row r="173" spans="1:9" x14ac:dyDescent="0.15">
      <c r="A173" s="9">
        <v>172</v>
      </c>
      <c r="B173" s="10" t="s">
        <v>9</v>
      </c>
      <c r="C173" s="10" t="s">
        <v>164</v>
      </c>
      <c r="D173" s="10" t="s">
        <v>165</v>
      </c>
      <c r="E173" s="11" t="str">
        <f>+HYPERLINK("http://trademark.i-assist.jp/data/china/image_1901th/78370411.pdf", "78370411")</f>
        <v>78370411</v>
      </c>
      <c r="F173" s="10" t="s">
        <v>690</v>
      </c>
      <c r="G173" s="10" t="s">
        <v>691</v>
      </c>
      <c r="H173" s="10" t="s">
        <v>692</v>
      </c>
      <c r="I173" s="10" t="s">
        <v>93</v>
      </c>
    </row>
    <row r="174" spans="1:9" x14ac:dyDescent="0.15">
      <c r="A174" s="9">
        <v>173</v>
      </c>
      <c r="B174" s="10" t="s">
        <v>9</v>
      </c>
      <c r="C174" s="10" t="s">
        <v>164</v>
      </c>
      <c r="D174" s="10" t="s">
        <v>165</v>
      </c>
      <c r="E174" s="11" t="str">
        <f>+HYPERLINK("http://trademark.i-assist.jp/data/china/image_1901th/78371069.pdf", "78371069")</f>
        <v>78371069</v>
      </c>
      <c r="F174" s="10" t="s">
        <v>693</v>
      </c>
      <c r="G174" s="10" t="s">
        <v>694</v>
      </c>
      <c r="H174" s="10" t="s">
        <v>695</v>
      </c>
      <c r="I174" s="10" t="s">
        <v>90</v>
      </c>
    </row>
    <row r="175" spans="1:9" x14ac:dyDescent="0.15">
      <c r="A175" s="9">
        <v>174</v>
      </c>
      <c r="B175" s="10" t="s">
        <v>9</v>
      </c>
      <c r="C175" s="10" t="s">
        <v>164</v>
      </c>
      <c r="D175" s="10" t="s">
        <v>165</v>
      </c>
      <c r="E175" s="11" t="str">
        <f>+HYPERLINK("http://trademark.i-assist.jp/data/china/image_1901th/78371088.pdf", "78371088")</f>
        <v>78371088</v>
      </c>
      <c r="F175" s="10" t="s">
        <v>696</v>
      </c>
      <c r="G175" s="10" t="s">
        <v>697</v>
      </c>
      <c r="H175" s="10" t="s">
        <v>698</v>
      </c>
      <c r="I175" s="10" t="s">
        <v>90</v>
      </c>
    </row>
    <row r="176" spans="1:9" x14ac:dyDescent="0.15">
      <c r="A176" s="9">
        <v>175</v>
      </c>
      <c r="B176" s="10" t="s">
        <v>9</v>
      </c>
      <c r="C176" s="10" t="s">
        <v>164</v>
      </c>
      <c r="D176" s="10" t="s">
        <v>165</v>
      </c>
      <c r="E176" s="11" t="str">
        <f>+HYPERLINK("http://trademark.i-assist.jp/data/china/image_1901th/78372780.pdf", "78372780")</f>
        <v>78372780</v>
      </c>
      <c r="F176" s="10" t="s">
        <v>699</v>
      </c>
      <c r="G176" s="10" t="s">
        <v>700</v>
      </c>
      <c r="H176" s="10" t="s">
        <v>701</v>
      </c>
      <c r="I176" s="10" t="s">
        <v>90</v>
      </c>
    </row>
    <row r="177" spans="1:9" x14ac:dyDescent="0.15">
      <c r="A177" s="9">
        <v>176</v>
      </c>
      <c r="B177" s="10" t="s">
        <v>9</v>
      </c>
      <c r="C177" s="10" t="s">
        <v>164</v>
      </c>
      <c r="D177" s="10" t="s">
        <v>165</v>
      </c>
      <c r="E177" s="11" t="str">
        <f>+HYPERLINK("http://trademark.i-assist.jp/data/china/image_1901th/78373402.pdf", "78373402")</f>
        <v>78373402</v>
      </c>
      <c r="F177" s="10" t="s">
        <v>702</v>
      </c>
      <c r="G177" s="10" t="s">
        <v>703</v>
      </c>
      <c r="H177" s="10" t="s">
        <v>704</v>
      </c>
      <c r="I177" s="10" t="s">
        <v>90</v>
      </c>
    </row>
    <row r="178" spans="1:9" x14ac:dyDescent="0.15">
      <c r="A178" s="9">
        <v>177</v>
      </c>
      <c r="B178" s="10" t="s">
        <v>9</v>
      </c>
      <c r="C178" s="10" t="s">
        <v>164</v>
      </c>
      <c r="D178" s="10" t="s">
        <v>165</v>
      </c>
      <c r="E178" s="11" t="str">
        <f>+HYPERLINK("http://trademark.i-assist.jp/data/china/image_1901th/78375166.pdf", "78375166")</f>
        <v>78375166</v>
      </c>
      <c r="F178" s="10" t="s">
        <v>705</v>
      </c>
      <c r="G178" s="10" t="s">
        <v>706</v>
      </c>
      <c r="H178" s="10" t="s">
        <v>707</v>
      </c>
      <c r="I178" s="10" t="s">
        <v>90</v>
      </c>
    </row>
    <row r="179" spans="1:9" x14ac:dyDescent="0.15">
      <c r="A179" s="9">
        <v>178</v>
      </c>
      <c r="B179" s="10" t="s">
        <v>9</v>
      </c>
      <c r="C179" s="10" t="s">
        <v>164</v>
      </c>
      <c r="D179" s="10" t="s">
        <v>165</v>
      </c>
      <c r="E179" s="11" t="str">
        <f>+HYPERLINK("http://trademark.i-assist.jp/data/china/image_1901th/78375334.pdf", "78375334")</f>
        <v>78375334</v>
      </c>
      <c r="F179" s="10" t="s">
        <v>708</v>
      </c>
      <c r="G179" s="10" t="s">
        <v>95</v>
      </c>
      <c r="H179" s="10" t="s">
        <v>709</v>
      </c>
      <c r="I179" s="10" t="s">
        <v>90</v>
      </c>
    </row>
    <row r="180" spans="1:9" x14ac:dyDescent="0.15">
      <c r="A180" s="9">
        <v>179</v>
      </c>
      <c r="B180" s="10" t="s">
        <v>9</v>
      </c>
      <c r="C180" s="10" t="s">
        <v>164</v>
      </c>
      <c r="D180" s="10" t="s">
        <v>165</v>
      </c>
      <c r="E180" s="11" t="str">
        <f>+HYPERLINK("http://trademark.i-assist.jp/data/china/image_1901th/78375367.pdf", "78375367")</f>
        <v>78375367</v>
      </c>
      <c r="F180" s="10" t="s">
        <v>710</v>
      </c>
      <c r="G180" s="10" t="s">
        <v>65</v>
      </c>
      <c r="H180" s="10" t="s">
        <v>711</v>
      </c>
      <c r="I180" s="10" t="s">
        <v>90</v>
      </c>
    </row>
    <row r="181" spans="1:9" x14ac:dyDescent="0.15">
      <c r="A181" s="9">
        <v>180</v>
      </c>
      <c r="B181" s="10" t="s">
        <v>9</v>
      </c>
      <c r="C181" s="10" t="s">
        <v>164</v>
      </c>
      <c r="D181" s="10" t="s">
        <v>165</v>
      </c>
      <c r="E181" s="11" t="str">
        <f>+HYPERLINK("http://trademark.i-assist.jp/data/china/image_1901th/78375840.pdf", "78375840")</f>
        <v>78375840</v>
      </c>
      <c r="F181" s="10" t="s">
        <v>712</v>
      </c>
      <c r="G181" s="10" t="s">
        <v>713</v>
      </c>
      <c r="H181" s="10" t="s">
        <v>714</v>
      </c>
      <c r="I181" s="10" t="s">
        <v>90</v>
      </c>
    </row>
    <row r="182" spans="1:9" x14ac:dyDescent="0.15">
      <c r="A182" s="9">
        <v>181</v>
      </c>
      <c r="B182" s="10" t="s">
        <v>9</v>
      </c>
      <c r="C182" s="10" t="s">
        <v>164</v>
      </c>
      <c r="D182" s="10" t="s">
        <v>165</v>
      </c>
      <c r="E182" s="11" t="str">
        <f>+HYPERLINK("http://trademark.i-assist.jp/data/china/image_1901th/78376309.pdf", "78376309")</f>
        <v>78376309</v>
      </c>
      <c r="F182" s="10" t="s">
        <v>715</v>
      </c>
      <c r="G182" s="10" t="s">
        <v>716</v>
      </c>
      <c r="H182" s="10" t="s">
        <v>717</v>
      </c>
      <c r="I182" s="10" t="s">
        <v>90</v>
      </c>
    </row>
    <row r="183" spans="1:9" x14ac:dyDescent="0.15">
      <c r="A183" s="9">
        <v>182</v>
      </c>
      <c r="B183" s="10" t="s">
        <v>9</v>
      </c>
      <c r="C183" s="10" t="s">
        <v>164</v>
      </c>
      <c r="D183" s="10" t="s">
        <v>165</v>
      </c>
      <c r="E183" s="11" t="str">
        <f>+HYPERLINK("http://trademark.i-assist.jp/data/china/image_1901th/78377258.pdf", "78377258")</f>
        <v>78377258</v>
      </c>
      <c r="F183" s="10" t="s">
        <v>718</v>
      </c>
      <c r="G183" s="10" t="s">
        <v>719</v>
      </c>
      <c r="H183" s="10" t="s">
        <v>720</v>
      </c>
      <c r="I183" s="10" t="s">
        <v>93</v>
      </c>
    </row>
    <row r="184" spans="1:9" x14ac:dyDescent="0.15">
      <c r="A184" s="9">
        <v>183</v>
      </c>
      <c r="B184" s="10" t="s">
        <v>9</v>
      </c>
      <c r="C184" s="10" t="s">
        <v>164</v>
      </c>
      <c r="D184" s="10" t="s">
        <v>165</v>
      </c>
      <c r="E184" s="11" t="str">
        <f>+HYPERLINK("http://trademark.i-assist.jp/data/china/image_1901th/78377839.pdf", "78377839")</f>
        <v>78377839</v>
      </c>
      <c r="F184" s="10" t="s">
        <v>721</v>
      </c>
      <c r="G184" s="10" t="s">
        <v>722</v>
      </c>
      <c r="H184" s="10" t="s">
        <v>723</v>
      </c>
      <c r="I184" s="10" t="s">
        <v>90</v>
      </c>
    </row>
    <row r="185" spans="1:9" x14ac:dyDescent="0.15">
      <c r="A185" s="9">
        <v>184</v>
      </c>
      <c r="B185" s="10" t="s">
        <v>9</v>
      </c>
      <c r="C185" s="10" t="s">
        <v>164</v>
      </c>
      <c r="D185" s="10" t="s">
        <v>165</v>
      </c>
      <c r="E185" s="11" t="str">
        <f>+HYPERLINK("http://trademark.i-assist.jp/data/china/image_1901th/78378094.pdf", "78378094")</f>
        <v>78378094</v>
      </c>
      <c r="F185" s="10" t="s">
        <v>724</v>
      </c>
      <c r="G185" s="10" t="s">
        <v>725</v>
      </c>
      <c r="H185" s="10" t="s">
        <v>726</v>
      </c>
      <c r="I185" s="10" t="s">
        <v>90</v>
      </c>
    </row>
    <row r="186" spans="1:9" x14ac:dyDescent="0.15">
      <c r="A186" s="9">
        <v>185</v>
      </c>
      <c r="B186" s="10" t="s">
        <v>9</v>
      </c>
      <c r="C186" s="10" t="s">
        <v>164</v>
      </c>
      <c r="D186" s="10" t="s">
        <v>165</v>
      </c>
      <c r="E186" s="11" t="str">
        <f>+HYPERLINK("http://trademark.i-assist.jp/data/china/image_1901th/78379688.pdf", "78379688")</f>
        <v>78379688</v>
      </c>
      <c r="F186" s="10" t="s">
        <v>727</v>
      </c>
      <c r="G186" s="10" t="s">
        <v>728</v>
      </c>
      <c r="H186" s="10" t="s">
        <v>729</v>
      </c>
      <c r="I186" s="10" t="s">
        <v>93</v>
      </c>
    </row>
    <row r="187" spans="1:9" x14ac:dyDescent="0.15">
      <c r="A187" s="9">
        <v>186</v>
      </c>
      <c r="B187" s="10" t="s">
        <v>9</v>
      </c>
      <c r="C187" s="10" t="s">
        <v>164</v>
      </c>
      <c r="D187" s="10" t="s">
        <v>165</v>
      </c>
      <c r="E187" s="11" t="str">
        <f>+HYPERLINK("http://trademark.i-assist.jp/data/china/image_1901th/78379913.pdf", "78379913")</f>
        <v>78379913</v>
      </c>
      <c r="F187" s="10" t="s">
        <v>730</v>
      </c>
      <c r="G187" s="10" t="s">
        <v>731</v>
      </c>
      <c r="H187" s="10" t="s">
        <v>732</v>
      </c>
      <c r="I187" s="10" t="s">
        <v>90</v>
      </c>
    </row>
    <row r="188" spans="1:9" x14ac:dyDescent="0.15">
      <c r="A188" s="9">
        <v>187</v>
      </c>
      <c r="B188" s="10" t="s">
        <v>9</v>
      </c>
      <c r="C188" s="10" t="s">
        <v>164</v>
      </c>
      <c r="D188" s="10" t="s">
        <v>165</v>
      </c>
      <c r="E188" s="11" t="str">
        <f>+HYPERLINK("http://trademark.i-assist.jp/data/china/image_1901th/78382159.pdf", "78382159")</f>
        <v>78382159</v>
      </c>
      <c r="F188" s="10" t="s">
        <v>733</v>
      </c>
      <c r="G188" s="10" t="s">
        <v>734</v>
      </c>
      <c r="H188" s="10" t="s">
        <v>735</v>
      </c>
      <c r="I188" s="10" t="s">
        <v>90</v>
      </c>
    </row>
    <row r="189" spans="1:9" x14ac:dyDescent="0.15">
      <c r="A189" s="9">
        <v>188</v>
      </c>
      <c r="B189" s="10" t="s">
        <v>9</v>
      </c>
      <c r="C189" s="10" t="s">
        <v>164</v>
      </c>
      <c r="D189" s="10" t="s">
        <v>165</v>
      </c>
      <c r="E189" s="11" t="str">
        <f>+HYPERLINK("http://trademark.i-assist.jp/data/china/image_1901th/78383102.pdf", "78383102")</f>
        <v>78383102</v>
      </c>
      <c r="F189" s="10" t="s">
        <v>736</v>
      </c>
      <c r="G189" s="10" t="s">
        <v>89</v>
      </c>
      <c r="H189" s="10" t="s">
        <v>737</v>
      </c>
      <c r="I189" s="10" t="s">
        <v>90</v>
      </c>
    </row>
    <row r="190" spans="1:9" x14ac:dyDescent="0.15">
      <c r="A190" s="9">
        <v>189</v>
      </c>
      <c r="B190" s="10" t="s">
        <v>9</v>
      </c>
      <c r="C190" s="10" t="s">
        <v>164</v>
      </c>
      <c r="D190" s="10" t="s">
        <v>165</v>
      </c>
      <c r="E190" s="11" t="str">
        <f>+HYPERLINK("http://trademark.i-assist.jp/data/china/image_1901th/78384488.pdf", "78384488")</f>
        <v>78384488</v>
      </c>
      <c r="F190" s="10" t="s">
        <v>738</v>
      </c>
      <c r="G190" s="10" t="s">
        <v>739</v>
      </c>
      <c r="H190" s="10" t="s">
        <v>740</v>
      </c>
      <c r="I190" s="10" t="s">
        <v>90</v>
      </c>
    </row>
    <row r="191" spans="1:9" x14ac:dyDescent="0.15">
      <c r="A191" s="9">
        <v>190</v>
      </c>
      <c r="B191" s="10" t="s">
        <v>9</v>
      </c>
      <c r="C191" s="10" t="s">
        <v>164</v>
      </c>
      <c r="D191" s="10" t="s">
        <v>165</v>
      </c>
      <c r="E191" s="11" t="str">
        <f>+HYPERLINK("http://trademark.i-assist.jp/data/china/image_1901th/78385159A.pdf", "78385159A")</f>
        <v>78385159A</v>
      </c>
      <c r="F191" s="10" t="s">
        <v>741</v>
      </c>
      <c r="G191" s="10" t="s">
        <v>742</v>
      </c>
      <c r="H191" s="10" t="s">
        <v>743</v>
      </c>
      <c r="I191" s="10" t="s">
        <v>116</v>
      </c>
    </row>
    <row r="192" spans="1:9" x14ac:dyDescent="0.15">
      <c r="A192" s="9">
        <v>191</v>
      </c>
      <c r="B192" s="10" t="s">
        <v>9</v>
      </c>
      <c r="C192" s="10" t="s">
        <v>164</v>
      </c>
      <c r="D192" s="10" t="s">
        <v>165</v>
      </c>
      <c r="E192" s="11" t="str">
        <f>+HYPERLINK("http://trademark.i-assist.jp/data/china/image_1901th/78385735.pdf", "78385735")</f>
        <v>78385735</v>
      </c>
      <c r="F192" s="10" t="s">
        <v>744</v>
      </c>
      <c r="G192" s="10" t="s">
        <v>745</v>
      </c>
      <c r="H192" s="10" t="s">
        <v>746</v>
      </c>
      <c r="I192" s="10" t="s">
        <v>93</v>
      </c>
    </row>
    <row r="193" spans="1:9" x14ac:dyDescent="0.15">
      <c r="A193" s="9">
        <v>192</v>
      </c>
      <c r="B193" s="10" t="s">
        <v>9</v>
      </c>
      <c r="C193" s="10" t="s">
        <v>164</v>
      </c>
      <c r="D193" s="10" t="s">
        <v>165</v>
      </c>
      <c r="E193" s="11" t="str">
        <f>+HYPERLINK("http://trademark.i-assist.jp/data/china/image_1901th/78386541.pdf", "78386541")</f>
        <v>78386541</v>
      </c>
      <c r="F193" s="10" t="s">
        <v>747</v>
      </c>
      <c r="G193" s="10" t="s">
        <v>748</v>
      </c>
      <c r="H193" s="10" t="s">
        <v>749</v>
      </c>
      <c r="I193" s="10" t="s">
        <v>90</v>
      </c>
    </row>
    <row r="194" spans="1:9" x14ac:dyDescent="0.15">
      <c r="A194" s="9">
        <v>193</v>
      </c>
      <c r="B194" s="10" t="s">
        <v>9</v>
      </c>
      <c r="C194" s="10" t="s">
        <v>164</v>
      </c>
      <c r="D194" s="10" t="s">
        <v>165</v>
      </c>
      <c r="E194" s="11" t="str">
        <f>+HYPERLINK("http://trademark.i-assist.jp/data/china/image_1901th/78386561.pdf", "78386561")</f>
        <v>78386561</v>
      </c>
      <c r="F194" s="10" t="s">
        <v>750</v>
      </c>
      <c r="G194" s="10" t="s">
        <v>751</v>
      </c>
      <c r="H194" s="10" t="s">
        <v>752</v>
      </c>
      <c r="I194" s="10" t="s">
        <v>90</v>
      </c>
    </row>
    <row r="195" spans="1:9" x14ac:dyDescent="0.15">
      <c r="A195" s="9">
        <v>194</v>
      </c>
      <c r="B195" s="10" t="s">
        <v>9</v>
      </c>
      <c r="C195" s="10" t="s">
        <v>164</v>
      </c>
      <c r="D195" s="10" t="s">
        <v>165</v>
      </c>
      <c r="E195" s="11" t="str">
        <f>+HYPERLINK("http://trademark.i-assist.jp/data/china/image_1901th/78388197.pdf", "78388197")</f>
        <v>78388197</v>
      </c>
      <c r="F195" s="10" t="s">
        <v>753</v>
      </c>
      <c r="G195" s="10" t="s">
        <v>697</v>
      </c>
      <c r="H195" s="10" t="s">
        <v>754</v>
      </c>
      <c r="I195" s="10" t="s">
        <v>90</v>
      </c>
    </row>
    <row r="196" spans="1:9" x14ac:dyDescent="0.15">
      <c r="A196" s="9">
        <v>195</v>
      </c>
      <c r="B196" s="10" t="s">
        <v>9</v>
      </c>
      <c r="C196" s="10" t="s">
        <v>164</v>
      </c>
      <c r="D196" s="10" t="s">
        <v>165</v>
      </c>
      <c r="E196" s="11" t="str">
        <f>+HYPERLINK("http://trademark.i-assist.jp/data/china/image_1901th/78388806.pdf", "78388806")</f>
        <v>78388806</v>
      </c>
      <c r="F196" s="10" t="s">
        <v>755</v>
      </c>
      <c r="G196" s="10" t="s">
        <v>756</v>
      </c>
      <c r="H196" s="10" t="s">
        <v>757</v>
      </c>
      <c r="I196" s="10" t="s">
        <v>90</v>
      </c>
    </row>
    <row r="197" spans="1:9" x14ac:dyDescent="0.15">
      <c r="A197" s="9">
        <v>196</v>
      </c>
      <c r="B197" s="10" t="s">
        <v>9</v>
      </c>
      <c r="C197" s="10" t="s">
        <v>164</v>
      </c>
      <c r="D197" s="10" t="s">
        <v>165</v>
      </c>
      <c r="E197" s="11" t="str">
        <f>+HYPERLINK("http://trademark.i-assist.jp/data/china/image_1901th/78393287.pdf", "78393287")</f>
        <v>78393287</v>
      </c>
      <c r="F197" s="10" t="s">
        <v>758</v>
      </c>
      <c r="G197" s="10" t="s">
        <v>759</v>
      </c>
      <c r="H197" s="10" t="s">
        <v>760</v>
      </c>
      <c r="I197" s="10" t="s">
        <v>93</v>
      </c>
    </row>
    <row r="198" spans="1:9" x14ac:dyDescent="0.15">
      <c r="A198" s="9">
        <v>197</v>
      </c>
      <c r="B198" s="10" t="s">
        <v>9</v>
      </c>
      <c r="C198" s="10" t="s">
        <v>164</v>
      </c>
      <c r="D198" s="10" t="s">
        <v>165</v>
      </c>
      <c r="E198" s="11" t="str">
        <f>+HYPERLINK("http://trademark.i-assist.jp/data/china/image_1901th/78400727.pdf", "78400727")</f>
        <v>78400727</v>
      </c>
      <c r="F198" s="10" t="s">
        <v>761</v>
      </c>
      <c r="G198" s="10" t="s">
        <v>762</v>
      </c>
      <c r="H198" s="10" t="s">
        <v>763</v>
      </c>
      <c r="I198" s="10" t="s">
        <v>93</v>
      </c>
    </row>
    <row r="199" spans="1:9" x14ac:dyDescent="0.15">
      <c r="A199" s="9">
        <v>198</v>
      </c>
      <c r="B199" s="10" t="s">
        <v>9</v>
      </c>
      <c r="C199" s="10" t="s">
        <v>164</v>
      </c>
      <c r="D199" s="10" t="s">
        <v>165</v>
      </c>
      <c r="E199" s="11" t="str">
        <f>+HYPERLINK("http://trademark.i-assist.jp/data/china/image_1901th/78400756.pdf", "78400756")</f>
        <v>78400756</v>
      </c>
      <c r="F199" s="10" t="s">
        <v>764</v>
      </c>
      <c r="G199" s="10" t="s">
        <v>765</v>
      </c>
      <c r="H199" s="10" t="s">
        <v>766</v>
      </c>
      <c r="I199" s="10" t="s">
        <v>93</v>
      </c>
    </row>
    <row r="200" spans="1:9" x14ac:dyDescent="0.15">
      <c r="A200" s="9">
        <v>199</v>
      </c>
      <c r="B200" s="10" t="s">
        <v>9</v>
      </c>
      <c r="C200" s="10" t="s">
        <v>164</v>
      </c>
      <c r="D200" s="10" t="s">
        <v>165</v>
      </c>
      <c r="E200" s="11" t="str">
        <f>+HYPERLINK("http://trademark.i-assist.jp/data/china/image_1901th/78402399.pdf", "78402399")</f>
        <v>78402399</v>
      </c>
      <c r="F200" s="10" t="s">
        <v>767</v>
      </c>
      <c r="G200" s="10" t="s">
        <v>768</v>
      </c>
      <c r="H200" s="10" t="s">
        <v>769</v>
      </c>
      <c r="I200" s="10" t="s">
        <v>93</v>
      </c>
    </row>
    <row r="201" spans="1:9" x14ac:dyDescent="0.15">
      <c r="A201" s="9">
        <v>200</v>
      </c>
      <c r="B201" s="10" t="s">
        <v>9</v>
      </c>
      <c r="C201" s="10" t="s">
        <v>164</v>
      </c>
      <c r="D201" s="10" t="s">
        <v>165</v>
      </c>
      <c r="E201" s="11" t="str">
        <f>+HYPERLINK("http://trademark.i-assist.jp/data/china/image_1901th/78402986.pdf", "78402986")</f>
        <v>78402986</v>
      </c>
      <c r="F201" s="10" t="s">
        <v>770</v>
      </c>
      <c r="G201" s="10" t="s">
        <v>771</v>
      </c>
      <c r="H201" s="10" t="s">
        <v>772</v>
      </c>
      <c r="I201" s="10" t="s">
        <v>93</v>
      </c>
    </row>
    <row r="202" spans="1:9" x14ac:dyDescent="0.15">
      <c r="A202" s="9">
        <v>201</v>
      </c>
      <c r="B202" s="10" t="s">
        <v>9</v>
      </c>
      <c r="C202" s="10" t="s">
        <v>164</v>
      </c>
      <c r="D202" s="10" t="s">
        <v>165</v>
      </c>
      <c r="E202" s="11" t="str">
        <f>+HYPERLINK("http://trademark.i-assist.jp/data/china/image_1901th/78403164.pdf", "78403164")</f>
        <v>78403164</v>
      </c>
      <c r="F202" s="10" t="s">
        <v>773</v>
      </c>
      <c r="G202" s="10" t="s">
        <v>774</v>
      </c>
      <c r="H202" s="10" t="s">
        <v>775</v>
      </c>
      <c r="I202" s="10" t="s">
        <v>93</v>
      </c>
    </row>
    <row r="203" spans="1:9" x14ac:dyDescent="0.15">
      <c r="A203" s="9">
        <v>202</v>
      </c>
      <c r="B203" s="10" t="s">
        <v>9</v>
      </c>
      <c r="C203" s="10" t="s">
        <v>164</v>
      </c>
      <c r="D203" s="10" t="s">
        <v>165</v>
      </c>
      <c r="E203" s="11" t="str">
        <f>+HYPERLINK("http://trademark.i-assist.jp/data/china/image_1901th/78410692.pdf", "78410692")</f>
        <v>78410692</v>
      </c>
      <c r="F203" s="10" t="s">
        <v>776</v>
      </c>
      <c r="G203" s="10" t="s">
        <v>777</v>
      </c>
      <c r="H203" s="10" t="s">
        <v>778</v>
      </c>
      <c r="I203" s="10" t="s">
        <v>93</v>
      </c>
    </row>
    <row r="204" spans="1:9" x14ac:dyDescent="0.15">
      <c r="A204" s="9">
        <v>203</v>
      </c>
      <c r="B204" s="10" t="s">
        <v>9</v>
      </c>
      <c r="C204" s="10" t="s">
        <v>164</v>
      </c>
      <c r="D204" s="10" t="s">
        <v>165</v>
      </c>
      <c r="E204" s="11" t="str">
        <f>+HYPERLINK("http://trademark.i-assist.jp/data/china/image_1901th/78414043.pdf", "78414043")</f>
        <v>78414043</v>
      </c>
      <c r="F204" s="10" t="s">
        <v>779</v>
      </c>
      <c r="G204" s="10" t="s">
        <v>780</v>
      </c>
      <c r="H204" s="10" t="s">
        <v>781</v>
      </c>
      <c r="I204" s="10" t="s">
        <v>93</v>
      </c>
    </row>
    <row r="205" spans="1:9" x14ac:dyDescent="0.15">
      <c r="A205" s="9">
        <v>204</v>
      </c>
      <c r="B205" s="10" t="s">
        <v>9</v>
      </c>
      <c r="C205" s="10" t="s">
        <v>164</v>
      </c>
      <c r="D205" s="10" t="s">
        <v>165</v>
      </c>
      <c r="E205" s="11" t="str">
        <f>+HYPERLINK("http://trademark.i-assist.jp/data/china/image_1901th/78418921.pdf", "78418921")</f>
        <v>78418921</v>
      </c>
      <c r="F205" s="10" t="s">
        <v>782</v>
      </c>
      <c r="G205" s="10" t="s">
        <v>783</v>
      </c>
      <c r="H205" s="10" t="s">
        <v>784</v>
      </c>
      <c r="I205" s="10" t="s">
        <v>109</v>
      </c>
    </row>
    <row r="206" spans="1:9" x14ac:dyDescent="0.15">
      <c r="A206" s="9">
        <v>205</v>
      </c>
      <c r="B206" s="10" t="s">
        <v>9</v>
      </c>
      <c r="C206" s="10" t="s">
        <v>164</v>
      </c>
      <c r="D206" s="10" t="s">
        <v>165</v>
      </c>
      <c r="E206" s="11" t="str">
        <f>+HYPERLINK("http://trademark.i-assist.jp/data/china/image_1901th/78421842.pdf", "78421842")</f>
        <v>78421842</v>
      </c>
      <c r="F206" s="10" t="s">
        <v>12</v>
      </c>
      <c r="G206" s="10" t="s">
        <v>785</v>
      </c>
      <c r="H206" s="10" t="s">
        <v>786</v>
      </c>
      <c r="I206" s="10" t="s">
        <v>109</v>
      </c>
    </row>
    <row r="207" spans="1:9" x14ac:dyDescent="0.15">
      <c r="A207" s="9">
        <v>206</v>
      </c>
      <c r="B207" s="10" t="s">
        <v>9</v>
      </c>
      <c r="C207" s="10" t="s">
        <v>164</v>
      </c>
      <c r="D207" s="10" t="s">
        <v>165</v>
      </c>
      <c r="E207" s="11" t="str">
        <f>+HYPERLINK("http://trademark.i-assist.jp/data/china/image_1901th/78422260.pdf", "78422260")</f>
        <v>78422260</v>
      </c>
      <c r="F207" s="10" t="s">
        <v>12</v>
      </c>
      <c r="G207" s="10" t="s">
        <v>787</v>
      </c>
      <c r="H207" s="10" t="s">
        <v>788</v>
      </c>
      <c r="I207" s="10" t="s">
        <v>109</v>
      </c>
    </row>
    <row r="208" spans="1:9" x14ac:dyDescent="0.15">
      <c r="A208" s="9">
        <v>207</v>
      </c>
      <c r="B208" s="10" t="s">
        <v>9</v>
      </c>
      <c r="C208" s="10" t="s">
        <v>164</v>
      </c>
      <c r="D208" s="10" t="s">
        <v>165</v>
      </c>
      <c r="E208" s="11" t="str">
        <f>+HYPERLINK("http://trademark.i-assist.jp/data/china/image_1901th/78423973.pdf", "78423973")</f>
        <v>78423973</v>
      </c>
      <c r="F208" s="10" t="s">
        <v>12</v>
      </c>
      <c r="G208" s="10" t="s">
        <v>789</v>
      </c>
      <c r="H208" s="10" t="s">
        <v>790</v>
      </c>
      <c r="I208" s="10" t="s">
        <v>109</v>
      </c>
    </row>
    <row r="209" spans="1:9" x14ac:dyDescent="0.15">
      <c r="A209" s="9">
        <v>208</v>
      </c>
      <c r="B209" s="10" t="s">
        <v>9</v>
      </c>
      <c r="C209" s="10" t="s">
        <v>164</v>
      </c>
      <c r="D209" s="10" t="s">
        <v>165</v>
      </c>
      <c r="E209" s="11" t="str">
        <f>+HYPERLINK("http://trademark.i-assist.jp/data/china/image_1901th/78425217.pdf", "78425217")</f>
        <v>78425217</v>
      </c>
      <c r="F209" s="10" t="s">
        <v>791</v>
      </c>
      <c r="G209" s="10" t="s">
        <v>792</v>
      </c>
      <c r="H209" s="10" t="s">
        <v>793</v>
      </c>
      <c r="I209" s="10" t="s">
        <v>109</v>
      </c>
    </row>
    <row r="210" spans="1:9" x14ac:dyDescent="0.15">
      <c r="A210" s="9">
        <v>209</v>
      </c>
      <c r="B210" s="10" t="s">
        <v>9</v>
      </c>
      <c r="C210" s="10" t="s">
        <v>164</v>
      </c>
      <c r="D210" s="10" t="s">
        <v>165</v>
      </c>
      <c r="E210" s="11" t="str">
        <f>+HYPERLINK("http://trademark.i-assist.jp/data/china/image_1901th/78425269.pdf", "78425269")</f>
        <v>78425269</v>
      </c>
      <c r="F210" s="10" t="s">
        <v>12</v>
      </c>
      <c r="G210" s="10" t="s">
        <v>794</v>
      </c>
      <c r="H210" s="10" t="s">
        <v>795</v>
      </c>
      <c r="I210" s="10" t="s">
        <v>109</v>
      </c>
    </row>
    <row r="211" spans="1:9" x14ac:dyDescent="0.15">
      <c r="A211" s="9">
        <v>210</v>
      </c>
      <c r="B211" s="10" t="s">
        <v>9</v>
      </c>
      <c r="C211" s="10" t="s">
        <v>164</v>
      </c>
      <c r="D211" s="10" t="s">
        <v>165</v>
      </c>
      <c r="E211" s="11" t="str">
        <f>+HYPERLINK("http://trademark.i-assist.jp/data/china/image_1901th/78431140.pdf", "78431140")</f>
        <v>78431140</v>
      </c>
      <c r="F211" s="10" t="s">
        <v>796</v>
      </c>
      <c r="G211" s="10" t="s">
        <v>797</v>
      </c>
      <c r="H211" s="10" t="s">
        <v>798</v>
      </c>
      <c r="I211" s="10" t="s">
        <v>109</v>
      </c>
    </row>
    <row r="212" spans="1:9" x14ac:dyDescent="0.15">
      <c r="A212" s="9">
        <v>211</v>
      </c>
      <c r="B212" s="10" t="s">
        <v>9</v>
      </c>
      <c r="C212" s="10" t="s">
        <v>164</v>
      </c>
      <c r="D212" s="10" t="s">
        <v>165</v>
      </c>
      <c r="E212" s="11" t="str">
        <f>+HYPERLINK("http://trademark.i-assist.jp/data/china/image_1901th/78436998.pdf", "78436998")</f>
        <v>78436998</v>
      </c>
      <c r="F212" s="10" t="s">
        <v>799</v>
      </c>
      <c r="G212" s="10" t="s">
        <v>800</v>
      </c>
      <c r="H212" s="10" t="s">
        <v>801</v>
      </c>
      <c r="I212" s="10" t="s">
        <v>109</v>
      </c>
    </row>
    <row r="213" spans="1:9" x14ac:dyDescent="0.15">
      <c r="A213" s="9">
        <v>212</v>
      </c>
      <c r="B213" s="10" t="s">
        <v>9</v>
      </c>
      <c r="C213" s="10" t="s">
        <v>164</v>
      </c>
      <c r="D213" s="10" t="s">
        <v>165</v>
      </c>
      <c r="E213" s="11" t="str">
        <f>+HYPERLINK("http://trademark.i-assist.jp/data/china/image_1901th/78437666.pdf", "78437666")</f>
        <v>78437666</v>
      </c>
      <c r="F213" s="10" t="s">
        <v>802</v>
      </c>
      <c r="G213" s="10" t="s">
        <v>803</v>
      </c>
      <c r="H213" s="10" t="s">
        <v>804</v>
      </c>
      <c r="I213" s="10" t="s">
        <v>109</v>
      </c>
    </row>
    <row r="214" spans="1:9" x14ac:dyDescent="0.15">
      <c r="A214" s="9">
        <v>213</v>
      </c>
      <c r="B214" s="10" t="s">
        <v>9</v>
      </c>
      <c r="C214" s="10" t="s">
        <v>164</v>
      </c>
      <c r="D214" s="10" t="s">
        <v>165</v>
      </c>
      <c r="E214" s="11" t="str">
        <f>+HYPERLINK("http://trademark.i-assist.jp/data/china/image_1901th/78438262.pdf", "78438262")</f>
        <v>78438262</v>
      </c>
      <c r="F214" s="10" t="s">
        <v>12</v>
      </c>
      <c r="G214" s="10" t="s">
        <v>805</v>
      </c>
      <c r="H214" s="10" t="s">
        <v>806</v>
      </c>
      <c r="I214" s="10" t="s">
        <v>109</v>
      </c>
    </row>
    <row r="215" spans="1:9" x14ac:dyDescent="0.15">
      <c r="A215" s="9">
        <v>214</v>
      </c>
      <c r="B215" s="10" t="s">
        <v>9</v>
      </c>
      <c r="C215" s="10" t="s">
        <v>164</v>
      </c>
      <c r="D215" s="10" t="s">
        <v>165</v>
      </c>
      <c r="E215" s="11" t="str">
        <f>+HYPERLINK("http://trademark.i-assist.jp/data/china/image_1901th/78438688.pdf", "78438688")</f>
        <v>78438688</v>
      </c>
      <c r="F215" s="10" t="s">
        <v>807</v>
      </c>
      <c r="G215" s="10" t="s">
        <v>121</v>
      </c>
      <c r="H215" s="10" t="s">
        <v>808</v>
      </c>
      <c r="I215" s="10" t="s">
        <v>109</v>
      </c>
    </row>
    <row r="216" spans="1:9" x14ac:dyDescent="0.15">
      <c r="A216" s="9">
        <v>215</v>
      </c>
      <c r="B216" s="10" t="s">
        <v>9</v>
      </c>
      <c r="C216" s="10" t="s">
        <v>164</v>
      </c>
      <c r="D216" s="10" t="s">
        <v>165</v>
      </c>
      <c r="E216" s="11" t="str">
        <f>+HYPERLINK("http://trademark.i-assist.jp/data/china/image_1901th/78438761.pdf", "78438761")</f>
        <v>78438761</v>
      </c>
      <c r="F216" s="10" t="s">
        <v>809</v>
      </c>
      <c r="G216" s="10" t="s">
        <v>810</v>
      </c>
      <c r="H216" s="10" t="s">
        <v>811</v>
      </c>
      <c r="I216" s="10" t="s">
        <v>109</v>
      </c>
    </row>
    <row r="217" spans="1:9" x14ac:dyDescent="0.15">
      <c r="A217" s="9">
        <v>216</v>
      </c>
      <c r="B217" s="10" t="s">
        <v>9</v>
      </c>
      <c r="C217" s="10" t="s">
        <v>164</v>
      </c>
      <c r="D217" s="10" t="s">
        <v>165</v>
      </c>
      <c r="E217" s="11" t="str">
        <f>+HYPERLINK("http://trademark.i-assist.jp/data/china/image_1901th/78439595.pdf", "78439595")</f>
        <v>78439595</v>
      </c>
      <c r="F217" s="10" t="s">
        <v>812</v>
      </c>
      <c r="G217" s="10" t="s">
        <v>813</v>
      </c>
      <c r="H217" s="10" t="s">
        <v>814</v>
      </c>
      <c r="I217" s="10" t="s">
        <v>109</v>
      </c>
    </row>
    <row r="218" spans="1:9" x14ac:dyDescent="0.15">
      <c r="A218" s="9">
        <v>217</v>
      </c>
      <c r="B218" s="10" t="s">
        <v>9</v>
      </c>
      <c r="C218" s="10" t="s">
        <v>164</v>
      </c>
      <c r="D218" s="10" t="s">
        <v>165</v>
      </c>
      <c r="E218" s="11" t="str">
        <f>+HYPERLINK("http://trademark.i-assist.jp/data/china/image_1901th/78440585.pdf", "78440585")</f>
        <v>78440585</v>
      </c>
      <c r="F218" s="10" t="s">
        <v>815</v>
      </c>
      <c r="G218" s="10" t="s">
        <v>816</v>
      </c>
      <c r="H218" s="10" t="s">
        <v>817</v>
      </c>
      <c r="I218" s="10" t="s">
        <v>109</v>
      </c>
    </row>
    <row r="219" spans="1:9" x14ac:dyDescent="0.15">
      <c r="A219" s="9">
        <v>218</v>
      </c>
      <c r="B219" s="10" t="s">
        <v>9</v>
      </c>
      <c r="C219" s="10" t="s">
        <v>164</v>
      </c>
      <c r="D219" s="10" t="s">
        <v>165</v>
      </c>
      <c r="E219" s="11" t="str">
        <f>+HYPERLINK("http://trademark.i-assist.jp/data/china/image_1901th/78442792.pdf", "78442792")</f>
        <v>78442792</v>
      </c>
      <c r="F219" s="10" t="s">
        <v>818</v>
      </c>
      <c r="G219" s="10" t="s">
        <v>819</v>
      </c>
      <c r="H219" s="10" t="s">
        <v>820</v>
      </c>
      <c r="I219" s="10" t="s">
        <v>109</v>
      </c>
    </row>
    <row r="220" spans="1:9" x14ac:dyDescent="0.15">
      <c r="A220" s="9">
        <v>219</v>
      </c>
      <c r="B220" s="10" t="s">
        <v>9</v>
      </c>
      <c r="C220" s="10" t="s">
        <v>164</v>
      </c>
      <c r="D220" s="10" t="s">
        <v>165</v>
      </c>
      <c r="E220" s="11" t="str">
        <f>+HYPERLINK("http://trademark.i-assist.jp/data/china/image_1901th/78445649.pdf", "78445649")</f>
        <v>78445649</v>
      </c>
      <c r="F220" s="10" t="s">
        <v>821</v>
      </c>
      <c r="G220" s="10" t="s">
        <v>822</v>
      </c>
      <c r="H220" s="10" t="s">
        <v>823</v>
      </c>
      <c r="I220" s="10" t="s">
        <v>109</v>
      </c>
    </row>
    <row r="221" spans="1:9" x14ac:dyDescent="0.15">
      <c r="A221" s="9">
        <v>220</v>
      </c>
      <c r="B221" s="10" t="s">
        <v>9</v>
      </c>
      <c r="C221" s="10" t="s">
        <v>164</v>
      </c>
      <c r="D221" s="10" t="s">
        <v>165</v>
      </c>
      <c r="E221" s="11" t="str">
        <f>+HYPERLINK("http://trademark.i-assist.jp/data/china/image_1901th/78451304.pdf", "78451304")</f>
        <v>78451304</v>
      </c>
      <c r="F221" s="10" t="s">
        <v>824</v>
      </c>
      <c r="G221" s="10" t="s">
        <v>792</v>
      </c>
      <c r="H221" s="10" t="s">
        <v>825</v>
      </c>
      <c r="I221" s="10" t="s">
        <v>109</v>
      </c>
    </row>
    <row r="222" spans="1:9" x14ac:dyDescent="0.15">
      <c r="A222" s="9">
        <v>221</v>
      </c>
      <c r="B222" s="10" t="s">
        <v>9</v>
      </c>
      <c r="C222" s="10" t="s">
        <v>164</v>
      </c>
      <c r="D222" s="10" t="s">
        <v>165</v>
      </c>
      <c r="E222" s="11" t="str">
        <f>+HYPERLINK("http://trademark.i-assist.jp/data/china/image_1901th/78451651.pdf", "78451651")</f>
        <v>78451651</v>
      </c>
      <c r="F222" s="10" t="s">
        <v>12</v>
      </c>
      <c r="G222" s="10" t="s">
        <v>826</v>
      </c>
      <c r="H222" s="10" t="s">
        <v>827</v>
      </c>
      <c r="I222" s="10" t="s">
        <v>90</v>
      </c>
    </row>
    <row r="223" spans="1:9" x14ac:dyDescent="0.15">
      <c r="A223" s="9">
        <v>222</v>
      </c>
      <c r="B223" s="10" t="s">
        <v>9</v>
      </c>
      <c r="C223" s="10" t="s">
        <v>164</v>
      </c>
      <c r="D223" s="10" t="s">
        <v>165</v>
      </c>
      <c r="E223" s="11" t="str">
        <f>+HYPERLINK("http://trademark.i-assist.jp/data/china/image_1901th/78453734.pdf", "78453734")</f>
        <v>78453734</v>
      </c>
      <c r="F223" s="10" t="s">
        <v>828</v>
      </c>
      <c r="G223" s="10" t="s">
        <v>829</v>
      </c>
      <c r="H223" s="10" t="s">
        <v>830</v>
      </c>
      <c r="I223" s="10" t="s">
        <v>90</v>
      </c>
    </row>
    <row r="224" spans="1:9" x14ac:dyDescent="0.15">
      <c r="A224" s="9">
        <v>223</v>
      </c>
      <c r="B224" s="10" t="s">
        <v>9</v>
      </c>
      <c r="C224" s="10" t="s">
        <v>164</v>
      </c>
      <c r="D224" s="10" t="s">
        <v>165</v>
      </c>
      <c r="E224" s="11" t="str">
        <f>+HYPERLINK("http://trademark.i-assist.jp/data/china/image_1901th/78453775.pdf", "78453775")</f>
        <v>78453775</v>
      </c>
      <c r="F224" s="10" t="s">
        <v>831</v>
      </c>
      <c r="G224" s="10" t="s">
        <v>832</v>
      </c>
      <c r="H224" s="10" t="s">
        <v>833</v>
      </c>
      <c r="I224" s="10" t="s">
        <v>90</v>
      </c>
    </row>
    <row r="225" spans="1:9" x14ac:dyDescent="0.15">
      <c r="A225" s="9">
        <v>224</v>
      </c>
      <c r="B225" s="10" t="s">
        <v>9</v>
      </c>
      <c r="C225" s="10" t="s">
        <v>164</v>
      </c>
      <c r="D225" s="10" t="s">
        <v>165</v>
      </c>
      <c r="E225" s="11" t="str">
        <f>+HYPERLINK("http://trademark.i-assist.jp/data/china/image_1901th/78455089.pdf", "78455089")</f>
        <v>78455089</v>
      </c>
      <c r="F225" s="10" t="s">
        <v>834</v>
      </c>
      <c r="G225" s="10" t="s">
        <v>835</v>
      </c>
      <c r="H225" s="10" t="s">
        <v>836</v>
      </c>
      <c r="I225" s="10" t="s">
        <v>116</v>
      </c>
    </row>
    <row r="226" spans="1:9" x14ac:dyDescent="0.15">
      <c r="A226" s="9">
        <v>225</v>
      </c>
      <c r="B226" s="10" t="s">
        <v>9</v>
      </c>
      <c r="C226" s="10" t="s">
        <v>164</v>
      </c>
      <c r="D226" s="10" t="s">
        <v>165</v>
      </c>
      <c r="E226" s="11" t="str">
        <f>+HYPERLINK("http://trademark.i-assist.jp/data/china/image_1901th/78460240.pdf", "78460240")</f>
        <v>78460240</v>
      </c>
      <c r="F226" s="10" t="s">
        <v>837</v>
      </c>
      <c r="G226" s="10" t="s">
        <v>838</v>
      </c>
      <c r="H226" s="10" t="s">
        <v>839</v>
      </c>
      <c r="I226" s="10" t="s">
        <v>116</v>
      </c>
    </row>
    <row r="227" spans="1:9" x14ac:dyDescent="0.15">
      <c r="A227" s="9">
        <v>226</v>
      </c>
      <c r="B227" s="10" t="s">
        <v>9</v>
      </c>
      <c r="C227" s="10" t="s">
        <v>164</v>
      </c>
      <c r="D227" s="10" t="s">
        <v>165</v>
      </c>
      <c r="E227" s="11" t="str">
        <f>+HYPERLINK("http://trademark.i-assist.jp/data/china/image_1901th/78462386.pdf", "78462386")</f>
        <v>78462386</v>
      </c>
      <c r="F227" s="10" t="s">
        <v>840</v>
      </c>
      <c r="G227" s="10" t="s">
        <v>120</v>
      </c>
      <c r="H227" s="10" t="s">
        <v>19</v>
      </c>
      <c r="I227" s="10" t="s">
        <v>19</v>
      </c>
    </row>
    <row r="228" spans="1:9" x14ac:dyDescent="0.15">
      <c r="A228" s="9">
        <v>227</v>
      </c>
      <c r="B228" s="10" t="s">
        <v>9</v>
      </c>
      <c r="C228" s="10" t="s">
        <v>164</v>
      </c>
      <c r="D228" s="10" t="s">
        <v>165</v>
      </c>
      <c r="E228" s="11" t="str">
        <f>+HYPERLINK("http://trademark.i-assist.jp/data/china/image_1901th/78463243.pdf", "78463243")</f>
        <v>78463243</v>
      </c>
      <c r="F228" s="10" t="s">
        <v>841</v>
      </c>
      <c r="G228" s="10" t="s">
        <v>842</v>
      </c>
      <c r="H228" s="10" t="s">
        <v>843</v>
      </c>
      <c r="I228" s="10" t="s">
        <v>116</v>
      </c>
    </row>
    <row r="229" spans="1:9" x14ac:dyDescent="0.15">
      <c r="A229" s="9">
        <v>228</v>
      </c>
      <c r="B229" s="10" t="s">
        <v>9</v>
      </c>
      <c r="C229" s="10" t="s">
        <v>164</v>
      </c>
      <c r="D229" s="10" t="s">
        <v>165</v>
      </c>
      <c r="E229" s="11" t="str">
        <f>+HYPERLINK("http://trademark.i-assist.jp/data/china/image_1901th/78465005.pdf", "78465005")</f>
        <v>78465005</v>
      </c>
      <c r="F229" s="10" t="s">
        <v>844</v>
      </c>
      <c r="G229" s="10" t="s">
        <v>845</v>
      </c>
      <c r="H229" s="10" t="s">
        <v>846</v>
      </c>
      <c r="I229" s="10" t="s">
        <v>116</v>
      </c>
    </row>
    <row r="230" spans="1:9" x14ac:dyDescent="0.15">
      <c r="A230" s="9">
        <v>229</v>
      </c>
      <c r="B230" s="10" t="s">
        <v>9</v>
      </c>
      <c r="C230" s="10" t="s">
        <v>164</v>
      </c>
      <c r="D230" s="10" t="s">
        <v>165</v>
      </c>
      <c r="E230" s="11" t="str">
        <f>+HYPERLINK("http://trademark.i-assist.jp/data/china/image_1901th/78475495.pdf", "78475495")</f>
        <v>78475495</v>
      </c>
      <c r="F230" s="10" t="s">
        <v>847</v>
      </c>
      <c r="G230" s="10" t="s">
        <v>848</v>
      </c>
      <c r="H230" s="10" t="s">
        <v>849</v>
      </c>
      <c r="I230" s="10" t="s">
        <v>116</v>
      </c>
    </row>
    <row r="231" spans="1:9" x14ac:dyDescent="0.15">
      <c r="A231" s="9">
        <v>230</v>
      </c>
      <c r="B231" s="10" t="s">
        <v>9</v>
      </c>
      <c r="C231" s="10" t="s">
        <v>164</v>
      </c>
      <c r="D231" s="10" t="s">
        <v>165</v>
      </c>
      <c r="E231" s="11" t="str">
        <f>+HYPERLINK("http://trademark.i-assist.jp/data/china/image_1901th/78475608.pdf", "78475608")</f>
        <v>78475608</v>
      </c>
      <c r="F231" s="10" t="s">
        <v>850</v>
      </c>
      <c r="G231" s="10" t="s">
        <v>128</v>
      </c>
      <c r="H231" s="10" t="s">
        <v>851</v>
      </c>
      <c r="I231" s="10" t="s">
        <v>116</v>
      </c>
    </row>
    <row r="232" spans="1:9" x14ac:dyDescent="0.15">
      <c r="A232" s="9">
        <v>231</v>
      </c>
      <c r="B232" s="10" t="s">
        <v>9</v>
      </c>
      <c r="C232" s="10" t="s">
        <v>164</v>
      </c>
      <c r="D232" s="10" t="s">
        <v>165</v>
      </c>
      <c r="E232" s="11" t="str">
        <f>+HYPERLINK("http://trademark.i-assist.jp/data/china/image_1901th/78476422.pdf", "78476422")</f>
        <v>78476422</v>
      </c>
      <c r="F232" s="10" t="s">
        <v>852</v>
      </c>
      <c r="G232" s="10" t="s">
        <v>853</v>
      </c>
      <c r="H232" s="10" t="s">
        <v>854</v>
      </c>
      <c r="I232" s="10" t="s">
        <v>116</v>
      </c>
    </row>
    <row r="233" spans="1:9" x14ac:dyDescent="0.15">
      <c r="A233" s="9">
        <v>232</v>
      </c>
      <c r="B233" s="10" t="s">
        <v>9</v>
      </c>
      <c r="C233" s="10" t="s">
        <v>164</v>
      </c>
      <c r="D233" s="10" t="s">
        <v>165</v>
      </c>
      <c r="E233" s="11" t="str">
        <f>+HYPERLINK("http://trademark.i-assist.jp/data/china/image_1901th/78476447.pdf", "78476447")</f>
        <v>78476447</v>
      </c>
      <c r="F233" s="10" t="s">
        <v>855</v>
      </c>
      <c r="G233" s="10" t="s">
        <v>856</v>
      </c>
      <c r="H233" s="10" t="s">
        <v>857</v>
      </c>
      <c r="I233" s="10" t="s">
        <v>116</v>
      </c>
    </row>
    <row r="234" spans="1:9" x14ac:dyDescent="0.15">
      <c r="A234" s="9">
        <v>233</v>
      </c>
      <c r="B234" s="10" t="s">
        <v>9</v>
      </c>
      <c r="C234" s="10" t="s">
        <v>164</v>
      </c>
      <c r="D234" s="10" t="s">
        <v>165</v>
      </c>
      <c r="E234" s="11" t="str">
        <f>+HYPERLINK("http://trademark.i-assist.jp/data/china/image_1901th/78476854.pdf", "78476854")</f>
        <v>78476854</v>
      </c>
      <c r="F234" s="10" t="s">
        <v>858</v>
      </c>
      <c r="G234" s="10" t="s">
        <v>859</v>
      </c>
      <c r="H234" s="10" t="s">
        <v>860</v>
      </c>
      <c r="I234" s="10" t="s">
        <v>116</v>
      </c>
    </row>
    <row r="235" spans="1:9" x14ac:dyDescent="0.15">
      <c r="A235" s="9">
        <v>234</v>
      </c>
      <c r="B235" s="10" t="s">
        <v>9</v>
      </c>
      <c r="C235" s="10" t="s">
        <v>164</v>
      </c>
      <c r="D235" s="10" t="s">
        <v>165</v>
      </c>
      <c r="E235" s="11" t="str">
        <f>+HYPERLINK("http://trademark.i-assist.jp/data/china/image_1901th/78477177.pdf", "78477177")</f>
        <v>78477177</v>
      </c>
      <c r="F235" s="10" t="s">
        <v>861</v>
      </c>
      <c r="G235" s="10" t="s">
        <v>862</v>
      </c>
      <c r="H235" s="10" t="s">
        <v>863</v>
      </c>
      <c r="I235" s="10" t="s">
        <v>116</v>
      </c>
    </row>
    <row r="236" spans="1:9" x14ac:dyDescent="0.15">
      <c r="A236" s="9">
        <v>235</v>
      </c>
      <c r="B236" s="10" t="s">
        <v>9</v>
      </c>
      <c r="C236" s="10" t="s">
        <v>164</v>
      </c>
      <c r="D236" s="10" t="s">
        <v>165</v>
      </c>
      <c r="E236" s="11" t="str">
        <f>+HYPERLINK("http://trademark.i-assist.jp/data/china/image_1901th/78479064.pdf", "78479064")</f>
        <v>78479064</v>
      </c>
      <c r="F236" s="10" t="s">
        <v>864</v>
      </c>
      <c r="G236" s="10" t="s">
        <v>127</v>
      </c>
      <c r="H236" s="10" t="s">
        <v>865</v>
      </c>
      <c r="I236" s="10" t="s">
        <v>116</v>
      </c>
    </row>
    <row r="237" spans="1:9" x14ac:dyDescent="0.15">
      <c r="A237" s="9">
        <v>236</v>
      </c>
      <c r="B237" s="10" t="s">
        <v>9</v>
      </c>
      <c r="C237" s="10" t="s">
        <v>164</v>
      </c>
      <c r="D237" s="10" t="s">
        <v>165</v>
      </c>
      <c r="E237" s="11" t="str">
        <f>+HYPERLINK("http://trademark.i-assist.jp/data/china/image_1901th/78481525.pdf", "78481525")</f>
        <v>78481525</v>
      </c>
      <c r="F237" s="10" t="s">
        <v>866</v>
      </c>
      <c r="G237" s="10" t="s">
        <v>867</v>
      </c>
      <c r="H237" s="10" t="s">
        <v>334</v>
      </c>
      <c r="I237" s="10" t="s">
        <v>116</v>
      </c>
    </row>
    <row r="238" spans="1:9" x14ac:dyDescent="0.15">
      <c r="A238" s="9">
        <v>237</v>
      </c>
      <c r="B238" s="10" t="s">
        <v>9</v>
      </c>
      <c r="C238" s="10" t="s">
        <v>164</v>
      </c>
      <c r="D238" s="10" t="s">
        <v>165</v>
      </c>
      <c r="E238" s="11" t="str">
        <f>+HYPERLINK("http://trademark.i-assist.jp/data/china/image_1901th/78482117.pdf", "78482117")</f>
        <v>78482117</v>
      </c>
      <c r="F238" s="10" t="s">
        <v>868</v>
      </c>
      <c r="G238" s="10" t="s">
        <v>869</v>
      </c>
      <c r="H238" s="10" t="s">
        <v>870</v>
      </c>
      <c r="I238" s="10" t="s">
        <v>116</v>
      </c>
    </row>
    <row r="239" spans="1:9" x14ac:dyDescent="0.15">
      <c r="A239" s="9">
        <v>238</v>
      </c>
      <c r="B239" s="10" t="s">
        <v>9</v>
      </c>
      <c r="C239" s="10" t="s">
        <v>164</v>
      </c>
      <c r="D239" s="10" t="s">
        <v>165</v>
      </c>
      <c r="E239" s="11" t="str">
        <f>+HYPERLINK("http://trademark.i-assist.jp/data/china/image_1901th/78483551.pdf", "78483551")</f>
        <v>78483551</v>
      </c>
      <c r="F239" s="10" t="s">
        <v>871</v>
      </c>
      <c r="G239" s="10" t="s">
        <v>872</v>
      </c>
      <c r="H239" s="10" t="s">
        <v>873</v>
      </c>
      <c r="I239" s="10" t="s">
        <v>116</v>
      </c>
    </row>
    <row r="240" spans="1:9" x14ac:dyDescent="0.15">
      <c r="A240" s="9">
        <v>239</v>
      </c>
      <c r="B240" s="10" t="s">
        <v>9</v>
      </c>
      <c r="C240" s="10" t="s">
        <v>164</v>
      </c>
      <c r="D240" s="10" t="s">
        <v>165</v>
      </c>
      <c r="E240" s="11" t="str">
        <f>+HYPERLINK("http://trademark.i-assist.jp/data/china/image_1901th/78484058.pdf", "78484058")</f>
        <v>78484058</v>
      </c>
      <c r="F240" s="10" t="s">
        <v>874</v>
      </c>
      <c r="G240" s="10" t="s">
        <v>875</v>
      </c>
      <c r="H240" s="10" t="s">
        <v>876</v>
      </c>
      <c r="I240" s="10" t="s">
        <v>116</v>
      </c>
    </row>
    <row r="241" spans="1:9" x14ac:dyDescent="0.15">
      <c r="A241" s="9">
        <v>240</v>
      </c>
      <c r="B241" s="10" t="s">
        <v>9</v>
      </c>
      <c r="C241" s="10" t="s">
        <v>164</v>
      </c>
      <c r="D241" s="10" t="s">
        <v>165</v>
      </c>
      <c r="E241" s="11" t="str">
        <f>+HYPERLINK("http://trademark.i-assist.jp/data/china/image_1901th/78490172.pdf", "78490172")</f>
        <v>78490172</v>
      </c>
      <c r="F241" s="10" t="s">
        <v>877</v>
      </c>
      <c r="G241" s="10" t="s">
        <v>150</v>
      </c>
      <c r="H241" s="10" t="s">
        <v>878</v>
      </c>
      <c r="I241" s="10" t="s">
        <v>131</v>
      </c>
    </row>
    <row r="242" spans="1:9" x14ac:dyDescent="0.15">
      <c r="A242" s="9">
        <v>241</v>
      </c>
      <c r="B242" s="10" t="s">
        <v>9</v>
      </c>
      <c r="C242" s="10" t="s">
        <v>164</v>
      </c>
      <c r="D242" s="10" t="s">
        <v>165</v>
      </c>
      <c r="E242" s="11" t="str">
        <f>+HYPERLINK("http://trademark.i-assist.jp/data/china/image_1901th/78496197.pdf", "78496197")</f>
        <v>78496197</v>
      </c>
      <c r="F242" s="10" t="s">
        <v>879</v>
      </c>
      <c r="G242" s="10" t="s">
        <v>51</v>
      </c>
      <c r="H242" s="10" t="s">
        <v>880</v>
      </c>
      <c r="I242" s="10" t="s">
        <v>131</v>
      </c>
    </row>
    <row r="243" spans="1:9" x14ac:dyDescent="0.15">
      <c r="A243" s="9">
        <v>242</v>
      </c>
      <c r="B243" s="10" t="s">
        <v>9</v>
      </c>
      <c r="C243" s="10" t="s">
        <v>164</v>
      </c>
      <c r="D243" s="10" t="s">
        <v>165</v>
      </c>
      <c r="E243" s="11" t="str">
        <f>+HYPERLINK("http://trademark.i-assist.jp/data/china/image_1901th/78497657.pdf", "78497657")</f>
        <v>78497657</v>
      </c>
      <c r="F243" s="10" t="s">
        <v>881</v>
      </c>
      <c r="G243" s="10" t="s">
        <v>882</v>
      </c>
      <c r="H243" s="10" t="s">
        <v>883</v>
      </c>
      <c r="I243" s="10" t="s">
        <v>131</v>
      </c>
    </row>
    <row r="244" spans="1:9" x14ac:dyDescent="0.15">
      <c r="A244" s="9">
        <v>243</v>
      </c>
      <c r="B244" s="10" t="s">
        <v>9</v>
      </c>
      <c r="C244" s="10" t="s">
        <v>164</v>
      </c>
      <c r="D244" s="10" t="s">
        <v>165</v>
      </c>
      <c r="E244" s="11" t="str">
        <f>+HYPERLINK("http://trademark.i-assist.jp/data/china/image_1901th/78498025.pdf", "78498025")</f>
        <v>78498025</v>
      </c>
      <c r="F244" s="10" t="s">
        <v>884</v>
      </c>
      <c r="G244" s="10" t="s">
        <v>885</v>
      </c>
      <c r="H244" s="10" t="s">
        <v>886</v>
      </c>
      <c r="I244" s="10" t="s">
        <v>131</v>
      </c>
    </row>
    <row r="245" spans="1:9" x14ac:dyDescent="0.15">
      <c r="A245" s="9">
        <v>244</v>
      </c>
      <c r="B245" s="10" t="s">
        <v>9</v>
      </c>
      <c r="C245" s="10" t="s">
        <v>164</v>
      </c>
      <c r="D245" s="10" t="s">
        <v>165</v>
      </c>
      <c r="E245" s="11" t="str">
        <f>+HYPERLINK("http://trademark.i-assist.jp/data/china/image_1901th/78502903.pdf", "78502903")</f>
        <v>78502903</v>
      </c>
      <c r="F245" s="10" t="s">
        <v>887</v>
      </c>
      <c r="G245" s="10" t="s">
        <v>888</v>
      </c>
      <c r="H245" s="10" t="s">
        <v>889</v>
      </c>
      <c r="I245" s="10" t="s">
        <v>131</v>
      </c>
    </row>
    <row r="246" spans="1:9" x14ac:dyDescent="0.15">
      <c r="A246" s="9">
        <v>245</v>
      </c>
      <c r="B246" s="10" t="s">
        <v>9</v>
      </c>
      <c r="C246" s="10" t="s">
        <v>164</v>
      </c>
      <c r="D246" s="10" t="s">
        <v>165</v>
      </c>
      <c r="E246" s="11" t="str">
        <f>+HYPERLINK("http://trademark.i-assist.jp/data/china/image_1901th/78503840.pdf", "78503840")</f>
        <v>78503840</v>
      </c>
      <c r="F246" s="10" t="s">
        <v>890</v>
      </c>
      <c r="G246" s="10" t="s">
        <v>891</v>
      </c>
      <c r="H246" s="10" t="s">
        <v>892</v>
      </c>
      <c r="I246" s="10" t="s">
        <v>131</v>
      </c>
    </row>
    <row r="247" spans="1:9" x14ac:dyDescent="0.15">
      <c r="A247" s="9">
        <v>246</v>
      </c>
      <c r="B247" s="10" t="s">
        <v>9</v>
      </c>
      <c r="C247" s="10" t="s">
        <v>164</v>
      </c>
      <c r="D247" s="10" t="s">
        <v>165</v>
      </c>
      <c r="E247" s="11" t="str">
        <f>+HYPERLINK("http://trademark.i-assist.jp/data/china/image_1901th/78508688.pdf", "78508688")</f>
        <v>78508688</v>
      </c>
      <c r="F247" s="10" t="s">
        <v>893</v>
      </c>
      <c r="G247" s="10" t="s">
        <v>894</v>
      </c>
      <c r="H247" s="10" t="s">
        <v>895</v>
      </c>
      <c r="I247" s="10" t="s">
        <v>131</v>
      </c>
    </row>
    <row r="248" spans="1:9" x14ac:dyDescent="0.15">
      <c r="A248" s="9">
        <v>247</v>
      </c>
      <c r="B248" s="10" t="s">
        <v>9</v>
      </c>
      <c r="C248" s="10" t="s">
        <v>164</v>
      </c>
      <c r="D248" s="10" t="s">
        <v>165</v>
      </c>
      <c r="E248" s="11" t="str">
        <f>+HYPERLINK("http://trademark.i-assist.jp/data/china/image_1901th/78511115.pdf", "78511115")</f>
        <v>78511115</v>
      </c>
      <c r="F248" s="10" t="s">
        <v>896</v>
      </c>
      <c r="G248" s="10" t="s">
        <v>99</v>
      </c>
      <c r="H248" s="10" t="s">
        <v>897</v>
      </c>
      <c r="I248" s="10" t="s">
        <v>131</v>
      </c>
    </row>
    <row r="249" spans="1:9" x14ac:dyDescent="0.15">
      <c r="A249" s="9">
        <v>248</v>
      </c>
      <c r="B249" s="10" t="s">
        <v>9</v>
      </c>
      <c r="C249" s="10" t="s">
        <v>164</v>
      </c>
      <c r="D249" s="10" t="s">
        <v>165</v>
      </c>
      <c r="E249" s="11" t="str">
        <f>+HYPERLINK("http://trademark.i-assist.jp/data/china/image_1901th/78512486.pdf", "78512486")</f>
        <v>78512486</v>
      </c>
      <c r="F249" s="10" t="s">
        <v>898</v>
      </c>
      <c r="G249" s="10" t="s">
        <v>150</v>
      </c>
      <c r="H249" s="10" t="s">
        <v>899</v>
      </c>
      <c r="I249" s="10" t="s">
        <v>131</v>
      </c>
    </row>
    <row r="250" spans="1:9" x14ac:dyDescent="0.15">
      <c r="A250" s="9">
        <v>249</v>
      </c>
      <c r="B250" s="10" t="s">
        <v>9</v>
      </c>
      <c r="C250" s="10" t="s">
        <v>164</v>
      </c>
      <c r="D250" s="10" t="s">
        <v>165</v>
      </c>
      <c r="E250" s="11" t="str">
        <f>+HYPERLINK("http://trademark.i-assist.jp/data/china/image_1901th/78516088.pdf", "78516088")</f>
        <v>78516088</v>
      </c>
      <c r="F250" s="10" t="s">
        <v>900</v>
      </c>
      <c r="G250" s="10" t="s">
        <v>143</v>
      </c>
      <c r="H250" s="10" t="s">
        <v>901</v>
      </c>
      <c r="I250" s="10" t="s">
        <v>138</v>
      </c>
    </row>
    <row r="251" spans="1:9" x14ac:dyDescent="0.15">
      <c r="A251" s="9">
        <v>250</v>
      </c>
      <c r="B251" s="10" t="s">
        <v>9</v>
      </c>
      <c r="C251" s="10" t="s">
        <v>164</v>
      </c>
      <c r="D251" s="10" t="s">
        <v>165</v>
      </c>
      <c r="E251" s="11" t="str">
        <f>+HYPERLINK("http://trademark.i-assist.jp/data/china/image_1901th/78519931.pdf", "78519931")</f>
        <v>78519931</v>
      </c>
      <c r="F251" s="10" t="s">
        <v>902</v>
      </c>
      <c r="G251" s="10" t="s">
        <v>903</v>
      </c>
      <c r="H251" s="10" t="s">
        <v>904</v>
      </c>
      <c r="I251" s="10" t="s">
        <v>138</v>
      </c>
    </row>
    <row r="252" spans="1:9" x14ac:dyDescent="0.15">
      <c r="A252" s="9">
        <v>251</v>
      </c>
      <c r="B252" s="10" t="s">
        <v>9</v>
      </c>
      <c r="C252" s="10" t="s">
        <v>164</v>
      </c>
      <c r="D252" s="10" t="s">
        <v>165</v>
      </c>
      <c r="E252" s="11" t="str">
        <f>+HYPERLINK("http://trademark.i-assist.jp/data/china/image_1901th/78520552.pdf", "78520552")</f>
        <v>78520552</v>
      </c>
      <c r="F252" s="10" t="s">
        <v>905</v>
      </c>
      <c r="G252" s="10" t="s">
        <v>906</v>
      </c>
      <c r="H252" s="10" t="s">
        <v>907</v>
      </c>
      <c r="I252" s="10" t="s">
        <v>138</v>
      </c>
    </row>
    <row r="253" spans="1:9" x14ac:dyDescent="0.15">
      <c r="A253" s="9">
        <v>252</v>
      </c>
      <c r="B253" s="10" t="s">
        <v>9</v>
      </c>
      <c r="C253" s="10" t="s">
        <v>164</v>
      </c>
      <c r="D253" s="10" t="s">
        <v>165</v>
      </c>
      <c r="E253" s="11" t="str">
        <f>+HYPERLINK("http://trademark.i-assist.jp/data/china/image_1901th/78522885.pdf", "78522885")</f>
        <v>78522885</v>
      </c>
      <c r="F253" s="10" t="s">
        <v>908</v>
      </c>
      <c r="G253" s="10" t="s">
        <v>139</v>
      </c>
      <c r="H253" s="10" t="s">
        <v>909</v>
      </c>
      <c r="I253" s="10" t="s">
        <v>138</v>
      </c>
    </row>
    <row r="254" spans="1:9" x14ac:dyDescent="0.15">
      <c r="A254" s="9">
        <v>253</v>
      </c>
      <c r="B254" s="10" t="s">
        <v>9</v>
      </c>
      <c r="C254" s="10" t="s">
        <v>164</v>
      </c>
      <c r="D254" s="10" t="s">
        <v>165</v>
      </c>
      <c r="E254" s="11" t="str">
        <f>+HYPERLINK("http://trademark.i-assist.jp/data/china/image_1901th/78526697.pdf", "78526697")</f>
        <v>78526697</v>
      </c>
      <c r="F254" s="10" t="s">
        <v>910</v>
      </c>
      <c r="G254" s="10" t="s">
        <v>911</v>
      </c>
      <c r="H254" s="10" t="s">
        <v>912</v>
      </c>
      <c r="I254" s="10" t="s">
        <v>138</v>
      </c>
    </row>
    <row r="255" spans="1:9" x14ac:dyDescent="0.15">
      <c r="A255" s="9">
        <v>254</v>
      </c>
      <c r="B255" s="10" t="s">
        <v>9</v>
      </c>
      <c r="C255" s="10" t="s">
        <v>164</v>
      </c>
      <c r="D255" s="10" t="s">
        <v>165</v>
      </c>
      <c r="E255" s="11" t="str">
        <f>+HYPERLINK("http://trademark.i-assist.jp/data/china/image_1901th/78526710.pdf", "78526710")</f>
        <v>78526710</v>
      </c>
      <c r="F255" s="10" t="s">
        <v>913</v>
      </c>
      <c r="G255" s="10" t="s">
        <v>914</v>
      </c>
      <c r="H255" s="10" t="s">
        <v>915</v>
      </c>
      <c r="I255" s="10" t="s">
        <v>138</v>
      </c>
    </row>
    <row r="256" spans="1:9" x14ac:dyDescent="0.15">
      <c r="A256" s="9">
        <v>255</v>
      </c>
      <c r="B256" s="10" t="s">
        <v>9</v>
      </c>
      <c r="C256" s="10" t="s">
        <v>164</v>
      </c>
      <c r="D256" s="10" t="s">
        <v>165</v>
      </c>
      <c r="E256" s="11" t="str">
        <f>+HYPERLINK("http://trademark.i-assist.jp/data/china/image_1901th/78526966A.pdf", "78526966A")</f>
        <v>78526966A</v>
      </c>
      <c r="F256" s="10" t="s">
        <v>916</v>
      </c>
      <c r="G256" s="10" t="s">
        <v>917</v>
      </c>
      <c r="H256" s="10" t="s">
        <v>918</v>
      </c>
      <c r="I256" s="10" t="s">
        <v>138</v>
      </c>
    </row>
    <row r="257" spans="1:9" x14ac:dyDescent="0.15">
      <c r="A257" s="9">
        <v>256</v>
      </c>
      <c r="B257" s="10" t="s">
        <v>9</v>
      </c>
      <c r="C257" s="10" t="s">
        <v>164</v>
      </c>
      <c r="D257" s="10" t="s">
        <v>165</v>
      </c>
      <c r="E257" s="11" t="str">
        <f>+HYPERLINK("http://trademark.i-assist.jp/data/china/image_1901th/78528225.pdf", "78528225")</f>
        <v>78528225</v>
      </c>
      <c r="F257" s="10" t="s">
        <v>919</v>
      </c>
      <c r="G257" s="10" t="s">
        <v>920</v>
      </c>
      <c r="H257" s="10" t="s">
        <v>921</v>
      </c>
      <c r="I257" s="10" t="s">
        <v>138</v>
      </c>
    </row>
    <row r="258" spans="1:9" x14ac:dyDescent="0.15">
      <c r="A258" s="9">
        <v>257</v>
      </c>
      <c r="B258" s="10" t="s">
        <v>9</v>
      </c>
      <c r="C258" s="10" t="s">
        <v>164</v>
      </c>
      <c r="D258" s="10" t="s">
        <v>165</v>
      </c>
      <c r="E258" s="11" t="str">
        <f>+HYPERLINK("http://trademark.i-assist.jp/data/china/image_1901th/78528278.pdf", "78528278")</f>
        <v>78528278</v>
      </c>
      <c r="F258" s="10" t="s">
        <v>922</v>
      </c>
      <c r="G258" s="10" t="s">
        <v>923</v>
      </c>
      <c r="H258" s="10" t="s">
        <v>924</v>
      </c>
      <c r="I258" s="10" t="s">
        <v>138</v>
      </c>
    </row>
    <row r="259" spans="1:9" x14ac:dyDescent="0.15">
      <c r="A259" s="9">
        <v>258</v>
      </c>
      <c r="B259" s="10" t="s">
        <v>9</v>
      </c>
      <c r="C259" s="10" t="s">
        <v>164</v>
      </c>
      <c r="D259" s="10" t="s">
        <v>165</v>
      </c>
      <c r="E259" s="11" t="str">
        <f>+HYPERLINK("http://trademark.i-assist.jp/data/china/image_1901th/78528962A.pdf", "78528962A")</f>
        <v>78528962A</v>
      </c>
      <c r="F259" s="10" t="s">
        <v>925</v>
      </c>
      <c r="G259" s="10" t="s">
        <v>917</v>
      </c>
      <c r="H259" s="10" t="s">
        <v>926</v>
      </c>
      <c r="I259" s="10" t="s">
        <v>138</v>
      </c>
    </row>
    <row r="260" spans="1:9" x14ac:dyDescent="0.15">
      <c r="A260" s="9">
        <v>259</v>
      </c>
      <c r="B260" s="10" t="s">
        <v>9</v>
      </c>
      <c r="C260" s="10" t="s">
        <v>164</v>
      </c>
      <c r="D260" s="10" t="s">
        <v>165</v>
      </c>
      <c r="E260" s="11" t="str">
        <f>+HYPERLINK("http://trademark.i-assist.jp/data/china/image_1901th/78529257.pdf", "78529257")</f>
        <v>78529257</v>
      </c>
      <c r="F260" s="10" t="s">
        <v>927</v>
      </c>
      <c r="G260" s="10" t="s">
        <v>928</v>
      </c>
      <c r="H260" s="10" t="s">
        <v>929</v>
      </c>
      <c r="I260" s="10" t="s">
        <v>138</v>
      </c>
    </row>
    <row r="261" spans="1:9" x14ac:dyDescent="0.15">
      <c r="A261" s="9">
        <v>260</v>
      </c>
      <c r="B261" s="10" t="s">
        <v>9</v>
      </c>
      <c r="C261" s="10" t="s">
        <v>164</v>
      </c>
      <c r="D261" s="10" t="s">
        <v>165</v>
      </c>
      <c r="E261" s="11" t="str">
        <f>+HYPERLINK("http://trademark.i-assist.jp/data/china/image_1901th/78529689.pdf", "78529689")</f>
        <v>78529689</v>
      </c>
      <c r="F261" s="10" t="s">
        <v>12</v>
      </c>
      <c r="G261" s="10" t="s">
        <v>930</v>
      </c>
      <c r="H261" s="10" t="s">
        <v>931</v>
      </c>
      <c r="I261" s="10" t="s">
        <v>138</v>
      </c>
    </row>
    <row r="262" spans="1:9" x14ac:dyDescent="0.15">
      <c r="A262" s="9">
        <v>261</v>
      </c>
      <c r="B262" s="10" t="s">
        <v>9</v>
      </c>
      <c r="C262" s="10" t="s">
        <v>164</v>
      </c>
      <c r="D262" s="10" t="s">
        <v>165</v>
      </c>
      <c r="E262" s="11" t="str">
        <f>+HYPERLINK("http://trademark.i-assist.jp/data/china/image_1901th/78530612.pdf", "78530612")</f>
        <v>78530612</v>
      </c>
      <c r="F262" s="10" t="s">
        <v>932</v>
      </c>
      <c r="G262" s="10" t="s">
        <v>933</v>
      </c>
      <c r="H262" s="10" t="s">
        <v>934</v>
      </c>
      <c r="I262" s="10" t="s">
        <v>138</v>
      </c>
    </row>
    <row r="263" spans="1:9" x14ac:dyDescent="0.15">
      <c r="A263" s="9">
        <v>262</v>
      </c>
      <c r="B263" s="10" t="s">
        <v>9</v>
      </c>
      <c r="C263" s="10" t="s">
        <v>164</v>
      </c>
      <c r="D263" s="10" t="s">
        <v>165</v>
      </c>
      <c r="E263" s="11" t="str">
        <f>+HYPERLINK("http://trademark.i-assist.jp/data/china/image_1901th/78530716.pdf", "78530716")</f>
        <v>78530716</v>
      </c>
      <c r="F263" s="10" t="s">
        <v>935</v>
      </c>
      <c r="G263" s="10" t="s">
        <v>136</v>
      </c>
      <c r="H263" s="10" t="s">
        <v>936</v>
      </c>
      <c r="I263" s="10" t="s">
        <v>138</v>
      </c>
    </row>
    <row r="264" spans="1:9" x14ac:dyDescent="0.15">
      <c r="A264" s="9">
        <v>263</v>
      </c>
      <c r="B264" s="10" t="s">
        <v>9</v>
      </c>
      <c r="C264" s="10" t="s">
        <v>164</v>
      </c>
      <c r="D264" s="10" t="s">
        <v>165</v>
      </c>
      <c r="E264" s="11" t="str">
        <f>+HYPERLINK("http://trademark.i-assist.jp/data/china/image_1901th/78532397.pdf", "78532397")</f>
        <v>78532397</v>
      </c>
      <c r="F264" s="10" t="s">
        <v>937</v>
      </c>
      <c r="G264" s="10" t="s">
        <v>917</v>
      </c>
      <c r="H264" s="10" t="s">
        <v>938</v>
      </c>
      <c r="I264" s="10" t="s">
        <v>138</v>
      </c>
    </row>
    <row r="265" spans="1:9" x14ac:dyDescent="0.15">
      <c r="A265" s="9">
        <v>264</v>
      </c>
      <c r="B265" s="10" t="s">
        <v>9</v>
      </c>
      <c r="C265" s="10" t="s">
        <v>164</v>
      </c>
      <c r="D265" s="10" t="s">
        <v>165</v>
      </c>
      <c r="E265" s="11" t="str">
        <f>+HYPERLINK("http://trademark.i-assist.jp/data/china/image_1901th/78533408.pdf", "78533408")</f>
        <v>78533408</v>
      </c>
      <c r="F265" s="10" t="s">
        <v>12</v>
      </c>
      <c r="G265" s="10" t="s">
        <v>939</v>
      </c>
      <c r="H265" s="10" t="s">
        <v>940</v>
      </c>
      <c r="I265" s="10" t="s">
        <v>138</v>
      </c>
    </row>
    <row r="266" spans="1:9" x14ac:dyDescent="0.15">
      <c r="A266" s="9">
        <v>265</v>
      </c>
      <c r="B266" s="10" t="s">
        <v>9</v>
      </c>
      <c r="C266" s="10" t="s">
        <v>164</v>
      </c>
      <c r="D266" s="10" t="s">
        <v>165</v>
      </c>
      <c r="E266" s="11" t="str">
        <f>+HYPERLINK("http://trademark.i-assist.jp/data/china/image_1901th/78533764.pdf", "78533764")</f>
        <v>78533764</v>
      </c>
      <c r="F266" s="10" t="s">
        <v>941</v>
      </c>
      <c r="G266" s="10" t="s">
        <v>62</v>
      </c>
      <c r="H266" s="10" t="s">
        <v>942</v>
      </c>
      <c r="I266" s="10" t="s">
        <v>138</v>
      </c>
    </row>
    <row r="267" spans="1:9" x14ac:dyDescent="0.15">
      <c r="A267" s="9">
        <v>266</v>
      </c>
      <c r="B267" s="10" t="s">
        <v>9</v>
      </c>
      <c r="C267" s="10" t="s">
        <v>164</v>
      </c>
      <c r="D267" s="10" t="s">
        <v>165</v>
      </c>
      <c r="E267" s="11" t="str">
        <f>+HYPERLINK("http://trademark.i-assist.jp/data/china/image_1901th/78534365.pdf", "78534365")</f>
        <v>78534365</v>
      </c>
      <c r="F267" s="10" t="s">
        <v>943</v>
      </c>
      <c r="G267" s="10" t="s">
        <v>944</v>
      </c>
      <c r="H267" s="10" t="s">
        <v>945</v>
      </c>
      <c r="I267" s="10" t="s">
        <v>138</v>
      </c>
    </row>
    <row r="268" spans="1:9" x14ac:dyDescent="0.15">
      <c r="A268" s="9">
        <v>267</v>
      </c>
      <c r="B268" s="10" t="s">
        <v>9</v>
      </c>
      <c r="C268" s="10" t="s">
        <v>164</v>
      </c>
      <c r="D268" s="10" t="s">
        <v>165</v>
      </c>
      <c r="E268" s="11" t="str">
        <f>+HYPERLINK("http://trademark.i-assist.jp/data/china/image_1901th/78534408.pdf", "78534408")</f>
        <v>78534408</v>
      </c>
      <c r="F268" s="10" t="s">
        <v>946</v>
      </c>
      <c r="G268" s="10" t="s">
        <v>947</v>
      </c>
      <c r="H268" s="10" t="s">
        <v>948</v>
      </c>
      <c r="I268" s="10" t="s">
        <v>138</v>
      </c>
    </row>
    <row r="269" spans="1:9" x14ac:dyDescent="0.15">
      <c r="A269" s="9">
        <v>268</v>
      </c>
      <c r="B269" s="10" t="s">
        <v>9</v>
      </c>
      <c r="C269" s="10" t="s">
        <v>164</v>
      </c>
      <c r="D269" s="10" t="s">
        <v>165</v>
      </c>
      <c r="E269" s="11" t="str">
        <f>+HYPERLINK("http://trademark.i-assist.jp/data/china/image_1901th/78535580.pdf", "78535580")</f>
        <v>78535580</v>
      </c>
      <c r="F269" s="10" t="s">
        <v>949</v>
      </c>
      <c r="G269" s="10" t="s">
        <v>947</v>
      </c>
      <c r="H269" s="10" t="s">
        <v>950</v>
      </c>
      <c r="I269" s="10" t="s">
        <v>138</v>
      </c>
    </row>
    <row r="270" spans="1:9" x14ac:dyDescent="0.15">
      <c r="A270" s="9">
        <v>269</v>
      </c>
      <c r="B270" s="10" t="s">
        <v>9</v>
      </c>
      <c r="C270" s="10" t="s">
        <v>164</v>
      </c>
      <c r="D270" s="10" t="s">
        <v>165</v>
      </c>
      <c r="E270" s="11" t="str">
        <f>+HYPERLINK("http://trademark.i-assist.jp/data/china/image_1901th/78535617.pdf", "78535617")</f>
        <v>78535617</v>
      </c>
      <c r="F270" s="10" t="s">
        <v>951</v>
      </c>
      <c r="G270" s="10" t="s">
        <v>952</v>
      </c>
      <c r="H270" s="10" t="s">
        <v>953</v>
      </c>
      <c r="I270" s="10" t="s">
        <v>138</v>
      </c>
    </row>
    <row r="271" spans="1:9" x14ac:dyDescent="0.15">
      <c r="A271" s="9">
        <v>270</v>
      </c>
      <c r="B271" s="10" t="s">
        <v>9</v>
      </c>
      <c r="C271" s="10" t="s">
        <v>164</v>
      </c>
      <c r="D271" s="10" t="s">
        <v>165</v>
      </c>
      <c r="E271" s="11" t="str">
        <f>+HYPERLINK("http://trademark.i-assist.jp/data/china/image_1901th/78535643.pdf", "78535643")</f>
        <v>78535643</v>
      </c>
      <c r="F271" s="10" t="s">
        <v>954</v>
      </c>
      <c r="G271" s="10" t="s">
        <v>955</v>
      </c>
      <c r="H271" s="10" t="s">
        <v>956</v>
      </c>
      <c r="I271" s="10" t="s">
        <v>138</v>
      </c>
    </row>
    <row r="272" spans="1:9" x14ac:dyDescent="0.15">
      <c r="A272" s="9">
        <v>271</v>
      </c>
      <c r="B272" s="10" t="s">
        <v>9</v>
      </c>
      <c r="C272" s="10" t="s">
        <v>164</v>
      </c>
      <c r="D272" s="10" t="s">
        <v>165</v>
      </c>
      <c r="E272" s="11" t="str">
        <f>+HYPERLINK("http://trademark.i-assist.jp/data/china/image_1901th/78536105.pdf", "78536105")</f>
        <v>78536105</v>
      </c>
      <c r="F272" s="10" t="s">
        <v>957</v>
      </c>
      <c r="G272" s="10" t="s">
        <v>958</v>
      </c>
      <c r="H272" s="10" t="s">
        <v>959</v>
      </c>
      <c r="I272" s="10" t="s">
        <v>138</v>
      </c>
    </row>
    <row r="273" spans="1:9" x14ac:dyDescent="0.15">
      <c r="A273" s="9">
        <v>272</v>
      </c>
      <c r="B273" s="10" t="s">
        <v>9</v>
      </c>
      <c r="C273" s="10" t="s">
        <v>164</v>
      </c>
      <c r="D273" s="10" t="s">
        <v>165</v>
      </c>
      <c r="E273" s="11" t="str">
        <f>+HYPERLINK("http://trademark.i-assist.jp/data/china/image_1901th/78536120.pdf", "78536120")</f>
        <v>78536120</v>
      </c>
      <c r="F273" s="10" t="s">
        <v>960</v>
      </c>
      <c r="G273" s="10" t="s">
        <v>961</v>
      </c>
      <c r="H273" s="10" t="s">
        <v>962</v>
      </c>
      <c r="I273" s="10" t="s">
        <v>138</v>
      </c>
    </row>
    <row r="274" spans="1:9" x14ac:dyDescent="0.15">
      <c r="A274" s="9">
        <v>273</v>
      </c>
      <c r="B274" s="10" t="s">
        <v>9</v>
      </c>
      <c r="C274" s="10" t="s">
        <v>164</v>
      </c>
      <c r="D274" s="10" t="s">
        <v>165</v>
      </c>
      <c r="E274" s="11" t="str">
        <f>+HYPERLINK("http://trademark.i-assist.jp/data/china/image_1901th/78536923.pdf", "78536923")</f>
        <v>78536923</v>
      </c>
      <c r="F274" s="10" t="s">
        <v>963</v>
      </c>
      <c r="G274" s="10" t="s">
        <v>964</v>
      </c>
      <c r="H274" s="10" t="s">
        <v>27</v>
      </c>
      <c r="I274" s="10" t="s">
        <v>146</v>
      </c>
    </row>
    <row r="275" spans="1:9" x14ac:dyDescent="0.15">
      <c r="A275" s="9">
        <v>274</v>
      </c>
      <c r="B275" s="10" t="s">
        <v>9</v>
      </c>
      <c r="C275" s="10" t="s">
        <v>164</v>
      </c>
      <c r="D275" s="10" t="s">
        <v>165</v>
      </c>
      <c r="E275" s="11" t="str">
        <f>+HYPERLINK("http://trademark.i-assist.jp/data/china/image_1901th/78541794.pdf", "78541794")</f>
        <v>78541794</v>
      </c>
      <c r="F275" s="10" t="s">
        <v>965</v>
      </c>
      <c r="G275" s="10" t="s">
        <v>966</v>
      </c>
      <c r="H275" s="10" t="s">
        <v>967</v>
      </c>
      <c r="I275" s="10" t="s">
        <v>147</v>
      </c>
    </row>
    <row r="276" spans="1:9" x14ac:dyDescent="0.15">
      <c r="A276" s="9">
        <v>275</v>
      </c>
      <c r="B276" s="10" t="s">
        <v>9</v>
      </c>
      <c r="C276" s="10" t="s">
        <v>164</v>
      </c>
      <c r="D276" s="10" t="s">
        <v>165</v>
      </c>
      <c r="E276" s="11" t="str">
        <f>+HYPERLINK("http://trademark.i-assist.jp/data/china/image_1901th/78541905.pdf", "78541905")</f>
        <v>78541905</v>
      </c>
      <c r="F276" s="10" t="s">
        <v>968</v>
      </c>
      <c r="G276" s="10" t="s">
        <v>969</v>
      </c>
      <c r="H276" s="10" t="s">
        <v>970</v>
      </c>
      <c r="I276" s="10" t="s">
        <v>147</v>
      </c>
    </row>
    <row r="277" spans="1:9" x14ac:dyDescent="0.15">
      <c r="A277" s="9">
        <v>276</v>
      </c>
      <c r="B277" s="10" t="s">
        <v>9</v>
      </c>
      <c r="C277" s="10" t="s">
        <v>164</v>
      </c>
      <c r="D277" s="10" t="s">
        <v>165</v>
      </c>
      <c r="E277" s="11" t="str">
        <f>+HYPERLINK("http://trademark.i-assist.jp/data/china/image_1901th/78542787.pdf", "78542787")</f>
        <v>78542787</v>
      </c>
      <c r="F277" s="10" t="s">
        <v>971</v>
      </c>
      <c r="G277" s="10" t="s">
        <v>972</v>
      </c>
      <c r="H277" s="10" t="s">
        <v>973</v>
      </c>
      <c r="I277" s="10" t="s">
        <v>147</v>
      </c>
    </row>
    <row r="278" spans="1:9" x14ac:dyDescent="0.15">
      <c r="A278" s="9">
        <v>277</v>
      </c>
      <c r="B278" s="10" t="s">
        <v>9</v>
      </c>
      <c r="C278" s="10" t="s">
        <v>164</v>
      </c>
      <c r="D278" s="10" t="s">
        <v>165</v>
      </c>
      <c r="E278" s="11" t="str">
        <f>+HYPERLINK("http://trademark.i-assist.jp/data/china/image_1901th/78546812.pdf", "78546812")</f>
        <v>78546812</v>
      </c>
      <c r="F278" s="10" t="s">
        <v>974</v>
      </c>
      <c r="G278" s="10" t="s">
        <v>975</v>
      </c>
      <c r="H278" s="10" t="s">
        <v>976</v>
      </c>
      <c r="I278" s="10" t="s">
        <v>147</v>
      </c>
    </row>
    <row r="279" spans="1:9" x14ac:dyDescent="0.15">
      <c r="A279" s="9">
        <v>278</v>
      </c>
      <c r="B279" s="10" t="s">
        <v>9</v>
      </c>
      <c r="C279" s="10" t="s">
        <v>164</v>
      </c>
      <c r="D279" s="10" t="s">
        <v>165</v>
      </c>
      <c r="E279" s="11" t="str">
        <f>+HYPERLINK("http://trademark.i-assist.jp/data/china/image_1901th/78546838.pdf", "78546838")</f>
        <v>78546838</v>
      </c>
      <c r="F279" s="10" t="s">
        <v>977</v>
      </c>
      <c r="G279" s="10" t="s">
        <v>978</v>
      </c>
      <c r="H279" s="10" t="s">
        <v>979</v>
      </c>
      <c r="I279" s="10" t="s">
        <v>147</v>
      </c>
    </row>
    <row r="280" spans="1:9" x14ac:dyDescent="0.15">
      <c r="A280" s="9">
        <v>279</v>
      </c>
      <c r="B280" s="10" t="s">
        <v>9</v>
      </c>
      <c r="C280" s="10" t="s">
        <v>164</v>
      </c>
      <c r="D280" s="10" t="s">
        <v>165</v>
      </c>
      <c r="E280" s="11" t="str">
        <f>+HYPERLINK("http://trademark.i-assist.jp/data/china/image_1901th/78547320.pdf", "78547320")</f>
        <v>78547320</v>
      </c>
      <c r="F280" s="10" t="s">
        <v>980</v>
      </c>
      <c r="G280" s="10" t="s">
        <v>981</v>
      </c>
      <c r="H280" s="10" t="s">
        <v>982</v>
      </c>
      <c r="I280" s="10" t="s">
        <v>147</v>
      </c>
    </row>
    <row r="281" spans="1:9" x14ac:dyDescent="0.15">
      <c r="A281" s="9">
        <v>280</v>
      </c>
      <c r="B281" s="10" t="s">
        <v>9</v>
      </c>
      <c r="C281" s="10" t="s">
        <v>164</v>
      </c>
      <c r="D281" s="10" t="s">
        <v>165</v>
      </c>
      <c r="E281" s="11" t="str">
        <f>+HYPERLINK("http://trademark.i-assist.jp/data/china/image_1901th/78549333.pdf", "78549333")</f>
        <v>78549333</v>
      </c>
      <c r="F281" s="10" t="s">
        <v>983</v>
      </c>
      <c r="G281" s="10" t="s">
        <v>984</v>
      </c>
      <c r="H281" s="10" t="s">
        <v>985</v>
      </c>
      <c r="I281" s="10" t="s">
        <v>147</v>
      </c>
    </row>
    <row r="282" spans="1:9" x14ac:dyDescent="0.15">
      <c r="A282" s="9">
        <v>281</v>
      </c>
      <c r="B282" s="10" t="s">
        <v>9</v>
      </c>
      <c r="C282" s="10" t="s">
        <v>164</v>
      </c>
      <c r="D282" s="10" t="s">
        <v>165</v>
      </c>
      <c r="E282" s="11" t="str">
        <f>+HYPERLINK("http://trademark.i-assist.jp/data/china/image_1901th/78549760.pdf", "78549760")</f>
        <v>78549760</v>
      </c>
      <c r="F282" s="10" t="s">
        <v>986</v>
      </c>
      <c r="G282" s="10" t="s">
        <v>987</v>
      </c>
      <c r="H282" s="10" t="s">
        <v>988</v>
      </c>
      <c r="I282" s="10" t="s">
        <v>147</v>
      </c>
    </row>
    <row r="283" spans="1:9" x14ac:dyDescent="0.15">
      <c r="A283" s="9">
        <v>282</v>
      </c>
      <c r="B283" s="10" t="s">
        <v>9</v>
      </c>
      <c r="C283" s="10" t="s">
        <v>164</v>
      </c>
      <c r="D283" s="10" t="s">
        <v>165</v>
      </c>
      <c r="E283" s="11" t="str">
        <f>+HYPERLINK("http://trademark.i-assist.jp/data/china/image_1901th/78550035.pdf", "78550035")</f>
        <v>78550035</v>
      </c>
      <c r="F283" s="10" t="s">
        <v>989</v>
      </c>
      <c r="G283" s="10" t="s">
        <v>990</v>
      </c>
      <c r="H283" s="10" t="s">
        <v>991</v>
      </c>
      <c r="I283" s="10" t="s">
        <v>147</v>
      </c>
    </row>
    <row r="284" spans="1:9" x14ac:dyDescent="0.15">
      <c r="A284" s="9">
        <v>283</v>
      </c>
      <c r="B284" s="10" t="s">
        <v>9</v>
      </c>
      <c r="C284" s="10" t="s">
        <v>164</v>
      </c>
      <c r="D284" s="10" t="s">
        <v>165</v>
      </c>
      <c r="E284" s="11" t="str">
        <f>+HYPERLINK("http://trademark.i-assist.jp/data/china/image_1901th/78552448.pdf", "78552448")</f>
        <v>78552448</v>
      </c>
      <c r="F284" s="10" t="s">
        <v>992</v>
      </c>
      <c r="G284" s="10" t="s">
        <v>993</v>
      </c>
      <c r="H284" s="10" t="s">
        <v>994</v>
      </c>
      <c r="I284" s="10" t="s">
        <v>147</v>
      </c>
    </row>
    <row r="285" spans="1:9" x14ac:dyDescent="0.15">
      <c r="A285" s="9">
        <v>284</v>
      </c>
      <c r="B285" s="10" t="s">
        <v>9</v>
      </c>
      <c r="C285" s="10" t="s">
        <v>164</v>
      </c>
      <c r="D285" s="10" t="s">
        <v>165</v>
      </c>
      <c r="E285" s="11" t="str">
        <f>+HYPERLINK("http://trademark.i-assist.jp/data/china/image_1901th/78552485.pdf", "78552485")</f>
        <v>78552485</v>
      </c>
      <c r="F285" s="10" t="s">
        <v>995</v>
      </c>
      <c r="G285" s="10" t="s">
        <v>996</v>
      </c>
      <c r="H285" s="10" t="s">
        <v>997</v>
      </c>
      <c r="I285" s="10" t="s">
        <v>147</v>
      </c>
    </row>
    <row r="286" spans="1:9" x14ac:dyDescent="0.15">
      <c r="A286" s="9">
        <v>285</v>
      </c>
      <c r="B286" s="10" t="s">
        <v>9</v>
      </c>
      <c r="C286" s="10" t="s">
        <v>164</v>
      </c>
      <c r="D286" s="10" t="s">
        <v>165</v>
      </c>
      <c r="E286" s="11" t="str">
        <f>+HYPERLINK("http://trademark.i-assist.jp/data/china/image_1901th/78553832.pdf", "78553832")</f>
        <v>78553832</v>
      </c>
      <c r="F286" s="10" t="s">
        <v>12</v>
      </c>
      <c r="G286" s="10" t="s">
        <v>998</v>
      </c>
      <c r="H286" s="10" t="s">
        <v>999</v>
      </c>
      <c r="I286" s="10" t="s">
        <v>147</v>
      </c>
    </row>
    <row r="287" spans="1:9" x14ac:dyDescent="0.15">
      <c r="A287" s="9">
        <v>286</v>
      </c>
      <c r="B287" s="10" t="s">
        <v>9</v>
      </c>
      <c r="C287" s="10" t="s">
        <v>164</v>
      </c>
      <c r="D287" s="10" t="s">
        <v>165</v>
      </c>
      <c r="E287" s="11" t="str">
        <f>+HYPERLINK("http://trademark.i-assist.jp/data/china/image_1901th/78553931.pdf", "78553931")</f>
        <v>78553931</v>
      </c>
      <c r="F287" s="10" t="s">
        <v>1000</v>
      </c>
      <c r="G287" s="10" t="s">
        <v>1001</v>
      </c>
      <c r="H287" s="10" t="s">
        <v>1002</v>
      </c>
      <c r="I287" s="10" t="s">
        <v>147</v>
      </c>
    </row>
    <row r="288" spans="1:9" x14ac:dyDescent="0.15">
      <c r="A288" s="9">
        <v>287</v>
      </c>
      <c r="B288" s="10" t="s">
        <v>9</v>
      </c>
      <c r="C288" s="10" t="s">
        <v>164</v>
      </c>
      <c r="D288" s="10" t="s">
        <v>165</v>
      </c>
      <c r="E288" s="11" t="str">
        <f>+HYPERLINK("http://trademark.i-assist.jp/data/china/image_1901th/78554742.pdf", "78554742")</f>
        <v>78554742</v>
      </c>
      <c r="F288" s="10" t="s">
        <v>1003</v>
      </c>
      <c r="G288" s="10" t="s">
        <v>1004</v>
      </c>
      <c r="H288" s="10" t="s">
        <v>1005</v>
      </c>
      <c r="I288" s="10" t="s">
        <v>147</v>
      </c>
    </row>
    <row r="289" spans="1:9" x14ac:dyDescent="0.15">
      <c r="A289" s="9">
        <v>288</v>
      </c>
      <c r="B289" s="10" t="s">
        <v>9</v>
      </c>
      <c r="C289" s="10" t="s">
        <v>164</v>
      </c>
      <c r="D289" s="10" t="s">
        <v>165</v>
      </c>
      <c r="E289" s="11" t="str">
        <f>+HYPERLINK("http://trademark.i-assist.jp/data/china/image_1901th/78556824.pdf", "78556824")</f>
        <v>78556824</v>
      </c>
      <c r="F289" s="10" t="s">
        <v>1006</v>
      </c>
      <c r="G289" s="10" t="s">
        <v>1007</v>
      </c>
      <c r="H289" s="10" t="s">
        <v>1008</v>
      </c>
      <c r="I289" s="10" t="s">
        <v>147</v>
      </c>
    </row>
    <row r="290" spans="1:9" x14ac:dyDescent="0.15">
      <c r="A290" s="9">
        <v>289</v>
      </c>
      <c r="B290" s="10" t="s">
        <v>9</v>
      </c>
      <c r="C290" s="10" t="s">
        <v>164</v>
      </c>
      <c r="D290" s="10" t="s">
        <v>165</v>
      </c>
      <c r="E290" s="11" t="str">
        <f>+HYPERLINK("http://trademark.i-assist.jp/data/china/image_1901th/78558725.pdf", "78558725")</f>
        <v>78558725</v>
      </c>
      <c r="F290" s="10" t="s">
        <v>1009</v>
      </c>
      <c r="G290" s="10" t="s">
        <v>159</v>
      </c>
      <c r="H290" s="10" t="s">
        <v>1010</v>
      </c>
      <c r="I290" s="10" t="s">
        <v>147</v>
      </c>
    </row>
    <row r="291" spans="1:9" x14ac:dyDescent="0.15">
      <c r="A291" s="9">
        <v>290</v>
      </c>
      <c r="B291" s="10" t="s">
        <v>9</v>
      </c>
      <c r="C291" s="10" t="s">
        <v>164</v>
      </c>
      <c r="D291" s="10" t="s">
        <v>165</v>
      </c>
      <c r="E291" s="11" t="str">
        <f>+HYPERLINK("http://trademark.i-assist.jp/data/china/image_1901th/78559080.pdf", "78559080")</f>
        <v>78559080</v>
      </c>
      <c r="F291" s="10" t="s">
        <v>1011</v>
      </c>
      <c r="G291" s="10" t="s">
        <v>1012</v>
      </c>
      <c r="H291" s="10" t="s">
        <v>1013</v>
      </c>
      <c r="I291" s="10" t="s">
        <v>147</v>
      </c>
    </row>
    <row r="292" spans="1:9" x14ac:dyDescent="0.15">
      <c r="A292" s="9">
        <v>291</v>
      </c>
      <c r="B292" s="10" t="s">
        <v>9</v>
      </c>
      <c r="C292" s="10" t="s">
        <v>164</v>
      </c>
      <c r="D292" s="10" t="s">
        <v>165</v>
      </c>
      <c r="E292" s="11" t="str">
        <f>+HYPERLINK("http://trademark.i-assist.jp/data/china/image_1901th/78559753.pdf", "78559753")</f>
        <v>78559753</v>
      </c>
      <c r="F292" s="10" t="s">
        <v>1014</v>
      </c>
      <c r="G292" s="10" t="s">
        <v>1015</v>
      </c>
      <c r="H292" s="10" t="s">
        <v>1016</v>
      </c>
      <c r="I292" s="10" t="s">
        <v>147</v>
      </c>
    </row>
    <row r="293" spans="1:9" x14ac:dyDescent="0.15">
      <c r="A293" s="9">
        <v>292</v>
      </c>
      <c r="B293" s="10" t="s">
        <v>9</v>
      </c>
      <c r="C293" s="10" t="s">
        <v>164</v>
      </c>
      <c r="D293" s="10" t="s">
        <v>165</v>
      </c>
      <c r="E293" s="11" t="str">
        <f>+HYPERLINK("http://trademark.i-assist.jp/data/china/image_1901th/78559984.pdf", "78559984")</f>
        <v>78559984</v>
      </c>
      <c r="F293" s="10" t="s">
        <v>1017</v>
      </c>
      <c r="G293" s="10" t="s">
        <v>996</v>
      </c>
      <c r="H293" s="10" t="s">
        <v>1018</v>
      </c>
      <c r="I293" s="10" t="s">
        <v>147</v>
      </c>
    </row>
    <row r="294" spans="1:9" x14ac:dyDescent="0.15">
      <c r="A294" s="9">
        <v>293</v>
      </c>
      <c r="B294" s="10" t="s">
        <v>9</v>
      </c>
      <c r="C294" s="10" t="s">
        <v>164</v>
      </c>
      <c r="D294" s="10" t="s">
        <v>165</v>
      </c>
      <c r="E294" s="11" t="str">
        <f>+HYPERLINK("http://trademark.i-assist.jp/data/china/image_1901th/78563306.pdf", "78563306")</f>
        <v>78563306</v>
      </c>
      <c r="F294" s="10" t="s">
        <v>1019</v>
      </c>
      <c r="G294" s="10" t="s">
        <v>1020</v>
      </c>
      <c r="H294" s="10" t="s">
        <v>1021</v>
      </c>
      <c r="I294" s="10" t="s">
        <v>147</v>
      </c>
    </row>
    <row r="295" spans="1:9" x14ac:dyDescent="0.15">
      <c r="A295" s="9">
        <v>294</v>
      </c>
      <c r="B295" s="10" t="s">
        <v>9</v>
      </c>
      <c r="C295" s="10" t="s">
        <v>164</v>
      </c>
      <c r="D295" s="10" t="s">
        <v>165</v>
      </c>
      <c r="E295" s="11" t="str">
        <f>+HYPERLINK("http://trademark.i-assist.jp/data/china/image_1901th/78566920.pdf", "78566920")</f>
        <v>78566920</v>
      </c>
      <c r="F295" s="10" t="s">
        <v>12</v>
      </c>
      <c r="G295" s="10" t="s">
        <v>1022</v>
      </c>
      <c r="H295" s="10" t="s">
        <v>1023</v>
      </c>
      <c r="I295" s="10" t="s">
        <v>147</v>
      </c>
    </row>
    <row r="296" spans="1:9" x14ac:dyDescent="0.15">
      <c r="A296" s="9">
        <v>295</v>
      </c>
      <c r="B296" s="10" t="s">
        <v>9</v>
      </c>
      <c r="C296" s="10" t="s">
        <v>164</v>
      </c>
      <c r="D296" s="10" t="s">
        <v>165</v>
      </c>
      <c r="E296" s="11" t="str">
        <f>+HYPERLINK("http://trademark.i-assist.jp/data/china/image_1901th/78567426.pdf", "78567426")</f>
        <v>78567426</v>
      </c>
      <c r="F296" s="10" t="s">
        <v>1024</v>
      </c>
      <c r="G296" s="10" t="s">
        <v>1025</v>
      </c>
      <c r="H296" s="10" t="s">
        <v>1026</v>
      </c>
      <c r="I296" s="10" t="s">
        <v>147</v>
      </c>
    </row>
    <row r="297" spans="1:9" x14ac:dyDescent="0.15">
      <c r="A297" s="9">
        <v>296</v>
      </c>
      <c r="B297" s="10" t="s">
        <v>9</v>
      </c>
      <c r="C297" s="10" t="s">
        <v>164</v>
      </c>
      <c r="D297" s="10" t="s">
        <v>165</v>
      </c>
      <c r="E297" s="11" t="str">
        <f>+HYPERLINK("http://trademark.i-assist.jp/data/china/image_1901th/78568492.pdf", "78568492")</f>
        <v>78568492</v>
      </c>
      <c r="F297" s="10" t="s">
        <v>1027</v>
      </c>
      <c r="G297" s="10" t="s">
        <v>1028</v>
      </c>
      <c r="H297" s="10" t="s">
        <v>1029</v>
      </c>
      <c r="I297" s="10" t="s">
        <v>147</v>
      </c>
    </row>
    <row r="298" spans="1:9" x14ac:dyDescent="0.15">
      <c r="A298" s="9">
        <v>297</v>
      </c>
      <c r="B298" s="10" t="s">
        <v>9</v>
      </c>
      <c r="C298" s="10" t="s">
        <v>164</v>
      </c>
      <c r="D298" s="10" t="s">
        <v>165</v>
      </c>
      <c r="E298" s="11" t="str">
        <f>+HYPERLINK("http://trademark.i-assist.jp/data/china/image_1901th/78569640.pdf", "78569640")</f>
        <v>78569640</v>
      </c>
      <c r="F298" s="10" t="s">
        <v>1030</v>
      </c>
      <c r="G298" s="10" t="s">
        <v>1031</v>
      </c>
      <c r="H298" s="10" t="s">
        <v>1032</v>
      </c>
      <c r="I298" s="10" t="s">
        <v>151</v>
      </c>
    </row>
    <row r="299" spans="1:9" x14ac:dyDescent="0.15">
      <c r="A299" s="9">
        <v>298</v>
      </c>
      <c r="B299" s="10" t="s">
        <v>9</v>
      </c>
      <c r="C299" s="10" t="s">
        <v>164</v>
      </c>
      <c r="D299" s="10" t="s">
        <v>165</v>
      </c>
      <c r="E299" s="11" t="str">
        <f>+HYPERLINK("http://trademark.i-assist.jp/data/china/image_1901th/78569771.pdf", "78569771")</f>
        <v>78569771</v>
      </c>
      <c r="F299" s="10" t="s">
        <v>1033</v>
      </c>
      <c r="G299" s="10" t="s">
        <v>1034</v>
      </c>
      <c r="H299" s="10" t="s">
        <v>1035</v>
      </c>
      <c r="I299" s="10" t="s">
        <v>151</v>
      </c>
    </row>
    <row r="300" spans="1:9" x14ac:dyDescent="0.15">
      <c r="A300" s="9">
        <v>299</v>
      </c>
      <c r="B300" s="10" t="s">
        <v>9</v>
      </c>
      <c r="C300" s="10" t="s">
        <v>164</v>
      </c>
      <c r="D300" s="10" t="s">
        <v>165</v>
      </c>
      <c r="E300" s="11" t="str">
        <f>+HYPERLINK("http://trademark.i-assist.jp/data/china/image_1901th/78569863.pdf", "78569863")</f>
        <v>78569863</v>
      </c>
      <c r="F300" s="10" t="s">
        <v>12</v>
      </c>
      <c r="G300" s="10" t="s">
        <v>1036</v>
      </c>
      <c r="H300" s="10" t="s">
        <v>1037</v>
      </c>
      <c r="I300" s="10" t="s">
        <v>151</v>
      </c>
    </row>
    <row r="301" spans="1:9" x14ac:dyDescent="0.15">
      <c r="A301" s="9">
        <v>300</v>
      </c>
      <c r="B301" s="10" t="s">
        <v>9</v>
      </c>
      <c r="C301" s="10" t="s">
        <v>164</v>
      </c>
      <c r="D301" s="10" t="s">
        <v>165</v>
      </c>
      <c r="E301" s="11" t="str">
        <f>+HYPERLINK("http://trademark.i-assist.jp/data/china/image_1901th/78571469.pdf", "78571469")</f>
        <v>78571469</v>
      </c>
      <c r="F301" s="10" t="s">
        <v>12</v>
      </c>
      <c r="G301" s="10" t="s">
        <v>1038</v>
      </c>
      <c r="H301" s="10" t="s">
        <v>1039</v>
      </c>
      <c r="I301" s="10" t="s">
        <v>151</v>
      </c>
    </row>
    <row r="302" spans="1:9" x14ac:dyDescent="0.15">
      <c r="A302" s="9">
        <v>301</v>
      </c>
      <c r="B302" s="10" t="s">
        <v>9</v>
      </c>
      <c r="C302" s="10" t="s">
        <v>164</v>
      </c>
      <c r="D302" s="10" t="s">
        <v>165</v>
      </c>
      <c r="E302" s="11" t="str">
        <f>+HYPERLINK("http://trademark.i-assist.jp/data/china/image_1901th/78571841.pdf", "78571841")</f>
        <v>78571841</v>
      </c>
      <c r="F302" s="10" t="s">
        <v>1040</v>
      </c>
      <c r="G302" s="10" t="s">
        <v>1041</v>
      </c>
      <c r="H302" s="10" t="s">
        <v>1042</v>
      </c>
      <c r="I302" s="10" t="s">
        <v>151</v>
      </c>
    </row>
    <row r="303" spans="1:9" x14ac:dyDescent="0.15">
      <c r="A303" s="9">
        <v>302</v>
      </c>
      <c r="B303" s="10" t="s">
        <v>9</v>
      </c>
      <c r="C303" s="10" t="s">
        <v>164</v>
      </c>
      <c r="D303" s="10" t="s">
        <v>165</v>
      </c>
      <c r="E303" s="11" t="str">
        <f>+HYPERLINK("http://trademark.i-assist.jp/data/china/image_1901th/78572472.pdf", "78572472")</f>
        <v>78572472</v>
      </c>
      <c r="F303" s="10" t="s">
        <v>1043</v>
      </c>
      <c r="G303" s="10" t="s">
        <v>1044</v>
      </c>
      <c r="H303" s="10" t="s">
        <v>1045</v>
      </c>
      <c r="I303" s="10" t="s">
        <v>151</v>
      </c>
    </row>
    <row r="304" spans="1:9" x14ac:dyDescent="0.15">
      <c r="A304" s="9">
        <v>303</v>
      </c>
      <c r="B304" s="10" t="s">
        <v>9</v>
      </c>
      <c r="C304" s="10" t="s">
        <v>164</v>
      </c>
      <c r="D304" s="10" t="s">
        <v>165</v>
      </c>
      <c r="E304" s="11" t="str">
        <f>+HYPERLINK("http://trademark.i-assist.jp/data/china/image_1901th/78573479.pdf", "78573479")</f>
        <v>78573479</v>
      </c>
      <c r="F304" s="10" t="s">
        <v>1046</v>
      </c>
      <c r="G304" s="10" t="s">
        <v>1047</v>
      </c>
      <c r="H304" s="10" t="s">
        <v>1048</v>
      </c>
      <c r="I304" s="10" t="s">
        <v>151</v>
      </c>
    </row>
    <row r="305" spans="1:9" x14ac:dyDescent="0.15">
      <c r="A305" s="9">
        <v>304</v>
      </c>
      <c r="B305" s="10" t="s">
        <v>9</v>
      </c>
      <c r="C305" s="10" t="s">
        <v>164</v>
      </c>
      <c r="D305" s="10" t="s">
        <v>165</v>
      </c>
      <c r="E305" s="11" t="str">
        <f>+HYPERLINK("http://trademark.i-assist.jp/data/china/image_1901th/78575563.pdf", "78575563")</f>
        <v>78575563</v>
      </c>
      <c r="F305" s="10" t="s">
        <v>1040</v>
      </c>
      <c r="G305" s="10" t="s">
        <v>1041</v>
      </c>
      <c r="H305" s="10" t="s">
        <v>1049</v>
      </c>
      <c r="I305" s="10" t="s">
        <v>151</v>
      </c>
    </row>
    <row r="306" spans="1:9" x14ac:dyDescent="0.15">
      <c r="A306" s="9">
        <v>305</v>
      </c>
      <c r="B306" s="10" t="s">
        <v>9</v>
      </c>
      <c r="C306" s="10" t="s">
        <v>164</v>
      </c>
      <c r="D306" s="10" t="s">
        <v>165</v>
      </c>
      <c r="E306" s="11" t="str">
        <f>+HYPERLINK("http://trademark.i-assist.jp/data/china/image_1901th/78577416.pdf", "78577416")</f>
        <v>78577416</v>
      </c>
      <c r="F306" s="10" t="s">
        <v>1050</v>
      </c>
      <c r="G306" s="10" t="s">
        <v>1051</v>
      </c>
      <c r="H306" s="10" t="s">
        <v>1052</v>
      </c>
      <c r="I306" s="10" t="s">
        <v>151</v>
      </c>
    </row>
    <row r="307" spans="1:9" x14ac:dyDescent="0.15">
      <c r="A307" s="9">
        <v>306</v>
      </c>
      <c r="B307" s="10" t="s">
        <v>9</v>
      </c>
      <c r="C307" s="10" t="s">
        <v>164</v>
      </c>
      <c r="D307" s="10" t="s">
        <v>165</v>
      </c>
      <c r="E307" s="11" t="str">
        <f>+HYPERLINK("http://trademark.i-assist.jp/data/china/image_1901th/78577453.pdf", "78577453")</f>
        <v>78577453</v>
      </c>
      <c r="F307" s="10" t="s">
        <v>1053</v>
      </c>
      <c r="G307" s="10" t="s">
        <v>1054</v>
      </c>
      <c r="H307" s="10" t="s">
        <v>1055</v>
      </c>
      <c r="I307" s="10" t="s">
        <v>151</v>
      </c>
    </row>
    <row r="308" spans="1:9" x14ac:dyDescent="0.15">
      <c r="A308" s="9">
        <v>307</v>
      </c>
      <c r="B308" s="10" t="s">
        <v>9</v>
      </c>
      <c r="C308" s="10" t="s">
        <v>164</v>
      </c>
      <c r="D308" s="10" t="s">
        <v>165</v>
      </c>
      <c r="E308" s="11" t="str">
        <f>+HYPERLINK("http://trademark.i-assist.jp/data/china/image_1901th/78578360.pdf", "78578360")</f>
        <v>78578360</v>
      </c>
      <c r="F308" s="10" t="s">
        <v>1056</v>
      </c>
      <c r="G308" s="10" t="s">
        <v>1057</v>
      </c>
      <c r="H308" s="10" t="s">
        <v>1058</v>
      </c>
      <c r="I308" s="10" t="s">
        <v>151</v>
      </c>
    </row>
    <row r="309" spans="1:9" x14ac:dyDescent="0.15">
      <c r="A309" s="9">
        <v>308</v>
      </c>
      <c r="B309" s="10" t="s">
        <v>9</v>
      </c>
      <c r="C309" s="10" t="s">
        <v>164</v>
      </c>
      <c r="D309" s="10" t="s">
        <v>165</v>
      </c>
      <c r="E309" s="11" t="str">
        <f>+HYPERLINK("http://trademark.i-assist.jp/data/china/image_1901th/78578665.pdf", "78578665")</f>
        <v>78578665</v>
      </c>
      <c r="F309" s="10" t="s">
        <v>1059</v>
      </c>
      <c r="G309" s="10" t="s">
        <v>1060</v>
      </c>
      <c r="H309" s="10" t="s">
        <v>1061</v>
      </c>
      <c r="I309" s="10" t="s">
        <v>151</v>
      </c>
    </row>
    <row r="310" spans="1:9" x14ac:dyDescent="0.15">
      <c r="A310" s="9">
        <v>309</v>
      </c>
      <c r="B310" s="10" t="s">
        <v>9</v>
      </c>
      <c r="C310" s="10" t="s">
        <v>164</v>
      </c>
      <c r="D310" s="10" t="s">
        <v>165</v>
      </c>
      <c r="E310" s="11" t="str">
        <f>+HYPERLINK("http://trademark.i-assist.jp/data/china/image_1901th/78579481.pdf", "78579481")</f>
        <v>78579481</v>
      </c>
      <c r="F310" s="10" t="s">
        <v>1062</v>
      </c>
      <c r="G310" s="10" t="s">
        <v>1063</v>
      </c>
      <c r="H310" s="10" t="s">
        <v>1064</v>
      </c>
      <c r="I310" s="10" t="s">
        <v>151</v>
      </c>
    </row>
    <row r="311" spans="1:9" x14ac:dyDescent="0.15">
      <c r="A311" s="9">
        <v>310</v>
      </c>
      <c r="B311" s="10" t="s">
        <v>9</v>
      </c>
      <c r="C311" s="10" t="s">
        <v>164</v>
      </c>
      <c r="D311" s="10" t="s">
        <v>165</v>
      </c>
      <c r="E311" s="11" t="str">
        <f>+HYPERLINK("http://trademark.i-assist.jp/data/china/image_1901th/78579938.pdf", "78579938")</f>
        <v>78579938</v>
      </c>
      <c r="F311" s="10" t="s">
        <v>12</v>
      </c>
      <c r="G311" s="10" t="s">
        <v>1065</v>
      </c>
      <c r="H311" s="10" t="s">
        <v>1066</v>
      </c>
      <c r="I311" s="10" t="s">
        <v>151</v>
      </c>
    </row>
    <row r="312" spans="1:9" x14ac:dyDescent="0.15">
      <c r="A312" s="9">
        <v>311</v>
      </c>
      <c r="B312" s="10" t="s">
        <v>9</v>
      </c>
      <c r="C312" s="10" t="s">
        <v>164</v>
      </c>
      <c r="D312" s="10" t="s">
        <v>165</v>
      </c>
      <c r="E312" s="11" t="str">
        <f>+HYPERLINK("http://trademark.i-assist.jp/data/china/image_1901th/78583168.pdf", "78583168")</f>
        <v>78583168</v>
      </c>
      <c r="F312" s="10" t="s">
        <v>1067</v>
      </c>
      <c r="G312" s="10" t="s">
        <v>1044</v>
      </c>
      <c r="H312" s="10" t="s">
        <v>1068</v>
      </c>
      <c r="I312" s="10" t="s">
        <v>151</v>
      </c>
    </row>
    <row r="313" spans="1:9" x14ac:dyDescent="0.15">
      <c r="A313" s="9">
        <v>312</v>
      </c>
      <c r="B313" s="10" t="s">
        <v>9</v>
      </c>
      <c r="C313" s="10" t="s">
        <v>164</v>
      </c>
      <c r="D313" s="10" t="s">
        <v>165</v>
      </c>
      <c r="E313" s="11" t="str">
        <f>+HYPERLINK("http://trademark.i-assist.jp/data/china/image_1901th/78584067.pdf", "78584067")</f>
        <v>78584067</v>
      </c>
      <c r="F313" s="10" t="s">
        <v>1069</v>
      </c>
      <c r="G313" s="10" t="s">
        <v>1070</v>
      </c>
      <c r="H313" s="10" t="s">
        <v>1071</v>
      </c>
      <c r="I313" s="10" t="s">
        <v>151</v>
      </c>
    </row>
    <row r="314" spans="1:9" x14ac:dyDescent="0.15">
      <c r="A314" s="9">
        <v>313</v>
      </c>
      <c r="B314" s="10" t="s">
        <v>9</v>
      </c>
      <c r="C314" s="10" t="s">
        <v>164</v>
      </c>
      <c r="D314" s="10" t="s">
        <v>165</v>
      </c>
      <c r="E314" s="11" t="str">
        <f>+HYPERLINK("http://trademark.i-assist.jp/data/china/image_1901th/78586460.pdf", "78586460")</f>
        <v>78586460</v>
      </c>
      <c r="F314" s="10" t="s">
        <v>1072</v>
      </c>
      <c r="G314" s="10" t="s">
        <v>1041</v>
      </c>
      <c r="H314" s="10" t="s">
        <v>1073</v>
      </c>
      <c r="I314" s="10" t="s">
        <v>151</v>
      </c>
    </row>
    <row r="315" spans="1:9" x14ac:dyDescent="0.15">
      <c r="A315" s="9">
        <v>314</v>
      </c>
      <c r="B315" s="10" t="s">
        <v>9</v>
      </c>
      <c r="C315" s="10" t="s">
        <v>164</v>
      </c>
      <c r="D315" s="10" t="s">
        <v>165</v>
      </c>
      <c r="E315" s="11" t="str">
        <f>+HYPERLINK("http://trademark.i-assist.jp/data/china/image_1901th/78587142.pdf", "78587142")</f>
        <v>78587142</v>
      </c>
      <c r="F315" s="10" t="s">
        <v>12</v>
      </c>
      <c r="G315" s="10" t="s">
        <v>1074</v>
      </c>
      <c r="H315" s="10" t="s">
        <v>1075</v>
      </c>
      <c r="I315" s="10" t="s">
        <v>151</v>
      </c>
    </row>
    <row r="316" spans="1:9" x14ac:dyDescent="0.15">
      <c r="A316" s="9">
        <v>315</v>
      </c>
      <c r="B316" s="10" t="s">
        <v>9</v>
      </c>
      <c r="C316" s="10" t="s">
        <v>164</v>
      </c>
      <c r="D316" s="10" t="s">
        <v>165</v>
      </c>
      <c r="E316" s="11" t="str">
        <f>+HYPERLINK("http://trademark.i-assist.jp/data/china/image_1901th/78587533.pdf", "78587533")</f>
        <v>78587533</v>
      </c>
      <c r="F316" s="10" t="s">
        <v>1076</v>
      </c>
      <c r="G316" s="10" t="s">
        <v>1077</v>
      </c>
      <c r="H316" s="10" t="s">
        <v>1078</v>
      </c>
      <c r="I316" s="10" t="s">
        <v>151</v>
      </c>
    </row>
    <row r="317" spans="1:9" x14ac:dyDescent="0.15">
      <c r="A317" s="9">
        <v>316</v>
      </c>
      <c r="B317" s="10" t="s">
        <v>9</v>
      </c>
      <c r="C317" s="10" t="s">
        <v>164</v>
      </c>
      <c r="D317" s="10" t="s">
        <v>165</v>
      </c>
      <c r="E317" s="11" t="str">
        <f>+HYPERLINK("http://trademark.i-assist.jp/data/china/image_1901th/78587986.pdf", "78587986")</f>
        <v>78587986</v>
      </c>
      <c r="F317" s="10" t="s">
        <v>1079</v>
      </c>
      <c r="G317" s="10" t="s">
        <v>1080</v>
      </c>
      <c r="H317" s="10" t="s">
        <v>1081</v>
      </c>
      <c r="I317" s="10" t="s">
        <v>151</v>
      </c>
    </row>
    <row r="318" spans="1:9" x14ac:dyDescent="0.15">
      <c r="A318" s="9">
        <v>317</v>
      </c>
      <c r="B318" s="10" t="s">
        <v>9</v>
      </c>
      <c r="C318" s="10" t="s">
        <v>164</v>
      </c>
      <c r="D318" s="10" t="s">
        <v>165</v>
      </c>
      <c r="E318" s="11" t="str">
        <f>+HYPERLINK("http://trademark.i-assist.jp/data/china/image_1901th/78589807.pdf", "78589807")</f>
        <v>78589807</v>
      </c>
      <c r="F318" s="10" t="s">
        <v>1082</v>
      </c>
      <c r="G318" s="10" t="s">
        <v>1083</v>
      </c>
      <c r="H318" s="10" t="s">
        <v>1084</v>
      </c>
      <c r="I318" s="10" t="s">
        <v>151</v>
      </c>
    </row>
    <row r="319" spans="1:9" x14ac:dyDescent="0.15">
      <c r="A319" s="9">
        <v>318</v>
      </c>
      <c r="B319" s="10" t="s">
        <v>9</v>
      </c>
      <c r="C319" s="10" t="s">
        <v>164</v>
      </c>
      <c r="D319" s="10" t="s">
        <v>165</v>
      </c>
      <c r="E319" s="11" t="str">
        <f>+HYPERLINK("http://trademark.i-assist.jp/data/china/image_1901th/78590288.pdf", "78590288")</f>
        <v>78590288</v>
      </c>
      <c r="F319" s="10" t="s">
        <v>1085</v>
      </c>
      <c r="G319" s="10" t="s">
        <v>111</v>
      </c>
      <c r="H319" s="10" t="s">
        <v>1086</v>
      </c>
      <c r="I319" s="10" t="s">
        <v>151</v>
      </c>
    </row>
    <row r="320" spans="1:9" x14ac:dyDescent="0.15">
      <c r="A320" s="9">
        <v>319</v>
      </c>
      <c r="B320" s="10" t="s">
        <v>9</v>
      </c>
      <c r="C320" s="10" t="s">
        <v>164</v>
      </c>
      <c r="D320" s="10" t="s">
        <v>165</v>
      </c>
      <c r="E320" s="11" t="str">
        <f>+HYPERLINK("http://trademark.i-assist.jp/data/china/image_1901th/78592036.pdf", "78592036")</f>
        <v>78592036</v>
      </c>
      <c r="F320" s="10" t="s">
        <v>1087</v>
      </c>
      <c r="G320" s="10" t="s">
        <v>1088</v>
      </c>
      <c r="H320" s="10" t="s">
        <v>1089</v>
      </c>
      <c r="I320" s="10" t="s">
        <v>151</v>
      </c>
    </row>
    <row r="321" spans="1:9" x14ac:dyDescent="0.15">
      <c r="A321" s="9">
        <v>320</v>
      </c>
      <c r="B321" s="10" t="s">
        <v>9</v>
      </c>
      <c r="C321" s="10" t="s">
        <v>164</v>
      </c>
      <c r="D321" s="10" t="s">
        <v>165</v>
      </c>
      <c r="E321" s="11" t="str">
        <f>+HYPERLINK("http://trademark.i-assist.jp/data/china/image_1901th/78593078.pdf", "78593078")</f>
        <v>78593078</v>
      </c>
      <c r="F321" s="10" t="s">
        <v>1090</v>
      </c>
      <c r="G321" s="10" t="s">
        <v>1091</v>
      </c>
      <c r="H321" s="10" t="s">
        <v>1092</v>
      </c>
      <c r="I321" s="10" t="s">
        <v>151</v>
      </c>
    </row>
    <row r="322" spans="1:9" x14ac:dyDescent="0.15">
      <c r="A322" s="9">
        <v>321</v>
      </c>
      <c r="B322" s="10" t="s">
        <v>9</v>
      </c>
      <c r="C322" s="10" t="s">
        <v>164</v>
      </c>
      <c r="D322" s="10" t="s">
        <v>165</v>
      </c>
      <c r="E322" s="11" t="str">
        <f>+HYPERLINK("http://trademark.i-assist.jp/data/china/image_1901th/78595663.pdf", "78595663")</f>
        <v>78595663</v>
      </c>
      <c r="F322" s="10" t="s">
        <v>1093</v>
      </c>
      <c r="G322" s="10" t="s">
        <v>1094</v>
      </c>
      <c r="H322" s="10" t="s">
        <v>1095</v>
      </c>
      <c r="I322" s="10" t="s">
        <v>151</v>
      </c>
    </row>
    <row r="323" spans="1:9" x14ac:dyDescent="0.15">
      <c r="A323" s="9">
        <v>322</v>
      </c>
      <c r="B323" s="10" t="s">
        <v>9</v>
      </c>
      <c r="C323" s="10" t="s">
        <v>164</v>
      </c>
      <c r="D323" s="10" t="s">
        <v>165</v>
      </c>
      <c r="E323" s="11" t="str">
        <f>+HYPERLINK("http://trademark.i-assist.jp/data/china/image_1901th/78597885.pdf", "78597885")</f>
        <v>78597885</v>
      </c>
      <c r="F323" s="10" t="s">
        <v>1096</v>
      </c>
      <c r="G323" s="10" t="s">
        <v>1097</v>
      </c>
      <c r="H323" s="10" t="s">
        <v>1098</v>
      </c>
      <c r="I323" s="10" t="s">
        <v>157</v>
      </c>
    </row>
    <row r="324" spans="1:9" x14ac:dyDescent="0.15">
      <c r="A324" s="9">
        <v>323</v>
      </c>
      <c r="B324" s="10" t="s">
        <v>9</v>
      </c>
      <c r="C324" s="10" t="s">
        <v>164</v>
      </c>
      <c r="D324" s="10" t="s">
        <v>165</v>
      </c>
      <c r="E324" s="11" t="str">
        <f>+HYPERLINK("http://trademark.i-assist.jp/data/china/image_1901th/78600571.pdf", "78600571")</f>
        <v>78600571</v>
      </c>
      <c r="F324" s="10" t="s">
        <v>1099</v>
      </c>
      <c r="G324" s="10" t="s">
        <v>1100</v>
      </c>
      <c r="H324" s="10" t="s">
        <v>1101</v>
      </c>
      <c r="I324" s="10" t="s">
        <v>157</v>
      </c>
    </row>
    <row r="325" spans="1:9" x14ac:dyDescent="0.15">
      <c r="A325" s="9">
        <v>324</v>
      </c>
      <c r="B325" s="10" t="s">
        <v>9</v>
      </c>
      <c r="C325" s="10" t="s">
        <v>164</v>
      </c>
      <c r="D325" s="10" t="s">
        <v>165</v>
      </c>
      <c r="E325" s="11" t="str">
        <f>+HYPERLINK("http://trademark.i-assist.jp/data/china/image_1901th/78601370.pdf", "78601370")</f>
        <v>78601370</v>
      </c>
      <c r="F325" s="10" t="s">
        <v>1102</v>
      </c>
      <c r="G325" s="10" t="s">
        <v>1103</v>
      </c>
      <c r="H325" s="10" t="s">
        <v>1104</v>
      </c>
      <c r="I325" s="10" t="s">
        <v>157</v>
      </c>
    </row>
    <row r="326" spans="1:9" x14ac:dyDescent="0.15">
      <c r="A326" s="9">
        <v>325</v>
      </c>
      <c r="B326" s="10" t="s">
        <v>9</v>
      </c>
      <c r="C326" s="10" t="s">
        <v>164</v>
      </c>
      <c r="D326" s="10" t="s">
        <v>165</v>
      </c>
      <c r="E326" s="11" t="str">
        <f>+HYPERLINK("http://trademark.i-assist.jp/data/china/image_1901th/78602118.pdf", "78602118")</f>
        <v>78602118</v>
      </c>
      <c r="F326" s="10" t="s">
        <v>1105</v>
      </c>
      <c r="G326" s="10" t="s">
        <v>1106</v>
      </c>
      <c r="H326" s="10" t="s">
        <v>1107</v>
      </c>
      <c r="I326" s="10" t="s">
        <v>157</v>
      </c>
    </row>
    <row r="327" spans="1:9" x14ac:dyDescent="0.15">
      <c r="A327" s="9">
        <v>326</v>
      </c>
      <c r="B327" s="10" t="s">
        <v>9</v>
      </c>
      <c r="C327" s="10" t="s">
        <v>164</v>
      </c>
      <c r="D327" s="10" t="s">
        <v>165</v>
      </c>
      <c r="E327" s="11" t="str">
        <f>+HYPERLINK("http://trademark.i-assist.jp/data/china/image_1901th/78603475.pdf", "78603475")</f>
        <v>78603475</v>
      </c>
      <c r="F327" s="10" t="s">
        <v>1108</v>
      </c>
      <c r="G327" s="10" t="s">
        <v>1109</v>
      </c>
      <c r="H327" s="10" t="s">
        <v>1110</v>
      </c>
      <c r="I327" s="10" t="s">
        <v>157</v>
      </c>
    </row>
    <row r="328" spans="1:9" x14ac:dyDescent="0.15">
      <c r="A328" s="9">
        <v>327</v>
      </c>
      <c r="B328" s="10" t="s">
        <v>9</v>
      </c>
      <c r="C328" s="10" t="s">
        <v>164</v>
      </c>
      <c r="D328" s="10" t="s">
        <v>165</v>
      </c>
      <c r="E328" s="11" t="str">
        <f>+HYPERLINK("http://trademark.i-assist.jp/data/china/image_1901th/78604819.pdf", "78604819")</f>
        <v>78604819</v>
      </c>
      <c r="F328" s="10" t="s">
        <v>1111</v>
      </c>
      <c r="G328" s="10" t="s">
        <v>1112</v>
      </c>
      <c r="H328" s="10" t="s">
        <v>1113</v>
      </c>
      <c r="I328" s="10" t="s">
        <v>157</v>
      </c>
    </row>
    <row r="329" spans="1:9" x14ac:dyDescent="0.15">
      <c r="A329" s="9">
        <v>328</v>
      </c>
      <c r="B329" s="10" t="s">
        <v>9</v>
      </c>
      <c r="C329" s="10" t="s">
        <v>164</v>
      </c>
      <c r="D329" s="10" t="s">
        <v>165</v>
      </c>
      <c r="E329" s="11" t="str">
        <f>+HYPERLINK("http://trademark.i-assist.jp/data/china/image_1901th/78605336.pdf", "78605336")</f>
        <v>78605336</v>
      </c>
      <c r="F329" s="10" t="s">
        <v>1114</v>
      </c>
      <c r="G329" s="10" t="s">
        <v>1115</v>
      </c>
      <c r="H329" s="10" t="s">
        <v>1116</v>
      </c>
      <c r="I329" s="10" t="s">
        <v>157</v>
      </c>
    </row>
    <row r="330" spans="1:9" x14ac:dyDescent="0.15">
      <c r="A330" s="9">
        <v>329</v>
      </c>
      <c r="B330" s="10" t="s">
        <v>9</v>
      </c>
      <c r="C330" s="10" t="s">
        <v>164</v>
      </c>
      <c r="D330" s="10" t="s">
        <v>165</v>
      </c>
      <c r="E330" s="11" t="str">
        <f>+HYPERLINK("http://trademark.i-assist.jp/data/china/image_1901th/78608453.pdf", "78608453")</f>
        <v>78608453</v>
      </c>
      <c r="F330" s="10" t="s">
        <v>12</v>
      </c>
      <c r="G330" s="10" t="s">
        <v>1117</v>
      </c>
      <c r="H330" s="10" t="s">
        <v>1118</v>
      </c>
      <c r="I330" s="10" t="s">
        <v>157</v>
      </c>
    </row>
    <row r="331" spans="1:9" x14ac:dyDescent="0.15">
      <c r="A331" s="9">
        <v>330</v>
      </c>
      <c r="B331" s="10" t="s">
        <v>9</v>
      </c>
      <c r="C331" s="10" t="s">
        <v>164</v>
      </c>
      <c r="D331" s="10" t="s">
        <v>165</v>
      </c>
      <c r="E331" s="11" t="str">
        <f>+HYPERLINK("http://trademark.i-assist.jp/data/china/image_1901th/78608565.pdf", "78608565")</f>
        <v>78608565</v>
      </c>
      <c r="F331" s="10" t="s">
        <v>1119</v>
      </c>
      <c r="G331" s="10" t="s">
        <v>1120</v>
      </c>
      <c r="H331" s="10" t="s">
        <v>1121</v>
      </c>
      <c r="I331" s="10" t="s">
        <v>157</v>
      </c>
    </row>
    <row r="332" spans="1:9" x14ac:dyDescent="0.15">
      <c r="A332" s="9">
        <v>331</v>
      </c>
      <c r="B332" s="10" t="s">
        <v>9</v>
      </c>
      <c r="C332" s="10" t="s">
        <v>164</v>
      </c>
      <c r="D332" s="10" t="s">
        <v>165</v>
      </c>
      <c r="E332" s="11" t="str">
        <f>+HYPERLINK("http://trademark.i-assist.jp/data/china/image_1901th/78609406.pdf", "78609406")</f>
        <v>78609406</v>
      </c>
      <c r="F332" s="10" t="s">
        <v>12</v>
      </c>
      <c r="G332" s="10" t="s">
        <v>1122</v>
      </c>
      <c r="H332" s="10" t="s">
        <v>1123</v>
      </c>
      <c r="I332" s="10" t="s">
        <v>157</v>
      </c>
    </row>
    <row r="333" spans="1:9" x14ac:dyDescent="0.15">
      <c r="A333" s="9">
        <v>332</v>
      </c>
      <c r="B333" s="10" t="s">
        <v>9</v>
      </c>
      <c r="C333" s="10" t="s">
        <v>164</v>
      </c>
      <c r="D333" s="10" t="s">
        <v>165</v>
      </c>
      <c r="E333" s="11" t="str">
        <f>+HYPERLINK("http://trademark.i-assist.jp/data/china/image_1901th/78609694.pdf", "78609694")</f>
        <v>78609694</v>
      </c>
      <c r="F333" s="10" t="s">
        <v>1124</v>
      </c>
      <c r="G333" s="10" t="s">
        <v>1125</v>
      </c>
      <c r="H333" s="10" t="s">
        <v>1126</v>
      </c>
      <c r="I333" s="10" t="s">
        <v>157</v>
      </c>
    </row>
    <row r="334" spans="1:9" x14ac:dyDescent="0.15">
      <c r="A334" s="9">
        <v>333</v>
      </c>
      <c r="B334" s="10" t="s">
        <v>9</v>
      </c>
      <c r="C334" s="10" t="s">
        <v>164</v>
      </c>
      <c r="D334" s="10" t="s">
        <v>165</v>
      </c>
      <c r="E334" s="11" t="str">
        <f>+HYPERLINK("http://trademark.i-assist.jp/data/china/image_1901th/78609916.pdf", "78609916")</f>
        <v>78609916</v>
      </c>
      <c r="F334" s="10" t="s">
        <v>1127</v>
      </c>
      <c r="G334" s="10" t="s">
        <v>1128</v>
      </c>
      <c r="H334" s="10" t="s">
        <v>1129</v>
      </c>
      <c r="I334" s="10" t="s">
        <v>157</v>
      </c>
    </row>
    <row r="335" spans="1:9" x14ac:dyDescent="0.15">
      <c r="A335" s="9">
        <v>334</v>
      </c>
      <c r="B335" s="10" t="s">
        <v>9</v>
      </c>
      <c r="C335" s="10" t="s">
        <v>164</v>
      </c>
      <c r="D335" s="10" t="s">
        <v>165</v>
      </c>
      <c r="E335" s="11" t="str">
        <f>+HYPERLINK("http://trademark.i-assist.jp/data/china/image_1901th/78610527.pdf", "78610527")</f>
        <v>78610527</v>
      </c>
      <c r="F335" s="10" t="s">
        <v>1130</v>
      </c>
      <c r="G335" s="10" t="s">
        <v>1131</v>
      </c>
      <c r="H335" s="10" t="s">
        <v>1132</v>
      </c>
      <c r="I335" s="10" t="s">
        <v>157</v>
      </c>
    </row>
    <row r="336" spans="1:9" x14ac:dyDescent="0.15">
      <c r="A336" s="9">
        <v>335</v>
      </c>
      <c r="B336" s="10" t="s">
        <v>9</v>
      </c>
      <c r="C336" s="10" t="s">
        <v>164</v>
      </c>
      <c r="D336" s="10" t="s">
        <v>165</v>
      </c>
      <c r="E336" s="11" t="str">
        <f>+HYPERLINK("http://trademark.i-assist.jp/data/china/image_1901th/78614151.pdf", "78614151")</f>
        <v>78614151</v>
      </c>
      <c r="F336" s="10" t="s">
        <v>1133</v>
      </c>
      <c r="G336" s="10" t="s">
        <v>1134</v>
      </c>
      <c r="H336" s="10" t="s">
        <v>1135</v>
      </c>
      <c r="I336" s="10" t="s">
        <v>157</v>
      </c>
    </row>
    <row r="337" spans="1:9" x14ac:dyDescent="0.15">
      <c r="A337" s="9">
        <v>336</v>
      </c>
      <c r="B337" s="10" t="s">
        <v>9</v>
      </c>
      <c r="C337" s="10" t="s">
        <v>164</v>
      </c>
      <c r="D337" s="10" t="s">
        <v>165</v>
      </c>
      <c r="E337" s="11" t="str">
        <f>+HYPERLINK("http://trademark.i-assist.jp/data/china/image_1901th/78615262.pdf", "78615262")</f>
        <v>78615262</v>
      </c>
      <c r="F337" s="10" t="s">
        <v>1136</v>
      </c>
      <c r="G337" s="10" t="s">
        <v>1137</v>
      </c>
      <c r="H337" s="10" t="s">
        <v>1138</v>
      </c>
      <c r="I337" s="10" t="s">
        <v>157</v>
      </c>
    </row>
    <row r="338" spans="1:9" x14ac:dyDescent="0.15">
      <c r="A338" s="9">
        <v>337</v>
      </c>
      <c r="B338" s="10" t="s">
        <v>9</v>
      </c>
      <c r="C338" s="10" t="s">
        <v>164</v>
      </c>
      <c r="D338" s="10" t="s">
        <v>165</v>
      </c>
      <c r="E338" s="11" t="str">
        <f>+HYPERLINK("http://trademark.i-assist.jp/data/china/image_1901th/78616841.pdf", "78616841")</f>
        <v>78616841</v>
      </c>
      <c r="F338" s="10" t="s">
        <v>1139</v>
      </c>
      <c r="G338" s="10" t="s">
        <v>1103</v>
      </c>
      <c r="H338" s="10" t="s">
        <v>1140</v>
      </c>
      <c r="I338" s="10" t="s">
        <v>157</v>
      </c>
    </row>
    <row r="339" spans="1:9" x14ac:dyDescent="0.15">
      <c r="A339" s="9">
        <v>338</v>
      </c>
      <c r="B339" s="10" t="s">
        <v>9</v>
      </c>
      <c r="C339" s="10" t="s">
        <v>164</v>
      </c>
      <c r="D339" s="10" t="s">
        <v>165</v>
      </c>
      <c r="E339" s="11" t="str">
        <f>+HYPERLINK("http://trademark.i-assist.jp/data/china/image_1901th/78619755.pdf", "78619755")</f>
        <v>78619755</v>
      </c>
      <c r="F339" s="10" t="s">
        <v>1141</v>
      </c>
      <c r="G339" s="10" t="s">
        <v>162</v>
      </c>
      <c r="H339" s="10" t="s">
        <v>1142</v>
      </c>
      <c r="I339" s="10" t="s">
        <v>157</v>
      </c>
    </row>
    <row r="340" spans="1:9" x14ac:dyDescent="0.15">
      <c r="A340" s="9">
        <v>339</v>
      </c>
      <c r="B340" s="10" t="s">
        <v>9</v>
      </c>
      <c r="C340" s="10" t="s">
        <v>164</v>
      </c>
      <c r="D340" s="10" t="s">
        <v>165</v>
      </c>
      <c r="E340" s="11" t="str">
        <f>+HYPERLINK("http://trademark.i-assist.jp/data/china/image_1901th/78619995.pdf", "78619995")</f>
        <v>78619995</v>
      </c>
      <c r="F340" s="10" t="s">
        <v>1143</v>
      </c>
      <c r="G340" s="10" t="s">
        <v>1144</v>
      </c>
      <c r="H340" s="10" t="s">
        <v>1145</v>
      </c>
      <c r="I340" s="10" t="s">
        <v>157</v>
      </c>
    </row>
    <row r="341" spans="1:9" x14ac:dyDescent="0.15">
      <c r="A341" s="9">
        <v>340</v>
      </c>
      <c r="B341" s="10" t="s">
        <v>9</v>
      </c>
      <c r="C341" s="10" t="s">
        <v>164</v>
      </c>
      <c r="D341" s="10" t="s">
        <v>165</v>
      </c>
      <c r="E341" s="11" t="str">
        <f>+HYPERLINK("http://trademark.i-assist.jp/data/china/image_1901th/78620889.pdf", "78620889")</f>
        <v>78620889</v>
      </c>
      <c r="F341" s="10" t="s">
        <v>1146</v>
      </c>
      <c r="G341" s="10" t="s">
        <v>1147</v>
      </c>
      <c r="H341" s="10" t="s">
        <v>1148</v>
      </c>
      <c r="I341" s="10" t="s">
        <v>157</v>
      </c>
    </row>
    <row r="342" spans="1:9" x14ac:dyDescent="0.15">
      <c r="A342" s="9">
        <v>341</v>
      </c>
      <c r="B342" s="10" t="s">
        <v>9</v>
      </c>
      <c r="C342" s="10" t="s">
        <v>164</v>
      </c>
      <c r="D342" s="10" t="s">
        <v>165</v>
      </c>
      <c r="E342" s="11" t="str">
        <f>+HYPERLINK("http://trademark.i-assist.jp/data/china/image_1901th/78621032.pdf", "78621032")</f>
        <v>78621032</v>
      </c>
      <c r="F342" s="10" t="s">
        <v>1149</v>
      </c>
      <c r="G342" s="10" t="s">
        <v>1150</v>
      </c>
      <c r="H342" s="10" t="s">
        <v>1151</v>
      </c>
      <c r="I342" s="10" t="s">
        <v>157</v>
      </c>
    </row>
    <row r="343" spans="1:9" x14ac:dyDescent="0.15">
      <c r="A343" s="9">
        <v>342</v>
      </c>
      <c r="B343" s="10" t="s">
        <v>9</v>
      </c>
      <c r="C343" s="10" t="s">
        <v>164</v>
      </c>
      <c r="D343" s="10" t="s">
        <v>165</v>
      </c>
      <c r="E343" s="11" t="str">
        <f>+HYPERLINK("http://trademark.i-assist.jp/data/china/image_1901th/78621457.pdf", "78621457")</f>
        <v>78621457</v>
      </c>
      <c r="F343" s="10" t="s">
        <v>1152</v>
      </c>
      <c r="G343" s="10" t="s">
        <v>1153</v>
      </c>
      <c r="H343" s="10" t="s">
        <v>1154</v>
      </c>
      <c r="I343" s="10" t="s">
        <v>157</v>
      </c>
    </row>
    <row r="344" spans="1:9" x14ac:dyDescent="0.15">
      <c r="A344" s="9">
        <v>343</v>
      </c>
      <c r="B344" s="10" t="s">
        <v>9</v>
      </c>
      <c r="C344" s="10" t="s">
        <v>164</v>
      </c>
      <c r="D344" s="10" t="s">
        <v>165</v>
      </c>
      <c r="E344" s="11" t="str">
        <f>+HYPERLINK("http://trademark.i-assist.jp/data/china/image_1901th/78622957.pdf", "78622957")</f>
        <v>78622957</v>
      </c>
      <c r="F344" s="10" t="s">
        <v>1155</v>
      </c>
      <c r="G344" s="10" t="s">
        <v>1156</v>
      </c>
      <c r="H344" s="10" t="s">
        <v>1157</v>
      </c>
      <c r="I344" s="10" t="s">
        <v>1158</v>
      </c>
    </row>
    <row r="345" spans="1:9" x14ac:dyDescent="0.15">
      <c r="A345" s="9">
        <v>344</v>
      </c>
      <c r="B345" s="10" t="s">
        <v>9</v>
      </c>
      <c r="C345" s="10" t="s">
        <v>164</v>
      </c>
      <c r="D345" s="10" t="s">
        <v>165</v>
      </c>
      <c r="E345" s="11" t="str">
        <f>+HYPERLINK("http://trademark.i-assist.jp/data/china/image_1901th/78623876.pdf", "78623876")</f>
        <v>78623876</v>
      </c>
      <c r="F345" s="10" t="s">
        <v>1159</v>
      </c>
      <c r="G345" s="10" t="s">
        <v>1160</v>
      </c>
      <c r="H345" s="10" t="s">
        <v>1161</v>
      </c>
      <c r="I345" s="10" t="s">
        <v>1158</v>
      </c>
    </row>
    <row r="346" spans="1:9" x14ac:dyDescent="0.15">
      <c r="A346" s="9">
        <v>345</v>
      </c>
      <c r="B346" s="10" t="s">
        <v>9</v>
      </c>
      <c r="C346" s="10" t="s">
        <v>164</v>
      </c>
      <c r="D346" s="10" t="s">
        <v>165</v>
      </c>
      <c r="E346" s="11" t="str">
        <f>+HYPERLINK("http://trademark.i-assist.jp/data/china/image_1901th/78627000.pdf", "78627000")</f>
        <v>78627000</v>
      </c>
      <c r="F346" s="10" t="s">
        <v>1162</v>
      </c>
      <c r="G346" s="10" t="s">
        <v>1163</v>
      </c>
      <c r="H346" s="10" t="s">
        <v>1164</v>
      </c>
      <c r="I346" s="10" t="s">
        <v>1158</v>
      </c>
    </row>
    <row r="347" spans="1:9" x14ac:dyDescent="0.15">
      <c r="A347" s="9">
        <v>346</v>
      </c>
      <c r="B347" s="10" t="s">
        <v>9</v>
      </c>
      <c r="C347" s="10" t="s">
        <v>164</v>
      </c>
      <c r="D347" s="10" t="s">
        <v>165</v>
      </c>
      <c r="E347" s="11" t="str">
        <f>+HYPERLINK("http://trademark.i-assist.jp/data/china/image_1901th/78627267.pdf", "78627267")</f>
        <v>78627267</v>
      </c>
      <c r="F347" s="10" t="s">
        <v>1165</v>
      </c>
      <c r="G347" s="10" t="s">
        <v>1166</v>
      </c>
      <c r="H347" s="10" t="s">
        <v>1167</v>
      </c>
      <c r="I347" s="10" t="s">
        <v>1158</v>
      </c>
    </row>
    <row r="348" spans="1:9" x14ac:dyDescent="0.15">
      <c r="A348" s="9">
        <v>347</v>
      </c>
      <c r="B348" s="10" t="s">
        <v>9</v>
      </c>
      <c r="C348" s="10" t="s">
        <v>164</v>
      </c>
      <c r="D348" s="10" t="s">
        <v>165</v>
      </c>
      <c r="E348" s="11" t="str">
        <f>+HYPERLINK("http://trademark.i-assist.jp/data/china/image_1901th/78627652.pdf", "78627652")</f>
        <v>78627652</v>
      </c>
      <c r="F348" s="10" t="s">
        <v>1168</v>
      </c>
      <c r="G348" s="10" t="s">
        <v>1169</v>
      </c>
      <c r="H348" s="10" t="s">
        <v>1170</v>
      </c>
      <c r="I348" s="10" t="s">
        <v>1158</v>
      </c>
    </row>
    <row r="349" spans="1:9" x14ac:dyDescent="0.15">
      <c r="A349" s="9">
        <v>348</v>
      </c>
      <c r="B349" s="10" t="s">
        <v>9</v>
      </c>
      <c r="C349" s="10" t="s">
        <v>164</v>
      </c>
      <c r="D349" s="10" t="s">
        <v>165</v>
      </c>
      <c r="E349" s="11" t="str">
        <f>+HYPERLINK("http://trademark.i-assist.jp/data/china/image_1901th/78628029.pdf", "78628029")</f>
        <v>78628029</v>
      </c>
      <c r="F349" s="10" t="s">
        <v>1171</v>
      </c>
      <c r="G349" s="10" t="s">
        <v>1172</v>
      </c>
      <c r="H349" s="10" t="s">
        <v>1173</v>
      </c>
      <c r="I349" s="10" t="s">
        <v>1158</v>
      </c>
    </row>
    <row r="350" spans="1:9" x14ac:dyDescent="0.15">
      <c r="A350" s="9">
        <v>349</v>
      </c>
      <c r="B350" s="10" t="s">
        <v>9</v>
      </c>
      <c r="C350" s="10" t="s">
        <v>164</v>
      </c>
      <c r="D350" s="10" t="s">
        <v>165</v>
      </c>
      <c r="E350" s="11" t="str">
        <f>+HYPERLINK("http://trademark.i-assist.jp/data/china/image_1901th/78628367.pdf", "78628367")</f>
        <v>78628367</v>
      </c>
      <c r="F350" s="10" t="s">
        <v>12</v>
      </c>
      <c r="G350" s="10" t="s">
        <v>1174</v>
      </c>
      <c r="H350" s="10" t="s">
        <v>1175</v>
      </c>
      <c r="I350" s="10" t="s">
        <v>1158</v>
      </c>
    </row>
    <row r="351" spans="1:9" x14ac:dyDescent="0.15">
      <c r="A351" s="9">
        <v>350</v>
      </c>
      <c r="B351" s="10" t="s">
        <v>9</v>
      </c>
      <c r="C351" s="10" t="s">
        <v>164</v>
      </c>
      <c r="D351" s="10" t="s">
        <v>165</v>
      </c>
      <c r="E351" s="11" t="str">
        <f>+HYPERLINK("http://trademark.i-assist.jp/data/china/image_1901th/78629105A.pdf", "78629105A")</f>
        <v>78629105A</v>
      </c>
      <c r="F351" s="10" t="s">
        <v>1176</v>
      </c>
      <c r="G351" s="10" t="s">
        <v>1177</v>
      </c>
      <c r="H351" s="10" t="s">
        <v>19</v>
      </c>
      <c r="I351" s="10" t="s">
        <v>1158</v>
      </c>
    </row>
    <row r="352" spans="1:9" x14ac:dyDescent="0.15">
      <c r="A352" s="9">
        <v>351</v>
      </c>
      <c r="B352" s="10" t="s">
        <v>9</v>
      </c>
      <c r="C352" s="10" t="s">
        <v>164</v>
      </c>
      <c r="D352" s="10" t="s">
        <v>165</v>
      </c>
      <c r="E352" s="11" t="str">
        <f>+HYPERLINK("http://trademark.i-assist.jp/data/china/image_1901th/78629173.pdf", "78629173")</f>
        <v>78629173</v>
      </c>
      <c r="F352" s="10" t="s">
        <v>1178</v>
      </c>
      <c r="G352" s="10" t="s">
        <v>1179</v>
      </c>
      <c r="H352" s="10" t="s">
        <v>1180</v>
      </c>
      <c r="I352" s="10" t="s">
        <v>1158</v>
      </c>
    </row>
    <row r="353" spans="1:9" x14ac:dyDescent="0.15">
      <c r="A353" s="9">
        <v>352</v>
      </c>
      <c r="B353" s="10" t="s">
        <v>9</v>
      </c>
      <c r="C353" s="10" t="s">
        <v>164</v>
      </c>
      <c r="D353" s="10" t="s">
        <v>165</v>
      </c>
      <c r="E353" s="11" t="str">
        <f>+HYPERLINK("http://trademark.i-assist.jp/data/china/image_1901th/78629549.pdf", "78629549")</f>
        <v>78629549</v>
      </c>
      <c r="F353" s="10" t="s">
        <v>1181</v>
      </c>
      <c r="G353" s="10" t="s">
        <v>1182</v>
      </c>
      <c r="H353" s="10" t="s">
        <v>1183</v>
      </c>
      <c r="I353" s="10" t="s">
        <v>1158</v>
      </c>
    </row>
    <row r="354" spans="1:9" x14ac:dyDescent="0.15">
      <c r="A354" s="9">
        <v>353</v>
      </c>
      <c r="B354" s="10" t="s">
        <v>9</v>
      </c>
      <c r="C354" s="10" t="s">
        <v>164</v>
      </c>
      <c r="D354" s="10" t="s">
        <v>165</v>
      </c>
      <c r="E354" s="11" t="str">
        <f>+HYPERLINK("http://trademark.i-assist.jp/data/china/image_1901th/78629934.pdf", "78629934")</f>
        <v>78629934</v>
      </c>
      <c r="F354" s="10" t="s">
        <v>1184</v>
      </c>
      <c r="G354" s="10" t="s">
        <v>1185</v>
      </c>
      <c r="H354" s="10" t="s">
        <v>1186</v>
      </c>
      <c r="I354" s="10" t="s">
        <v>1158</v>
      </c>
    </row>
    <row r="355" spans="1:9" x14ac:dyDescent="0.15">
      <c r="A355" s="9">
        <v>354</v>
      </c>
      <c r="B355" s="10" t="s">
        <v>9</v>
      </c>
      <c r="C355" s="10" t="s">
        <v>164</v>
      </c>
      <c r="D355" s="10" t="s">
        <v>165</v>
      </c>
      <c r="E355" s="11" t="str">
        <f>+HYPERLINK("http://trademark.i-assist.jp/data/china/image_1901th/78630221.pdf", "78630221")</f>
        <v>78630221</v>
      </c>
      <c r="F355" s="10" t="s">
        <v>1187</v>
      </c>
      <c r="G355" s="10" t="s">
        <v>1188</v>
      </c>
      <c r="H355" s="10" t="s">
        <v>1189</v>
      </c>
      <c r="I355" s="10" t="s">
        <v>1158</v>
      </c>
    </row>
    <row r="356" spans="1:9" x14ac:dyDescent="0.15">
      <c r="A356" s="9">
        <v>355</v>
      </c>
      <c r="B356" s="10" t="s">
        <v>9</v>
      </c>
      <c r="C356" s="10" t="s">
        <v>164</v>
      </c>
      <c r="D356" s="10" t="s">
        <v>165</v>
      </c>
      <c r="E356" s="11" t="str">
        <f>+HYPERLINK("http://trademark.i-assist.jp/data/china/image_1901th/78632176.pdf", "78632176")</f>
        <v>78632176</v>
      </c>
      <c r="F356" s="10" t="s">
        <v>1190</v>
      </c>
      <c r="G356" s="10" t="s">
        <v>1172</v>
      </c>
      <c r="H356" s="10" t="s">
        <v>1191</v>
      </c>
      <c r="I356" s="10" t="s">
        <v>1158</v>
      </c>
    </row>
    <row r="357" spans="1:9" x14ac:dyDescent="0.15">
      <c r="A357" s="9">
        <v>356</v>
      </c>
      <c r="B357" s="10" t="s">
        <v>9</v>
      </c>
      <c r="C357" s="10" t="s">
        <v>164</v>
      </c>
      <c r="D357" s="10" t="s">
        <v>165</v>
      </c>
      <c r="E357" s="11" t="str">
        <f>+HYPERLINK("http://trademark.i-assist.jp/data/china/image_1901th/78632352.pdf", "78632352")</f>
        <v>78632352</v>
      </c>
      <c r="F357" s="10" t="s">
        <v>1192</v>
      </c>
      <c r="G357" s="10" t="s">
        <v>1160</v>
      </c>
      <c r="H357" s="10" t="s">
        <v>1193</v>
      </c>
      <c r="I357" s="10" t="s">
        <v>1158</v>
      </c>
    </row>
    <row r="358" spans="1:9" x14ac:dyDescent="0.15">
      <c r="A358" s="9">
        <v>357</v>
      </c>
      <c r="B358" s="10" t="s">
        <v>9</v>
      </c>
      <c r="C358" s="10" t="s">
        <v>164</v>
      </c>
      <c r="D358" s="10" t="s">
        <v>165</v>
      </c>
      <c r="E358" s="11" t="str">
        <f>+HYPERLINK("http://trademark.i-assist.jp/data/china/image_1901th/78632749.pdf", "78632749")</f>
        <v>78632749</v>
      </c>
      <c r="F358" s="10" t="s">
        <v>1194</v>
      </c>
      <c r="G358" s="10" t="s">
        <v>1195</v>
      </c>
      <c r="H358" s="10" t="s">
        <v>1196</v>
      </c>
      <c r="I358" s="10" t="s">
        <v>1158</v>
      </c>
    </row>
    <row r="359" spans="1:9" x14ac:dyDescent="0.15">
      <c r="A359" s="9">
        <v>358</v>
      </c>
      <c r="B359" s="10" t="s">
        <v>9</v>
      </c>
      <c r="C359" s="10" t="s">
        <v>164</v>
      </c>
      <c r="D359" s="10" t="s">
        <v>165</v>
      </c>
      <c r="E359" s="11" t="str">
        <f>+HYPERLINK("http://trademark.i-assist.jp/data/china/image_1901th/78632916.pdf", "78632916")</f>
        <v>78632916</v>
      </c>
      <c r="F359" s="10" t="s">
        <v>1197</v>
      </c>
      <c r="G359" s="10" t="s">
        <v>1198</v>
      </c>
      <c r="H359" s="10" t="s">
        <v>1199</v>
      </c>
      <c r="I359" s="10" t="s">
        <v>1158</v>
      </c>
    </row>
    <row r="360" spans="1:9" x14ac:dyDescent="0.15">
      <c r="A360" s="9">
        <v>359</v>
      </c>
      <c r="B360" s="10" t="s">
        <v>9</v>
      </c>
      <c r="C360" s="10" t="s">
        <v>164</v>
      </c>
      <c r="D360" s="10" t="s">
        <v>165</v>
      </c>
      <c r="E360" s="11" t="str">
        <f>+HYPERLINK("http://trademark.i-assist.jp/data/china/image_1901th/78633270.pdf", "78633270")</f>
        <v>78633270</v>
      </c>
      <c r="F360" s="10" t="s">
        <v>1200</v>
      </c>
      <c r="G360" s="10" t="s">
        <v>1201</v>
      </c>
      <c r="H360" s="10" t="s">
        <v>1202</v>
      </c>
      <c r="I360" s="10" t="s">
        <v>1158</v>
      </c>
    </row>
    <row r="361" spans="1:9" x14ac:dyDescent="0.15">
      <c r="A361" s="9">
        <v>360</v>
      </c>
      <c r="B361" s="10" t="s">
        <v>9</v>
      </c>
      <c r="C361" s="10" t="s">
        <v>164</v>
      </c>
      <c r="D361" s="10" t="s">
        <v>165</v>
      </c>
      <c r="E361" s="11" t="str">
        <f>+HYPERLINK("http://trademark.i-assist.jp/data/china/image_1901th/78634031.pdf", "78634031")</f>
        <v>78634031</v>
      </c>
      <c r="F361" s="10" t="s">
        <v>1203</v>
      </c>
      <c r="G361" s="10" t="s">
        <v>1204</v>
      </c>
      <c r="H361" s="10" t="s">
        <v>1205</v>
      </c>
      <c r="I361" s="10" t="s">
        <v>1158</v>
      </c>
    </row>
    <row r="362" spans="1:9" x14ac:dyDescent="0.15">
      <c r="A362" s="9">
        <v>361</v>
      </c>
      <c r="B362" s="10" t="s">
        <v>9</v>
      </c>
      <c r="C362" s="10" t="s">
        <v>164</v>
      </c>
      <c r="D362" s="10" t="s">
        <v>165</v>
      </c>
      <c r="E362" s="11" t="str">
        <f>+HYPERLINK("http://trademark.i-assist.jp/data/china/image_1901th/78635494.pdf", "78635494")</f>
        <v>78635494</v>
      </c>
      <c r="F362" s="10" t="s">
        <v>1206</v>
      </c>
      <c r="G362" s="10" t="s">
        <v>1207</v>
      </c>
      <c r="H362" s="10" t="s">
        <v>1208</v>
      </c>
      <c r="I362" s="10" t="s">
        <v>1158</v>
      </c>
    </row>
    <row r="363" spans="1:9" x14ac:dyDescent="0.15">
      <c r="A363" s="9">
        <v>362</v>
      </c>
      <c r="B363" s="10" t="s">
        <v>9</v>
      </c>
      <c r="C363" s="10" t="s">
        <v>164</v>
      </c>
      <c r="D363" s="10" t="s">
        <v>165</v>
      </c>
      <c r="E363" s="11" t="str">
        <f>+HYPERLINK("http://trademark.i-assist.jp/data/china/image_1901th/78636672.pdf", "78636672")</f>
        <v>78636672</v>
      </c>
      <c r="F363" s="10" t="s">
        <v>1209</v>
      </c>
      <c r="G363" s="10" t="s">
        <v>1210</v>
      </c>
      <c r="H363" s="10" t="s">
        <v>1211</v>
      </c>
      <c r="I363" s="10" t="s">
        <v>1158</v>
      </c>
    </row>
    <row r="364" spans="1:9" x14ac:dyDescent="0.15">
      <c r="A364" s="9">
        <v>363</v>
      </c>
      <c r="B364" s="10" t="s">
        <v>9</v>
      </c>
      <c r="C364" s="10" t="s">
        <v>164</v>
      </c>
      <c r="D364" s="10" t="s">
        <v>165</v>
      </c>
      <c r="E364" s="11" t="str">
        <f>+HYPERLINK("http://trademark.i-assist.jp/data/china/image_1901th/78637621.pdf", "78637621")</f>
        <v>78637621</v>
      </c>
      <c r="F364" s="10" t="s">
        <v>1212</v>
      </c>
      <c r="G364" s="10" t="s">
        <v>1213</v>
      </c>
      <c r="H364" s="10" t="s">
        <v>1214</v>
      </c>
      <c r="I364" s="10" t="s">
        <v>1158</v>
      </c>
    </row>
    <row r="365" spans="1:9" x14ac:dyDescent="0.15">
      <c r="A365" s="9">
        <v>364</v>
      </c>
      <c r="B365" s="10" t="s">
        <v>9</v>
      </c>
      <c r="C365" s="10" t="s">
        <v>164</v>
      </c>
      <c r="D365" s="10" t="s">
        <v>165</v>
      </c>
      <c r="E365" s="11" t="str">
        <f>+HYPERLINK("http://trademark.i-assist.jp/data/china/image_1901th/78638309.pdf", "78638309")</f>
        <v>78638309</v>
      </c>
      <c r="F365" s="10" t="s">
        <v>1215</v>
      </c>
      <c r="G365" s="10" t="s">
        <v>1169</v>
      </c>
      <c r="H365" s="10" t="s">
        <v>1216</v>
      </c>
      <c r="I365" s="10" t="s">
        <v>1158</v>
      </c>
    </row>
    <row r="366" spans="1:9" x14ac:dyDescent="0.15">
      <c r="A366" s="9">
        <v>365</v>
      </c>
      <c r="B366" s="10" t="s">
        <v>9</v>
      </c>
      <c r="C366" s="10" t="s">
        <v>164</v>
      </c>
      <c r="D366" s="10" t="s">
        <v>165</v>
      </c>
      <c r="E366" s="11" t="str">
        <f>+HYPERLINK("http://trademark.i-assist.jp/data/china/image_1901th/78638588.pdf", "78638588")</f>
        <v>78638588</v>
      </c>
      <c r="F366" s="10" t="s">
        <v>1217</v>
      </c>
      <c r="G366" s="10" t="s">
        <v>1160</v>
      </c>
      <c r="H366" s="10" t="s">
        <v>1218</v>
      </c>
      <c r="I366" s="10" t="s">
        <v>1158</v>
      </c>
    </row>
    <row r="367" spans="1:9" x14ac:dyDescent="0.15">
      <c r="A367" s="9">
        <v>366</v>
      </c>
      <c r="B367" s="10" t="s">
        <v>9</v>
      </c>
      <c r="C367" s="10" t="s">
        <v>164</v>
      </c>
      <c r="D367" s="10" t="s">
        <v>165</v>
      </c>
      <c r="E367" s="11" t="str">
        <f>+HYPERLINK("http://trademark.i-assist.jp/data/china/image_1901th/78639407.pdf", "78639407")</f>
        <v>78639407</v>
      </c>
      <c r="F367" s="10" t="s">
        <v>1219</v>
      </c>
      <c r="G367" s="10" t="s">
        <v>1220</v>
      </c>
      <c r="H367" s="10" t="s">
        <v>1221</v>
      </c>
      <c r="I367" s="10" t="s">
        <v>1158</v>
      </c>
    </row>
    <row r="368" spans="1:9" x14ac:dyDescent="0.15">
      <c r="A368" s="9">
        <v>367</v>
      </c>
      <c r="B368" s="10" t="s">
        <v>9</v>
      </c>
      <c r="C368" s="10" t="s">
        <v>164</v>
      </c>
      <c r="D368" s="10" t="s">
        <v>165</v>
      </c>
      <c r="E368" s="11" t="str">
        <f>+HYPERLINK("http://trademark.i-assist.jp/data/china/image_1901th/78639679.pdf", "78639679")</f>
        <v>78639679</v>
      </c>
      <c r="F368" s="10" t="s">
        <v>1222</v>
      </c>
      <c r="G368" s="10" t="s">
        <v>111</v>
      </c>
      <c r="H368" s="10" t="s">
        <v>1223</v>
      </c>
      <c r="I368" s="10" t="s">
        <v>1158</v>
      </c>
    </row>
    <row r="369" spans="1:9" x14ac:dyDescent="0.15">
      <c r="A369" s="9">
        <v>368</v>
      </c>
      <c r="B369" s="10" t="s">
        <v>9</v>
      </c>
      <c r="C369" s="10" t="s">
        <v>164</v>
      </c>
      <c r="D369" s="10" t="s">
        <v>165</v>
      </c>
      <c r="E369" s="11" t="str">
        <f>+HYPERLINK("http://trademark.i-assist.jp/data/china/image_1901th/78641081.pdf", "78641081")</f>
        <v>78641081</v>
      </c>
      <c r="F369" s="10" t="s">
        <v>1224</v>
      </c>
      <c r="G369" s="10" t="s">
        <v>1172</v>
      </c>
      <c r="H369" s="10" t="s">
        <v>1225</v>
      </c>
      <c r="I369" s="10" t="s">
        <v>1158</v>
      </c>
    </row>
    <row r="370" spans="1:9" x14ac:dyDescent="0.15">
      <c r="A370" s="9">
        <v>369</v>
      </c>
      <c r="B370" s="10" t="s">
        <v>9</v>
      </c>
      <c r="C370" s="10" t="s">
        <v>164</v>
      </c>
      <c r="D370" s="10" t="s">
        <v>165</v>
      </c>
      <c r="E370" s="11" t="str">
        <f>+HYPERLINK("http://trademark.i-assist.jp/data/china/image_1901th/78643575.pdf", "78643575")</f>
        <v>78643575</v>
      </c>
      <c r="F370" s="10" t="s">
        <v>1226</v>
      </c>
      <c r="G370" s="10" t="s">
        <v>1227</v>
      </c>
      <c r="H370" s="10" t="s">
        <v>1228</v>
      </c>
      <c r="I370" s="10" t="s">
        <v>1158</v>
      </c>
    </row>
    <row r="371" spans="1:9" x14ac:dyDescent="0.15">
      <c r="A371" s="9">
        <v>370</v>
      </c>
      <c r="B371" s="10" t="s">
        <v>9</v>
      </c>
      <c r="C371" s="10" t="s">
        <v>164</v>
      </c>
      <c r="D371" s="10" t="s">
        <v>165</v>
      </c>
      <c r="E371" s="11" t="str">
        <f>+HYPERLINK("http://trademark.i-assist.jp/data/china/image_1901th/78643582.pdf", "78643582")</f>
        <v>78643582</v>
      </c>
      <c r="F371" s="10" t="s">
        <v>1229</v>
      </c>
      <c r="G371" s="10" t="s">
        <v>1230</v>
      </c>
      <c r="H371" s="10" t="s">
        <v>1231</v>
      </c>
      <c r="I371" s="10" t="s">
        <v>1158</v>
      </c>
    </row>
    <row r="372" spans="1:9" x14ac:dyDescent="0.15">
      <c r="A372" s="9">
        <v>371</v>
      </c>
      <c r="B372" s="10" t="s">
        <v>9</v>
      </c>
      <c r="C372" s="10" t="s">
        <v>164</v>
      </c>
      <c r="D372" s="10" t="s">
        <v>165</v>
      </c>
      <c r="E372" s="11" t="str">
        <f>+HYPERLINK("http://trademark.i-assist.jp/data/china/image_1901th/78643979.pdf", "78643979")</f>
        <v>78643979</v>
      </c>
      <c r="F372" s="10" t="s">
        <v>1232</v>
      </c>
      <c r="G372" s="10" t="s">
        <v>1233</v>
      </c>
      <c r="H372" s="10" t="s">
        <v>1234</v>
      </c>
      <c r="I372" s="10" t="s">
        <v>1158</v>
      </c>
    </row>
    <row r="373" spans="1:9" x14ac:dyDescent="0.15">
      <c r="A373" s="9">
        <v>372</v>
      </c>
      <c r="B373" s="10" t="s">
        <v>9</v>
      </c>
      <c r="C373" s="10" t="s">
        <v>164</v>
      </c>
      <c r="D373" s="10" t="s">
        <v>165</v>
      </c>
      <c r="E373" s="11" t="str">
        <f>+HYPERLINK("http://trademark.i-assist.jp/data/china/image_1901th/78644139.pdf", "78644139")</f>
        <v>78644139</v>
      </c>
      <c r="F373" s="10" t="s">
        <v>1235</v>
      </c>
      <c r="G373" s="10" t="s">
        <v>1236</v>
      </c>
      <c r="H373" s="10" t="s">
        <v>1237</v>
      </c>
      <c r="I373" s="10" t="s">
        <v>1158</v>
      </c>
    </row>
    <row r="374" spans="1:9" x14ac:dyDescent="0.15">
      <c r="A374" s="9">
        <v>373</v>
      </c>
      <c r="B374" s="10" t="s">
        <v>9</v>
      </c>
      <c r="C374" s="10" t="s">
        <v>164</v>
      </c>
      <c r="D374" s="10" t="s">
        <v>165</v>
      </c>
      <c r="E374" s="11" t="str">
        <f>+HYPERLINK("http://trademark.i-assist.jp/data/china/image_1901th/78645134.pdf", "78645134")</f>
        <v>78645134</v>
      </c>
      <c r="F374" s="10" t="s">
        <v>1238</v>
      </c>
      <c r="G374" s="10" t="s">
        <v>1185</v>
      </c>
      <c r="H374" s="10" t="s">
        <v>1239</v>
      </c>
      <c r="I374" s="10" t="s">
        <v>1158</v>
      </c>
    </row>
    <row r="375" spans="1:9" x14ac:dyDescent="0.15">
      <c r="A375" s="9">
        <v>374</v>
      </c>
      <c r="B375" s="10" t="s">
        <v>9</v>
      </c>
      <c r="C375" s="10" t="s">
        <v>164</v>
      </c>
      <c r="D375" s="10" t="s">
        <v>165</v>
      </c>
      <c r="E375" s="11" t="str">
        <f>+HYPERLINK("http://trademark.i-assist.jp/data/china/image_1901th/78645207.pdf", "78645207")</f>
        <v>78645207</v>
      </c>
      <c r="F375" s="10" t="s">
        <v>1240</v>
      </c>
      <c r="G375" s="10" t="s">
        <v>1241</v>
      </c>
      <c r="H375" s="10" t="s">
        <v>27</v>
      </c>
      <c r="I375" s="10" t="s">
        <v>1158</v>
      </c>
    </row>
    <row r="376" spans="1:9" x14ac:dyDescent="0.15">
      <c r="A376" s="9">
        <v>375</v>
      </c>
      <c r="B376" s="10" t="s">
        <v>9</v>
      </c>
      <c r="C376" s="10" t="s">
        <v>164</v>
      </c>
      <c r="D376" s="10" t="s">
        <v>165</v>
      </c>
      <c r="E376" s="11" t="str">
        <f>+HYPERLINK("http://trademark.i-assist.jp/data/china/image_1901th/78645875.pdf", "78645875")</f>
        <v>78645875</v>
      </c>
      <c r="F376" s="10" t="s">
        <v>1242</v>
      </c>
      <c r="G376" s="10" t="s">
        <v>1243</v>
      </c>
      <c r="H376" s="10" t="s">
        <v>1244</v>
      </c>
      <c r="I376" s="10" t="s">
        <v>1158</v>
      </c>
    </row>
    <row r="377" spans="1:9" x14ac:dyDescent="0.15">
      <c r="A377" s="9">
        <v>376</v>
      </c>
      <c r="B377" s="10" t="s">
        <v>9</v>
      </c>
      <c r="C377" s="10" t="s">
        <v>164</v>
      </c>
      <c r="D377" s="10" t="s">
        <v>165</v>
      </c>
      <c r="E377" s="11" t="str">
        <f>+HYPERLINK("http://trademark.i-assist.jp/data/china/image_1901th/78646334.pdf", "78646334")</f>
        <v>78646334</v>
      </c>
      <c r="F377" s="10" t="s">
        <v>1245</v>
      </c>
      <c r="G377" s="10" t="s">
        <v>1185</v>
      </c>
      <c r="H377" s="10" t="s">
        <v>1246</v>
      </c>
      <c r="I377" s="10" t="s">
        <v>1158</v>
      </c>
    </row>
    <row r="378" spans="1:9" x14ac:dyDescent="0.15">
      <c r="A378" s="9">
        <v>377</v>
      </c>
      <c r="B378" s="10" t="s">
        <v>9</v>
      </c>
      <c r="C378" s="10" t="s">
        <v>164</v>
      </c>
      <c r="D378" s="10" t="s">
        <v>165</v>
      </c>
      <c r="E378" s="11" t="str">
        <f>+HYPERLINK("http://trademark.i-assist.jp/data/china/image_1901th/78646517.pdf", "78646517")</f>
        <v>78646517</v>
      </c>
      <c r="F378" s="10" t="s">
        <v>1247</v>
      </c>
      <c r="G378" s="10" t="s">
        <v>1220</v>
      </c>
      <c r="H378" s="10" t="s">
        <v>1248</v>
      </c>
      <c r="I378" s="10" t="s">
        <v>1158</v>
      </c>
    </row>
    <row r="379" spans="1:9" x14ac:dyDescent="0.15">
      <c r="A379" s="9">
        <v>378</v>
      </c>
      <c r="B379" s="10" t="s">
        <v>9</v>
      </c>
      <c r="C379" s="10" t="s">
        <v>164</v>
      </c>
      <c r="D379" s="10" t="s">
        <v>165</v>
      </c>
      <c r="E379" s="11" t="str">
        <f>+HYPERLINK("http://trademark.i-assist.jp/data/china/image_1901th/78646716.pdf", "78646716")</f>
        <v>78646716</v>
      </c>
      <c r="F379" s="10" t="s">
        <v>1249</v>
      </c>
      <c r="G379" s="10" t="s">
        <v>1250</v>
      </c>
      <c r="H379" s="10" t="s">
        <v>1251</v>
      </c>
      <c r="I379" s="10" t="s">
        <v>1158</v>
      </c>
    </row>
    <row r="380" spans="1:9" x14ac:dyDescent="0.15">
      <c r="A380" s="9">
        <v>379</v>
      </c>
      <c r="B380" s="10" t="s">
        <v>9</v>
      </c>
      <c r="C380" s="10" t="s">
        <v>164</v>
      </c>
      <c r="D380" s="10" t="s">
        <v>165</v>
      </c>
      <c r="E380" s="11" t="str">
        <f>+HYPERLINK("http://trademark.i-assist.jp/data/china/image_1901th/78646904.pdf", "78646904")</f>
        <v>78646904</v>
      </c>
      <c r="F380" s="10" t="s">
        <v>1252</v>
      </c>
      <c r="G380" s="10" t="s">
        <v>1253</v>
      </c>
      <c r="H380" s="10" t="s">
        <v>1254</v>
      </c>
      <c r="I380" s="10" t="s">
        <v>1158</v>
      </c>
    </row>
    <row r="381" spans="1:9" x14ac:dyDescent="0.15">
      <c r="A381" s="9">
        <v>380</v>
      </c>
      <c r="B381" s="10" t="s">
        <v>9</v>
      </c>
      <c r="C381" s="10" t="s">
        <v>164</v>
      </c>
      <c r="D381" s="10" t="s">
        <v>165</v>
      </c>
      <c r="E381" s="11" t="str">
        <f>+HYPERLINK("http://trademark.i-assist.jp/data/china/image_1901th/78647257.pdf", "78647257")</f>
        <v>78647257</v>
      </c>
      <c r="F381" s="10" t="s">
        <v>1255</v>
      </c>
      <c r="G381" s="10" t="s">
        <v>1198</v>
      </c>
      <c r="H381" s="10" t="s">
        <v>1256</v>
      </c>
      <c r="I381" s="10" t="s">
        <v>1158</v>
      </c>
    </row>
    <row r="382" spans="1:9" x14ac:dyDescent="0.15">
      <c r="A382" s="9">
        <v>381</v>
      </c>
      <c r="B382" s="10" t="s">
        <v>9</v>
      </c>
      <c r="C382" s="10" t="s">
        <v>164</v>
      </c>
      <c r="D382" s="10" t="s">
        <v>165</v>
      </c>
      <c r="E382" s="11" t="str">
        <f>+HYPERLINK("http://trademark.i-assist.jp/data/china/image_1901th/78647306.pdf", "78647306")</f>
        <v>78647306</v>
      </c>
      <c r="F382" s="10" t="s">
        <v>1257</v>
      </c>
      <c r="G382" s="10" t="s">
        <v>1258</v>
      </c>
      <c r="H382" s="10" t="s">
        <v>1259</v>
      </c>
      <c r="I382" s="10" t="s">
        <v>1158</v>
      </c>
    </row>
    <row r="383" spans="1:9" x14ac:dyDescent="0.15">
      <c r="A383" s="9">
        <v>382</v>
      </c>
      <c r="B383" s="10" t="s">
        <v>9</v>
      </c>
      <c r="C383" s="10" t="s">
        <v>164</v>
      </c>
      <c r="D383" s="10" t="s">
        <v>165</v>
      </c>
      <c r="E383" s="11" t="str">
        <f>+HYPERLINK("http://trademark.i-assist.jp/data/china/image_1901th/78648170.pdf", "78648170")</f>
        <v>78648170</v>
      </c>
      <c r="F383" s="10" t="s">
        <v>1260</v>
      </c>
      <c r="G383" s="10" t="s">
        <v>1261</v>
      </c>
      <c r="H383" s="10" t="s">
        <v>1262</v>
      </c>
      <c r="I383" s="10" t="s">
        <v>1158</v>
      </c>
    </row>
    <row r="384" spans="1:9" x14ac:dyDescent="0.15">
      <c r="A384" s="9">
        <v>383</v>
      </c>
      <c r="B384" s="10" t="s">
        <v>9</v>
      </c>
      <c r="C384" s="10" t="s">
        <v>164</v>
      </c>
      <c r="D384" s="10" t="s">
        <v>165</v>
      </c>
      <c r="E384" s="11" t="str">
        <f>+HYPERLINK("http://trademark.i-assist.jp/data/china/image_1901th/78648277.pdf", "78648277")</f>
        <v>78648277</v>
      </c>
      <c r="F384" s="10" t="s">
        <v>1263</v>
      </c>
      <c r="G384" s="10" t="s">
        <v>1264</v>
      </c>
      <c r="H384" s="10" t="s">
        <v>1265</v>
      </c>
      <c r="I384" s="10" t="s">
        <v>1158</v>
      </c>
    </row>
    <row r="385" spans="1:9" x14ac:dyDescent="0.15">
      <c r="A385" s="9">
        <v>384</v>
      </c>
      <c r="B385" s="10" t="s">
        <v>9</v>
      </c>
      <c r="C385" s="10" t="s">
        <v>164</v>
      </c>
      <c r="D385" s="10" t="s">
        <v>165</v>
      </c>
      <c r="E385" s="11" t="str">
        <f>+HYPERLINK("http://trademark.i-assist.jp/data/china/image_1901th/78648485.pdf", "78648485")</f>
        <v>78648485</v>
      </c>
      <c r="F385" s="10" t="s">
        <v>1266</v>
      </c>
      <c r="G385" s="10" t="s">
        <v>1267</v>
      </c>
      <c r="H385" s="10" t="s">
        <v>1268</v>
      </c>
      <c r="I385" s="10" t="s">
        <v>1158</v>
      </c>
    </row>
    <row r="386" spans="1:9" x14ac:dyDescent="0.15">
      <c r="A386" s="9">
        <v>385</v>
      </c>
      <c r="B386" s="10" t="s">
        <v>9</v>
      </c>
      <c r="C386" s="10" t="s">
        <v>164</v>
      </c>
      <c r="D386" s="10" t="s">
        <v>165</v>
      </c>
      <c r="E386" s="11" t="str">
        <f>+HYPERLINK("http://trademark.i-assist.jp/data/china/image_1901th/78648757.pdf", "78648757")</f>
        <v>78648757</v>
      </c>
      <c r="F386" s="10" t="s">
        <v>1269</v>
      </c>
      <c r="G386" s="10" t="s">
        <v>1270</v>
      </c>
      <c r="H386" s="10" t="s">
        <v>1271</v>
      </c>
      <c r="I386" s="10" t="s">
        <v>1158</v>
      </c>
    </row>
    <row r="387" spans="1:9" x14ac:dyDescent="0.15">
      <c r="A387" s="9">
        <v>386</v>
      </c>
      <c r="B387" s="10" t="s">
        <v>9</v>
      </c>
      <c r="C387" s="10" t="s">
        <v>164</v>
      </c>
      <c r="D387" s="10" t="s">
        <v>165</v>
      </c>
      <c r="E387" s="11" t="str">
        <f>+HYPERLINK("http://trademark.i-assist.jp/data/china/image_1901th/78649490.pdf", "78649490")</f>
        <v>78649490</v>
      </c>
      <c r="F387" s="10" t="s">
        <v>1272</v>
      </c>
      <c r="G387" s="10" t="s">
        <v>1204</v>
      </c>
      <c r="H387" s="10" t="s">
        <v>1273</v>
      </c>
      <c r="I387" s="10" t="s">
        <v>1158</v>
      </c>
    </row>
    <row r="388" spans="1:9" x14ac:dyDescent="0.15">
      <c r="A388" s="9">
        <v>387</v>
      </c>
      <c r="B388" s="10" t="s">
        <v>9</v>
      </c>
      <c r="C388" s="10" t="s">
        <v>164</v>
      </c>
      <c r="D388" s="10" t="s">
        <v>165</v>
      </c>
      <c r="E388" s="11" t="str">
        <f>+HYPERLINK("http://trademark.i-assist.jp/data/china/image_1901th/78649552.pdf", "78649552")</f>
        <v>78649552</v>
      </c>
      <c r="F388" s="10" t="s">
        <v>1274</v>
      </c>
      <c r="G388" s="10" t="s">
        <v>1275</v>
      </c>
      <c r="H388" s="10" t="s">
        <v>1276</v>
      </c>
      <c r="I388" s="10" t="s">
        <v>1158</v>
      </c>
    </row>
    <row r="389" spans="1:9" x14ac:dyDescent="0.15">
      <c r="A389" s="9">
        <v>388</v>
      </c>
      <c r="B389" s="10" t="s">
        <v>9</v>
      </c>
      <c r="C389" s="10" t="s">
        <v>164</v>
      </c>
      <c r="D389" s="10" t="s">
        <v>165</v>
      </c>
      <c r="E389" s="11" t="str">
        <f>+HYPERLINK("http://trademark.i-assist.jp/data/china/image_1901th/78649974.pdf", "78649974")</f>
        <v>78649974</v>
      </c>
      <c r="F389" s="10" t="s">
        <v>1277</v>
      </c>
      <c r="G389" s="10" t="s">
        <v>1278</v>
      </c>
      <c r="H389" s="10" t="s">
        <v>1279</v>
      </c>
      <c r="I389" s="10" t="s">
        <v>1158</v>
      </c>
    </row>
    <row r="390" spans="1:9" x14ac:dyDescent="0.15">
      <c r="A390" s="9">
        <v>389</v>
      </c>
      <c r="B390" s="10" t="s">
        <v>9</v>
      </c>
      <c r="C390" s="10" t="s">
        <v>164</v>
      </c>
      <c r="D390" s="10" t="s">
        <v>165</v>
      </c>
      <c r="E390" s="11" t="str">
        <f>+HYPERLINK("http://trademark.i-assist.jp/data/china/image_1901th/78650135.pdf", "78650135")</f>
        <v>78650135</v>
      </c>
      <c r="F390" s="10" t="s">
        <v>1280</v>
      </c>
      <c r="G390" s="10" t="s">
        <v>1281</v>
      </c>
      <c r="H390" s="10" t="s">
        <v>1282</v>
      </c>
      <c r="I390" s="10" t="s">
        <v>1158</v>
      </c>
    </row>
    <row r="391" spans="1:9" x14ac:dyDescent="0.15">
      <c r="A391" s="9">
        <v>390</v>
      </c>
      <c r="B391" s="10" t="s">
        <v>9</v>
      </c>
      <c r="C391" s="10" t="s">
        <v>164</v>
      </c>
      <c r="D391" s="10" t="s">
        <v>165</v>
      </c>
      <c r="E391" s="11" t="str">
        <f>+HYPERLINK("http://trademark.i-assist.jp/data/china/image_1901th/78650227.pdf", "78650227")</f>
        <v>78650227</v>
      </c>
      <c r="F391" s="10" t="s">
        <v>1283</v>
      </c>
      <c r="G391" s="10" t="s">
        <v>1284</v>
      </c>
      <c r="H391" s="10" t="s">
        <v>1285</v>
      </c>
      <c r="I391" s="10" t="s">
        <v>1158</v>
      </c>
    </row>
    <row r="392" spans="1:9" x14ac:dyDescent="0.15">
      <c r="A392" s="9">
        <v>391</v>
      </c>
      <c r="B392" s="10" t="s">
        <v>9</v>
      </c>
      <c r="C392" s="10" t="s">
        <v>164</v>
      </c>
      <c r="D392" s="10" t="s">
        <v>165</v>
      </c>
      <c r="E392" s="11" t="str">
        <f>+HYPERLINK("http://trademark.i-assist.jp/data/china/image_1901th/78650558.pdf", "78650558")</f>
        <v>78650558</v>
      </c>
      <c r="F392" s="10" t="s">
        <v>1286</v>
      </c>
      <c r="G392" s="10" t="s">
        <v>1169</v>
      </c>
      <c r="H392" s="10" t="s">
        <v>1287</v>
      </c>
      <c r="I392" s="10" t="s">
        <v>1158</v>
      </c>
    </row>
    <row r="393" spans="1:9" x14ac:dyDescent="0.15">
      <c r="A393" s="9">
        <v>392</v>
      </c>
      <c r="B393" s="10" t="s">
        <v>9</v>
      </c>
      <c r="C393" s="10" t="s">
        <v>164</v>
      </c>
      <c r="D393" s="10" t="s">
        <v>165</v>
      </c>
      <c r="E393" s="11" t="str">
        <f>+HYPERLINK("http://trademark.i-assist.jp/data/china/image_1901th/78651602.pdf", "78651602")</f>
        <v>78651602</v>
      </c>
      <c r="F393" s="10" t="s">
        <v>1288</v>
      </c>
      <c r="G393" s="10" t="s">
        <v>1289</v>
      </c>
      <c r="H393" s="10" t="s">
        <v>1290</v>
      </c>
      <c r="I393" s="10" t="s">
        <v>1291</v>
      </c>
    </row>
    <row r="394" spans="1:9" x14ac:dyDescent="0.15">
      <c r="A394" s="9">
        <v>393</v>
      </c>
      <c r="B394" s="10" t="s">
        <v>9</v>
      </c>
      <c r="C394" s="10" t="s">
        <v>164</v>
      </c>
      <c r="D394" s="10" t="s">
        <v>165</v>
      </c>
      <c r="E394" s="11" t="str">
        <f>+HYPERLINK("http://trademark.i-assist.jp/data/china/image_1901th/78651996.pdf", "78651996")</f>
        <v>78651996</v>
      </c>
      <c r="F394" s="10" t="s">
        <v>1292</v>
      </c>
      <c r="G394" s="10" t="s">
        <v>1293</v>
      </c>
      <c r="H394" s="10" t="s">
        <v>1294</v>
      </c>
      <c r="I394" s="10" t="s">
        <v>1291</v>
      </c>
    </row>
    <row r="395" spans="1:9" x14ac:dyDescent="0.15">
      <c r="A395" s="9">
        <v>394</v>
      </c>
      <c r="B395" s="10" t="s">
        <v>9</v>
      </c>
      <c r="C395" s="10" t="s">
        <v>164</v>
      </c>
      <c r="D395" s="10" t="s">
        <v>165</v>
      </c>
      <c r="E395" s="11" t="str">
        <f>+HYPERLINK("http://trademark.i-assist.jp/data/china/image_1901th/78654017.pdf", "78654017")</f>
        <v>78654017</v>
      </c>
      <c r="F395" s="10" t="s">
        <v>1295</v>
      </c>
      <c r="G395" s="10" t="s">
        <v>1296</v>
      </c>
      <c r="H395" s="10" t="s">
        <v>1297</v>
      </c>
      <c r="I395" s="10" t="s">
        <v>1291</v>
      </c>
    </row>
    <row r="396" spans="1:9" x14ac:dyDescent="0.15">
      <c r="A396" s="9">
        <v>395</v>
      </c>
      <c r="B396" s="10" t="s">
        <v>9</v>
      </c>
      <c r="C396" s="10" t="s">
        <v>164</v>
      </c>
      <c r="D396" s="10" t="s">
        <v>165</v>
      </c>
      <c r="E396" s="11" t="str">
        <f>+HYPERLINK("http://trademark.i-assist.jp/data/china/image_1901th/78654130.pdf", "78654130")</f>
        <v>78654130</v>
      </c>
      <c r="F396" s="10" t="s">
        <v>1298</v>
      </c>
      <c r="G396" s="10" t="s">
        <v>1299</v>
      </c>
      <c r="H396" s="10" t="s">
        <v>1300</v>
      </c>
      <c r="I396" s="10" t="s">
        <v>1291</v>
      </c>
    </row>
    <row r="397" spans="1:9" x14ac:dyDescent="0.15">
      <c r="A397" s="9">
        <v>396</v>
      </c>
      <c r="B397" s="10" t="s">
        <v>9</v>
      </c>
      <c r="C397" s="10" t="s">
        <v>164</v>
      </c>
      <c r="D397" s="10" t="s">
        <v>165</v>
      </c>
      <c r="E397" s="11" t="str">
        <f>+HYPERLINK("http://trademark.i-assist.jp/data/china/image_1901th/78657824.pdf", "78657824")</f>
        <v>78657824</v>
      </c>
      <c r="F397" s="10" t="s">
        <v>1301</v>
      </c>
      <c r="G397" s="10" t="s">
        <v>1302</v>
      </c>
      <c r="H397" s="10" t="s">
        <v>1303</v>
      </c>
      <c r="I397" s="10" t="s">
        <v>1291</v>
      </c>
    </row>
    <row r="398" spans="1:9" x14ac:dyDescent="0.15">
      <c r="A398" s="9">
        <v>397</v>
      </c>
      <c r="B398" s="10" t="s">
        <v>9</v>
      </c>
      <c r="C398" s="10" t="s">
        <v>164</v>
      </c>
      <c r="D398" s="10" t="s">
        <v>165</v>
      </c>
      <c r="E398" s="11" t="str">
        <f>+HYPERLINK("http://trademark.i-assist.jp/data/china/image_1901th/78658522.pdf", "78658522")</f>
        <v>78658522</v>
      </c>
      <c r="F398" s="10" t="s">
        <v>1304</v>
      </c>
      <c r="G398" s="10" t="s">
        <v>1305</v>
      </c>
      <c r="H398" s="10" t="s">
        <v>1306</v>
      </c>
      <c r="I398" s="10" t="s">
        <v>1291</v>
      </c>
    </row>
    <row r="399" spans="1:9" x14ac:dyDescent="0.15">
      <c r="A399" s="9">
        <v>398</v>
      </c>
      <c r="B399" s="10" t="s">
        <v>9</v>
      </c>
      <c r="C399" s="10" t="s">
        <v>164</v>
      </c>
      <c r="D399" s="10" t="s">
        <v>165</v>
      </c>
      <c r="E399" s="11" t="str">
        <f>+HYPERLINK("http://trademark.i-assist.jp/data/china/image_1901th/78658555.pdf", "78658555")</f>
        <v>78658555</v>
      </c>
      <c r="F399" s="10" t="s">
        <v>1307</v>
      </c>
      <c r="G399" s="10" t="s">
        <v>1308</v>
      </c>
      <c r="H399" s="10" t="s">
        <v>1309</v>
      </c>
      <c r="I399" s="10" t="s">
        <v>1291</v>
      </c>
    </row>
    <row r="400" spans="1:9" x14ac:dyDescent="0.15">
      <c r="A400" s="9">
        <v>399</v>
      </c>
      <c r="B400" s="10" t="s">
        <v>9</v>
      </c>
      <c r="C400" s="10" t="s">
        <v>164</v>
      </c>
      <c r="D400" s="10" t="s">
        <v>165</v>
      </c>
      <c r="E400" s="11" t="str">
        <f>+HYPERLINK("http://trademark.i-assist.jp/data/china/image_1901th/78661088.pdf", "78661088")</f>
        <v>78661088</v>
      </c>
      <c r="F400" s="10" t="s">
        <v>1310</v>
      </c>
      <c r="G400" s="10" t="s">
        <v>1311</v>
      </c>
      <c r="H400" s="10" t="s">
        <v>1312</v>
      </c>
      <c r="I400" s="10" t="s">
        <v>1291</v>
      </c>
    </row>
    <row r="401" spans="1:9" x14ac:dyDescent="0.15">
      <c r="A401" s="9">
        <v>400</v>
      </c>
      <c r="B401" s="10" t="s">
        <v>9</v>
      </c>
      <c r="C401" s="10" t="s">
        <v>164</v>
      </c>
      <c r="D401" s="10" t="s">
        <v>165</v>
      </c>
      <c r="E401" s="11" t="str">
        <f>+HYPERLINK("http://trademark.i-assist.jp/data/china/image_1901th/78661596.pdf", "78661596")</f>
        <v>78661596</v>
      </c>
      <c r="F401" s="10" t="s">
        <v>1313</v>
      </c>
      <c r="G401" s="10" t="s">
        <v>1314</v>
      </c>
      <c r="H401" s="10" t="s">
        <v>1315</v>
      </c>
      <c r="I401" s="10" t="s">
        <v>1291</v>
      </c>
    </row>
    <row r="402" spans="1:9" x14ac:dyDescent="0.15">
      <c r="A402" s="9">
        <v>401</v>
      </c>
      <c r="B402" s="10" t="s">
        <v>9</v>
      </c>
      <c r="C402" s="10" t="s">
        <v>164</v>
      </c>
      <c r="D402" s="10" t="s">
        <v>165</v>
      </c>
      <c r="E402" s="11" t="str">
        <f>+HYPERLINK("http://trademark.i-assist.jp/data/china/image_1901th/78662238.pdf", "78662238")</f>
        <v>78662238</v>
      </c>
      <c r="F402" s="10" t="s">
        <v>1316</v>
      </c>
      <c r="G402" s="10" t="s">
        <v>1317</v>
      </c>
      <c r="H402" s="10" t="s">
        <v>1318</v>
      </c>
      <c r="I402" s="10" t="s">
        <v>1291</v>
      </c>
    </row>
    <row r="403" spans="1:9" x14ac:dyDescent="0.15">
      <c r="A403" s="9">
        <v>402</v>
      </c>
      <c r="B403" s="10" t="s">
        <v>9</v>
      </c>
      <c r="C403" s="10" t="s">
        <v>164</v>
      </c>
      <c r="D403" s="10" t="s">
        <v>165</v>
      </c>
      <c r="E403" s="11" t="str">
        <f>+HYPERLINK("http://trademark.i-assist.jp/data/china/image_1901th/78664753.pdf", "78664753")</f>
        <v>78664753</v>
      </c>
      <c r="F403" s="10" t="s">
        <v>1319</v>
      </c>
      <c r="G403" s="10" t="s">
        <v>1320</v>
      </c>
      <c r="H403" s="10" t="s">
        <v>1321</v>
      </c>
      <c r="I403" s="10" t="s">
        <v>1291</v>
      </c>
    </row>
    <row r="404" spans="1:9" x14ac:dyDescent="0.15">
      <c r="A404" s="9">
        <v>403</v>
      </c>
      <c r="B404" s="10" t="s">
        <v>9</v>
      </c>
      <c r="C404" s="10" t="s">
        <v>164</v>
      </c>
      <c r="D404" s="10" t="s">
        <v>165</v>
      </c>
      <c r="E404" s="11" t="str">
        <f>+HYPERLINK("http://trademark.i-assist.jp/data/china/image_1901th/78665953.pdf", "78665953")</f>
        <v>78665953</v>
      </c>
      <c r="F404" s="10" t="s">
        <v>1322</v>
      </c>
      <c r="G404" s="10" t="s">
        <v>1323</v>
      </c>
      <c r="H404" s="10" t="s">
        <v>27</v>
      </c>
      <c r="I404" s="10" t="s">
        <v>1291</v>
      </c>
    </row>
    <row r="405" spans="1:9" x14ac:dyDescent="0.15">
      <c r="A405" s="9">
        <v>404</v>
      </c>
      <c r="B405" s="10" t="s">
        <v>9</v>
      </c>
      <c r="C405" s="10" t="s">
        <v>164</v>
      </c>
      <c r="D405" s="10" t="s">
        <v>165</v>
      </c>
      <c r="E405" s="11" t="str">
        <f>+HYPERLINK("http://trademark.i-assist.jp/data/china/image_1901th/78666527.pdf", "78666527")</f>
        <v>78666527</v>
      </c>
      <c r="F405" s="10" t="s">
        <v>1324</v>
      </c>
      <c r="G405" s="10" t="s">
        <v>1325</v>
      </c>
      <c r="H405" s="10" t="s">
        <v>1326</v>
      </c>
      <c r="I405" s="10" t="s">
        <v>1291</v>
      </c>
    </row>
    <row r="406" spans="1:9" x14ac:dyDescent="0.15">
      <c r="A406" s="9">
        <v>405</v>
      </c>
      <c r="B406" s="10" t="s">
        <v>9</v>
      </c>
      <c r="C406" s="10" t="s">
        <v>164</v>
      </c>
      <c r="D406" s="10" t="s">
        <v>165</v>
      </c>
      <c r="E406" s="11" t="str">
        <f>+HYPERLINK("http://trademark.i-assist.jp/data/china/image_1901th/78667910.pdf", "78667910")</f>
        <v>78667910</v>
      </c>
      <c r="F406" s="10" t="s">
        <v>1327</v>
      </c>
      <c r="G406" s="10" t="s">
        <v>1328</v>
      </c>
      <c r="H406" s="10" t="s">
        <v>1329</v>
      </c>
      <c r="I406" s="10" t="s">
        <v>1291</v>
      </c>
    </row>
    <row r="407" spans="1:9" x14ac:dyDescent="0.15">
      <c r="A407" s="9">
        <v>406</v>
      </c>
      <c r="B407" s="10" t="s">
        <v>9</v>
      </c>
      <c r="C407" s="10" t="s">
        <v>164</v>
      </c>
      <c r="D407" s="10" t="s">
        <v>165</v>
      </c>
      <c r="E407" s="11" t="str">
        <f>+HYPERLINK("http://trademark.i-assist.jp/data/china/image_1901th/78669852.pdf", "78669852")</f>
        <v>78669852</v>
      </c>
      <c r="F407" s="10" t="s">
        <v>1330</v>
      </c>
      <c r="G407" s="10" t="s">
        <v>1331</v>
      </c>
      <c r="H407" s="10" t="s">
        <v>1332</v>
      </c>
      <c r="I407" s="10" t="s">
        <v>1291</v>
      </c>
    </row>
    <row r="408" spans="1:9" x14ac:dyDescent="0.15">
      <c r="A408" s="9">
        <v>407</v>
      </c>
      <c r="B408" s="10" t="s">
        <v>9</v>
      </c>
      <c r="C408" s="10" t="s">
        <v>164</v>
      </c>
      <c r="D408" s="10" t="s">
        <v>165</v>
      </c>
      <c r="E408" s="11" t="str">
        <f>+HYPERLINK("http://trademark.i-assist.jp/data/china/image_1901th/78670056.pdf", "78670056")</f>
        <v>78670056</v>
      </c>
      <c r="F408" s="10" t="s">
        <v>1333</v>
      </c>
      <c r="G408" s="10" t="s">
        <v>1334</v>
      </c>
      <c r="H408" s="10" t="s">
        <v>1335</v>
      </c>
      <c r="I408" s="10" t="s">
        <v>1291</v>
      </c>
    </row>
    <row r="409" spans="1:9" x14ac:dyDescent="0.15">
      <c r="A409" s="9">
        <v>408</v>
      </c>
      <c r="B409" s="10" t="s">
        <v>9</v>
      </c>
      <c r="C409" s="10" t="s">
        <v>164</v>
      </c>
      <c r="D409" s="10" t="s">
        <v>165</v>
      </c>
      <c r="E409" s="11" t="str">
        <f>+HYPERLINK("http://trademark.i-assist.jp/data/china/image_1901th/78670112.pdf", "78670112")</f>
        <v>78670112</v>
      </c>
      <c r="F409" s="10" t="s">
        <v>1336</v>
      </c>
      <c r="G409" s="10" t="s">
        <v>1337</v>
      </c>
      <c r="H409" s="10" t="s">
        <v>1338</v>
      </c>
      <c r="I409" s="10" t="s">
        <v>1291</v>
      </c>
    </row>
    <row r="410" spans="1:9" x14ac:dyDescent="0.15">
      <c r="A410" s="9">
        <v>409</v>
      </c>
      <c r="B410" s="10" t="s">
        <v>9</v>
      </c>
      <c r="C410" s="10" t="s">
        <v>164</v>
      </c>
      <c r="D410" s="10" t="s">
        <v>165</v>
      </c>
      <c r="E410" s="11" t="str">
        <f>+HYPERLINK("http://trademark.i-assist.jp/data/china/image_1901th/78670168.pdf", "78670168")</f>
        <v>78670168</v>
      </c>
      <c r="F410" s="10" t="s">
        <v>1339</v>
      </c>
      <c r="G410" s="10" t="s">
        <v>1337</v>
      </c>
      <c r="H410" s="10" t="s">
        <v>1340</v>
      </c>
      <c r="I410" s="10" t="s">
        <v>1291</v>
      </c>
    </row>
    <row r="411" spans="1:9" x14ac:dyDescent="0.15">
      <c r="A411" s="9">
        <v>410</v>
      </c>
      <c r="B411" s="10" t="s">
        <v>9</v>
      </c>
      <c r="C411" s="10" t="s">
        <v>164</v>
      </c>
      <c r="D411" s="10" t="s">
        <v>165</v>
      </c>
      <c r="E411" s="11" t="str">
        <f>+HYPERLINK("http://trademark.i-assist.jp/data/china/image_1901th/78670604.pdf", "78670604")</f>
        <v>78670604</v>
      </c>
      <c r="F411" s="10" t="s">
        <v>1341</v>
      </c>
      <c r="G411" s="10" t="s">
        <v>1342</v>
      </c>
      <c r="H411" s="10" t="s">
        <v>1343</v>
      </c>
      <c r="I411" s="10" t="s">
        <v>1291</v>
      </c>
    </row>
    <row r="412" spans="1:9" x14ac:dyDescent="0.15">
      <c r="A412" s="9">
        <v>411</v>
      </c>
      <c r="B412" s="10" t="s">
        <v>9</v>
      </c>
      <c r="C412" s="10" t="s">
        <v>164</v>
      </c>
      <c r="D412" s="10" t="s">
        <v>165</v>
      </c>
      <c r="E412" s="11" t="str">
        <f>+HYPERLINK("http://trademark.i-assist.jp/data/china/image_1901th/78672305.pdf", "78672305")</f>
        <v>78672305</v>
      </c>
      <c r="F412" s="10" t="s">
        <v>1215</v>
      </c>
      <c r="G412" s="10" t="s">
        <v>1169</v>
      </c>
      <c r="H412" s="10" t="s">
        <v>1344</v>
      </c>
      <c r="I412" s="10" t="s">
        <v>1291</v>
      </c>
    </row>
    <row r="413" spans="1:9" x14ac:dyDescent="0.15">
      <c r="A413" s="9">
        <v>412</v>
      </c>
      <c r="B413" s="10" t="s">
        <v>9</v>
      </c>
      <c r="C413" s="10" t="s">
        <v>164</v>
      </c>
      <c r="D413" s="10" t="s">
        <v>165</v>
      </c>
      <c r="E413" s="11" t="str">
        <f>+HYPERLINK("http://trademark.i-assist.jp/data/china/image_1901th/78672651.pdf", "78672651")</f>
        <v>78672651</v>
      </c>
      <c r="F413" s="10" t="s">
        <v>1345</v>
      </c>
      <c r="G413" s="10" t="s">
        <v>1346</v>
      </c>
      <c r="H413" s="10" t="s">
        <v>1347</v>
      </c>
      <c r="I413" s="10" t="s">
        <v>1291</v>
      </c>
    </row>
    <row r="414" spans="1:9" x14ac:dyDescent="0.15">
      <c r="A414" s="9">
        <v>413</v>
      </c>
      <c r="B414" s="10" t="s">
        <v>9</v>
      </c>
      <c r="C414" s="10" t="s">
        <v>164</v>
      </c>
      <c r="D414" s="10" t="s">
        <v>165</v>
      </c>
      <c r="E414" s="11" t="str">
        <f>+HYPERLINK("http://trademark.i-assist.jp/data/china/image_1901th/78672708.pdf", "78672708")</f>
        <v>78672708</v>
      </c>
      <c r="F414" s="10" t="s">
        <v>1348</v>
      </c>
      <c r="G414" s="10" t="s">
        <v>1349</v>
      </c>
      <c r="H414" s="10" t="s">
        <v>1350</v>
      </c>
      <c r="I414" s="10" t="s">
        <v>1291</v>
      </c>
    </row>
    <row r="415" spans="1:9" x14ac:dyDescent="0.15">
      <c r="A415" s="9">
        <v>414</v>
      </c>
      <c r="B415" s="10" t="s">
        <v>9</v>
      </c>
      <c r="C415" s="10" t="s">
        <v>164</v>
      </c>
      <c r="D415" s="10" t="s">
        <v>165</v>
      </c>
      <c r="E415" s="11" t="str">
        <f>+HYPERLINK("http://trademark.i-assist.jp/data/china/image_1901th/78673489.pdf", "78673489")</f>
        <v>78673489</v>
      </c>
      <c r="F415" s="10" t="s">
        <v>1351</v>
      </c>
      <c r="G415" s="10" t="s">
        <v>1352</v>
      </c>
      <c r="H415" s="10" t="s">
        <v>1353</v>
      </c>
      <c r="I415" s="10" t="s">
        <v>1291</v>
      </c>
    </row>
    <row r="416" spans="1:9" x14ac:dyDescent="0.15">
      <c r="A416" s="9">
        <v>415</v>
      </c>
      <c r="B416" s="10" t="s">
        <v>9</v>
      </c>
      <c r="C416" s="10" t="s">
        <v>164</v>
      </c>
      <c r="D416" s="10" t="s">
        <v>165</v>
      </c>
      <c r="E416" s="11" t="str">
        <f>+HYPERLINK("http://trademark.i-assist.jp/data/china/image_1901th/78673521.pdf", "78673521")</f>
        <v>78673521</v>
      </c>
      <c r="F416" s="10" t="s">
        <v>1354</v>
      </c>
      <c r="G416" s="10" t="s">
        <v>1355</v>
      </c>
      <c r="H416" s="10" t="s">
        <v>1356</v>
      </c>
      <c r="I416" s="10" t="s">
        <v>1291</v>
      </c>
    </row>
    <row r="417" spans="1:9" x14ac:dyDescent="0.15">
      <c r="A417" s="9">
        <v>416</v>
      </c>
      <c r="B417" s="10" t="s">
        <v>9</v>
      </c>
      <c r="C417" s="10" t="s">
        <v>164</v>
      </c>
      <c r="D417" s="10" t="s">
        <v>165</v>
      </c>
      <c r="E417" s="11" t="str">
        <f>+HYPERLINK("http://trademark.i-assist.jp/data/china/image_1901th/78675137.pdf", "78675137")</f>
        <v>78675137</v>
      </c>
      <c r="F417" s="10" t="s">
        <v>1357</v>
      </c>
      <c r="G417" s="10" t="s">
        <v>1358</v>
      </c>
      <c r="H417" s="10" t="s">
        <v>1359</v>
      </c>
      <c r="I417" s="10" t="s">
        <v>1291</v>
      </c>
    </row>
    <row r="418" spans="1:9" x14ac:dyDescent="0.15">
      <c r="A418" s="9">
        <v>417</v>
      </c>
      <c r="B418" s="10" t="s">
        <v>9</v>
      </c>
      <c r="C418" s="10" t="s">
        <v>164</v>
      </c>
      <c r="D418" s="10" t="s">
        <v>165</v>
      </c>
      <c r="E418" s="11" t="str">
        <f>+HYPERLINK("http://trademark.i-assist.jp/data/china/image_1901th/78677122.pdf", "78677122")</f>
        <v>78677122</v>
      </c>
      <c r="F418" s="10" t="s">
        <v>1360</v>
      </c>
      <c r="G418" s="10" t="s">
        <v>1361</v>
      </c>
      <c r="H418" s="10" t="s">
        <v>1362</v>
      </c>
      <c r="I418" s="10" t="s">
        <v>1291</v>
      </c>
    </row>
    <row r="419" spans="1:9" x14ac:dyDescent="0.15">
      <c r="A419" s="9">
        <v>418</v>
      </c>
      <c r="B419" s="10" t="s">
        <v>9</v>
      </c>
      <c r="C419" s="10" t="s">
        <v>164</v>
      </c>
      <c r="D419" s="10" t="s">
        <v>165</v>
      </c>
      <c r="E419" s="11" t="str">
        <f>+HYPERLINK("http://trademark.i-assist.jp/data/china/image_1901th/78677881.pdf", "78677881")</f>
        <v>78677881</v>
      </c>
      <c r="F419" s="10" t="s">
        <v>1363</v>
      </c>
      <c r="G419" s="10" t="s">
        <v>1364</v>
      </c>
      <c r="H419" s="10" t="s">
        <v>1365</v>
      </c>
      <c r="I419" s="10" t="s">
        <v>1291</v>
      </c>
    </row>
    <row r="420" spans="1:9" x14ac:dyDescent="0.15">
      <c r="A420" s="9">
        <v>419</v>
      </c>
      <c r="B420" s="10" t="s">
        <v>9</v>
      </c>
      <c r="C420" s="10" t="s">
        <v>164</v>
      </c>
      <c r="D420" s="10" t="s">
        <v>165</v>
      </c>
      <c r="E420" s="11" t="str">
        <f>+HYPERLINK("http://trademark.i-assist.jp/data/china/image_1901th/78678027.pdf", "78678027")</f>
        <v>78678027</v>
      </c>
      <c r="F420" s="10" t="s">
        <v>1366</v>
      </c>
      <c r="G420" s="10" t="s">
        <v>1367</v>
      </c>
      <c r="H420" s="10" t="s">
        <v>1368</v>
      </c>
      <c r="I420" s="10" t="s">
        <v>1291</v>
      </c>
    </row>
    <row r="421" spans="1:9" x14ac:dyDescent="0.15">
      <c r="A421" s="9">
        <v>420</v>
      </c>
      <c r="B421" s="10" t="s">
        <v>9</v>
      </c>
      <c r="C421" s="10" t="s">
        <v>164</v>
      </c>
      <c r="D421" s="10" t="s">
        <v>165</v>
      </c>
      <c r="E421" s="11" t="str">
        <f>+HYPERLINK("http://trademark.i-assist.jp/data/china/image_1901th/78678482.pdf", "78678482")</f>
        <v>78678482</v>
      </c>
      <c r="F421" s="10" t="s">
        <v>1369</v>
      </c>
      <c r="G421" s="10" t="s">
        <v>1334</v>
      </c>
      <c r="H421" s="10" t="s">
        <v>1370</v>
      </c>
      <c r="I421" s="10" t="s">
        <v>1291</v>
      </c>
    </row>
    <row r="422" spans="1:9" x14ac:dyDescent="0.15">
      <c r="A422" s="9">
        <v>421</v>
      </c>
      <c r="B422" s="10" t="s">
        <v>9</v>
      </c>
      <c r="C422" s="10" t="s">
        <v>164</v>
      </c>
      <c r="D422" s="10" t="s">
        <v>165</v>
      </c>
      <c r="E422" s="11" t="str">
        <f>+HYPERLINK("http://trademark.i-assist.jp/data/china/image_1901th/78679251.pdf", "78679251")</f>
        <v>78679251</v>
      </c>
      <c r="F422" s="10" t="s">
        <v>1371</v>
      </c>
      <c r="G422" s="10" t="s">
        <v>1372</v>
      </c>
      <c r="H422" s="10" t="s">
        <v>1373</v>
      </c>
      <c r="I422" s="10" t="s">
        <v>1291</v>
      </c>
    </row>
    <row r="423" spans="1:9" x14ac:dyDescent="0.15">
      <c r="A423" s="9">
        <v>422</v>
      </c>
      <c r="B423" s="10" t="s">
        <v>9</v>
      </c>
      <c r="C423" s="10" t="s">
        <v>164</v>
      </c>
      <c r="D423" s="10" t="s">
        <v>165</v>
      </c>
      <c r="E423" s="11" t="str">
        <f>+HYPERLINK("http://trademark.i-assist.jp/data/china/image_1901th/78681004.pdf", "78681004")</f>
        <v>78681004</v>
      </c>
      <c r="F423" s="10" t="s">
        <v>1374</v>
      </c>
      <c r="G423" s="10" t="s">
        <v>1375</v>
      </c>
      <c r="H423" s="10" t="s">
        <v>1376</v>
      </c>
      <c r="I423" s="10" t="s">
        <v>1377</v>
      </c>
    </row>
    <row r="424" spans="1:9" x14ac:dyDescent="0.15">
      <c r="A424" s="9">
        <v>423</v>
      </c>
      <c r="B424" s="10" t="s">
        <v>9</v>
      </c>
      <c r="C424" s="10" t="s">
        <v>164</v>
      </c>
      <c r="D424" s="10" t="s">
        <v>165</v>
      </c>
      <c r="E424" s="11" t="str">
        <f>+HYPERLINK("http://trademark.i-assist.jp/data/china/image_1901th/78684407.pdf", "78684407")</f>
        <v>78684407</v>
      </c>
      <c r="F424" s="10" t="s">
        <v>1378</v>
      </c>
      <c r="G424" s="10" t="s">
        <v>1379</v>
      </c>
      <c r="H424" s="10" t="s">
        <v>1380</v>
      </c>
      <c r="I424" s="10" t="s">
        <v>1377</v>
      </c>
    </row>
    <row r="425" spans="1:9" x14ac:dyDescent="0.15">
      <c r="A425" s="9">
        <v>424</v>
      </c>
      <c r="B425" s="10" t="s">
        <v>9</v>
      </c>
      <c r="C425" s="10" t="s">
        <v>164</v>
      </c>
      <c r="D425" s="10" t="s">
        <v>165</v>
      </c>
      <c r="E425" s="11" t="str">
        <f>+HYPERLINK("http://trademark.i-assist.jp/data/china/image_1901th/78689573.pdf", "78689573")</f>
        <v>78689573</v>
      </c>
      <c r="F425" s="10" t="s">
        <v>1381</v>
      </c>
      <c r="G425" s="10" t="s">
        <v>1382</v>
      </c>
      <c r="H425" s="10" t="s">
        <v>1383</v>
      </c>
      <c r="I425" s="10" t="s">
        <v>1384</v>
      </c>
    </row>
    <row r="426" spans="1:9" x14ac:dyDescent="0.15">
      <c r="A426" s="9">
        <v>425</v>
      </c>
      <c r="B426" s="10" t="s">
        <v>9</v>
      </c>
      <c r="C426" s="10" t="s">
        <v>164</v>
      </c>
      <c r="D426" s="10" t="s">
        <v>165</v>
      </c>
      <c r="E426" s="11" t="str">
        <f>+HYPERLINK("http://trademark.i-assist.jp/data/china/image_1901th/78689820.pdf", "78689820")</f>
        <v>78689820</v>
      </c>
      <c r="F426" s="10" t="s">
        <v>1385</v>
      </c>
      <c r="G426" s="10" t="s">
        <v>1386</v>
      </c>
      <c r="H426" s="10" t="s">
        <v>1387</v>
      </c>
      <c r="I426" s="10" t="s">
        <v>1384</v>
      </c>
    </row>
    <row r="427" spans="1:9" x14ac:dyDescent="0.15">
      <c r="A427" s="9">
        <v>426</v>
      </c>
      <c r="B427" s="10" t="s">
        <v>9</v>
      </c>
      <c r="C427" s="10" t="s">
        <v>164</v>
      </c>
      <c r="D427" s="10" t="s">
        <v>165</v>
      </c>
      <c r="E427" s="11" t="str">
        <f>+HYPERLINK("http://trademark.i-assist.jp/data/china/image_1901th/78690348.pdf", "78690348")</f>
        <v>78690348</v>
      </c>
      <c r="F427" s="10" t="s">
        <v>1388</v>
      </c>
      <c r="G427" s="10" t="s">
        <v>1389</v>
      </c>
      <c r="H427" s="10" t="s">
        <v>1390</v>
      </c>
      <c r="I427" s="10" t="s">
        <v>1384</v>
      </c>
    </row>
    <row r="428" spans="1:9" x14ac:dyDescent="0.15">
      <c r="A428" s="9">
        <v>427</v>
      </c>
      <c r="B428" s="10" t="s">
        <v>9</v>
      </c>
      <c r="C428" s="10" t="s">
        <v>164</v>
      </c>
      <c r="D428" s="10" t="s">
        <v>165</v>
      </c>
      <c r="E428" s="11" t="str">
        <f>+HYPERLINK("http://trademark.i-assist.jp/data/china/image_1901th/78690535.pdf", "78690535")</f>
        <v>78690535</v>
      </c>
      <c r="F428" s="10" t="s">
        <v>1391</v>
      </c>
      <c r="G428" s="10" t="s">
        <v>1392</v>
      </c>
      <c r="H428" s="10" t="s">
        <v>1393</v>
      </c>
      <c r="I428" s="10" t="s">
        <v>1384</v>
      </c>
    </row>
    <row r="429" spans="1:9" x14ac:dyDescent="0.15">
      <c r="A429" s="9">
        <v>428</v>
      </c>
      <c r="B429" s="10" t="s">
        <v>9</v>
      </c>
      <c r="C429" s="10" t="s">
        <v>164</v>
      </c>
      <c r="D429" s="10" t="s">
        <v>165</v>
      </c>
      <c r="E429" s="11" t="str">
        <f>+HYPERLINK("http://trademark.i-assist.jp/data/china/image_1901th/78690848.pdf", "78690848")</f>
        <v>78690848</v>
      </c>
      <c r="F429" s="10" t="s">
        <v>1394</v>
      </c>
      <c r="G429" s="10" t="s">
        <v>321</v>
      </c>
      <c r="H429" s="10" t="s">
        <v>1395</v>
      </c>
      <c r="I429" s="10" t="s">
        <v>1384</v>
      </c>
    </row>
    <row r="430" spans="1:9" x14ac:dyDescent="0.15">
      <c r="A430" s="9">
        <v>429</v>
      </c>
      <c r="B430" s="10" t="s">
        <v>9</v>
      </c>
      <c r="C430" s="10" t="s">
        <v>164</v>
      </c>
      <c r="D430" s="10" t="s">
        <v>165</v>
      </c>
      <c r="E430" s="11" t="str">
        <f>+HYPERLINK("http://trademark.i-assist.jp/data/china/image_1901th/78691484.pdf", "78691484")</f>
        <v>78691484</v>
      </c>
      <c r="F430" s="10" t="s">
        <v>1396</v>
      </c>
      <c r="G430" s="10" t="s">
        <v>1397</v>
      </c>
      <c r="H430" s="10" t="s">
        <v>1398</v>
      </c>
      <c r="I430" s="10" t="s">
        <v>1384</v>
      </c>
    </row>
    <row r="431" spans="1:9" x14ac:dyDescent="0.15">
      <c r="A431" s="9">
        <v>430</v>
      </c>
      <c r="B431" s="10" t="s">
        <v>9</v>
      </c>
      <c r="C431" s="10" t="s">
        <v>164</v>
      </c>
      <c r="D431" s="10" t="s">
        <v>165</v>
      </c>
      <c r="E431" s="11" t="str">
        <f>+HYPERLINK("http://trademark.i-assist.jp/data/china/image_1901th/78692559.pdf", "78692559")</f>
        <v>78692559</v>
      </c>
      <c r="F431" s="10" t="s">
        <v>1399</v>
      </c>
      <c r="G431" s="10" t="s">
        <v>1400</v>
      </c>
      <c r="H431" s="10" t="s">
        <v>1401</v>
      </c>
      <c r="I431" s="10" t="s">
        <v>1384</v>
      </c>
    </row>
    <row r="432" spans="1:9" x14ac:dyDescent="0.15">
      <c r="A432" s="9">
        <v>431</v>
      </c>
      <c r="B432" s="10" t="s">
        <v>9</v>
      </c>
      <c r="C432" s="10" t="s">
        <v>164</v>
      </c>
      <c r="D432" s="10" t="s">
        <v>165</v>
      </c>
      <c r="E432" s="11" t="str">
        <f>+HYPERLINK("http://trademark.i-assist.jp/data/china/image_1901th/78693526.pdf", "78693526")</f>
        <v>78693526</v>
      </c>
      <c r="F432" s="10" t="s">
        <v>1402</v>
      </c>
      <c r="G432" s="10" t="s">
        <v>1403</v>
      </c>
      <c r="H432" s="10" t="s">
        <v>1404</v>
      </c>
      <c r="I432" s="10" t="s">
        <v>1384</v>
      </c>
    </row>
    <row r="433" spans="1:9" x14ac:dyDescent="0.15">
      <c r="A433" s="9">
        <v>432</v>
      </c>
      <c r="B433" s="10" t="s">
        <v>9</v>
      </c>
      <c r="C433" s="10" t="s">
        <v>164</v>
      </c>
      <c r="D433" s="10" t="s">
        <v>165</v>
      </c>
      <c r="E433" s="11" t="str">
        <f>+HYPERLINK("http://trademark.i-assist.jp/data/china/image_1901th/78694014.pdf", "78694014")</f>
        <v>78694014</v>
      </c>
      <c r="F433" s="10" t="s">
        <v>1405</v>
      </c>
      <c r="G433" s="10" t="s">
        <v>1406</v>
      </c>
      <c r="H433" s="10" t="s">
        <v>1407</v>
      </c>
      <c r="I433" s="10" t="s">
        <v>1384</v>
      </c>
    </row>
    <row r="434" spans="1:9" x14ac:dyDescent="0.15">
      <c r="A434" s="9">
        <v>433</v>
      </c>
      <c r="B434" s="10" t="s">
        <v>9</v>
      </c>
      <c r="C434" s="10" t="s">
        <v>164</v>
      </c>
      <c r="D434" s="10" t="s">
        <v>165</v>
      </c>
      <c r="E434" s="11" t="str">
        <f>+HYPERLINK("http://trademark.i-assist.jp/data/china/image_1901th/78694844.pdf", "78694844")</f>
        <v>78694844</v>
      </c>
      <c r="F434" s="10" t="s">
        <v>1408</v>
      </c>
      <c r="G434" s="10" t="s">
        <v>1409</v>
      </c>
      <c r="H434" s="10" t="s">
        <v>1410</v>
      </c>
      <c r="I434" s="10" t="s">
        <v>1384</v>
      </c>
    </row>
    <row r="435" spans="1:9" x14ac:dyDescent="0.15">
      <c r="A435" s="9">
        <v>434</v>
      </c>
      <c r="B435" s="10" t="s">
        <v>9</v>
      </c>
      <c r="C435" s="10" t="s">
        <v>164</v>
      </c>
      <c r="D435" s="10" t="s">
        <v>165</v>
      </c>
      <c r="E435" s="11" t="str">
        <f>+HYPERLINK("http://trademark.i-assist.jp/data/china/image_1901th/78696483.pdf", "78696483")</f>
        <v>78696483</v>
      </c>
      <c r="F435" s="10" t="s">
        <v>1411</v>
      </c>
      <c r="G435" s="10" t="s">
        <v>1392</v>
      </c>
      <c r="H435" s="10" t="s">
        <v>1412</v>
      </c>
      <c r="I435" s="10" t="s">
        <v>1384</v>
      </c>
    </row>
    <row r="436" spans="1:9" x14ac:dyDescent="0.15">
      <c r="A436" s="9">
        <v>435</v>
      </c>
      <c r="B436" s="10" t="s">
        <v>9</v>
      </c>
      <c r="C436" s="10" t="s">
        <v>164</v>
      </c>
      <c r="D436" s="10" t="s">
        <v>165</v>
      </c>
      <c r="E436" s="11" t="str">
        <f>+HYPERLINK("http://trademark.i-assist.jp/data/china/image_1901th/78696573.pdf", "78696573")</f>
        <v>78696573</v>
      </c>
      <c r="F436" s="10" t="s">
        <v>1413</v>
      </c>
      <c r="G436" s="10" t="s">
        <v>1414</v>
      </c>
      <c r="H436" s="10" t="s">
        <v>1415</v>
      </c>
      <c r="I436" s="10" t="s">
        <v>1384</v>
      </c>
    </row>
    <row r="437" spans="1:9" x14ac:dyDescent="0.15">
      <c r="A437" s="9">
        <v>436</v>
      </c>
      <c r="B437" s="10" t="s">
        <v>9</v>
      </c>
      <c r="C437" s="10" t="s">
        <v>164</v>
      </c>
      <c r="D437" s="10" t="s">
        <v>165</v>
      </c>
      <c r="E437" s="11" t="str">
        <f>+HYPERLINK("http://trademark.i-assist.jp/data/china/image_1901th/78696849.pdf", "78696849")</f>
        <v>78696849</v>
      </c>
      <c r="F437" s="10" t="s">
        <v>1416</v>
      </c>
      <c r="G437" s="10" t="s">
        <v>1417</v>
      </c>
      <c r="H437" s="10" t="s">
        <v>1418</v>
      </c>
      <c r="I437" s="10" t="s">
        <v>1384</v>
      </c>
    </row>
    <row r="438" spans="1:9" x14ac:dyDescent="0.15">
      <c r="A438" s="9">
        <v>437</v>
      </c>
      <c r="B438" s="10" t="s">
        <v>9</v>
      </c>
      <c r="C438" s="10" t="s">
        <v>164</v>
      </c>
      <c r="D438" s="10" t="s">
        <v>165</v>
      </c>
      <c r="E438" s="11" t="str">
        <f>+HYPERLINK("http://trademark.i-assist.jp/data/china/image_1901th/78697057.pdf", "78697057")</f>
        <v>78697057</v>
      </c>
      <c r="F438" s="10" t="s">
        <v>1419</v>
      </c>
      <c r="G438" s="10" t="s">
        <v>1420</v>
      </c>
      <c r="H438" s="10" t="s">
        <v>1421</v>
      </c>
      <c r="I438" s="10" t="s">
        <v>1384</v>
      </c>
    </row>
    <row r="439" spans="1:9" x14ac:dyDescent="0.15">
      <c r="A439" s="9">
        <v>438</v>
      </c>
      <c r="B439" s="10" t="s">
        <v>9</v>
      </c>
      <c r="C439" s="10" t="s">
        <v>164</v>
      </c>
      <c r="D439" s="10" t="s">
        <v>165</v>
      </c>
      <c r="E439" s="11" t="str">
        <f>+HYPERLINK("http://trademark.i-assist.jp/data/china/image_1901th/78697620.pdf", "78697620")</f>
        <v>78697620</v>
      </c>
      <c r="F439" s="10" t="s">
        <v>1422</v>
      </c>
      <c r="G439" s="10" t="s">
        <v>1423</v>
      </c>
      <c r="H439" s="10" t="s">
        <v>1424</v>
      </c>
      <c r="I439" s="10" t="s">
        <v>1384</v>
      </c>
    </row>
    <row r="440" spans="1:9" x14ac:dyDescent="0.15">
      <c r="A440" s="9">
        <v>439</v>
      </c>
      <c r="B440" s="10" t="s">
        <v>9</v>
      </c>
      <c r="C440" s="10" t="s">
        <v>164</v>
      </c>
      <c r="D440" s="10" t="s">
        <v>165</v>
      </c>
      <c r="E440" s="11" t="str">
        <f>+HYPERLINK("http://trademark.i-assist.jp/data/china/image_1901th/78697666.pdf", "78697666")</f>
        <v>78697666</v>
      </c>
      <c r="F440" s="10" t="s">
        <v>1425</v>
      </c>
      <c r="G440" s="10" t="s">
        <v>1426</v>
      </c>
      <c r="H440" s="10" t="s">
        <v>1427</v>
      </c>
      <c r="I440" s="10" t="s">
        <v>1384</v>
      </c>
    </row>
    <row r="441" spans="1:9" x14ac:dyDescent="0.15">
      <c r="A441" s="9">
        <v>440</v>
      </c>
      <c r="B441" s="10" t="s">
        <v>9</v>
      </c>
      <c r="C441" s="10" t="s">
        <v>164</v>
      </c>
      <c r="D441" s="10" t="s">
        <v>165</v>
      </c>
      <c r="E441" s="11" t="str">
        <f>+HYPERLINK("http://trademark.i-assist.jp/data/china/image_1901th/78698003.pdf", "78698003")</f>
        <v>78698003</v>
      </c>
      <c r="F441" s="10" t="s">
        <v>1428</v>
      </c>
      <c r="G441" s="10" t="s">
        <v>1429</v>
      </c>
      <c r="H441" s="10" t="s">
        <v>1430</v>
      </c>
      <c r="I441" s="10" t="s">
        <v>1384</v>
      </c>
    </row>
    <row r="442" spans="1:9" x14ac:dyDescent="0.15">
      <c r="A442" s="9">
        <v>441</v>
      </c>
      <c r="B442" s="10" t="s">
        <v>9</v>
      </c>
      <c r="C442" s="10" t="s">
        <v>164</v>
      </c>
      <c r="D442" s="10" t="s">
        <v>165</v>
      </c>
      <c r="E442" s="11" t="str">
        <f>+HYPERLINK("http://trademark.i-assist.jp/data/china/image_1901th/78698875.pdf", "78698875")</f>
        <v>78698875</v>
      </c>
      <c r="F442" s="10" t="s">
        <v>1431</v>
      </c>
      <c r="G442" s="10" t="s">
        <v>101</v>
      </c>
      <c r="H442" s="10" t="s">
        <v>1432</v>
      </c>
      <c r="I442" s="10" t="s">
        <v>1384</v>
      </c>
    </row>
    <row r="443" spans="1:9" x14ac:dyDescent="0.15">
      <c r="A443" s="9">
        <v>442</v>
      </c>
      <c r="B443" s="10" t="s">
        <v>9</v>
      </c>
      <c r="C443" s="10" t="s">
        <v>164</v>
      </c>
      <c r="D443" s="10" t="s">
        <v>165</v>
      </c>
      <c r="E443" s="11" t="str">
        <f>+HYPERLINK("http://trademark.i-assist.jp/data/china/image_1901th/78699535.pdf", "78699535")</f>
        <v>78699535</v>
      </c>
      <c r="F443" s="10" t="s">
        <v>1433</v>
      </c>
      <c r="G443" s="10" t="s">
        <v>1434</v>
      </c>
      <c r="H443" s="10" t="s">
        <v>1435</v>
      </c>
      <c r="I443" s="10" t="s">
        <v>1384</v>
      </c>
    </row>
    <row r="444" spans="1:9" x14ac:dyDescent="0.15">
      <c r="A444" s="9">
        <v>443</v>
      </c>
      <c r="B444" s="10" t="s">
        <v>9</v>
      </c>
      <c r="C444" s="10" t="s">
        <v>164</v>
      </c>
      <c r="D444" s="10" t="s">
        <v>165</v>
      </c>
      <c r="E444" s="11" t="str">
        <f>+HYPERLINK("http://trademark.i-assist.jp/data/china/image_1901th/78700399.pdf", "78700399")</f>
        <v>78700399</v>
      </c>
      <c r="F444" s="10" t="s">
        <v>1436</v>
      </c>
      <c r="G444" s="10" t="s">
        <v>1437</v>
      </c>
      <c r="H444" s="10" t="s">
        <v>1438</v>
      </c>
      <c r="I444" s="10" t="s">
        <v>1384</v>
      </c>
    </row>
    <row r="445" spans="1:9" x14ac:dyDescent="0.15">
      <c r="A445" s="9">
        <v>444</v>
      </c>
      <c r="B445" s="10" t="s">
        <v>9</v>
      </c>
      <c r="C445" s="10" t="s">
        <v>164</v>
      </c>
      <c r="D445" s="10" t="s">
        <v>165</v>
      </c>
      <c r="E445" s="11" t="str">
        <f>+HYPERLINK("http://trademark.i-assist.jp/data/china/image_1901th/78700929.pdf", "78700929")</f>
        <v>78700929</v>
      </c>
      <c r="F445" s="10" t="s">
        <v>1439</v>
      </c>
      <c r="G445" s="10" t="s">
        <v>1440</v>
      </c>
      <c r="H445" s="10" t="s">
        <v>1441</v>
      </c>
      <c r="I445" s="10" t="s">
        <v>1384</v>
      </c>
    </row>
    <row r="446" spans="1:9" x14ac:dyDescent="0.15">
      <c r="A446" s="9">
        <v>445</v>
      </c>
      <c r="B446" s="10" t="s">
        <v>9</v>
      </c>
      <c r="C446" s="10" t="s">
        <v>164</v>
      </c>
      <c r="D446" s="10" t="s">
        <v>165</v>
      </c>
      <c r="E446" s="11" t="str">
        <f>+HYPERLINK("http://trademark.i-assist.jp/data/china/image_1901th/78701947.pdf", "78701947")</f>
        <v>78701947</v>
      </c>
      <c r="F446" s="10" t="s">
        <v>1442</v>
      </c>
      <c r="G446" s="10" t="s">
        <v>1443</v>
      </c>
      <c r="H446" s="10" t="s">
        <v>1444</v>
      </c>
      <c r="I446" s="10" t="s">
        <v>1384</v>
      </c>
    </row>
    <row r="447" spans="1:9" x14ac:dyDescent="0.15">
      <c r="A447" s="9">
        <v>446</v>
      </c>
      <c r="B447" s="10" t="s">
        <v>9</v>
      </c>
      <c r="C447" s="10" t="s">
        <v>164</v>
      </c>
      <c r="D447" s="10" t="s">
        <v>165</v>
      </c>
      <c r="E447" s="11" t="str">
        <f>+HYPERLINK("http://trademark.i-assist.jp/data/china/image_1901th/78703335.pdf", "78703335")</f>
        <v>78703335</v>
      </c>
      <c r="F447" s="10" t="s">
        <v>1445</v>
      </c>
      <c r="G447" s="10" t="s">
        <v>1446</v>
      </c>
      <c r="H447" s="10" t="s">
        <v>1447</v>
      </c>
      <c r="I447" s="10" t="s">
        <v>1384</v>
      </c>
    </row>
    <row r="448" spans="1:9" x14ac:dyDescent="0.15">
      <c r="A448" s="9">
        <v>447</v>
      </c>
      <c r="B448" s="10" t="s">
        <v>9</v>
      </c>
      <c r="C448" s="10" t="s">
        <v>164</v>
      </c>
      <c r="D448" s="10" t="s">
        <v>165</v>
      </c>
      <c r="E448" s="11" t="str">
        <f>+HYPERLINK("http://trademark.i-assist.jp/data/china/image_1901th/78703534.pdf", "78703534")</f>
        <v>78703534</v>
      </c>
      <c r="F448" s="10" t="s">
        <v>1448</v>
      </c>
      <c r="G448" s="10" t="s">
        <v>1449</v>
      </c>
      <c r="H448" s="10" t="s">
        <v>1450</v>
      </c>
      <c r="I448" s="10" t="s">
        <v>1384</v>
      </c>
    </row>
    <row r="449" spans="1:9" x14ac:dyDescent="0.15">
      <c r="A449" s="9">
        <v>448</v>
      </c>
      <c r="B449" s="10" t="s">
        <v>9</v>
      </c>
      <c r="C449" s="10" t="s">
        <v>164</v>
      </c>
      <c r="D449" s="10" t="s">
        <v>165</v>
      </c>
      <c r="E449" s="11" t="str">
        <f>+HYPERLINK("http://trademark.i-assist.jp/data/china/image_1901th/78703622.pdf", "78703622")</f>
        <v>78703622</v>
      </c>
      <c r="F449" s="10" t="s">
        <v>1451</v>
      </c>
      <c r="G449" s="10" t="s">
        <v>1452</v>
      </c>
      <c r="H449" s="10" t="s">
        <v>1453</v>
      </c>
      <c r="I449" s="10" t="s">
        <v>1384</v>
      </c>
    </row>
    <row r="450" spans="1:9" x14ac:dyDescent="0.15">
      <c r="A450" s="9">
        <v>449</v>
      </c>
      <c r="B450" s="10" t="s">
        <v>9</v>
      </c>
      <c r="C450" s="10" t="s">
        <v>164</v>
      </c>
      <c r="D450" s="10" t="s">
        <v>165</v>
      </c>
      <c r="E450" s="11" t="str">
        <f>+HYPERLINK("http://trademark.i-assist.jp/data/china/image_1901th/78705596.pdf", "78705596")</f>
        <v>78705596</v>
      </c>
      <c r="F450" s="10" t="s">
        <v>1454</v>
      </c>
      <c r="G450" s="10" t="s">
        <v>1397</v>
      </c>
      <c r="H450" s="10" t="s">
        <v>1455</v>
      </c>
      <c r="I450" s="10" t="s">
        <v>1384</v>
      </c>
    </row>
    <row r="451" spans="1:9" x14ac:dyDescent="0.15">
      <c r="A451" s="9">
        <v>450</v>
      </c>
      <c r="B451" s="10" t="s">
        <v>9</v>
      </c>
      <c r="C451" s="10" t="s">
        <v>164</v>
      </c>
      <c r="D451" s="10" t="s">
        <v>165</v>
      </c>
      <c r="E451" s="11" t="str">
        <f>+HYPERLINK("http://trademark.i-assist.jp/data/china/image_1901th/78707198.pdf", "78707198")</f>
        <v>78707198</v>
      </c>
      <c r="F451" s="10" t="s">
        <v>1456</v>
      </c>
      <c r="G451" s="10" t="s">
        <v>1457</v>
      </c>
      <c r="H451" s="10" t="s">
        <v>1458</v>
      </c>
      <c r="I451" s="10" t="s">
        <v>1384</v>
      </c>
    </row>
    <row r="452" spans="1:9" x14ac:dyDescent="0.15">
      <c r="A452" s="9">
        <v>451</v>
      </c>
      <c r="B452" s="10" t="s">
        <v>9</v>
      </c>
      <c r="C452" s="10" t="s">
        <v>164</v>
      </c>
      <c r="D452" s="10" t="s">
        <v>165</v>
      </c>
      <c r="E452" s="11" t="str">
        <f>+HYPERLINK("http://trademark.i-assist.jp/data/china/image_1901th/78707373.pdf", "78707373")</f>
        <v>78707373</v>
      </c>
      <c r="F452" s="10" t="s">
        <v>1459</v>
      </c>
      <c r="G452" s="10" t="s">
        <v>1460</v>
      </c>
      <c r="H452" s="10" t="s">
        <v>1461</v>
      </c>
      <c r="I452" s="10" t="s">
        <v>1384</v>
      </c>
    </row>
    <row r="453" spans="1:9" x14ac:dyDescent="0.15">
      <c r="A453" s="9">
        <v>452</v>
      </c>
      <c r="B453" s="10" t="s">
        <v>9</v>
      </c>
      <c r="C453" s="10" t="s">
        <v>164</v>
      </c>
      <c r="D453" s="10" t="s">
        <v>165</v>
      </c>
      <c r="E453" s="11" t="str">
        <f>+HYPERLINK("http://trademark.i-assist.jp/data/china/image_1901th/78707939.pdf", "78707939")</f>
        <v>78707939</v>
      </c>
      <c r="F453" s="10" t="s">
        <v>1462</v>
      </c>
      <c r="G453" s="10" t="s">
        <v>1463</v>
      </c>
      <c r="H453" s="10" t="s">
        <v>1464</v>
      </c>
      <c r="I453" s="10" t="s">
        <v>1384</v>
      </c>
    </row>
    <row r="454" spans="1:9" x14ac:dyDescent="0.15">
      <c r="A454" s="9">
        <v>453</v>
      </c>
      <c r="B454" s="10" t="s">
        <v>9</v>
      </c>
      <c r="C454" s="10" t="s">
        <v>164</v>
      </c>
      <c r="D454" s="10" t="s">
        <v>165</v>
      </c>
      <c r="E454" s="11" t="str">
        <f>+HYPERLINK("http://trademark.i-assist.jp/data/china/image_1901th/78708131.pdf", "78708131")</f>
        <v>78708131</v>
      </c>
      <c r="F454" s="10" t="s">
        <v>1465</v>
      </c>
      <c r="G454" s="10" t="s">
        <v>1466</v>
      </c>
      <c r="H454" s="10" t="s">
        <v>1467</v>
      </c>
      <c r="I454" s="10" t="s">
        <v>1384</v>
      </c>
    </row>
    <row r="455" spans="1:9" x14ac:dyDescent="0.15">
      <c r="A455" s="9">
        <v>454</v>
      </c>
      <c r="B455" s="10" t="s">
        <v>9</v>
      </c>
      <c r="C455" s="10" t="s">
        <v>164</v>
      </c>
      <c r="D455" s="10" t="s">
        <v>165</v>
      </c>
      <c r="E455" s="11" t="str">
        <f>+HYPERLINK("http://trademark.i-assist.jp/data/china/image_1901th/78708181.pdf", "78708181")</f>
        <v>78708181</v>
      </c>
      <c r="F455" s="10" t="s">
        <v>1468</v>
      </c>
      <c r="G455" s="10" t="s">
        <v>1469</v>
      </c>
      <c r="H455" s="10" t="s">
        <v>1470</v>
      </c>
      <c r="I455" s="10" t="s">
        <v>1384</v>
      </c>
    </row>
    <row r="456" spans="1:9" x14ac:dyDescent="0.15">
      <c r="A456" s="9">
        <v>455</v>
      </c>
      <c r="B456" s="10" t="s">
        <v>9</v>
      </c>
      <c r="C456" s="10" t="s">
        <v>164</v>
      </c>
      <c r="D456" s="10" t="s">
        <v>165</v>
      </c>
      <c r="E456" s="11" t="str">
        <f>+HYPERLINK("http://trademark.i-assist.jp/data/china/image_1901th/78708255.pdf", "78708255")</f>
        <v>78708255</v>
      </c>
      <c r="F456" s="10" t="s">
        <v>1471</v>
      </c>
      <c r="G456" s="10" t="s">
        <v>114</v>
      </c>
      <c r="H456" s="10" t="s">
        <v>1472</v>
      </c>
      <c r="I456" s="10" t="s">
        <v>1384</v>
      </c>
    </row>
    <row r="457" spans="1:9" x14ac:dyDescent="0.15">
      <c r="A457" s="9">
        <v>456</v>
      </c>
      <c r="B457" s="10" t="s">
        <v>9</v>
      </c>
      <c r="C457" s="10" t="s">
        <v>164</v>
      </c>
      <c r="D457" s="10" t="s">
        <v>165</v>
      </c>
      <c r="E457" s="11" t="str">
        <f>+HYPERLINK("http://trademark.i-assist.jp/data/china/image_1901th/78708299.pdf", "78708299")</f>
        <v>78708299</v>
      </c>
      <c r="F457" s="10" t="s">
        <v>1473</v>
      </c>
      <c r="G457" s="10" t="s">
        <v>1474</v>
      </c>
      <c r="H457" s="10" t="s">
        <v>1475</v>
      </c>
      <c r="I457" s="10" t="s">
        <v>1384</v>
      </c>
    </row>
    <row r="458" spans="1:9" x14ac:dyDescent="0.15">
      <c r="A458" s="9">
        <v>457</v>
      </c>
      <c r="B458" s="10" t="s">
        <v>9</v>
      </c>
      <c r="C458" s="10" t="s">
        <v>164</v>
      </c>
      <c r="D458" s="10" t="s">
        <v>165</v>
      </c>
      <c r="E458" s="11" t="str">
        <f>+HYPERLINK("http://trademark.i-assist.jp/data/china/image_1901th/78708396.pdf", "78708396")</f>
        <v>78708396</v>
      </c>
      <c r="F458" s="10" t="s">
        <v>1476</v>
      </c>
      <c r="G458" s="10" t="s">
        <v>1477</v>
      </c>
      <c r="H458" s="10" t="s">
        <v>1478</v>
      </c>
      <c r="I458" s="10" t="s">
        <v>1384</v>
      </c>
    </row>
    <row r="459" spans="1:9" x14ac:dyDescent="0.15">
      <c r="A459" s="9">
        <v>458</v>
      </c>
      <c r="B459" s="10" t="s">
        <v>9</v>
      </c>
      <c r="C459" s="10" t="s">
        <v>164</v>
      </c>
      <c r="D459" s="10" t="s">
        <v>165</v>
      </c>
      <c r="E459" s="11" t="str">
        <f>+HYPERLINK("http://trademark.i-assist.jp/data/china/image_1901th/78708931.pdf", "78708931")</f>
        <v>78708931</v>
      </c>
      <c r="F459" s="10" t="s">
        <v>1479</v>
      </c>
      <c r="G459" s="10" t="s">
        <v>1400</v>
      </c>
      <c r="H459" s="10" t="s">
        <v>1480</v>
      </c>
      <c r="I459" s="10" t="s">
        <v>1384</v>
      </c>
    </row>
    <row r="460" spans="1:9" x14ac:dyDescent="0.15">
      <c r="A460" s="9">
        <v>459</v>
      </c>
      <c r="B460" s="10" t="s">
        <v>9</v>
      </c>
      <c r="C460" s="10" t="s">
        <v>164</v>
      </c>
      <c r="D460" s="10" t="s">
        <v>165</v>
      </c>
      <c r="E460" s="11" t="str">
        <f>+HYPERLINK("http://trademark.i-assist.jp/data/china/image_1901th/78709623.pdf", "78709623")</f>
        <v>78709623</v>
      </c>
      <c r="F460" s="10" t="s">
        <v>1481</v>
      </c>
      <c r="G460" s="10" t="s">
        <v>1482</v>
      </c>
      <c r="H460" s="10" t="s">
        <v>1483</v>
      </c>
      <c r="I460" s="10" t="s">
        <v>1384</v>
      </c>
    </row>
    <row r="461" spans="1:9" x14ac:dyDescent="0.15">
      <c r="A461" s="9">
        <v>460</v>
      </c>
      <c r="B461" s="10" t="s">
        <v>9</v>
      </c>
      <c r="C461" s="10" t="s">
        <v>164</v>
      </c>
      <c r="D461" s="10" t="s">
        <v>165</v>
      </c>
      <c r="E461" s="11" t="str">
        <f>+HYPERLINK("http://trademark.i-assist.jp/data/china/image_1901th/78710236.pdf", "78710236")</f>
        <v>78710236</v>
      </c>
      <c r="F461" s="10" t="s">
        <v>1484</v>
      </c>
      <c r="G461" s="10" t="s">
        <v>1485</v>
      </c>
      <c r="H461" s="10" t="s">
        <v>1486</v>
      </c>
      <c r="I461" s="10" t="s">
        <v>1384</v>
      </c>
    </row>
    <row r="462" spans="1:9" x14ac:dyDescent="0.15">
      <c r="A462" s="9">
        <v>461</v>
      </c>
      <c r="B462" s="10" t="s">
        <v>9</v>
      </c>
      <c r="C462" s="10" t="s">
        <v>164</v>
      </c>
      <c r="D462" s="10" t="s">
        <v>165</v>
      </c>
      <c r="E462" s="11" t="str">
        <f>+HYPERLINK("http://trademark.i-assist.jp/data/china/image_1901th/78710518.pdf", "78710518")</f>
        <v>78710518</v>
      </c>
      <c r="F462" s="10" t="s">
        <v>1487</v>
      </c>
      <c r="G462" s="10" t="s">
        <v>1403</v>
      </c>
      <c r="H462" s="10" t="s">
        <v>1488</v>
      </c>
      <c r="I462" s="10" t="s">
        <v>1384</v>
      </c>
    </row>
    <row r="463" spans="1:9" x14ac:dyDescent="0.15">
      <c r="A463" s="9">
        <v>462</v>
      </c>
      <c r="B463" s="10" t="s">
        <v>9</v>
      </c>
      <c r="C463" s="10" t="s">
        <v>164</v>
      </c>
      <c r="D463" s="10" t="s">
        <v>165</v>
      </c>
      <c r="E463" s="11" t="str">
        <f>+HYPERLINK("http://trademark.i-assist.jp/data/china/image_1901th/78710965.pdf", "78710965")</f>
        <v>78710965</v>
      </c>
      <c r="F463" s="10" t="s">
        <v>1489</v>
      </c>
      <c r="G463" s="10" t="s">
        <v>1460</v>
      </c>
      <c r="H463" s="10" t="s">
        <v>1490</v>
      </c>
      <c r="I463" s="10" t="s">
        <v>1384</v>
      </c>
    </row>
    <row r="464" spans="1:9" x14ac:dyDescent="0.15">
      <c r="A464" s="9">
        <v>463</v>
      </c>
      <c r="B464" s="10" t="s">
        <v>9</v>
      </c>
      <c r="C464" s="10" t="s">
        <v>164</v>
      </c>
      <c r="D464" s="10" t="s">
        <v>165</v>
      </c>
      <c r="E464" s="11" t="str">
        <f>+HYPERLINK("http://trademark.i-assist.jp/data/china/image_1901th/78711029.pdf", "78711029")</f>
        <v>78711029</v>
      </c>
      <c r="F464" s="10" t="s">
        <v>1491</v>
      </c>
      <c r="G464" s="10" t="s">
        <v>1492</v>
      </c>
      <c r="H464" s="10" t="s">
        <v>1493</v>
      </c>
      <c r="I464" s="10" t="s">
        <v>1384</v>
      </c>
    </row>
    <row r="465" spans="1:9" x14ac:dyDescent="0.15">
      <c r="A465" s="9">
        <v>464</v>
      </c>
      <c r="B465" s="10" t="s">
        <v>9</v>
      </c>
      <c r="C465" s="10" t="s">
        <v>164</v>
      </c>
      <c r="D465" s="10" t="s">
        <v>165</v>
      </c>
      <c r="E465" s="11" t="str">
        <f>+HYPERLINK("http://trademark.i-assist.jp/data/china/image_1901th/78711243.pdf", "78711243")</f>
        <v>78711243</v>
      </c>
      <c r="F465" s="10" t="s">
        <v>1494</v>
      </c>
      <c r="G465" s="10" t="s">
        <v>88</v>
      </c>
      <c r="H465" s="10" t="s">
        <v>1495</v>
      </c>
      <c r="I465" s="10" t="s">
        <v>1384</v>
      </c>
    </row>
    <row r="466" spans="1:9" x14ac:dyDescent="0.15">
      <c r="A466" s="9">
        <v>465</v>
      </c>
      <c r="B466" s="10" t="s">
        <v>9</v>
      </c>
      <c r="C466" s="10" t="s">
        <v>164</v>
      </c>
      <c r="D466" s="10" t="s">
        <v>165</v>
      </c>
      <c r="E466" s="11" t="str">
        <f>+HYPERLINK("http://trademark.i-assist.jp/data/china/image_1901th/78711303.pdf", "78711303")</f>
        <v>78711303</v>
      </c>
      <c r="F466" s="10" t="s">
        <v>1496</v>
      </c>
      <c r="G466" s="10" t="s">
        <v>1497</v>
      </c>
      <c r="H466" s="10" t="s">
        <v>1498</v>
      </c>
      <c r="I466" s="10" t="s">
        <v>1384</v>
      </c>
    </row>
    <row r="467" spans="1:9" x14ac:dyDescent="0.15">
      <c r="A467" s="9">
        <v>466</v>
      </c>
      <c r="B467" s="10" t="s">
        <v>9</v>
      </c>
      <c r="C467" s="10" t="s">
        <v>164</v>
      </c>
      <c r="D467" s="10" t="s">
        <v>165</v>
      </c>
      <c r="E467" s="11" t="str">
        <f>+HYPERLINK("http://trademark.i-assist.jp/data/china/image_1901th/78711849.pdf", "78711849")</f>
        <v>78711849</v>
      </c>
      <c r="F467" s="10" t="s">
        <v>1499</v>
      </c>
      <c r="G467" s="10" t="s">
        <v>1500</v>
      </c>
      <c r="H467" s="10" t="s">
        <v>1501</v>
      </c>
      <c r="I467" s="10" t="s">
        <v>1384</v>
      </c>
    </row>
    <row r="468" spans="1:9" x14ac:dyDescent="0.15">
      <c r="A468" s="9">
        <v>467</v>
      </c>
      <c r="B468" s="10" t="s">
        <v>9</v>
      </c>
      <c r="C468" s="10" t="s">
        <v>164</v>
      </c>
      <c r="D468" s="10" t="s">
        <v>165</v>
      </c>
      <c r="E468" s="11" t="str">
        <f>+HYPERLINK("http://trademark.i-assist.jp/data/china/image_1901th/78712211.pdf", "78712211")</f>
        <v>78712211</v>
      </c>
      <c r="F468" s="10" t="s">
        <v>1502</v>
      </c>
      <c r="G468" s="10" t="s">
        <v>1503</v>
      </c>
      <c r="H468" s="10" t="s">
        <v>1504</v>
      </c>
      <c r="I468" s="10" t="s">
        <v>1384</v>
      </c>
    </row>
    <row r="469" spans="1:9" x14ac:dyDescent="0.15">
      <c r="A469" s="9">
        <v>468</v>
      </c>
      <c r="B469" s="10" t="s">
        <v>9</v>
      </c>
      <c r="C469" s="10" t="s">
        <v>164</v>
      </c>
      <c r="D469" s="10" t="s">
        <v>165</v>
      </c>
      <c r="E469" s="11" t="str">
        <f>+HYPERLINK("http://trademark.i-assist.jp/data/china/image_1901th/78713041.pdf", "78713041")</f>
        <v>78713041</v>
      </c>
      <c r="F469" s="10" t="s">
        <v>1505</v>
      </c>
      <c r="G469" s="10" t="s">
        <v>160</v>
      </c>
      <c r="H469" s="10" t="s">
        <v>1506</v>
      </c>
      <c r="I469" s="10" t="s">
        <v>1384</v>
      </c>
    </row>
    <row r="470" spans="1:9" x14ac:dyDescent="0.15">
      <c r="A470" s="9">
        <v>469</v>
      </c>
      <c r="B470" s="10" t="s">
        <v>9</v>
      </c>
      <c r="C470" s="10" t="s">
        <v>164</v>
      </c>
      <c r="D470" s="10" t="s">
        <v>165</v>
      </c>
      <c r="E470" s="11" t="str">
        <f>+HYPERLINK("http://trademark.i-assist.jp/data/china/image_1901th/78713315.pdf", "78713315")</f>
        <v>78713315</v>
      </c>
      <c r="F470" s="10" t="s">
        <v>1507</v>
      </c>
      <c r="G470" s="10" t="s">
        <v>1460</v>
      </c>
      <c r="H470" s="10" t="s">
        <v>1508</v>
      </c>
      <c r="I470" s="10" t="s">
        <v>1384</v>
      </c>
    </row>
    <row r="471" spans="1:9" x14ac:dyDescent="0.15">
      <c r="A471" s="9">
        <v>470</v>
      </c>
      <c r="B471" s="10" t="s">
        <v>9</v>
      </c>
      <c r="C471" s="10" t="s">
        <v>164</v>
      </c>
      <c r="D471" s="10" t="s">
        <v>165</v>
      </c>
      <c r="E471" s="11" t="str">
        <f>+HYPERLINK("http://trademark.i-assist.jp/data/china/image_1901th/78713368.pdf", "78713368")</f>
        <v>78713368</v>
      </c>
      <c r="F471" s="10" t="s">
        <v>1509</v>
      </c>
      <c r="G471" s="10" t="s">
        <v>1510</v>
      </c>
      <c r="H471" s="10" t="s">
        <v>1511</v>
      </c>
      <c r="I471" s="10" t="s">
        <v>1384</v>
      </c>
    </row>
    <row r="472" spans="1:9" x14ac:dyDescent="0.15">
      <c r="A472" s="9">
        <v>471</v>
      </c>
      <c r="B472" s="10" t="s">
        <v>9</v>
      </c>
      <c r="C472" s="10" t="s">
        <v>164</v>
      </c>
      <c r="D472" s="10" t="s">
        <v>165</v>
      </c>
      <c r="E472" s="11" t="str">
        <f>+HYPERLINK("http://trademark.i-assist.jp/data/china/image_1901th/78713608.pdf", "78713608")</f>
        <v>78713608</v>
      </c>
      <c r="F472" s="10" t="s">
        <v>1512</v>
      </c>
      <c r="G472" s="10" t="s">
        <v>1513</v>
      </c>
      <c r="H472" s="10" t="s">
        <v>1514</v>
      </c>
      <c r="I472" s="10" t="s">
        <v>1384</v>
      </c>
    </row>
    <row r="473" spans="1:9" x14ac:dyDescent="0.15">
      <c r="A473" s="9">
        <v>472</v>
      </c>
      <c r="B473" s="10" t="s">
        <v>9</v>
      </c>
      <c r="C473" s="10" t="s">
        <v>164</v>
      </c>
      <c r="D473" s="10" t="s">
        <v>165</v>
      </c>
      <c r="E473" s="11" t="str">
        <f>+HYPERLINK("http://trademark.i-assist.jp/data/china/image_1901th/78713611.pdf", "78713611")</f>
        <v>78713611</v>
      </c>
      <c r="F473" s="10" t="s">
        <v>1515</v>
      </c>
      <c r="G473" s="10" t="s">
        <v>1516</v>
      </c>
      <c r="H473" s="10" t="s">
        <v>1517</v>
      </c>
      <c r="I473" s="10" t="s">
        <v>1384</v>
      </c>
    </row>
    <row r="474" spans="1:9" x14ac:dyDescent="0.15">
      <c r="A474" s="9">
        <v>473</v>
      </c>
      <c r="B474" s="10" t="s">
        <v>9</v>
      </c>
      <c r="C474" s="10" t="s">
        <v>164</v>
      </c>
      <c r="D474" s="10" t="s">
        <v>165</v>
      </c>
      <c r="E474" s="11" t="str">
        <f>+HYPERLINK("http://trademark.i-assist.jp/data/china/image_1901th/78713660.pdf", "78713660")</f>
        <v>78713660</v>
      </c>
      <c r="F474" s="10" t="s">
        <v>1518</v>
      </c>
      <c r="G474" s="10" t="s">
        <v>1392</v>
      </c>
      <c r="H474" s="10" t="s">
        <v>1519</v>
      </c>
      <c r="I474" s="10" t="s">
        <v>1384</v>
      </c>
    </row>
    <row r="475" spans="1:9" x14ac:dyDescent="0.15">
      <c r="A475" s="9">
        <v>474</v>
      </c>
      <c r="B475" s="10" t="s">
        <v>9</v>
      </c>
      <c r="C475" s="10" t="s">
        <v>164</v>
      </c>
      <c r="D475" s="10" t="s">
        <v>165</v>
      </c>
      <c r="E475" s="11" t="str">
        <f>+HYPERLINK("http://trademark.i-assist.jp/data/china/image_1901th/78714387.pdf", "78714387")</f>
        <v>78714387</v>
      </c>
      <c r="F475" s="10" t="s">
        <v>1520</v>
      </c>
      <c r="G475" s="10" t="s">
        <v>1521</v>
      </c>
      <c r="H475" s="10" t="s">
        <v>1522</v>
      </c>
      <c r="I475" s="10" t="s">
        <v>1384</v>
      </c>
    </row>
    <row r="476" spans="1:9" x14ac:dyDescent="0.15">
      <c r="A476" s="9">
        <v>475</v>
      </c>
      <c r="B476" s="10" t="s">
        <v>9</v>
      </c>
      <c r="C476" s="10" t="s">
        <v>164</v>
      </c>
      <c r="D476" s="10" t="s">
        <v>165</v>
      </c>
      <c r="E476" s="11" t="str">
        <f>+HYPERLINK("http://trademark.i-assist.jp/data/china/image_1901th/78714405.pdf", "78714405")</f>
        <v>78714405</v>
      </c>
      <c r="F476" s="10" t="s">
        <v>1523</v>
      </c>
      <c r="G476" s="10" t="s">
        <v>1524</v>
      </c>
      <c r="H476" s="10" t="s">
        <v>1525</v>
      </c>
      <c r="I476" s="10" t="s">
        <v>1384</v>
      </c>
    </row>
    <row r="477" spans="1:9" x14ac:dyDescent="0.15">
      <c r="A477" s="9">
        <v>476</v>
      </c>
      <c r="B477" s="10" t="s">
        <v>9</v>
      </c>
      <c r="C477" s="10" t="s">
        <v>164</v>
      </c>
      <c r="D477" s="10" t="s">
        <v>165</v>
      </c>
      <c r="E477" s="11" t="str">
        <f>+HYPERLINK("http://trademark.i-assist.jp/data/china/image_1901th/78715539.pdf", "78715539")</f>
        <v>78715539</v>
      </c>
      <c r="F477" s="10" t="s">
        <v>1526</v>
      </c>
      <c r="G477" s="10" t="s">
        <v>1527</v>
      </c>
      <c r="H477" s="10" t="s">
        <v>1528</v>
      </c>
      <c r="I477" s="10" t="s">
        <v>1384</v>
      </c>
    </row>
    <row r="478" spans="1:9" x14ac:dyDescent="0.15">
      <c r="A478" s="9">
        <v>477</v>
      </c>
      <c r="B478" s="10" t="s">
        <v>9</v>
      </c>
      <c r="C478" s="10" t="s">
        <v>164</v>
      </c>
      <c r="D478" s="10" t="s">
        <v>165</v>
      </c>
      <c r="E478" s="11" t="str">
        <f>+HYPERLINK("http://trademark.i-assist.jp/data/china/image_1901th/78716331.pdf", "78716331")</f>
        <v>78716331</v>
      </c>
      <c r="F478" s="10" t="s">
        <v>1529</v>
      </c>
      <c r="G478" s="10" t="s">
        <v>1530</v>
      </c>
      <c r="H478" s="10" t="s">
        <v>1531</v>
      </c>
      <c r="I478" s="10" t="s">
        <v>1384</v>
      </c>
    </row>
    <row r="479" spans="1:9" x14ac:dyDescent="0.15">
      <c r="A479" s="9">
        <v>478</v>
      </c>
      <c r="B479" s="10" t="s">
        <v>9</v>
      </c>
      <c r="C479" s="10" t="s">
        <v>164</v>
      </c>
      <c r="D479" s="10" t="s">
        <v>165</v>
      </c>
      <c r="E479" s="11" t="str">
        <f>+HYPERLINK("http://trademark.i-assist.jp/data/china/image_1901th/78716485.pdf", "78716485")</f>
        <v>78716485</v>
      </c>
      <c r="F479" s="10" t="s">
        <v>1532</v>
      </c>
      <c r="G479" s="10" t="s">
        <v>1533</v>
      </c>
      <c r="H479" s="10" t="s">
        <v>1534</v>
      </c>
      <c r="I479" s="10" t="s">
        <v>1384</v>
      </c>
    </row>
    <row r="480" spans="1:9" x14ac:dyDescent="0.15">
      <c r="A480" s="9">
        <v>479</v>
      </c>
      <c r="B480" s="10" t="s">
        <v>9</v>
      </c>
      <c r="C480" s="10" t="s">
        <v>164</v>
      </c>
      <c r="D480" s="10" t="s">
        <v>165</v>
      </c>
      <c r="E480" s="11" t="str">
        <f>+HYPERLINK("http://trademark.i-assist.jp/data/china/image_1901th/78719192.pdf", "78719192")</f>
        <v>78719192</v>
      </c>
      <c r="F480" s="10" t="s">
        <v>1535</v>
      </c>
      <c r="G480" s="10" t="s">
        <v>1536</v>
      </c>
      <c r="H480" s="10" t="s">
        <v>1537</v>
      </c>
      <c r="I480" s="10" t="s">
        <v>1538</v>
      </c>
    </row>
    <row r="481" spans="1:9" x14ac:dyDescent="0.15">
      <c r="A481" s="9">
        <v>480</v>
      </c>
      <c r="B481" s="10" t="s">
        <v>9</v>
      </c>
      <c r="C481" s="10" t="s">
        <v>164</v>
      </c>
      <c r="D481" s="10" t="s">
        <v>165</v>
      </c>
      <c r="E481" s="11" t="str">
        <f>+HYPERLINK("http://trademark.i-assist.jp/data/china/image_1901th/78719751.pdf", "78719751")</f>
        <v>78719751</v>
      </c>
      <c r="F481" s="10" t="s">
        <v>12</v>
      </c>
      <c r="G481" s="10" t="s">
        <v>1539</v>
      </c>
      <c r="H481" s="10" t="s">
        <v>1540</v>
      </c>
      <c r="I481" s="10" t="s">
        <v>1538</v>
      </c>
    </row>
    <row r="482" spans="1:9" x14ac:dyDescent="0.15">
      <c r="A482" s="9">
        <v>481</v>
      </c>
      <c r="B482" s="10" t="s">
        <v>9</v>
      </c>
      <c r="C482" s="10" t="s">
        <v>164</v>
      </c>
      <c r="D482" s="10" t="s">
        <v>165</v>
      </c>
      <c r="E482" s="11" t="str">
        <f>+HYPERLINK("http://trademark.i-assist.jp/data/china/image_1901th/78722549.pdf", "78722549")</f>
        <v>78722549</v>
      </c>
      <c r="F482" s="10" t="s">
        <v>1541</v>
      </c>
      <c r="G482" s="10" t="s">
        <v>1542</v>
      </c>
      <c r="H482" s="10" t="s">
        <v>1543</v>
      </c>
      <c r="I482" s="10" t="s">
        <v>1538</v>
      </c>
    </row>
    <row r="483" spans="1:9" x14ac:dyDescent="0.15">
      <c r="A483" s="9">
        <v>482</v>
      </c>
      <c r="B483" s="10" t="s">
        <v>9</v>
      </c>
      <c r="C483" s="10" t="s">
        <v>164</v>
      </c>
      <c r="D483" s="10" t="s">
        <v>165</v>
      </c>
      <c r="E483" s="11" t="str">
        <f>+HYPERLINK("http://trademark.i-assist.jp/data/china/image_1901th/78724063.pdf", "78724063")</f>
        <v>78724063</v>
      </c>
      <c r="F483" s="10" t="s">
        <v>12</v>
      </c>
      <c r="G483" s="10" t="s">
        <v>1544</v>
      </c>
      <c r="H483" s="10" t="s">
        <v>1545</v>
      </c>
      <c r="I483" s="10" t="s">
        <v>1538</v>
      </c>
    </row>
    <row r="484" spans="1:9" x14ac:dyDescent="0.15">
      <c r="A484" s="9">
        <v>483</v>
      </c>
      <c r="B484" s="10" t="s">
        <v>9</v>
      </c>
      <c r="C484" s="10" t="s">
        <v>164</v>
      </c>
      <c r="D484" s="10" t="s">
        <v>165</v>
      </c>
      <c r="E484" s="11" t="str">
        <f>+HYPERLINK("http://trademark.i-assist.jp/data/china/image_1901th/78725071.pdf", "78725071")</f>
        <v>78725071</v>
      </c>
      <c r="F484" s="10" t="s">
        <v>1546</v>
      </c>
      <c r="G484" s="10" t="s">
        <v>1547</v>
      </c>
      <c r="H484" s="10" t="s">
        <v>87</v>
      </c>
      <c r="I484" s="10" t="s">
        <v>1538</v>
      </c>
    </row>
    <row r="485" spans="1:9" x14ac:dyDescent="0.15">
      <c r="A485" s="9">
        <v>484</v>
      </c>
      <c r="B485" s="10" t="s">
        <v>9</v>
      </c>
      <c r="C485" s="10" t="s">
        <v>164</v>
      </c>
      <c r="D485" s="10" t="s">
        <v>165</v>
      </c>
      <c r="E485" s="11" t="str">
        <f>+HYPERLINK("http://trademark.i-assist.jp/data/china/image_1901th/78726015.pdf", "78726015")</f>
        <v>78726015</v>
      </c>
      <c r="F485" s="10" t="s">
        <v>1548</v>
      </c>
      <c r="G485" s="10" t="s">
        <v>1549</v>
      </c>
      <c r="H485" s="10" t="s">
        <v>1550</v>
      </c>
      <c r="I485" s="10" t="s">
        <v>1538</v>
      </c>
    </row>
    <row r="486" spans="1:9" x14ac:dyDescent="0.15">
      <c r="A486" s="9">
        <v>485</v>
      </c>
      <c r="B486" s="10" t="s">
        <v>9</v>
      </c>
      <c r="C486" s="10" t="s">
        <v>164</v>
      </c>
      <c r="D486" s="10" t="s">
        <v>165</v>
      </c>
      <c r="E486" s="11" t="str">
        <f>+HYPERLINK("http://trademark.i-assist.jp/data/china/image_1901th/78726458.pdf", "78726458")</f>
        <v>78726458</v>
      </c>
      <c r="F486" s="10" t="s">
        <v>1551</v>
      </c>
      <c r="G486" s="10" t="s">
        <v>1547</v>
      </c>
      <c r="H486" s="10" t="s">
        <v>87</v>
      </c>
      <c r="I486" s="10" t="s">
        <v>1538</v>
      </c>
    </row>
    <row r="487" spans="1:9" x14ac:dyDescent="0.15">
      <c r="A487" s="9">
        <v>486</v>
      </c>
      <c r="B487" s="10" t="s">
        <v>9</v>
      </c>
      <c r="C487" s="10" t="s">
        <v>164</v>
      </c>
      <c r="D487" s="10" t="s">
        <v>165</v>
      </c>
      <c r="E487" s="11" t="str">
        <f>+HYPERLINK("http://trademark.i-assist.jp/data/china/image_1901th/78726784.pdf", "78726784")</f>
        <v>78726784</v>
      </c>
      <c r="F487" s="10" t="s">
        <v>1552</v>
      </c>
      <c r="G487" s="10" t="s">
        <v>1553</v>
      </c>
      <c r="H487" s="10" t="s">
        <v>1554</v>
      </c>
      <c r="I487" s="10" t="s">
        <v>1538</v>
      </c>
    </row>
    <row r="488" spans="1:9" x14ac:dyDescent="0.15">
      <c r="A488" s="9">
        <v>487</v>
      </c>
      <c r="B488" s="10" t="s">
        <v>9</v>
      </c>
      <c r="C488" s="10" t="s">
        <v>164</v>
      </c>
      <c r="D488" s="10" t="s">
        <v>165</v>
      </c>
      <c r="E488" s="11" t="str">
        <f>+HYPERLINK("http://trademark.i-assist.jp/data/china/image_1901th/78727154.pdf", "78727154")</f>
        <v>78727154</v>
      </c>
      <c r="F488" s="10" t="s">
        <v>1555</v>
      </c>
      <c r="G488" s="10" t="s">
        <v>1556</v>
      </c>
      <c r="H488" s="10" t="s">
        <v>1557</v>
      </c>
      <c r="I488" s="10" t="s">
        <v>1538</v>
      </c>
    </row>
    <row r="489" spans="1:9" x14ac:dyDescent="0.15">
      <c r="A489" s="9">
        <v>488</v>
      </c>
      <c r="B489" s="10" t="s">
        <v>9</v>
      </c>
      <c r="C489" s="10" t="s">
        <v>164</v>
      </c>
      <c r="D489" s="10" t="s">
        <v>165</v>
      </c>
      <c r="E489" s="11" t="str">
        <f>+HYPERLINK("http://trademark.i-assist.jp/data/china/image_1901th/78728223.pdf", "78728223")</f>
        <v>78728223</v>
      </c>
      <c r="F489" s="10" t="s">
        <v>1558</v>
      </c>
      <c r="G489" s="10" t="s">
        <v>1559</v>
      </c>
      <c r="H489" s="10" t="s">
        <v>1560</v>
      </c>
      <c r="I489" s="10" t="s">
        <v>1538</v>
      </c>
    </row>
    <row r="490" spans="1:9" x14ac:dyDescent="0.15">
      <c r="A490" s="9">
        <v>489</v>
      </c>
      <c r="B490" s="10" t="s">
        <v>9</v>
      </c>
      <c r="C490" s="10" t="s">
        <v>164</v>
      </c>
      <c r="D490" s="10" t="s">
        <v>165</v>
      </c>
      <c r="E490" s="11" t="str">
        <f>+HYPERLINK("http://trademark.i-assist.jp/data/china/image_1901th/78728242.pdf", "78728242")</f>
        <v>78728242</v>
      </c>
      <c r="F490" s="10" t="s">
        <v>1561</v>
      </c>
      <c r="G490" s="10" t="s">
        <v>1562</v>
      </c>
      <c r="H490" s="10" t="s">
        <v>1563</v>
      </c>
      <c r="I490" s="10" t="s">
        <v>1538</v>
      </c>
    </row>
    <row r="491" spans="1:9" x14ac:dyDescent="0.15">
      <c r="A491" s="9">
        <v>490</v>
      </c>
      <c r="B491" s="10" t="s">
        <v>9</v>
      </c>
      <c r="C491" s="10" t="s">
        <v>164</v>
      </c>
      <c r="D491" s="10" t="s">
        <v>165</v>
      </c>
      <c r="E491" s="11" t="str">
        <f>+HYPERLINK("http://trademark.i-assist.jp/data/china/image_1901th/78728632.pdf", "78728632")</f>
        <v>78728632</v>
      </c>
      <c r="F491" s="10" t="s">
        <v>1564</v>
      </c>
      <c r="G491" s="10" t="s">
        <v>1565</v>
      </c>
      <c r="H491" s="10" t="s">
        <v>1566</v>
      </c>
      <c r="I491" s="10" t="s">
        <v>1538</v>
      </c>
    </row>
    <row r="492" spans="1:9" x14ac:dyDescent="0.15">
      <c r="A492" s="9">
        <v>491</v>
      </c>
      <c r="B492" s="10" t="s">
        <v>9</v>
      </c>
      <c r="C492" s="10" t="s">
        <v>164</v>
      </c>
      <c r="D492" s="10" t="s">
        <v>165</v>
      </c>
      <c r="E492" s="11" t="str">
        <f>+HYPERLINK("http://trademark.i-assist.jp/data/china/image_1901th/78729625.pdf", "78729625")</f>
        <v>78729625</v>
      </c>
      <c r="F492" s="10" t="s">
        <v>1567</v>
      </c>
      <c r="G492" s="10" t="s">
        <v>1568</v>
      </c>
      <c r="H492" s="10" t="s">
        <v>1569</v>
      </c>
      <c r="I492" s="10" t="s">
        <v>1538</v>
      </c>
    </row>
    <row r="493" spans="1:9" x14ac:dyDescent="0.15">
      <c r="A493" s="9">
        <v>492</v>
      </c>
      <c r="B493" s="10" t="s">
        <v>9</v>
      </c>
      <c r="C493" s="10" t="s">
        <v>164</v>
      </c>
      <c r="D493" s="10" t="s">
        <v>165</v>
      </c>
      <c r="E493" s="11" t="str">
        <f>+HYPERLINK("http://trademark.i-assist.jp/data/china/image_1901th/78731047.pdf", "78731047")</f>
        <v>78731047</v>
      </c>
      <c r="F493" s="10" t="s">
        <v>1570</v>
      </c>
      <c r="G493" s="10" t="s">
        <v>1571</v>
      </c>
      <c r="H493" s="10" t="s">
        <v>1572</v>
      </c>
      <c r="I493" s="10" t="s">
        <v>1538</v>
      </c>
    </row>
    <row r="494" spans="1:9" x14ac:dyDescent="0.15">
      <c r="A494" s="9">
        <v>493</v>
      </c>
      <c r="B494" s="10" t="s">
        <v>9</v>
      </c>
      <c r="C494" s="10" t="s">
        <v>164</v>
      </c>
      <c r="D494" s="10" t="s">
        <v>165</v>
      </c>
      <c r="E494" s="11" t="str">
        <f>+HYPERLINK("http://trademark.i-assist.jp/data/china/image_1901th/78731760.pdf", "78731760")</f>
        <v>78731760</v>
      </c>
      <c r="F494" s="10" t="s">
        <v>1573</v>
      </c>
      <c r="G494" s="10" t="s">
        <v>1574</v>
      </c>
      <c r="H494" s="10" t="s">
        <v>1575</v>
      </c>
      <c r="I494" s="10" t="s">
        <v>1538</v>
      </c>
    </row>
    <row r="495" spans="1:9" x14ac:dyDescent="0.15">
      <c r="A495" s="9">
        <v>494</v>
      </c>
      <c r="B495" s="10" t="s">
        <v>9</v>
      </c>
      <c r="C495" s="10" t="s">
        <v>164</v>
      </c>
      <c r="D495" s="10" t="s">
        <v>165</v>
      </c>
      <c r="E495" s="11" t="str">
        <f>+HYPERLINK("http://trademark.i-assist.jp/data/china/image_1901th/78733905.pdf", "78733905")</f>
        <v>78733905</v>
      </c>
      <c r="F495" s="10" t="s">
        <v>1576</v>
      </c>
      <c r="G495" s="10" t="s">
        <v>1577</v>
      </c>
      <c r="H495" s="10" t="s">
        <v>1578</v>
      </c>
      <c r="I495" s="10" t="s">
        <v>1538</v>
      </c>
    </row>
    <row r="496" spans="1:9" x14ac:dyDescent="0.15">
      <c r="A496" s="9">
        <v>495</v>
      </c>
      <c r="B496" s="10" t="s">
        <v>9</v>
      </c>
      <c r="C496" s="10" t="s">
        <v>164</v>
      </c>
      <c r="D496" s="10" t="s">
        <v>165</v>
      </c>
      <c r="E496" s="11" t="str">
        <f>+HYPERLINK("http://trademark.i-assist.jp/data/china/image_1901th/78734545.pdf", "78734545")</f>
        <v>78734545</v>
      </c>
      <c r="F496" s="10" t="s">
        <v>1579</v>
      </c>
      <c r="G496" s="10" t="s">
        <v>1580</v>
      </c>
      <c r="H496" s="10" t="s">
        <v>1581</v>
      </c>
      <c r="I496" s="10" t="s">
        <v>1538</v>
      </c>
    </row>
    <row r="497" spans="1:9" x14ac:dyDescent="0.15">
      <c r="A497" s="9">
        <v>496</v>
      </c>
      <c r="B497" s="10" t="s">
        <v>9</v>
      </c>
      <c r="C497" s="10" t="s">
        <v>164</v>
      </c>
      <c r="D497" s="10" t="s">
        <v>165</v>
      </c>
      <c r="E497" s="11" t="str">
        <f>+HYPERLINK("http://trademark.i-assist.jp/data/china/image_1901th/78737311.pdf", "78737311")</f>
        <v>78737311</v>
      </c>
      <c r="F497" s="10" t="s">
        <v>1582</v>
      </c>
      <c r="G497" s="10" t="s">
        <v>1547</v>
      </c>
      <c r="H497" s="10" t="s">
        <v>87</v>
      </c>
      <c r="I497" s="10" t="s">
        <v>1538</v>
      </c>
    </row>
    <row r="498" spans="1:9" x14ac:dyDescent="0.15">
      <c r="A498" s="9">
        <v>497</v>
      </c>
      <c r="B498" s="10" t="s">
        <v>9</v>
      </c>
      <c r="C498" s="10" t="s">
        <v>164</v>
      </c>
      <c r="D498" s="10" t="s">
        <v>165</v>
      </c>
      <c r="E498" s="11" t="str">
        <f>+HYPERLINK("http://trademark.i-assist.jp/data/china/image_1901th/78738084.pdf", "78738084")</f>
        <v>78738084</v>
      </c>
      <c r="F498" s="10" t="s">
        <v>1583</v>
      </c>
      <c r="G498" s="10" t="s">
        <v>135</v>
      </c>
      <c r="H498" s="10" t="s">
        <v>1584</v>
      </c>
      <c r="I498" s="10" t="s">
        <v>1538</v>
      </c>
    </row>
    <row r="499" spans="1:9" x14ac:dyDescent="0.15">
      <c r="A499" s="9">
        <v>498</v>
      </c>
      <c r="B499" s="10" t="s">
        <v>9</v>
      </c>
      <c r="C499" s="10" t="s">
        <v>164</v>
      </c>
      <c r="D499" s="10" t="s">
        <v>165</v>
      </c>
      <c r="E499" s="11" t="str">
        <f>+HYPERLINK("http://trademark.i-assist.jp/data/china/image_1901th/78739592.pdf", "78739592")</f>
        <v>78739592</v>
      </c>
      <c r="F499" s="10" t="s">
        <v>1585</v>
      </c>
      <c r="G499" s="10" t="s">
        <v>1580</v>
      </c>
      <c r="H499" s="10" t="s">
        <v>1586</v>
      </c>
      <c r="I499" s="10" t="s">
        <v>1538</v>
      </c>
    </row>
    <row r="500" spans="1:9" x14ac:dyDescent="0.15">
      <c r="A500" s="9">
        <v>499</v>
      </c>
      <c r="B500" s="10" t="s">
        <v>9</v>
      </c>
      <c r="C500" s="10" t="s">
        <v>164</v>
      </c>
      <c r="D500" s="10" t="s">
        <v>165</v>
      </c>
      <c r="E500" s="11" t="str">
        <f>+HYPERLINK("http://trademark.i-assist.jp/data/china/image_1901th/78740603.pdf", "78740603")</f>
        <v>78740603</v>
      </c>
      <c r="F500" s="10" t="s">
        <v>1587</v>
      </c>
      <c r="G500" s="10" t="s">
        <v>1588</v>
      </c>
      <c r="H500" s="10" t="s">
        <v>1589</v>
      </c>
      <c r="I500" s="10" t="s">
        <v>1538</v>
      </c>
    </row>
    <row r="501" spans="1:9" x14ac:dyDescent="0.15">
      <c r="A501" s="9">
        <v>500</v>
      </c>
      <c r="B501" s="10" t="s">
        <v>9</v>
      </c>
      <c r="C501" s="10" t="s">
        <v>164</v>
      </c>
      <c r="D501" s="10" t="s">
        <v>165</v>
      </c>
      <c r="E501" s="11" t="str">
        <f>+HYPERLINK("http://trademark.i-assist.jp/data/china/image_1901th/78741064.pdf", "78741064")</f>
        <v>78741064</v>
      </c>
      <c r="F501" s="10" t="s">
        <v>1590</v>
      </c>
      <c r="G501" s="10" t="s">
        <v>1591</v>
      </c>
      <c r="H501" s="10" t="s">
        <v>1592</v>
      </c>
      <c r="I501" s="10" t="s">
        <v>1538</v>
      </c>
    </row>
    <row r="502" spans="1:9" x14ac:dyDescent="0.15">
      <c r="A502" s="9">
        <v>501</v>
      </c>
      <c r="B502" s="10" t="s">
        <v>9</v>
      </c>
      <c r="C502" s="10" t="s">
        <v>164</v>
      </c>
      <c r="D502" s="10" t="s">
        <v>165</v>
      </c>
      <c r="E502" s="11" t="str">
        <f>+HYPERLINK("http://trademark.i-assist.jp/data/china/image_1901th/78741911.pdf", "78741911")</f>
        <v>78741911</v>
      </c>
      <c r="F502" s="10" t="s">
        <v>12</v>
      </c>
      <c r="G502" s="10" t="s">
        <v>1593</v>
      </c>
      <c r="H502" s="10" t="s">
        <v>1594</v>
      </c>
      <c r="I502" s="10" t="s">
        <v>1538</v>
      </c>
    </row>
    <row r="503" spans="1:9" x14ac:dyDescent="0.15">
      <c r="A503" s="9">
        <v>502</v>
      </c>
      <c r="B503" s="10" t="s">
        <v>9</v>
      </c>
      <c r="C503" s="10" t="s">
        <v>164</v>
      </c>
      <c r="D503" s="10" t="s">
        <v>165</v>
      </c>
      <c r="E503" s="11" t="str">
        <f>+HYPERLINK("http://trademark.i-assist.jp/data/china/image_1901th/78742729.pdf", "78742729")</f>
        <v>78742729</v>
      </c>
      <c r="F503" s="10" t="s">
        <v>1595</v>
      </c>
      <c r="G503" s="10" t="s">
        <v>1596</v>
      </c>
      <c r="H503" s="10" t="s">
        <v>1597</v>
      </c>
      <c r="I503" s="10" t="s">
        <v>1538</v>
      </c>
    </row>
    <row r="504" spans="1:9" x14ac:dyDescent="0.15">
      <c r="A504" s="9">
        <v>503</v>
      </c>
      <c r="B504" s="10" t="s">
        <v>9</v>
      </c>
      <c r="C504" s="10" t="s">
        <v>164</v>
      </c>
      <c r="D504" s="10" t="s">
        <v>165</v>
      </c>
      <c r="E504" s="11" t="str">
        <f>+HYPERLINK("http://trademark.i-assist.jp/data/china/image_1901th/78746097.pdf", "78746097")</f>
        <v>78746097</v>
      </c>
      <c r="F504" s="10" t="s">
        <v>1598</v>
      </c>
      <c r="G504" s="10" t="s">
        <v>1599</v>
      </c>
      <c r="H504" s="10" t="s">
        <v>1600</v>
      </c>
      <c r="I504" s="10" t="s">
        <v>1601</v>
      </c>
    </row>
    <row r="505" spans="1:9" x14ac:dyDescent="0.15">
      <c r="A505" s="9">
        <v>504</v>
      </c>
      <c r="B505" s="10" t="s">
        <v>9</v>
      </c>
      <c r="C505" s="10" t="s">
        <v>164</v>
      </c>
      <c r="D505" s="10" t="s">
        <v>165</v>
      </c>
      <c r="E505" s="11" t="str">
        <f>+HYPERLINK("http://trademark.i-assist.jp/data/china/image_1901th/78746098.pdf", "78746098")</f>
        <v>78746098</v>
      </c>
      <c r="F505" s="10" t="s">
        <v>1602</v>
      </c>
      <c r="G505" s="10" t="s">
        <v>1603</v>
      </c>
      <c r="H505" s="10" t="s">
        <v>1604</v>
      </c>
      <c r="I505" s="10" t="s">
        <v>1601</v>
      </c>
    </row>
    <row r="506" spans="1:9" x14ac:dyDescent="0.15">
      <c r="A506" s="9">
        <v>505</v>
      </c>
      <c r="B506" s="10" t="s">
        <v>9</v>
      </c>
      <c r="C506" s="10" t="s">
        <v>164</v>
      </c>
      <c r="D506" s="10" t="s">
        <v>165</v>
      </c>
      <c r="E506" s="11" t="str">
        <f>+HYPERLINK("http://trademark.i-assist.jp/data/china/image_1901th/78746327.pdf", "78746327")</f>
        <v>78746327</v>
      </c>
      <c r="F506" s="10" t="s">
        <v>1605</v>
      </c>
      <c r="G506" s="10" t="s">
        <v>1606</v>
      </c>
      <c r="H506" s="10" t="s">
        <v>1607</v>
      </c>
      <c r="I506" s="10" t="s">
        <v>1601</v>
      </c>
    </row>
    <row r="507" spans="1:9" x14ac:dyDescent="0.15">
      <c r="A507" s="9">
        <v>506</v>
      </c>
      <c r="B507" s="10" t="s">
        <v>9</v>
      </c>
      <c r="C507" s="10" t="s">
        <v>164</v>
      </c>
      <c r="D507" s="10" t="s">
        <v>165</v>
      </c>
      <c r="E507" s="11" t="str">
        <f>+HYPERLINK("http://trademark.i-assist.jp/data/china/image_1901th/78746402.pdf", "78746402")</f>
        <v>78746402</v>
      </c>
      <c r="F507" s="10" t="s">
        <v>1608</v>
      </c>
      <c r="G507" s="10" t="s">
        <v>1609</v>
      </c>
      <c r="H507" s="10" t="s">
        <v>1610</v>
      </c>
      <c r="I507" s="10" t="s">
        <v>1601</v>
      </c>
    </row>
    <row r="508" spans="1:9" x14ac:dyDescent="0.15">
      <c r="A508" s="9">
        <v>507</v>
      </c>
      <c r="B508" s="10" t="s">
        <v>9</v>
      </c>
      <c r="C508" s="10" t="s">
        <v>164</v>
      </c>
      <c r="D508" s="10" t="s">
        <v>165</v>
      </c>
      <c r="E508" s="11" t="str">
        <f>+HYPERLINK("http://trademark.i-assist.jp/data/china/image_1901th/78748331.pdf", "78748331")</f>
        <v>78748331</v>
      </c>
      <c r="F508" s="10" t="s">
        <v>1611</v>
      </c>
      <c r="G508" s="10" t="s">
        <v>1612</v>
      </c>
      <c r="H508" s="10" t="s">
        <v>1613</v>
      </c>
      <c r="I508" s="10" t="s">
        <v>1601</v>
      </c>
    </row>
    <row r="509" spans="1:9" x14ac:dyDescent="0.15">
      <c r="A509" s="9">
        <v>508</v>
      </c>
      <c r="B509" s="10" t="s">
        <v>9</v>
      </c>
      <c r="C509" s="10" t="s">
        <v>164</v>
      </c>
      <c r="D509" s="10" t="s">
        <v>165</v>
      </c>
      <c r="E509" s="11" t="str">
        <f>+HYPERLINK("http://trademark.i-assist.jp/data/china/image_1901th/78748738.pdf", "78748738")</f>
        <v>78748738</v>
      </c>
      <c r="F509" s="10" t="s">
        <v>1614</v>
      </c>
      <c r="G509" s="10" t="s">
        <v>1615</v>
      </c>
      <c r="H509" s="10" t="s">
        <v>1616</v>
      </c>
      <c r="I509" s="10" t="s">
        <v>1601</v>
      </c>
    </row>
    <row r="510" spans="1:9" x14ac:dyDescent="0.15">
      <c r="A510" s="9">
        <v>509</v>
      </c>
      <c r="B510" s="10" t="s">
        <v>9</v>
      </c>
      <c r="C510" s="10" t="s">
        <v>164</v>
      </c>
      <c r="D510" s="10" t="s">
        <v>165</v>
      </c>
      <c r="E510" s="11" t="str">
        <f>+HYPERLINK("http://trademark.i-assist.jp/data/china/image_1901th/78750090.pdf", "78750090")</f>
        <v>78750090</v>
      </c>
      <c r="F510" s="10" t="s">
        <v>1617</v>
      </c>
      <c r="G510" s="10" t="s">
        <v>154</v>
      </c>
      <c r="H510" s="10" t="s">
        <v>1618</v>
      </c>
      <c r="I510" s="10" t="s">
        <v>1601</v>
      </c>
    </row>
    <row r="511" spans="1:9" x14ac:dyDescent="0.15">
      <c r="A511" s="9">
        <v>510</v>
      </c>
      <c r="B511" s="10" t="s">
        <v>9</v>
      </c>
      <c r="C511" s="10" t="s">
        <v>164</v>
      </c>
      <c r="D511" s="10" t="s">
        <v>165</v>
      </c>
      <c r="E511" s="11" t="str">
        <f>+HYPERLINK("http://trademark.i-assist.jp/data/china/image_1901th/78751147.pdf", "78751147")</f>
        <v>78751147</v>
      </c>
      <c r="F511" s="10" t="s">
        <v>12</v>
      </c>
      <c r="G511" s="10" t="s">
        <v>1619</v>
      </c>
      <c r="H511" s="10" t="s">
        <v>1620</v>
      </c>
      <c r="I511" s="10" t="s">
        <v>1601</v>
      </c>
    </row>
    <row r="512" spans="1:9" x14ac:dyDescent="0.15">
      <c r="A512" s="9">
        <v>511</v>
      </c>
      <c r="B512" s="10" t="s">
        <v>9</v>
      </c>
      <c r="C512" s="10" t="s">
        <v>164</v>
      </c>
      <c r="D512" s="10" t="s">
        <v>165</v>
      </c>
      <c r="E512" s="11" t="str">
        <f>+HYPERLINK("http://trademark.i-assist.jp/data/china/image_1901th/78751622.pdf", "78751622")</f>
        <v>78751622</v>
      </c>
      <c r="F512" s="10" t="s">
        <v>1621</v>
      </c>
      <c r="G512" s="10" t="s">
        <v>1622</v>
      </c>
      <c r="H512" s="10" t="s">
        <v>1623</v>
      </c>
      <c r="I512" s="10" t="s">
        <v>1601</v>
      </c>
    </row>
    <row r="513" spans="1:9" x14ac:dyDescent="0.15">
      <c r="A513" s="9">
        <v>512</v>
      </c>
      <c r="B513" s="10" t="s">
        <v>9</v>
      </c>
      <c r="C513" s="10" t="s">
        <v>164</v>
      </c>
      <c r="D513" s="10" t="s">
        <v>165</v>
      </c>
      <c r="E513" s="11" t="str">
        <f>+HYPERLINK("http://trademark.i-assist.jp/data/china/image_1901th/78752015.pdf", "78752015")</f>
        <v>78752015</v>
      </c>
      <c r="F513" s="10" t="s">
        <v>1624</v>
      </c>
      <c r="G513" s="10" t="s">
        <v>1625</v>
      </c>
      <c r="H513" s="10" t="s">
        <v>1626</v>
      </c>
      <c r="I513" s="10" t="s">
        <v>1601</v>
      </c>
    </row>
    <row r="514" spans="1:9" x14ac:dyDescent="0.15">
      <c r="A514" s="9">
        <v>513</v>
      </c>
      <c r="B514" s="10" t="s">
        <v>9</v>
      </c>
      <c r="C514" s="10" t="s">
        <v>164</v>
      </c>
      <c r="D514" s="10" t="s">
        <v>165</v>
      </c>
      <c r="E514" s="11" t="str">
        <f>+HYPERLINK("http://trademark.i-assist.jp/data/china/image_1901th/78752042.pdf", "78752042")</f>
        <v>78752042</v>
      </c>
      <c r="F514" s="10" t="s">
        <v>1627</v>
      </c>
      <c r="G514" s="10" t="s">
        <v>1628</v>
      </c>
      <c r="H514" s="10" t="s">
        <v>1629</v>
      </c>
      <c r="I514" s="10" t="s">
        <v>1601</v>
      </c>
    </row>
    <row r="515" spans="1:9" x14ac:dyDescent="0.15">
      <c r="A515" s="9">
        <v>514</v>
      </c>
      <c r="B515" s="10" t="s">
        <v>9</v>
      </c>
      <c r="C515" s="10" t="s">
        <v>164</v>
      </c>
      <c r="D515" s="10" t="s">
        <v>165</v>
      </c>
      <c r="E515" s="11" t="str">
        <f>+HYPERLINK("http://trademark.i-assist.jp/data/china/image_1901th/78753786.pdf", "78753786")</f>
        <v>78753786</v>
      </c>
      <c r="F515" s="10" t="s">
        <v>1630</v>
      </c>
      <c r="G515" s="10" t="s">
        <v>1631</v>
      </c>
      <c r="H515" s="10" t="s">
        <v>1632</v>
      </c>
      <c r="I515" s="10" t="s">
        <v>1601</v>
      </c>
    </row>
    <row r="516" spans="1:9" x14ac:dyDescent="0.15">
      <c r="A516" s="9">
        <v>515</v>
      </c>
      <c r="B516" s="10" t="s">
        <v>9</v>
      </c>
      <c r="C516" s="10" t="s">
        <v>164</v>
      </c>
      <c r="D516" s="10" t="s">
        <v>165</v>
      </c>
      <c r="E516" s="11" t="str">
        <f>+HYPERLINK("http://trademark.i-assist.jp/data/china/image_1901th/78755933.pdf", "78755933")</f>
        <v>78755933</v>
      </c>
      <c r="F516" s="10" t="s">
        <v>1633</v>
      </c>
      <c r="G516" s="10" t="s">
        <v>1634</v>
      </c>
      <c r="H516" s="10" t="s">
        <v>1635</v>
      </c>
      <c r="I516" s="10" t="s">
        <v>1601</v>
      </c>
    </row>
    <row r="517" spans="1:9" x14ac:dyDescent="0.15">
      <c r="A517" s="9">
        <v>516</v>
      </c>
      <c r="B517" s="10" t="s">
        <v>9</v>
      </c>
      <c r="C517" s="10" t="s">
        <v>164</v>
      </c>
      <c r="D517" s="10" t="s">
        <v>165</v>
      </c>
      <c r="E517" s="11" t="str">
        <f>+HYPERLINK("http://trademark.i-assist.jp/data/china/image_1901th/78756353.pdf", "78756353")</f>
        <v>78756353</v>
      </c>
      <c r="F517" s="10" t="s">
        <v>1636</v>
      </c>
      <c r="G517" s="10" t="s">
        <v>1637</v>
      </c>
      <c r="H517" s="10" t="s">
        <v>1638</v>
      </c>
      <c r="I517" s="10" t="s">
        <v>1601</v>
      </c>
    </row>
    <row r="518" spans="1:9" x14ac:dyDescent="0.15">
      <c r="A518" s="9">
        <v>517</v>
      </c>
      <c r="B518" s="10" t="s">
        <v>9</v>
      </c>
      <c r="C518" s="10" t="s">
        <v>164</v>
      </c>
      <c r="D518" s="10" t="s">
        <v>165</v>
      </c>
      <c r="E518" s="11" t="str">
        <f>+HYPERLINK("http://trademark.i-assist.jp/data/china/image_1901th/78757481.pdf", "78757481")</f>
        <v>78757481</v>
      </c>
      <c r="F518" s="10" t="s">
        <v>12</v>
      </c>
      <c r="G518" s="10" t="s">
        <v>1639</v>
      </c>
      <c r="H518" s="10" t="s">
        <v>1640</v>
      </c>
      <c r="I518" s="10" t="s">
        <v>1601</v>
      </c>
    </row>
    <row r="519" spans="1:9" x14ac:dyDescent="0.15">
      <c r="A519" s="9">
        <v>518</v>
      </c>
      <c r="B519" s="10" t="s">
        <v>9</v>
      </c>
      <c r="C519" s="10" t="s">
        <v>164</v>
      </c>
      <c r="D519" s="10" t="s">
        <v>165</v>
      </c>
      <c r="E519" s="11" t="str">
        <f>+HYPERLINK("http://trademark.i-assist.jp/data/china/image_1901th/78757541.pdf", "78757541")</f>
        <v>78757541</v>
      </c>
      <c r="F519" s="10" t="s">
        <v>1641</v>
      </c>
      <c r="G519" s="10" t="s">
        <v>1642</v>
      </c>
      <c r="H519" s="10" t="s">
        <v>1643</v>
      </c>
      <c r="I519" s="10" t="s">
        <v>1601</v>
      </c>
    </row>
    <row r="520" spans="1:9" x14ac:dyDescent="0.15">
      <c r="A520" s="9">
        <v>519</v>
      </c>
      <c r="B520" s="10" t="s">
        <v>9</v>
      </c>
      <c r="C520" s="10" t="s">
        <v>164</v>
      </c>
      <c r="D520" s="10" t="s">
        <v>165</v>
      </c>
      <c r="E520" s="11" t="str">
        <f>+HYPERLINK("http://trademark.i-assist.jp/data/china/image_1901th/78757674.pdf", "78757674")</f>
        <v>78757674</v>
      </c>
      <c r="F520" s="10" t="s">
        <v>1644</v>
      </c>
      <c r="G520" s="10" t="s">
        <v>1645</v>
      </c>
      <c r="H520" s="10" t="s">
        <v>1646</v>
      </c>
      <c r="I520" s="10" t="s">
        <v>1601</v>
      </c>
    </row>
    <row r="521" spans="1:9" x14ac:dyDescent="0.15">
      <c r="A521" s="9">
        <v>520</v>
      </c>
      <c r="B521" s="10" t="s">
        <v>9</v>
      </c>
      <c r="C521" s="10" t="s">
        <v>164</v>
      </c>
      <c r="D521" s="10" t="s">
        <v>165</v>
      </c>
      <c r="E521" s="11" t="str">
        <f>+HYPERLINK("http://trademark.i-assist.jp/data/china/image_1901th/78758014.pdf", "78758014")</f>
        <v>78758014</v>
      </c>
      <c r="F521" s="10" t="s">
        <v>1647</v>
      </c>
      <c r="G521" s="10" t="s">
        <v>1648</v>
      </c>
      <c r="H521" s="10" t="s">
        <v>24</v>
      </c>
      <c r="I521" s="10" t="s">
        <v>1601</v>
      </c>
    </row>
    <row r="522" spans="1:9" x14ac:dyDescent="0.15">
      <c r="A522" s="9">
        <v>521</v>
      </c>
      <c r="B522" s="10" t="s">
        <v>9</v>
      </c>
      <c r="C522" s="10" t="s">
        <v>164</v>
      </c>
      <c r="D522" s="10" t="s">
        <v>165</v>
      </c>
      <c r="E522" s="11" t="str">
        <f>+HYPERLINK("http://trademark.i-assist.jp/data/china/image_1901th/78758122.pdf", "78758122")</f>
        <v>78758122</v>
      </c>
      <c r="F522" s="10" t="s">
        <v>1649</v>
      </c>
      <c r="G522" s="10" t="s">
        <v>1650</v>
      </c>
      <c r="H522" s="10" t="s">
        <v>1651</v>
      </c>
      <c r="I522" s="10" t="s">
        <v>1601</v>
      </c>
    </row>
    <row r="523" spans="1:9" x14ac:dyDescent="0.15">
      <c r="A523" s="9">
        <v>522</v>
      </c>
      <c r="B523" s="10" t="s">
        <v>9</v>
      </c>
      <c r="C523" s="10" t="s">
        <v>164</v>
      </c>
      <c r="D523" s="10" t="s">
        <v>165</v>
      </c>
      <c r="E523" s="11" t="str">
        <f>+HYPERLINK("http://trademark.i-assist.jp/data/china/image_1901th/78758217.pdf", "78758217")</f>
        <v>78758217</v>
      </c>
      <c r="F523" s="10" t="s">
        <v>12</v>
      </c>
      <c r="G523" s="10" t="s">
        <v>1652</v>
      </c>
      <c r="H523" s="10" t="s">
        <v>1653</v>
      </c>
      <c r="I523" s="10" t="s">
        <v>1601</v>
      </c>
    </row>
    <row r="524" spans="1:9" x14ac:dyDescent="0.15">
      <c r="A524" s="9">
        <v>523</v>
      </c>
      <c r="B524" s="10" t="s">
        <v>9</v>
      </c>
      <c r="C524" s="10" t="s">
        <v>164</v>
      </c>
      <c r="D524" s="10" t="s">
        <v>165</v>
      </c>
      <c r="E524" s="11" t="str">
        <f>+HYPERLINK("http://trademark.i-assist.jp/data/china/image_1901th/78758282.pdf", "78758282")</f>
        <v>78758282</v>
      </c>
      <c r="F524" s="10" t="s">
        <v>1654</v>
      </c>
      <c r="G524" s="10" t="s">
        <v>1655</v>
      </c>
      <c r="H524" s="10" t="s">
        <v>1656</v>
      </c>
      <c r="I524" s="10" t="s">
        <v>1601</v>
      </c>
    </row>
    <row r="525" spans="1:9" x14ac:dyDescent="0.15">
      <c r="A525" s="9">
        <v>524</v>
      </c>
      <c r="B525" s="10" t="s">
        <v>9</v>
      </c>
      <c r="C525" s="10" t="s">
        <v>164</v>
      </c>
      <c r="D525" s="10" t="s">
        <v>165</v>
      </c>
      <c r="E525" s="11" t="str">
        <f>+HYPERLINK("http://trademark.i-assist.jp/data/china/image_1901th/78758477.pdf", "78758477")</f>
        <v>78758477</v>
      </c>
      <c r="F525" s="10" t="s">
        <v>1657</v>
      </c>
      <c r="G525" s="10" t="s">
        <v>1658</v>
      </c>
      <c r="H525" s="10" t="s">
        <v>1659</v>
      </c>
      <c r="I525" s="10" t="s">
        <v>1601</v>
      </c>
    </row>
    <row r="526" spans="1:9" x14ac:dyDescent="0.15">
      <c r="A526" s="9">
        <v>525</v>
      </c>
      <c r="B526" s="10" t="s">
        <v>9</v>
      </c>
      <c r="C526" s="10" t="s">
        <v>164</v>
      </c>
      <c r="D526" s="10" t="s">
        <v>165</v>
      </c>
      <c r="E526" s="11" t="str">
        <f>+HYPERLINK("http://trademark.i-assist.jp/data/china/image_1901th/78758540.pdf", "78758540")</f>
        <v>78758540</v>
      </c>
      <c r="F526" s="10" t="s">
        <v>1660</v>
      </c>
      <c r="G526" s="10" t="s">
        <v>1661</v>
      </c>
      <c r="H526" s="10" t="s">
        <v>1662</v>
      </c>
      <c r="I526" s="10" t="s">
        <v>1601</v>
      </c>
    </row>
    <row r="527" spans="1:9" x14ac:dyDescent="0.15">
      <c r="A527" s="9">
        <v>526</v>
      </c>
      <c r="B527" s="10" t="s">
        <v>9</v>
      </c>
      <c r="C527" s="10" t="s">
        <v>164</v>
      </c>
      <c r="D527" s="10" t="s">
        <v>165</v>
      </c>
      <c r="E527" s="11" t="str">
        <f>+HYPERLINK("http://trademark.i-assist.jp/data/china/image_1901th/78759389.pdf", "78759389")</f>
        <v>78759389</v>
      </c>
      <c r="F527" s="10" t="s">
        <v>1663</v>
      </c>
      <c r="G527" s="10" t="s">
        <v>1664</v>
      </c>
      <c r="H527" s="10" t="s">
        <v>1665</v>
      </c>
      <c r="I527" s="10" t="s">
        <v>1601</v>
      </c>
    </row>
    <row r="528" spans="1:9" x14ac:dyDescent="0.15">
      <c r="A528" s="9">
        <v>527</v>
      </c>
      <c r="B528" s="10" t="s">
        <v>9</v>
      </c>
      <c r="C528" s="10" t="s">
        <v>164</v>
      </c>
      <c r="D528" s="10" t="s">
        <v>165</v>
      </c>
      <c r="E528" s="11" t="str">
        <f>+HYPERLINK("http://trademark.i-assist.jp/data/china/image_1901th/78759626.pdf", "78759626")</f>
        <v>78759626</v>
      </c>
      <c r="F528" s="10" t="s">
        <v>1666</v>
      </c>
      <c r="G528" s="10" t="s">
        <v>1667</v>
      </c>
      <c r="H528" s="10" t="s">
        <v>1668</v>
      </c>
      <c r="I528" s="10" t="s">
        <v>1601</v>
      </c>
    </row>
    <row r="529" spans="1:9" x14ac:dyDescent="0.15">
      <c r="A529" s="9">
        <v>528</v>
      </c>
      <c r="B529" s="10" t="s">
        <v>9</v>
      </c>
      <c r="C529" s="10" t="s">
        <v>164</v>
      </c>
      <c r="D529" s="10" t="s">
        <v>165</v>
      </c>
      <c r="E529" s="11" t="str">
        <f>+HYPERLINK("http://trademark.i-assist.jp/data/china/image_1901th/78760987.pdf", "78760987")</f>
        <v>78760987</v>
      </c>
      <c r="F529" s="10" t="s">
        <v>1669</v>
      </c>
      <c r="G529" s="10" t="s">
        <v>1670</v>
      </c>
      <c r="H529" s="10" t="s">
        <v>1671</v>
      </c>
      <c r="I529" s="10" t="s">
        <v>1601</v>
      </c>
    </row>
    <row r="530" spans="1:9" x14ac:dyDescent="0.15">
      <c r="A530" s="9">
        <v>529</v>
      </c>
      <c r="B530" s="10" t="s">
        <v>9</v>
      </c>
      <c r="C530" s="10" t="s">
        <v>164</v>
      </c>
      <c r="D530" s="10" t="s">
        <v>165</v>
      </c>
      <c r="E530" s="11" t="str">
        <f>+HYPERLINK("http://trademark.i-assist.jp/data/china/image_1901th/78761738.pdf", "78761738")</f>
        <v>78761738</v>
      </c>
      <c r="F530" s="10" t="s">
        <v>1672</v>
      </c>
      <c r="G530" s="10" t="s">
        <v>1673</v>
      </c>
      <c r="H530" s="10" t="s">
        <v>1674</v>
      </c>
      <c r="I530" s="10" t="s">
        <v>1601</v>
      </c>
    </row>
    <row r="531" spans="1:9" x14ac:dyDescent="0.15">
      <c r="A531" s="9">
        <v>530</v>
      </c>
      <c r="B531" s="10" t="s">
        <v>9</v>
      </c>
      <c r="C531" s="10" t="s">
        <v>164</v>
      </c>
      <c r="D531" s="10" t="s">
        <v>165</v>
      </c>
      <c r="E531" s="11" t="str">
        <f>+HYPERLINK("http://trademark.i-assist.jp/data/china/image_1901th/78761976.pdf", "78761976")</f>
        <v>78761976</v>
      </c>
      <c r="F531" s="10" t="s">
        <v>1675</v>
      </c>
      <c r="G531" s="10" t="s">
        <v>1606</v>
      </c>
      <c r="H531" s="10" t="s">
        <v>1676</v>
      </c>
      <c r="I531" s="10" t="s">
        <v>1601</v>
      </c>
    </row>
    <row r="532" spans="1:9" x14ac:dyDescent="0.15">
      <c r="A532" s="9">
        <v>531</v>
      </c>
      <c r="B532" s="10" t="s">
        <v>9</v>
      </c>
      <c r="C532" s="10" t="s">
        <v>164</v>
      </c>
      <c r="D532" s="10" t="s">
        <v>165</v>
      </c>
      <c r="E532" s="11" t="str">
        <f>+HYPERLINK("http://trademark.i-assist.jp/data/china/image_1901th/78762076.pdf", "78762076")</f>
        <v>78762076</v>
      </c>
      <c r="F532" s="10" t="s">
        <v>1677</v>
      </c>
      <c r="G532" s="10" t="s">
        <v>1637</v>
      </c>
      <c r="H532" s="10" t="s">
        <v>1678</v>
      </c>
      <c r="I532" s="10" t="s">
        <v>1601</v>
      </c>
    </row>
    <row r="533" spans="1:9" x14ac:dyDescent="0.15">
      <c r="A533" s="9">
        <v>532</v>
      </c>
      <c r="B533" s="10" t="s">
        <v>9</v>
      </c>
      <c r="C533" s="10" t="s">
        <v>164</v>
      </c>
      <c r="D533" s="10" t="s">
        <v>165</v>
      </c>
      <c r="E533" s="11" t="str">
        <f>+HYPERLINK("http://trademark.i-assist.jp/data/china/image_1901th/78762204.pdf", "78762204")</f>
        <v>78762204</v>
      </c>
      <c r="F533" s="10" t="s">
        <v>1679</v>
      </c>
      <c r="G533" s="10" t="s">
        <v>1680</v>
      </c>
      <c r="H533" s="10" t="s">
        <v>1681</v>
      </c>
      <c r="I533" s="10" t="s">
        <v>1601</v>
      </c>
    </row>
    <row r="534" spans="1:9" x14ac:dyDescent="0.15">
      <c r="A534" s="9">
        <v>533</v>
      </c>
      <c r="B534" s="10" t="s">
        <v>9</v>
      </c>
      <c r="C534" s="10" t="s">
        <v>164</v>
      </c>
      <c r="D534" s="10" t="s">
        <v>165</v>
      </c>
      <c r="E534" s="11" t="str">
        <f>+HYPERLINK("http://trademark.i-assist.jp/data/china/image_1901th/78762431.pdf", "78762431")</f>
        <v>78762431</v>
      </c>
      <c r="F534" s="10" t="s">
        <v>1682</v>
      </c>
      <c r="G534" s="10" t="s">
        <v>1683</v>
      </c>
      <c r="H534" s="10" t="s">
        <v>1684</v>
      </c>
      <c r="I534" s="10" t="s">
        <v>1601</v>
      </c>
    </row>
    <row r="535" spans="1:9" x14ac:dyDescent="0.15">
      <c r="A535" s="9">
        <v>534</v>
      </c>
      <c r="B535" s="10" t="s">
        <v>9</v>
      </c>
      <c r="C535" s="10" t="s">
        <v>164</v>
      </c>
      <c r="D535" s="10" t="s">
        <v>165</v>
      </c>
      <c r="E535" s="11" t="str">
        <f>+HYPERLINK("http://trademark.i-assist.jp/data/china/image_1901th/78762475.pdf", "78762475")</f>
        <v>78762475</v>
      </c>
      <c r="F535" s="10" t="s">
        <v>1685</v>
      </c>
      <c r="G535" s="10" t="s">
        <v>1686</v>
      </c>
      <c r="H535" s="10" t="s">
        <v>1687</v>
      </c>
      <c r="I535" s="10" t="s">
        <v>1601</v>
      </c>
    </row>
    <row r="536" spans="1:9" x14ac:dyDescent="0.15">
      <c r="A536" s="9">
        <v>535</v>
      </c>
      <c r="B536" s="10" t="s">
        <v>9</v>
      </c>
      <c r="C536" s="10" t="s">
        <v>164</v>
      </c>
      <c r="D536" s="10" t="s">
        <v>165</v>
      </c>
      <c r="E536" s="11" t="str">
        <f>+HYPERLINK("http://trademark.i-assist.jp/data/china/image_1901th/78762739.pdf", "78762739")</f>
        <v>78762739</v>
      </c>
      <c r="F536" s="10" t="s">
        <v>1688</v>
      </c>
      <c r="G536" s="10" t="s">
        <v>1689</v>
      </c>
      <c r="H536" s="10" t="s">
        <v>1690</v>
      </c>
      <c r="I536" s="10" t="s">
        <v>1601</v>
      </c>
    </row>
    <row r="537" spans="1:9" x14ac:dyDescent="0.15">
      <c r="A537" s="9">
        <v>536</v>
      </c>
      <c r="B537" s="10" t="s">
        <v>9</v>
      </c>
      <c r="C537" s="10" t="s">
        <v>164</v>
      </c>
      <c r="D537" s="10" t="s">
        <v>165</v>
      </c>
      <c r="E537" s="11" t="str">
        <f>+HYPERLINK("http://trademark.i-assist.jp/data/china/image_1901th/78762861.pdf", "78762861")</f>
        <v>78762861</v>
      </c>
      <c r="F537" s="10" t="s">
        <v>1691</v>
      </c>
      <c r="G537" s="10" t="s">
        <v>1692</v>
      </c>
      <c r="H537" s="10" t="s">
        <v>1693</v>
      </c>
      <c r="I537" s="10" t="s">
        <v>1601</v>
      </c>
    </row>
    <row r="538" spans="1:9" x14ac:dyDescent="0.15">
      <c r="A538" s="9">
        <v>537</v>
      </c>
      <c r="B538" s="10" t="s">
        <v>9</v>
      </c>
      <c r="C538" s="10" t="s">
        <v>164</v>
      </c>
      <c r="D538" s="10" t="s">
        <v>165</v>
      </c>
      <c r="E538" s="11" t="str">
        <f>+HYPERLINK("http://trademark.i-assist.jp/data/china/image_1901th/78762903.pdf", "78762903")</f>
        <v>78762903</v>
      </c>
      <c r="F538" s="10" t="s">
        <v>1694</v>
      </c>
      <c r="G538" s="10" t="s">
        <v>1695</v>
      </c>
      <c r="H538" s="10" t="s">
        <v>1696</v>
      </c>
      <c r="I538" s="10" t="s">
        <v>1601</v>
      </c>
    </row>
    <row r="539" spans="1:9" x14ac:dyDescent="0.15">
      <c r="A539" s="9">
        <v>538</v>
      </c>
      <c r="B539" s="10" t="s">
        <v>9</v>
      </c>
      <c r="C539" s="10" t="s">
        <v>164</v>
      </c>
      <c r="D539" s="10" t="s">
        <v>165</v>
      </c>
      <c r="E539" s="11" t="str">
        <f>+HYPERLINK("http://trademark.i-assist.jp/data/china/image_1901th/78763057.pdf", "78763057")</f>
        <v>78763057</v>
      </c>
      <c r="F539" s="10" t="s">
        <v>1697</v>
      </c>
      <c r="G539" s="10" t="s">
        <v>1698</v>
      </c>
      <c r="H539" s="10" t="s">
        <v>1699</v>
      </c>
      <c r="I539" s="10" t="s">
        <v>1601</v>
      </c>
    </row>
    <row r="540" spans="1:9" x14ac:dyDescent="0.15">
      <c r="A540" s="9">
        <v>539</v>
      </c>
      <c r="B540" s="10" t="s">
        <v>9</v>
      </c>
      <c r="C540" s="10" t="s">
        <v>164</v>
      </c>
      <c r="D540" s="10" t="s">
        <v>165</v>
      </c>
      <c r="E540" s="11" t="str">
        <f>+HYPERLINK("http://trademark.i-assist.jp/data/china/image_1901th/78763131.pdf", "78763131")</f>
        <v>78763131</v>
      </c>
      <c r="F540" s="10" t="s">
        <v>1700</v>
      </c>
      <c r="G540" s="10" t="s">
        <v>1701</v>
      </c>
      <c r="H540" s="10" t="s">
        <v>1702</v>
      </c>
      <c r="I540" s="10" t="s">
        <v>1601</v>
      </c>
    </row>
    <row r="541" spans="1:9" x14ac:dyDescent="0.15">
      <c r="A541" s="9">
        <v>540</v>
      </c>
      <c r="B541" s="10" t="s">
        <v>9</v>
      </c>
      <c r="C541" s="10" t="s">
        <v>164</v>
      </c>
      <c r="D541" s="10" t="s">
        <v>165</v>
      </c>
      <c r="E541" s="11" t="str">
        <f>+HYPERLINK("http://trademark.i-assist.jp/data/china/image_1901th/78763143.pdf", "78763143")</f>
        <v>78763143</v>
      </c>
      <c r="F541" s="10" t="s">
        <v>1703</v>
      </c>
      <c r="G541" s="10" t="s">
        <v>1704</v>
      </c>
      <c r="H541" s="10" t="s">
        <v>1705</v>
      </c>
      <c r="I541" s="10" t="s">
        <v>1601</v>
      </c>
    </row>
    <row r="542" spans="1:9" x14ac:dyDescent="0.15">
      <c r="A542" s="9">
        <v>541</v>
      </c>
      <c r="B542" s="10" t="s">
        <v>9</v>
      </c>
      <c r="C542" s="10" t="s">
        <v>164</v>
      </c>
      <c r="D542" s="10" t="s">
        <v>165</v>
      </c>
      <c r="E542" s="11" t="str">
        <f>+HYPERLINK("http://trademark.i-assist.jp/data/china/image_1901th/78763466.pdf", "78763466")</f>
        <v>78763466</v>
      </c>
      <c r="F542" s="10" t="s">
        <v>1706</v>
      </c>
      <c r="G542" s="10" t="s">
        <v>1707</v>
      </c>
      <c r="H542" s="10" t="s">
        <v>1708</v>
      </c>
      <c r="I542" s="10" t="s">
        <v>1601</v>
      </c>
    </row>
    <row r="543" spans="1:9" x14ac:dyDescent="0.15">
      <c r="A543" s="9">
        <v>542</v>
      </c>
      <c r="B543" s="10" t="s">
        <v>9</v>
      </c>
      <c r="C543" s="10" t="s">
        <v>164</v>
      </c>
      <c r="D543" s="10" t="s">
        <v>165</v>
      </c>
      <c r="E543" s="11" t="str">
        <f>+HYPERLINK("http://trademark.i-assist.jp/data/china/image_1901th/78763934.pdf", "78763934")</f>
        <v>78763934</v>
      </c>
      <c r="F543" s="10" t="s">
        <v>1709</v>
      </c>
      <c r="G543" s="10" t="s">
        <v>1710</v>
      </c>
      <c r="H543" s="10" t="s">
        <v>1711</v>
      </c>
      <c r="I543" s="10" t="s">
        <v>1601</v>
      </c>
    </row>
    <row r="544" spans="1:9" x14ac:dyDescent="0.15">
      <c r="A544" s="9">
        <v>543</v>
      </c>
      <c r="B544" s="10" t="s">
        <v>9</v>
      </c>
      <c r="C544" s="10" t="s">
        <v>164</v>
      </c>
      <c r="D544" s="10" t="s">
        <v>165</v>
      </c>
      <c r="E544" s="11" t="str">
        <f>+HYPERLINK("http://trademark.i-assist.jp/data/china/image_1901th/78764543.pdf", "78764543")</f>
        <v>78764543</v>
      </c>
      <c r="F544" s="10" t="s">
        <v>1712</v>
      </c>
      <c r="G544" s="10" t="s">
        <v>1713</v>
      </c>
      <c r="H544" s="10" t="s">
        <v>1714</v>
      </c>
      <c r="I544" s="10" t="s">
        <v>1601</v>
      </c>
    </row>
    <row r="545" spans="1:9" x14ac:dyDescent="0.15">
      <c r="A545" s="9">
        <v>544</v>
      </c>
      <c r="B545" s="10" t="s">
        <v>9</v>
      </c>
      <c r="C545" s="10" t="s">
        <v>164</v>
      </c>
      <c r="D545" s="10" t="s">
        <v>165</v>
      </c>
      <c r="E545" s="11" t="str">
        <f>+HYPERLINK("http://trademark.i-assist.jp/data/china/image_1901th/78764643.pdf", "78764643")</f>
        <v>78764643</v>
      </c>
      <c r="F545" s="10" t="s">
        <v>1715</v>
      </c>
      <c r="G545" s="10" t="s">
        <v>1716</v>
      </c>
      <c r="H545" s="10" t="s">
        <v>1717</v>
      </c>
      <c r="I545" s="10" t="s">
        <v>1601</v>
      </c>
    </row>
    <row r="546" spans="1:9" x14ac:dyDescent="0.15">
      <c r="A546" s="9">
        <v>545</v>
      </c>
      <c r="B546" s="10" t="s">
        <v>9</v>
      </c>
      <c r="C546" s="10" t="s">
        <v>164</v>
      </c>
      <c r="D546" s="10" t="s">
        <v>165</v>
      </c>
      <c r="E546" s="11" t="str">
        <f>+HYPERLINK("http://trademark.i-assist.jp/data/china/image_1901th/78765036.pdf", "78765036")</f>
        <v>78765036</v>
      </c>
      <c r="F546" s="10" t="s">
        <v>1718</v>
      </c>
      <c r="G546" s="10" t="s">
        <v>1719</v>
      </c>
      <c r="H546" s="10" t="s">
        <v>1720</v>
      </c>
      <c r="I546" s="10" t="s">
        <v>1601</v>
      </c>
    </row>
    <row r="547" spans="1:9" x14ac:dyDescent="0.15">
      <c r="A547" s="9">
        <v>546</v>
      </c>
      <c r="B547" s="10" t="s">
        <v>9</v>
      </c>
      <c r="C547" s="10" t="s">
        <v>164</v>
      </c>
      <c r="D547" s="10" t="s">
        <v>165</v>
      </c>
      <c r="E547" s="11" t="str">
        <f>+HYPERLINK("http://trademark.i-assist.jp/data/china/image_1901th/78765061.pdf", "78765061")</f>
        <v>78765061</v>
      </c>
      <c r="F547" s="10" t="s">
        <v>1721</v>
      </c>
      <c r="G547" s="10" t="s">
        <v>1722</v>
      </c>
      <c r="H547" s="10" t="s">
        <v>1723</v>
      </c>
      <c r="I547" s="10" t="s">
        <v>1601</v>
      </c>
    </row>
    <row r="548" spans="1:9" x14ac:dyDescent="0.15">
      <c r="A548" s="9">
        <v>547</v>
      </c>
      <c r="B548" s="10" t="s">
        <v>9</v>
      </c>
      <c r="C548" s="10" t="s">
        <v>164</v>
      </c>
      <c r="D548" s="10" t="s">
        <v>165</v>
      </c>
      <c r="E548" s="11" t="str">
        <f>+HYPERLINK("http://trademark.i-assist.jp/data/china/image_1901th/78765260.pdf", "78765260")</f>
        <v>78765260</v>
      </c>
      <c r="F548" s="10" t="s">
        <v>1724</v>
      </c>
      <c r="G548" s="10" t="s">
        <v>1725</v>
      </c>
      <c r="H548" s="10" t="s">
        <v>1726</v>
      </c>
      <c r="I548" s="10" t="s">
        <v>1601</v>
      </c>
    </row>
    <row r="549" spans="1:9" x14ac:dyDescent="0.15">
      <c r="A549" s="9">
        <v>548</v>
      </c>
      <c r="B549" s="10" t="s">
        <v>9</v>
      </c>
      <c r="C549" s="10" t="s">
        <v>164</v>
      </c>
      <c r="D549" s="10" t="s">
        <v>165</v>
      </c>
      <c r="E549" s="11" t="str">
        <f>+HYPERLINK("http://trademark.i-assist.jp/data/china/image_1901th/78765793.pdf", "78765793")</f>
        <v>78765793</v>
      </c>
      <c r="F549" s="10" t="s">
        <v>1727</v>
      </c>
      <c r="G549" s="10" t="s">
        <v>1728</v>
      </c>
      <c r="H549" s="10" t="s">
        <v>1729</v>
      </c>
      <c r="I549" s="10" t="s">
        <v>1601</v>
      </c>
    </row>
    <row r="550" spans="1:9" x14ac:dyDescent="0.15">
      <c r="A550" s="9">
        <v>549</v>
      </c>
      <c r="B550" s="10" t="s">
        <v>9</v>
      </c>
      <c r="C550" s="10" t="s">
        <v>164</v>
      </c>
      <c r="D550" s="10" t="s">
        <v>165</v>
      </c>
      <c r="E550" s="11" t="str">
        <f>+HYPERLINK("http://trademark.i-assist.jp/data/china/image_1901th/78766491.pdf", "78766491")</f>
        <v>78766491</v>
      </c>
      <c r="F550" s="10" t="s">
        <v>12</v>
      </c>
      <c r="G550" s="10" t="s">
        <v>1730</v>
      </c>
      <c r="H550" s="10" t="s">
        <v>1731</v>
      </c>
      <c r="I550" s="10" t="s">
        <v>1601</v>
      </c>
    </row>
    <row r="551" spans="1:9" x14ac:dyDescent="0.15">
      <c r="A551" s="9">
        <v>550</v>
      </c>
      <c r="B551" s="10" t="s">
        <v>9</v>
      </c>
      <c r="C551" s="10" t="s">
        <v>164</v>
      </c>
      <c r="D551" s="10" t="s">
        <v>165</v>
      </c>
      <c r="E551" s="11" t="str">
        <f>+HYPERLINK("http://trademark.i-assist.jp/data/china/image_1901th/78767252.pdf", "78767252")</f>
        <v>78767252</v>
      </c>
      <c r="F551" s="10" t="s">
        <v>1732</v>
      </c>
      <c r="G551" s="10" t="s">
        <v>1733</v>
      </c>
      <c r="H551" s="10" t="s">
        <v>1734</v>
      </c>
      <c r="I551" s="10" t="s">
        <v>1601</v>
      </c>
    </row>
    <row r="552" spans="1:9" x14ac:dyDescent="0.15">
      <c r="A552" s="9">
        <v>551</v>
      </c>
      <c r="B552" s="10" t="s">
        <v>9</v>
      </c>
      <c r="C552" s="10" t="s">
        <v>164</v>
      </c>
      <c r="D552" s="10" t="s">
        <v>165</v>
      </c>
      <c r="E552" s="11" t="str">
        <f>+HYPERLINK("http://trademark.i-assist.jp/data/china/image_1901th/78768200.pdf", "78768200")</f>
        <v>78768200</v>
      </c>
      <c r="F552" s="10" t="s">
        <v>1735</v>
      </c>
      <c r="G552" s="10" t="s">
        <v>1736</v>
      </c>
      <c r="H552" s="10" t="s">
        <v>1737</v>
      </c>
      <c r="I552" s="10" t="s">
        <v>1601</v>
      </c>
    </row>
    <row r="553" spans="1:9" x14ac:dyDescent="0.15">
      <c r="A553" s="9">
        <v>552</v>
      </c>
      <c r="B553" s="10" t="s">
        <v>9</v>
      </c>
      <c r="C553" s="10" t="s">
        <v>164</v>
      </c>
      <c r="D553" s="10" t="s">
        <v>165</v>
      </c>
      <c r="E553" s="11" t="str">
        <f>+HYPERLINK("http://trademark.i-assist.jp/data/china/image_1901th/78768290.pdf", "78768290")</f>
        <v>78768290</v>
      </c>
      <c r="F553" s="10" t="s">
        <v>1738</v>
      </c>
      <c r="G553" s="10" t="s">
        <v>1739</v>
      </c>
      <c r="H553" s="10" t="s">
        <v>1740</v>
      </c>
      <c r="I553" s="10" t="s">
        <v>1601</v>
      </c>
    </row>
    <row r="554" spans="1:9" x14ac:dyDescent="0.15">
      <c r="A554" s="9">
        <v>553</v>
      </c>
      <c r="B554" s="10" t="s">
        <v>9</v>
      </c>
      <c r="C554" s="10" t="s">
        <v>164</v>
      </c>
      <c r="D554" s="10" t="s">
        <v>165</v>
      </c>
      <c r="E554" s="11" t="str">
        <f>+HYPERLINK("http://trademark.i-assist.jp/data/china/image_1901th/78768933.pdf", "78768933")</f>
        <v>78768933</v>
      </c>
      <c r="F554" s="10" t="s">
        <v>1741</v>
      </c>
      <c r="G554" s="10" t="s">
        <v>1742</v>
      </c>
      <c r="H554" s="10" t="s">
        <v>1743</v>
      </c>
      <c r="I554" s="10" t="s">
        <v>1601</v>
      </c>
    </row>
    <row r="555" spans="1:9" x14ac:dyDescent="0.15">
      <c r="A555" s="9">
        <v>554</v>
      </c>
      <c r="B555" s="10" t="s">
        <v>9</v>
      </c>
      <c r="C555" s="10" t="s">
        <v>164</v>
      </c>
      <c r="D555" s="10" t="s">
        <v>165</v>
      </c>
      <c r="E555" s="11" t="str">
        <f>+HYPERLINK("http://trademark.i-assist.jp/data/china/image_1901th/78769015.pdf", "78769015")</f>
        <v>78769015</v>
      </c>
      <c r="F555" s="10" t="s">
        <v>1744</v>
      </c>
      <c r="G555" s="10" t="s">
        <v>1745</v>
      </c>
      <c r="H555" s="10" t="s">
        <v>1746</v>
      </c>
      <c r="I555" s="10" t="s">
        <v>1601</v>
      </c>
    </row>
    <row r="556" spans="1:9" x14ac:dyDescent="0.15">
      <c r="A556" s="9">
        <v>555</v>
      </c>
      <c r="B556" s="10" t="s">
        <v>9</v>
      </c>
      <c r="C556" s="10" t="s">
        <v>164</v>
      </c>
      <c r="D556" s="10" t="s">
        <v>165</v>
      </c>
      <c r="E556" s="11" t="str">
        <f>+HYPERLINK("http://trademark.i-assist.jp/data/china/image_1901th/78769685.pdf", "78769685")</f>
        <v>78769685</v>
      </c>
      <c r="F556" s="10" t="s">
        <v>1747</v>
      </c>
      <c r="G556" s="10" t="s">
        <v>1748</v>
      </c>
      <c r="H556" s="10" t="s">
        <v>1749</v>
      </c>
      <c r="I556" s="10" t="s">
        <v>1601</v>
      </c>
    </row>
    <row r="557" spans="1:9" x14ac:dyDescent="0.15">
      <c r="A557" s="9">
        <v>556</v>
      </c>
      <c r="B557" s="10" t="s">
        <v>9</v>
      </c>
      <c r="C557" s="10" t="s">
        <v>164</v>
      </c>
      <c r="D557" s="10" t="s">
        <v>165</v>
      </c>
      <c r="E557" s="11" t="str">
        <f>+HYPERLINK("http://trademark.i-assist.jp/data/china/image_1901th/78771877.pdf", "78771877")</f>
        <v>78771877</v>
      </c>
      <c r="F557" s="10" t="s">
        <v>1750</v>
      </c>
      <c r="G557" s="10" t="s">
        <v>1751</v>
      </c>
      <c r="H557" s="10" t="s">
        <v>1752</v>
      </c>
      <c r="I557" s="10" t="s">
        <v>1601</v>
      </c>
    </row>
    <row r="558" spans="1:9" x14ac:dyDescent="0.15">
      <c r="A558" s="9">
        <v>557</v>
      </c>
      <c r="B558" s="10" t="s">
        <v>9</v>
      </c>
      <c r="C558" s="10" t="s">
        <v>164</v>
      </c>
      <c r="D558" s="10" t="s">
        <v>165</v>
      </c>
      <c r="E558" s="11" t="str">
        <f>+HYPERLINK("http://trademark.i-assist.jp/data/china/image_1901th/78771959.pdf", "78771959")</f>
        <v>78771959</v>
      </c>
      <c r="F558" s="10" t="s">
        <v>1753</v>
      </c>
      <c r="G558" s="10" t="s">
        <v>1754</v>
      </c>
      <c r="H558" s="10" t="s">
        <v>1755</v>
      </c>
      <c r="I558" s="10" t="s">
        <v>1601</v>
      </c>
    </row>
    <row r="559" spans="1:9" x14ac:dyDescent="0.15">
      <c r="A559" s="9">
        <v>558</v>
      </c>
      <c r="B559" s="10" t="s">
        <v>9</v>
      </c>
      <c r="C559" s="10" t="s">
        <v>164</v>
      </c>
      <c r="D559" s="10" t="s">
        <v>165</v>
      </c>
      <c r="E559" s="11" t="str">
        <f>+HYPERLINK("http://trademark.i-assist.jp/data/china/image_1901th/78772255.pdf", "78772255")</f>
        <v>78772255</v>
      </c>
      <c r="F559" s="10" t="s">
        <v>1756</v>
      </c>
      <c r="G559" s="10" t="s">
        <v>1757</v>
      </c>
      <c r="H559" s="10" t="s">
        <v>1758</v>
      </c>
      <c r="I559" s="10" t="s">
        <v>1601</v>
      </c>
    </row>
    <row r="560" spans="1:9" x14ac:dyDescent="0.15">
      <c r="A560" s="9">
        <v>559</v>
      </c>
      <c r="B560" s="10" t="s">
        <v>9</v>
      </c>
      <c r="C560" s="10" t="s">
        <v>164</v>
      </c>
      <c r="D560" s="10" t="s">
        <v>165</v>
      </c>
      <c r="E560" s="11" t="str">
        <f>+HYPERLINK("http://trademark.i-assist.jp/data/china/image_1901th/78773423.pdf", "78773423")</f>
        <v>78773423</v>
      </c>
      <c r="F560" s="10" t="s">
        <v>1759</v>
      </c>
      <c r="G560" s="10" t="s">
        <v>1760</v>
      </c>
      <c r="H560" s="10" t="s">
        <v>1761</v>
      </c>
      <c r="I560" s="10" t="s">
        <v>1762</v>
      </c>
    </row>
    <row r="561" spans="1:9" x14ac:dyDescent="0.15">
      <c r="A561" s="9">
        <v>560</v>
      </c>
      <c r="B561" s="10" t="s">
        <v>9</v>
      </c>
      <c r="C561" s="10" t="s">
        <v>164</v>
      </c>
      <c r="D561" s="10" t="s">
        <v>165</v>
      </c>
      <c r="E561" s="11" t="str">
        <f>+HYPERLINK("http://trademark.i-assist.jp/data/china/image_1901th/78773791.pdf", "78773791")</f>
        <v>78773791</v>
      </c>
      <c r="F561" s="10" t="s">
        <v>1763</v>
      </c>
      <c r="G561" s="10" t="s">
        <v>1764</v>
      </c>
      <c r="H561" s="10" t="s">
        <v>1765</v>
      </c>
      <c r="I561" s="10" t="s">
        <v>1762</v>
      </c>
    </row>
    <row r="562" spans="1:9" x14ac:dyDescent="0.15">
      <c r="A562" s="9">
        <v>561</v>
      </c>
      <c r="B562" s="10" t="s">
        <v>9</v>
      </c>
      <c r="C562" s="10" t="s">
        <v>164</v>
      </c>
      <c r="D562" s="10" t="s">
        <v>165</v>
      </c>
      <c r="E562" s="11" t="str">
        <f>+HYPERLINK("http://trademark.i-assist.jp/data/china/image_1901th/78775276.pdf", "78775276")</f>
        <v>78775276</v>
      </c>
      <c r="F562" s="10" t="s">
        <v>1766</v>
      </c>
      <c r="G562" s="10" t="s">
        <v>1767</v>
      </c>
      <c r="H562" s="10" t="s">
        <v>19</v>
      </c>
      <c r="I562" s="10" t="s">
        <v>1762</v>
      </c>
    </row>
    <row r="563" spans="1:9" x14ac:dyDescent="0.15">
      <c r="A563" s="9">
        <v>562</v>
      </c>
      <c r="B563" s="10" t="s">
        <v>9</v>
      </c>
      <c r="C563" s="10" t="s">
        <v>164</v>
      </c>
      <c r="D563" s="10" t="s">
        <v>165</v>
      </c>
      <c r="E563" s="11" t="str">
        <f>+HYPERLINK("http://trademark.i-assist.jp/data/china/image_1901th/78775339.pdf", "78775339")</f>
        <v>78775339</v>
      </c>
      <c r="F563" s="10" t="s">
        <v>1768</v>
      </c>
      <c r="G563" s="10" t="s">
        <v>1769</v>
      </c>
      <c r="H563" s="10" t="s">
        <v>1770</v>
      </c>
      <c r="I563" s="10" t="s">
        <v>1762</v>
      </c>
    </row>
    <row r="564" spans="1:9" x14ac:dyDescent="0.15">
      <c r="A564" s="9">
        <v>563</v>
      </c>
      <c r="B564" s="10" t="s">
        <v>9</v>
      </c>
      <c r="C564" s="10" t="s">
        <v>164</v>
      </c>
      <c r="D564" s="10" t="s">
        <v>165</v>
      </c>
      <c r="E564" s="11" t="str">
        <f>+HYPERLINK("http://trademark.i-assist.jp/data/china/image_1901th/78775855.pdf", "78775855")</f>
        <v>78775855</v>
      </c>
      <c r="F564" s="10" t="s">
        <v>1771</v>
      </c>
      <c r="G564" s="10" t="s">
        <v>1772</v>
      </c>
      <c r="H564" s="10" t="s">
        <v>1773</v>
      </c>
      <c r="I564" s="10" t="s">
        <v>1762</v>
      </c>
    </row>
    <row r="565" spans="1:9" x14ac:dyDescent="0.15">
      <c r="A565" s="9">
        <v>564</v>
      </c>
      <c r="B565" s="10" t="s">
        <v>9</v>
      </c>
      <c r="C565" s="10" t="s">
        <v>164</v>
      </c>
      <c r="D565" s="10" t="s">
        <v>165</v>
      </c>
      <c r="E565" s="11" t="str">
        <f>+HYPERLINK("http://trademark.i-assist.jp/data/china/image_1901th/78776305.pdf", "78776305")</f>
        <v>78776305</v>
      </c>
      <c r="F565" s="10" t="s">
        <v>1774</v>
      </c>
      <c r="G565" s="10" t="s">
        <v>1775</v>
      </c>
      <c r="H565" s="10" t="s">
        <v>1776</v>
      </c>
      <c r="I565" s="10" t="s">
        <v>1762</v>
      </c>
    </row>
    <row r="566" spans="1:9" x14ac:dyDescent="0.15">
      <c r="A566" s="9">
        <v>565</v>
      </c>
      <c r="B566" s="10" t="s">
        <v>9</v>
      </c>
      <c r="C566" s="10" t="s">
        <v>164</v>
      </c>
      <c r="D566" s="10" t="s">
        <v>165</v>
      </c>
      <c r="E566" s="11" t="str">
        <f>+HYPERLINK("http://trademark.i-assist.jp/data/china/image_1901th/78776459.pdf", "78776459")</f>
        <v>78776459</v>
      </c>
      <c r="F566" s="10" t="s">
        <v>1777</v>
      </c>
      <c r="G566" s="10" t="s">
        <v>1778</v>
      </c>
      <c r="H566" s="10" t="s">
        <v>1779</v>
      </c>
      <c r="I566" s="10" t="s">
        <v>1762</v>
      </c>
    </row>
    <row r="567" spans="1:9" x14ac:dyDescent="0.15">
      <c r="A567" s="9">
        <v>566</v>
      </c>
      <c r="B567" s="10" t="s">
        <v>9</v>
      </c>
      <c r="C567" s="10" t="s">
        <v>164</v>
      </c>
      <c r="D567" s="10" t="s">
        <v>165</v>
      </c>
      <c r="E567" s="11" t="str">
        <f>+HYPERLINK("http://trademark.i-assist.jp/data/china/image_1901th/78776711.pdf", "78776711")</f>
        <v>78776711</v>
      </c>
      <c r="F567" s="10" t="s">
        <v>1780</v>
      </c>
      <c r="G567" s="10" t="s">
        <v>1781</v>
      </c>
      <c r="H567" s="10" t="s">
        <v>1782</v>
      </c>
      <c r="I567" s="10" t="s">
        <v>1762</v>
      </c>
    </row>
    <row r="568" spans="1:9" x14ac:dyDescent="0.15">
      <c r="A568" s="9">
        <v>567</v>
      </c>
      <c r="B568" s="10" t="s">
        <v>9</v>
      </c>
      <c r="C568" s="10" t="s">
        <v>164</v>
      </c>
      <c r="D568" s="10" t="s">
        <v>165</v>
      </c>
      <c r="E568" s="11" t="str">
        <f>+HYPERLINK("http://trademark.i-assist.jp/data/china/image_1901th/78777471.pdf", "78777471")</f>
        <v>78777471</v>
      </c>
      <c r="F568" s="10" t="s">
        <v>1783</v>
      </c>
      <c r="G568" s="10" t="s">
        <v>1784</v>
      </c>
      <c r="H568" s="10" t="s">
        <v>1785</v>
      </c>
      <c r="I568" s="10" t="s">
        <v>1762</v>
      </c>
    </row>
    <row r="569" spans="1:9" x14ac:dyDescent="0.15">
      <c r="A569" s="9">
        <v>568</v>
      </c>
      <c r="B569" s="10" t="s">
        <v>9</v>
      </c>
      <c r="C569" s="10" t="s">
        <v>164</v>
      </c>
      <c r="D569" s="10" t="s">
        <v>165</v>
      </c>
      <c r="E569" s="11" t="str">
        <f>+HYPERLINK("http://trademark.i-assist.jp/data/china/image_1901th/78777651.pdf", "78777651")</f>
        <v>78777651</v>
      </c>
      <c r="F569" s="10" t="s">
        <v>1786</v>
      </c>
      <c r="G569" s="10" t="s">
        <v>1787</v>
      </c>
      <c r="H569" s="10" t="s">
        <v>1788</v>
      </c>
      <c r="I569" s="10" t="s">
        <v>1762</v>
      </c>
    </row>
    <row r="570" spans="1:9" x14ac:dyDescent="0.15">
      <c r="A570" s="9">
        <v>569</v>
      </c>
      <c r="B570" s="10" t="s">
        <v>9</v>
      </c>
      <c r="C570" s="10" t="s">
        <v>164</v>
      </c>
      <c r="D570" s="10" t="s">
        <v>165</v>
      </c>
      <c r="E570" s="11" t="str">
        <f>+HYPERLINK("http://trademark.i-assist.jp/data/china/image_1901th/78777675.pdf", "78777675")</f>
        <v>78777675</v>
      </c>
      <c r="F570" s="10" t="s">
        <v>1789</v>
      </c>
      <c r="G570" s="10" t="s">
        <v>1790</v>
      </c>
      <c r="H570" s="10" t="s">
        <v>1791</v>
      </c>
      <c r="I570" s="10" t="s">
        <v>1762</v>
      </c>
    </row>
    <row r="571" spans="1:9" x14ac:dyDescent="0.15">
      <c r="A571" s="9">
        <v>570</v>
      </c>
      <c r="B571" s="10" t="s">
        <v>9</v>
      </c>
      <c r="C571" s="10" t="s">
        <v>164</v>
      </c>
      <c r="D571" s="10" t="s">
        <v>165</v>
      </c>
      <c r="E571" s="11" t="str">
        <f>+HYPERLINK("http://trademark.i-assist.jp/data/china/image_1901th/78777741.pdf", "78777741")</f>
        <v>78777741</v>
      </c>
      <c r="F571" s="10" t="s">
        <v>1792</v>
      </c>
      <c r="G571" s="10" t="s">
        <v>1793</v>
      </c>
      <c r="H571" s="10" t="s">
        <v>1794</v>
      </c>
      <c r="I571" s="10" t="s">
        <v>1762</v>
      </c>
    </row>
    <row r="572" spans="1:9" x14ac:dyDescent="0.15">
      <c r="A572" s="9">
        <v>571</v>
      </c>
      <c r="B572" s="10" t="s">
        <v>9</v>
      </c>
      <c r="C572" s="10" t="s">
        <v>164</v>
      </c>
      <c r="D572" s="10" t="s">
        <v>165</v>
      </c>
      <c r="E572" s="11" t="str">
        <f>+HYPERLINK("http://trademark.i-assist.jp/data/china/image_1901th/78778456.pdf", "78778456")</f>
        <v>78778456</v>
      </c>
      <c r="F572" s="10" t="s">
        <v>1795</v>
      </c>
      <c r="G572" s="10" t="s">
        <v>1796</v>
      </c>
      <c r="H572" s="10" t="s">
        <v>1797</v>
      </c>
      <c r="I572" s="10" t="s">
        <v>1762</v>
      </c>
    </row>
    <row r="573" spans="1:9" x14ac:dyDescent="0.15">
      <c r="A573" s="9">
        <v>572</v>
      </c>
      <c r="B573" s="10" t="s">
        <v>9</v>
      </c>
      <c r="C573" s="10" t="s">
        <v>164</v>
      </c>
      <c r="D573" s="10" t="s">
        <v>165</v>
      </c>
      <c r="E573" s="11" t="str">
        <f>+HYPERLINK("http://trademark.i-assist.jp/data/china/image_1901th/78778982.pdf", "78778982")</f>
        <v>78778982</v>
      </c>
      <c r="F573" s="10" t="s">
        <v>1798</v>
      </c>
      <c r="G573" s="10" t="s">
        <v>1799</v>
      </c>
      <c r="H573" s="10" t="s">
        <v>1800</v>
      </c>
      <c r="I573" s="10" t="s">
        <v>1762</v>
      </c>
    </row>
    <row r="574" spans="1:9" x14ac:dyDescent="0.15">
      <c r="A574" s="9">
        <v>573</v>
      </c>
      <c r="B574" s="10" t="s">
        <v>9</v>
      </c>
      <c r="C574" s="10" t="s">
        <v>164</v>
      </c>
      <c r="D574" s="10" t="s">
        <v>165</v>
      </c>
      <c r="E574" s="11" t="str">
        <f>+HYPERLINK("http://trademark.i-assist.jp/data/china/image_1901th/78779090.pdf", "78779090")</f>
        <v>78779090</v>
      </c>
      <c r="F574" s="10" t="s">
        <v>1801</v>
      </c>
      <c r="G574" s="10" t="s">
        <v>1802</v>
      </c>
      <c r="H574" s="10" t="s">
        <v>1803</v>
      </c>
      <c r="I574" s="10" t="s">
        <v>1762</v>
      </c>
    </row>
    <row r="575" spans="1:9" x14ac:dyDescent="0.15">
      <c r="A575" s="9">
        <v>574</v>
      </c>
      <c r="B575" s="10" t="s">
        <v>9</v>
      </c>
      <c r="C575" s="10" t="s">
        <v>164</v>
      </c>
      <c r="D575" s="10" t="s">
        <v>165</v>
      </c>
      <c r="E575" s="11" t="str">
        <f>+HYPERLINK("http://trademark.i-assist.jp/data/china/image_1901th/78779234.pdf", "78779234")</f>
        <v>78779234</v>
      </c>
      <c r="F575" s="10" t="s">
        <v>1804</v>
      </c>
      <c r="G575" s="10" t="s">
        <v>1805</v>
      </c>
      <c r="H575" s="10" t="s">
        <v>1806</v>
      </c>
      <c r="I575" s="10" t="s">
        <v>1762</v>
      </c>
    </row>
    <row r="576" spans="1:9" x14ac:dyDescent="0.15">
      <c r="A576" s="9">
        <v>575</v>
      </c>
      <c r="B576" s="10" t="s">
        <v>9</v>
      </c>
      <c r="C576" s="10" t="s">
        <v>164</v>
      </c>
      <c r="D576" s="10" t="s">
        <v>165</v>
      </c>
      <c r="E576" s="11" t="str">
        <f>+HYPERLINK("http://trademark.i-assist.jp/data/china/image_1901th/78780181.pdf", "78780181")</f>
        <v>78780181</v>
      </c>
      <c r="F576" s="10" t="s">
        <v>1807</v>
      </c>
      <c r="G576" s="10" t="s">
        <v>1808</v>
      </c>
      <c r="H576" s="10" t="s">
        <v>1809</v>
      </c>
      <c r="I576" s="10" t="s">
        <v>1762</v>
      </c>
    </row>
    <row r="577" spans="1:9" x14ac:dyDescent="0.15">
      <c r="A577" s="9">
        <v>576</v>
      </c>
      <c r="B577" s="10" t="s">
        <v>9</v>
      </c>
      <c r="C577" s="10" t="s">
        <v>164</v>
      </c>
      <c r="D577" s="10" t="s">
        <v>165</v>
      </c>
      <c r="E577" s="11" t="str">
        <f>+HYPERLINK("http://trademark.i-assist.jp/data/china/image_1901th/78780296.pdf", "78780296")</f>
        <v>78780296</v>
      </c>
      <c r="F577" s="10" t="s">
        <v>1810</v>
      </c>
      <c r="G577" s="10" t="s">
        <v>1811</v>
      </c>
      <c r="H577" s="10" t="s">
        <v>1812</v>
      </c>
      <c r="I577" s="10" t="s">
        <v>1762</v>
      </c>
    </row>
    <row r="578" spans="1:9" x14ac:dyDescent="0.15">
      <c r="A578" s="9">
        <v>577</v>
      </c>
      <c r="B578" s="10" t="s">
        <v>9</v>
      </c>
      <c r="C578" s="10" t="s">
        <v>164</v>
      </c>
      <c r="D578" s="10" t="s">
        <v>165</v>
      </c>
      <c r="E578" s="11" t="str">
        <f>+HYPERLINK("http://trademark.i-assist.jp/data/china/image_1901th/78780635.pdf", "78780635")</f>
        <v>78780635</v>
      </c>
      <c r="F578" s="10" t="s">
        <v>1813</v>
      </c>
      <c r="G578" s="10" t="s">
        <v>1814</v>
      </c>
      <c r="H578" s="10" t="s">
        <v>1815</v>
      </c>
      <c r="I578" s="10" t="s">
        <v>1762</v>
      </c>
    </row>
    <row r="579" spans="1:9" x14ac:dyDescent="0.15">
      <c r="A579" s="9">
        <v>578</v>
      </c>
      <c r="B579" s="10" t="s">
        <v>9</v>
      </c>
      <c r="C579" s="10" t="s">
        <v>164</v>
      </c>
      <c r="D579" s="10" t="s">
        <v>165</v>
      </c>
      <c r="E579" s="11" t="str">
        <f>+HYPERLINK("http://trademark.i-assist.jp/data/china/image_1901th/78780845.pdf", "78780845")</f>
        <v>78780845</v>
      </c>
      <c r="F579" s="10" t="s">
        <v>1816</v>
      </c>
      <c r="G579" s="10" t="s">
        <v>1817</v>
      </c>
      <c r="H579" s="10" t="s">
        <v>1818</v>
      </c>
      <c r="I579" s="10" t="s">
        <v>1762</v>
      </c>
    </row>
    <row r="580" spans="1:9" x14ac:dyDescent="0.15">
      <c r="A580" s="9">
        <v>579</v>
      </c>
      <c r="B580" s="10" t="s">
        <v>9</v>
      </c>
      <c r="C580" s="10" t="s">
        <v>164</v>
      </c>
      <c r="D580" s="10" t="s">
        <v>165</v>
      </c>
      <c r="E580" s="11" t="str">
        <f>+HYPERLINK("http://trademark.i-assist.jp/data/china/image_1901th/78781257.pdf", "78781257")</f>
        <v>78781257</v>
      </c>
      <c r="F580" s="10" t="s">
        <v>1819</v>
      </c>
      <c r="G580" s="10" t="s">
        <v>129</v>
      </c>
      <c r="H580" s="10" t="s">
        <v>1820</v>
      </c>
      <c r="I580" s="10" t="s">
        <v>1762</v>
      </c>
    </row>
    <row r="581" spans="1:9" x14ac:dyDescent="0.15">
      <c r="A581" s="9">
        <v>580</v>
      </c>
      <c r="B581" s="10" t="s">
        <v>9</v>
      </c>
      <c r="C581" s="10" t="s">
        <v>164</v>
      </c>
      <c r="D581" s="10" t="s">
        <v>165</v>
      </c>
      <c r="E581" s="11" t="str">
        <f>+HYPERLINK("http://trademark.i-assist.jp/data/china/image_1901th/78781475.pdf", "78781475")</f>
        <v>78781475</v>
      </c>
      <c r="F581" s="10" t="s">
        <v>1821</v>
      </c>
      <c r="G581" s="10" t="s">
        <v>1817</v>
      </c>
      <c r="H581" s="10" t="s">
        <v>1822</v>
      </c>
      <c r="I581" s="10" t="s">
        <v>1762</v>
      </c>
    </row>
    <row r="582" spans="1:9" x14ac:dyDescent="0.15">
      <c r="A582" s="9">
        <v>581</v>
      </c>
      <c r="B582" s="10" t="s">
        <v>9</v>
      </c>
      <c r="C582" s="10" t="s">
        <v>164</v>
      </c>
      <c r="D582" s="10" t="s">
        <v>165</v>
      </c>
      <c r="E582" s="11" t="str">
        <f>+HYPERLINK("http://trademark.i-assist.jp/data/china/image_1901th/78781602.pdf", "78781602")</f>
        <v>78781602</v>
      </c>
      <c r="F582" s="10" t="s">
        <v>1823</v>
      </c>
      <c r="G582" s="10" t="s">
        <v>1824</v>
      </c>
      <c r="H582" s="10" t="s">
        <v>1825</v>
      </c>
      <c r="I582" s="10" t="s">
        <v>1762</v>
      </c>
    </row>
    <row r="583" spans="1:9" x14ac:dyDescent="0.15">
      <c r="A583" s="9">
        <v>582</v>
      </c>
      <c r="B583" s="10" t="s">
        <v>9</v>
      </c>
      <c r="C583" s="10" t="s">
        <v>164</v>
      </c>
      <c r="D583" s="10" t="s">
        <v>165</v>
      </c>
      <c r="E583" s="11" t="str">
        <f>+HYPERLINK("http://trademark.i-assist.jp/data/china/image_1901th/78781641.pdf", "78781641")</f>
        <v>78781641</v>
      </c>
      <c r="F583" s="10" t="s">
        <v>1826</v>
      </c>
      <c r="G583" s="10" t="s">
        <v>1787</v>
      </c>
      <c r="H583" s="10" t="s">
        <v>1827</v>
      </c>
      <c r="I583" s="10" t="s">
        <v>1762</v>
      </c>
    </row>
    <row r="584" spans="1:9" x14ac:dyDescent="0.15">
      <c r="A584" s="9">
        <v>583</v>
      </c>
      <c r="B584" s="10" t="s">
        <v>9</v>
      </c>
      <c r="C584" s="10" t="s">
        <v>164</v>
      </c>
      <c r="D584" s="10" t="s">
        <v>165</v>
      </c>
      <c r="E584" s="11" t="str">
        <f>+HYPERLINK("http://trademark.i-assist.jp/data/china/image_1901th/78782190.pdf", "78782190")</f>
        <v>78782190</v>
      </c>
      <c r="F584" s="10" t="s">
        <v>1828</v>
      </c>
      <c r="G584" s="10" t="s">
        <v>1799</v>
      </c>
      <c r="H584" s="10" t="s">
        <v>1829</v>
      </c>
      <c r="I584" s="10" t="s">
        <v>1762</v>
      </c>
    </row>
    <row r="585" spans="1:9" x14ac:dyDescent="0.15">
      <c r="A585" s="9">
        <v>584</v>
      </c>
      <c r="B585" s="10" t="s">
        <v>9</v>
      </c>
      <c r="C585" s="10" t="s">
        <v>164</v>
      </c>
      <c r="D585" s="10" t="s">
        <v>165</v>
      </c>
      <c r="E585" s="11" t="str">
        <f>+HYPERLINK("http://trademark.i-assist.jp/data/china/image_1901th/78782416.pdf", "78782416")</f>
        <v>78782416</v>
      </c>
      <c r="F585" s="10" t="s">
        <v>1830</v>
      </c>
      <c r="G585" s="10" t="s">
        <v>1831</v>
      </c>
      <c r="H585" s="10" t="s">
        <v>1832</v>
      </c>
      <c r="I585" s="10" t="s">
        <v>1762</v>
      </c>
    </row>
    <row r="586" spans="1:9" x14ac:dyDescent="0.15">
      <c r="A586" s="9">
        <v>585</v>
      </c>
      <c r="B586" s="10" t="s">
        <v>9</v>
      </c>
      <c r="C586" s="10" t="s">
        <v>164</v>
      </c>
      <c r="D586" s="10" t="s">
        <v>165</v>
      </c>
      <c r="E586" s="11" t="str">
        <f>+HYPERLINK("http://trademark.i-assist.jp/data/china/image_1901th/78782438.pdf", "78782438")</f>
        <v>78782438</v>
      </c>
      <c r="F586" s="10" t="s">
        <v>1833</v>
      </c>
      <c r="G586" s="10" t="s">
        <v>1834</v>
      </c>
      <c r="H586" s="10" t="s">
        <v>1835</v>
      </c>
      <c r="I586" s="10" t="s">
        <v>1762</v>
      </c>
    </row>
    <row r="587" spans="1:9" x14ac:dyDescent="0.15">
      <c r="A587" s="9">
        <v>586</v>
      </c>
      <c r="B587" s="10" t="s">
        <v>9</v>
      </c>
      <c r="C587" s="10" t="s">
        <v>164</v>
      </c>
      <c r="D587" s="10" t="s">
        <v>165</v>
      </c>
      <c r="E587" s="11" t="str">
        <f>+HYPERLINK("http://trademark.i-assist.jp/data/china/image_1901th/78782496.pdf", "78782496")</f>
        <v>78782496</v>
      </c>
      <c r="F587" s="10" t="s">
        <v>1836</v>
      </c>
      <c r="G587" s="10" t="s">
        <v>1837</v>
      </c>
      <c r="H587" s="10" t="s">
        <v>1838</v>
      </c>
      <c r="I587" s="10" t="s">
        <v>1762</v>
      </c>
    </row>
    <row r="588" spans="1:9" x14ac:dyDescent="0.15">
      <c r="A588" s="9">
        <v>587</v>
      </c>
      <c r="B588" s="10" t="s">
        <v>9</v>
      </c>
      <c r="C588" s="10" t="s">
        <v>164</v>
      </c>
      <c r="D588" s="10" t="s">
        <v>165</v>
      </c>
      <c r="E588" s="11" t="str">
        <f>+HYPERLINK("http://trademark.i-assist.jp/data/china/image_1901th/78782657.pdf", "78782657")</f>
        <v>78782657</v>
      </c>
      <c r="F588" s="10" t="s">
        <v>1839</v>
      </c>
      <c r="G588" s="10" t="s">
        <v>1840</v>
      </c>
      <c r="H588" s="10" t="s">
        <v>1841</v>
      </c>
      <c r="I588" s="10" t="s">
        <v>1762</v>
      </c>
    </row>
    <row r="589" spans="1:9" x14ac:dyDescent="0.15">
      <c r="A589" s="9">
        <v>588</v>
      </c>
      <c r="B589" s="10" t="s">
        <v>9</v>
      </c>
      <c r="C589" s="10" t="s">
        <v>164</v>
      </c>
      <c r="D589" s="10" t="s">
        <v>165</v>
      </c>
      <c r="E589" s="11" t="str">
        <f>+HYPERLINK("http://trademark.i-assist.jp/data/china/image_1901th/78782782.pdf", "78782782")</f>
        <v>78782782</v>
      </c>
      <c r="F589" s="10" t="s">
        <v>12</v>
      </c>
      <c r="G589" s="10" t="s">
        <v>1842</v>
      </c>
      <c r="H589" s="10" t="s">
        <v>1843</v>
      </c>
      <c r="I589" s="10" t="s">
        <v>1762</v>
      </c>
    </row>
    <row r="590" spans="1:9" x14ac:dyDescent="0.15">
      <c r="A590" s="9">
        <v>589</v>
      </c>
      <c r="B590" s="10" t="s">
        <v>9</v>
      </c>
      <c r="C590" s="10" t="s">
        <v>164</v>
      </c>
      <c r="D590" s="10" t="s">
        <v>165</v>
      </c>
      <c r="E590" s="11" t="str">
        <f>+HYPERLINK("http://trademark.i-assist.jp/data/china/image_1901th/78783048.pdf", "78783048")</f>
        <v>78783048</v>
      </c>
      <c r="F590" s="10" t="s">
        <v>1844</v>
      </c>
      <c r="G590" s="10" t="s">
        <v>1805</v>
      </c>
      <c r="H590" s="10" t="s">
        <v>1845</v>
      </c>
      <c r="I590" s="10" t="s">
        <v>1762</v>
      </c>
    </row>
    <row r="591" spans="1:9" x14ac:dyDescent="0.15">
      <c r="A591" s="9">
        <v>590</v>
      </c>
      <c r="B591" s="10" t="s">
        <v>9</v>
      </c>
      <c r="C591" s="10" t="s">
        <v>164</v>
      </c>
      <c r="D591" s="10" t="s">
        <v>165</v>
      </c>
      <c r="E591" s="11" t="str">
        <f>+HYPERLINK("http://trademark.i-assist.jp/data/china/image_1901th/78783052.pdf", "78783052")</f>
        <v>78783052</v>
      </c>
      <c r="F591" s="10" t="s">
        <v>1846</v>
      </c>
      <c r="G591" s="10" t="s">
        <v>1847</v>
      </c>
      <c r="H591" s="10" t="s">
        <v>1848</v>
      </c>
      <c r="I591" s="10" t="s">
        <v>1762</v>
      </c>
    </row>
    <row r="592" spans="1:9" x14ac:dyDescent="0.15">
      <c r="A592" s="9">
        <v>591</v>
      </c>
      <c r="B592" s="10" t="s">
        <v>9</v>
      </c>
      <c r="C592" s="10" t="s">
        <v>164</v>
      </c>
      <c r="D592" s="10" t="s">
        <v>165</v>
      </c>
      <c r="E592" s="11" t="str">
        <f>+HYPERLINK("http://trademark.i-assist.jp/data/china/image_1901th/78783053.pdf", "78783053")</f>
        <v>78783053</v>
      </c>
      <c r="F592" s="10" t="s">
        <v>1849</v>
      </c>
      <c r="G592" s="10" t="s">
        <v>1805</v>
      </c>
      <c r="H592" s="10" t="s">
        <v>1850</v>
      </c>
      <c r="I592" s="10" t="s">
        <v>1762</v>
      </c>
    </row>
    <row r="593" spans="1:9" x14ac:dyDescent="0.15">
      <c r="A593" s="9">
        <v>592</v>
      </c>
      <c r="B593" s="10" t="s">
        <v>9</v>
      </c>
      <c r="C593" s="10" t="s">
        <v>164</v>
      </c>
      <c r="D593" s="10" t="s">
        <v>165</v>
      </c>
      <c r="E593" s="11" t="str">
        <f>+HYPERLINK("http://trademark.i-assist.jp/data/china/image_1901th/78783063.pdf", "78783063")</f>
        <v>78783063</v>
      </c>
      <c r="F593" s="10" t="s">
        <v>1851</v>
      </c>
      <c r="G593" s="10" t="s">
        <v>1805</v>
      </c>
      <c r="H593" s="10" t="s">
        <v>1852</v>
      </c>
      <c r="I593" s="10" t="s">
        <v>1762</v>
      </c>
    </row>
    <row r="594" spans="1:9" x14ac:dyDescent="0.15">
      <c r="A594" s="9">
        <v>593</v>
      </c>
      <c r="B594" s="10" t="s">
        <v>9</v>
      </c>
      <c r="C594" s="10" t="s">
        <v>164</v>
      </c>
      <c r="D594" s="10" t="s">
        <v>165</v>
      </c>
      <c r="E594" s="11" t="str">
        <f>+HYPERLINK("http://trademark.i-assist.jp/data/china/image_1901th/78783220.pdf", "78783220")</f>
        <v>78783220</v>
      </c>
      <c r="F594" s="10" t="s">
        <v>1777</v>
      </c>
      <c r="G594" s="10" t="s">
        <v>1778</v>
      </c>
      <c r="H594" s="10" t="s">
        <v>1853</v>
      </c>
      <c r="I594" s="10" t="s">
        <v>1762</v>
      </c>
    </row>
    <row r="595" spans="1:9" x14ac:dyDescent="0.15">
      <c r="A595" s="9">
        <v>594</v>
      </c>
      <c r="B595" s="10" t="s">
        <v>9</v>
      </c>
      <c r="C595" s="10" t="s">
        <v>164</v>
      </c>
      <c r="D595" s="10" t="s">
        <v>165</v>
      </c>
      <c r="E595" s="11" t="str">
        <f>+HYPERLINK("http://trademark.i-assist.jp/data/china/image_1901th/78783680.pdf", "78783680")</f>
        <v>78783680</v>
      </c>
      <c r="F595" s="10" t="s">
        <v>1854</v>
      </c>
      <c r="G595" s="10" t="s">
        <v>1855</v>
      </c>
      <c r="H595" s="10" t="s">
        <v>1856</v>
      </c>
      <c r="I595" s="10" t="s">
        <v>1762</v>
      </c>
    </row>
    <row r="596" spans="1:9" x14ac:dyDescent="0.15">
      <c r="A596" s="9">
        <v>595</v>
      </c>
      <c r="B596" s="10" t="s">
        <v>9</v>
      </c>
      <c r="C596" s="10" t="s">
        <v>164</v>
      </c>
      <c r="D596" s="10" t="s">
        <v>165</v>
      </c>
      <c r="E596" s="11" t="str">
        <f>+HYPERLINK("http://trademark.i-assist.jp/data/china/image_1901th/78783743.pdf", "78783743")</f>
        <v>78783743</v>
      </c>
      <c r="F596" s="10" t="s">
        <v>1857</v>
      </c>
      <c r="G596" s="10" t="s">
        <v>1824</v>
      </c>
      <c r="H596" s="10" t="s">
        <v>1858</v>
      </c>
      <c r="I596" s="10" t="s">
        <v>1762</v>
      </c>
    </row>
    <row r="597" spans="1:9" x14ac:dyDescent="0.15">
      <c r="A597" s="9">
        <v>596</v>
      </c>
      <c r="B597" s="10" t="s">
        <v>9</v>
      </c>
      <c r="C597" s="10" t="s">
        <v>164</v>
      </c>
      <c r="D597" s="10" t="s">
        <v>165</v>
      </c>
      <c r="E597" s="11" t="str">
        <f>+HYPERLINK("http://trademark.i-assist.jp/data/china/image_1901th/78783875.pdf", "78783875")</f>
        <v>78783875</v>
      </c>
      <c r="F597" s="10" t="s">
        <v>12</v>
      </c>
      <c r="G597" s="10" t="s">
        <v>1859</v>
      </c>
      <c r="H597" s="10" t="s">
        <v>1860</v>
      </c>
      <c r="I597" s="10" t="s">
        <v>1762</v>
      </c>
    </row>
    <row r="598" spans="1:9" x14ac:dyDescent="0.15">
      <c r="A598" s="9">
        <v>597</v>
      </c>
      <c r="B598" s="10" t="s">
        <v>9</v>
      </c>
      <c r="C598" s="10" t="s">
        <v>164</v>
      </c>
      <c r="D598" s="10" t="s">
        <v>165</v>
      </c>
      <c r="E598" s="11" t="str">
        <f>+HYPERLINK("http://trademark.i-assist.jp/data/china/image_1901th/78783892.pdf", "78783892")</f>
        <v>78783892</v>
      </c>
      <c r="F598" s="10" t="s">
        <v>1861</v>
      </c>
      <c r="G598" s="10" t="s">
        <v>1862</v>
      </c>
      <c r="H598" s="10" t="s">
        <v>1863</v>
      </c>
      <c r="I598" s="10" t="s">
        <v>1762</v>
      </c>
    </row>
    <row r="599" spans="1:9" x14ac:dyDescent="0.15">
      <c r="A599" s="9">
        <v>598</v>
      </c>
      <c r="B599" s="10" t="s">
        <v>9</v>
      </c>
      <c r="C599" s="10" t="s">
        <v>164</v>
      </c>
      <c r="D599" s="10" t="s">
        <v>165</v>
      </c>
      <c r="E599" s="11" t="str">
        <f>+HYPERLINK("http://trademark.i-assist.jp/data/china/image_1901th/78784040.pdf", "78784040")</f>
        <v>78784040</v>
      </c>
      <c r="F599" s="10" t="s">
        <v>1864</v>
      </c>
      <c r="G599" s="10" t="s">
        <v>1865</v>
      </c>
      <c r="H599" s="10" t="s">
        <v>1866</v>
      </c>
      <c r="I599" s="10" t="s">
        <v>1762</v>
      </c>
    </row>
    <row r="600" spans="1:9" x14ac:dyDescent="0.15">
      <c r="A600" s="9">
        <v>599</v>
      </c>
      <c r="B600" s="10" t="s">
        <v>9</v>
      </c>
      <c r="C600" s="10" t="s">
        <v>164</v>
      </c>
      <c r="D600" s="10" t="s">
        <v>165</v>
      </c>
      <c r="E600" s="11" t="str">
        <f>+HYPERLINK("http://trademark.i-assist.jp/data/china/image_1901th/78784695.pdf", "78784695")</f>
        <v>78784695</v>
      </c>
      <c r="F600" s="10" t="s">
        <v>1867</v>
      </c>
      <c r="G600" s="10" t="s">
        <v>1868</v>
      </c>
      <c r="H600" s="10" t="s">
        <v>1869</v>
      </c>
      <c r="I600" s="10" t="s">
        <v>1762</v>
      </c>
    </row>
    <row r="601" spans="1:9" x14ac:dyDescent="0.15">
      <c r="A601" s="9">
        <v>600</v>
      </c>
      <c r="B601" s="10" t="s">
        <v>9</v>
      </c>
      <c r="C601" s="10" t="s">
        <v>164</v>
      </c>
      <c r="D601" s="10" t="s">
        <v>165</v>
      </c>
      <c r="E601" s="11" t="str">
        <f>+HYPERLINK("http://trademark.i-assist.jp/data/china/image_1901th/78785029.pdf", "78785029")</f>
        <v>78785029</v>
      </c>
      <c r="F601" s="10" t="s">
        <v>1870</v>
      </c>
      <c r="G601" s="10" t="s">
        <v>1817</v>
      </c>
      <c r="H601" s="10" t="s">
        <v>1871</v>
      </c>
      <c r="I601" s="10" t="s">
        <v>1762</v>
      </c>
    </row>
    <row r="602" spans="1:9" x14ac:dyDescent="0.15">
      <c r="A602" s="9">
        <v>601</v>
      </c>
      <c r="B602" s="10" t="s">
        <v>9</v>
      </c>
      <c r="C602" s="10" t="s">
        <v>164</v>
      </c>
      <c r="D602" s="10" t="s">
        <v>165</v>
      </c>
      <c r="E602" s="11" t="str">
        <f>+HYPERLINK("http://trademark.i-assist.jp/data/china/image_1901th/78785048.pdf", "78785048")</f>
        <v>78785048</v>
      </c>
      <c r="F602" s="10" t="s">
        <v>1872</v>
      </c>
      <c r="G602" s="10" t="s">
        <v>1817</v>
      </c>
      <c r="H602" s="10" t="s">
        <v>1873</v>
      </c>
      <c r="I602" s="10" t="s">
        <v>1762</v>
      </c>
    </row>
    <row r="603" spans="1:9" x14ac:dyDescent="0.15">
      <c r="A603" s="9">
        <v>602</v>
      </c>
      <c r="B603" s="10" t="s">
        <v>9</v>
      </c>
      <c r="C603" s="10" t="s">
        <v>164</v>
      </c>
      <c r="D603" s="10" t="s">
        <v>165</v>
      </c>
      <c r="E603" s="11" t="str">
        <f>+HYPERLINK("http://trademark.i-assist.jp/data/china/image_1901th/78785127.pdf", "78785127")</f>
        <v>78785127</v>
      </c>
      <c r="F603" s="10" t="s">
        <v>1874</v>
      </c>
      <c r="G603" s="10" t="s">
        <v>1875</v>
      </c>
      <c r="H603" s="10" t="s">
        <v>1876</v>
      </c>
      <c r="I603" s="10" t="s">
        <v>1762</v>
      </c>
    </row>
    <row r="604" spans="1:9" x14ac:dyDescent="0.15">
      <c r="A604" s="9">
        <v>603</v>
      </c>
      <c r="B604" s="10" t="s">
        <v>9</v>
      </c>
      <c r="C604" s="10" t="s">
        <v>164</v>
      </c>
      <c r="D604" s="10" t="s">
        <v>165</v>
      </c>
      <c r="E604" s="11" t="str">
        <f>+HYPERLINK("http://trademark.i-assist.jp/data/china/image_1901th/78785312.pdf", "78785312")</f>
        <v>78785312</v>
      </c>
      <c r="F604" s="10" t="s">
        <v>1877</v>
      </c>
      <c r="G604" s="10" t="s">
        <v>1878</v>
      </c>
      <c r="H604" s="10" t="s">
        <v>1879</v>
      </c>
      <c r="I604" s="10" t="s">
        <v>1762</v>
      </c>
    </row>
    <row r="605" spans="1:9" x14ac:dyDescent="0.15">
      <c r="A605" s="9">
        <v>604</v>
      </c>
      <c r="B605" s="10" t="s">
        <v>9</v>
      </c>
      <c r="C605" s="10" t="s">
        <v>164</v>
      </c>
      <c r="D605" s="10" t="s">
        <v>165</v>
      </c>
      <c r="E605" s="11" t="str">
        <f>+HYPERLINK("http://trademark.i-assist.jp/data/china/image_1901th/78785415.pdf", "78785415")</f>
        <v>78785415</v>
      </c>
      <c r="F605" s="10" t="s">
        <v>1880</v>
      </c>
      <c r="G605" s="10" t="s">
        <v>1881</v>
      </c>
      <c r="H605" s="10" t="s">
        <v>1882</v>
      </c>
      <c r="I605" s="10" t="s">
        <v>1762</v>
      </c>
    </row>
    <row r="606" spans="1:9" x14ac:dyDescent="0.15">
      <c r="A606" s="9">
        <v>605</v>
      </c>
      <c r="B606" s="10" t="s">
        <v>9</v>
      </c>
      <c r="C606" s="10" t="s">
        <v>164</v>
      </c>
      <c r="D606" s="10" t="s">
        <v>165</v>
      </c>
      <c r="E606" s="11" t="str">
        <f>+HYPERLINK("http://trademark.i-assist.jp/data/china/image_1901th/78785840.pdf", "78785840")</f>
        <v>78785840</v>
      </c>
      <c r="F606" s="10" t="s">
        <v>1883</v>
      </c>
      <c r="G606" s="10" t="s">
        <v>1817</v>
      </c>
      <c r="H606" s="10" t="s">
        <v>1884</v>
      </c>
      <c r="I606" s="10" t="s">
        <v>1762</v>
      </c>
    </row>
    <row r="607" spans="1:9" x14ac:dyDescent="0.15">
      <c r="A607" s="9">
        <v>606</v>
      </c>
      <c r="B607" s="10" t="s">
        <v>9</v>
      </c>
      <c r="C607" s="10" t="s">
        <v>164</v>
      </c>
      <c r="D607" s="10" t="s">
        <v>165</v>
      </c>
      <c r="E607" s="11" t="str">
        <f>+HYPERLINK("http://trademark.i-assist.jp/data/china/image_1901th/78786036.pdf", "78786036")</f>
        <v>78786036</v>
      </c>
      <c r="F607" s="10" t="s">
        <v>1885</v>
      </c>
      <c r="G607" s="10" t="s">
        <v>1886</v>
      </c>
      <c r="H607" s="10" t="s">
        <v>1887</v>
      </c>
      <c r="I607" s="10" t="s">
        <v>1762</v>
      </c>
    </row>
    <row r="608" spans="1:9" x14ac:dyDescent="0.15">
      <c r="A608" s="9">
        <v>607</v>
      </c>
      <c r="B608" s="10" t="s">
        <v>9</v>
      </c>
      <c r="C608" s="10" t="s">
        <v>164</v>
      </c>
      <c r="D608" s="10" t="s">
        <v>165</v>
      </c>
      <c r="E608" s="11" t="str">
        <f>+HYPERLINK("http://trademark.i-assist.jp/data/china/image_1901th/78786231.pdf", "78786231")</f>
        <v>78786231</v>
      </c>
      <c r="F608" s="10" t="s">
        <v>1888</v>
      </c>
      <c r="G608" s="10" t="s">
        <v>1889</v>
      </c>
      <c r="H608" s="10" t="s">
        <v>1890</v>
      </c>
      <c r="I608" s="10" t="s">
        <v>1762</v>
      </c>
    </row>
    <row r="609" spans="1:9" x14ac:dyDescent="0.15">
      <c r="A609" s="9">
        <v>608</v>
      </c>
      <c r="B609" s="10" t="s">
        <v>9</v>
      </c>
      <c r="C609" s="10" t="s">
        <v>164</v>
      </c>
      <c r="D609" s="10" t="s">
        <v>165</v>
      </c>
      <c r="E609" s="11" t="str">
        <f>+HYPERLINK("http://trademark.i-assist.jp/data/china/image_1901th/78786523.pdf", "78786523")</f>
        <v>78786523</v>
      </c>
      <c r="F609" s="10" t="s">
        <v>1891</v>
      </c>
      <c r="G609" s="10" t="s">
        <v>1892</v>
      </c>
      <c r="H609" s="10" t="s">
        <v>1893</v>
      </c>
      <c r="I609" s="10" t="s">
        <v>1762</v>
      </c>
    </row>
    <row r="610" spans="1:9" x14ac:dyDescent="0.15">
      <c r="A610" s="9">
        <v>609</v>
      </c>
      <c r="B610" s="10" t="s">
        <v>9</v>
      </c>
      <c r="C610" s="10" t="s">
        <v>164</v>
      </c>
      <c r="D610" s="10" t="s">
        <v>165</v>
      </c>
      <c r="E610" s="11" t="str">
        <f>+HYPERLINK("http://trademark.i-assist.jp/data/china/image_1901th/78786658.pdf", "78786658")</f>
        <v>78786658</v>
      </c>
      <c r="F610" s="10" t="s">
        <v>12</v>
      </c>
      <c r="G610" s="10" t="s">
        <v>1894</v>
      </c>
      <c r="H610" s="10" t="s">
        <v>1895</v>
      </c>
      <c r="I610" s="10" t="s">
        <v>1762</v>
      </c>
    </row>
    <row r="611" spans="1:9" x14ac:dyDescent="0.15">
      <c r="A611" s="9">
        <v>610</v>
      </c>
      <c r="B611" s="10" t="s">
        <v>9</v>
      </c>
      <c r="C611" s="10" t="s">
        <v>164</v>
      </c>
      <c r="D611" s="10" t="s">
        <v>165</v>
      </c>
      <c r="E611" s="11" t="str">
        <f>+HYPERLINK("http://trademark.i-assist.jp/data/china/image_1901th/78786750.pdf", "78786750")</f>
        <v>78786750</v>
      </c>
      <c r="F611" s="10" t="s">
        <v>1896</v>
      </c>
      <c r="G611" s="10" t="s">
        <v>1897</v>
      </c>
      <c r="H611" s="10" t="s">
        <v>1898</v>
      </c>
      <c r="I611" s="10" t="s">
        <v>1762</v>
      </c>
    </row>
    <row r="612" spans="1:9" x14ac:dyDescent="0.15">
      <c r="A612" s="9">
        <v>611</v>
      </c>
      <c r="B612" s="10" t="s">
        <v>9</v>
      </c>
      <c r="C612" s="10" t="s">
        <v>164</v>
      </c>
      <c r="D612" s="10" t="s">
        <v>165</v>
      </c>
      <c r="E612" s="11" t="str">
        <f>+HYPERLINK("http://trademark.i-assist.jp/data/china/image_1901th/78787135.pdf", "78787135")</f>
        <v>78787135</v>
      </c>
      <c r="F612" s="10" t="s">
        <v>1899</v>
      </c>
      <c r="G612" s="10" t="s">
        <v>1900</v>
      </c>
      <c r="H612" s="10" t="s">
        <v>19</v>
      </c>
      <c r="I612" s="10" t="s">
        <v>1762</v>
      </c>
    </row>
    <row r="613" spans="1:9" x14ac:dyDescent="0.15">
      <c r="A613" s="9">
        <v>612</v>
      </c>
      <c r="B613" s="10" t="s">
        <v>9</v>
      </c>
      <c r="C613" s="10" t="s">
        <v>164</v>
      </c>
      <c r="D613" s="10" t="s">
        <v>165</v>
      </c>
      <c r="E613" s="11" t="str">
        <f>+HYPERLINK("http://trademark.i-assist.jp/data/china/image_1901th/78787476.pdf", "78787476")</f>
        <v>78787476</v>
      </c>
      <c r="F613" s="10" t="s">
        <v>1901</v>
      </c>
      <c r="G613" s="10" t="s">
        <v>106</v>
      </c>
      <c r="H613" s="10" t="s">
        <v>1902</v>
      </c>
      <c r="I613" s="10" t="s">
        <v>1762</v>
      </c>
    </row>
    <row r="614" spans="1:9" x14ac:dyDescent="0.15">
      <c r="A614" s="9">
        <v>613</v>
      </c>
      <c r="B614" s="10" t="s">
        <v>9</v>
      </c>
      <c r="C614" s="10" t="s">
        <v>164</v>
      </c>
      <c r="D614" s="10" t="s">
        <v>165</v>
      </c>
      <c r="E614" s="11" t="str">
        <f>+HYPERLINK("http://trademark.i-assist.jp/data/china/image_1901th/78787631.pdf", "78787631")</f>
        <v>78787631</v>
      </c>
      <c r="F614" s="10" t="s">
        <v>1903</v>
      </c>
      <c r="G614" s="10" t="s">
        <v>1904</v>
      </c>
      <c r="H614" s="10" t="s">
        <v>1905</v>
      </c>
      <c r="I614" s="10" t="s">
        <v>1762</v>
      </c>
    </row>
    <row r="615" spans="1:9" x14ac:dyDescent="0.15">
      <c r="A615" s="9">
        <v>614</v>
      </c>
      <c r="B615" s="10" t="s">
        <v>9</v>
      </c>
      <c r="C615" s="10" t="s">
        <v>164</v>
      </c>
      <c r="D615" s="10" t="s">
        <v>165</v>
      </c>
      <c r="E615" s="11" t="str">
        <f>+HYPERLINK("http://trademark.i-assist.jp/data/china/image_1901th/78787650.pdf", "78787650")</f>
        <v>78787650</v>
      </c>
      <c r="F615" s="10" t="s">
        <v>1906</v>
      </c>
      <c r="G615" s="10" t="s">
        <v>1907</v>
      </c>
      <c r="H615" s="10" t="s">
        <v>1908</v>
      </c>
      <c r="I615" s="10" t="s">
        <v>1762</v>
      </c>
    </row>
    <row r="616" spans="1:9" x14ac:dyDescent="0.15">
      <c r="A616" s="9">
        <v>615</v>
      </c>
      <c r="B616" s="10" t="s">
        <v>9</v>
      </c>
      <c r="C616" s="10" t="s">
        <v>164</v>
      </c>
      <c r="D616" s="10" t="s">
        <v>165</v>
      </c>
      <c r="E616" s="11" t="str">
        <f>+HYPERLINK("http://trademark.i-assist.jp/data/china/image_1901th/78787855.pdf", "78787855")</f>
        <v>78787855</v>
      </c>
      <c r="F616" s="10" t="s">
        <v>1909</v>
      </c>
      <c r="G616" s="10" t="s">
        <v>1900</v>
      </c>
      <c r="H616" s="10" t="s">
        <v>1910</v>
      </c>
      <c r="I616" s="10" t="s">
        <v>1762</v>
      </c>
    </row>
    <row r="617" spans="1:9" x14ac:dyDescent="0.15">
      <c r="A617" s="9">
        <v>616</v>
      </c>
      <c r="B617" s="10" t="s">
        <v>9</v>
      </c>
      <c r="C617" s="10" t="s">
        <v>164</v>
      </c>
      <c r="D617" s="10" t="s">
        <v>165</v>
      </c>
      <c r="E617" s="11" t="str">
        <f>+HYPERLINK("http://trademark.i-assist.jp/data/china/image_1901th/78788940.pdf", "78788940")</f>
        <v>78788940</v>
      </c>
      <c r="F617" s="10" t="s">
        <v>12</v>
      </c>
      <c r="G617" s="10" t="s">
        <v>1911</v>
      </c>
      <c r="H617" s="10" t="s">
        <v>1912</v>
      </c>
      <c r="I617" s="10" t="s">
        <v>1762</v>
      </c>
    </row>
    <row r="618" spans="1:9" x14ac:dyDescent="0.15">
      <c r="A618" s="9">
        <v>617</v>
      </c>
      <c r="B618" s="10" t="s">
        <v>9</v>
      </c>
      <c r="C618" s="10" t="s">
        <v>164</v>
      </c>
      <c r="D618" s="10" t="s">
        <v>165</v>
      </c>
      <c r="E618" s="11" t="str">
        <f>+HYPERLINK("http://trademark.i-assist.jp/data/china/image_1901th/78788980.pdf", "78788980")</f>
        <v>78788980</v>
      </c>
      <c r="F618" s="10" t="s">
        <v>1913</v>
      </c>
      <c r="G618" s="10" t="s">
        <v>1817</v>
      </c>
      <c r="H618" s="10" t="s">
        <v>1914</v>
      </c>
      <c r="I618" s="10" t="s">
        <v>1762</v>
      </c>
    </row>
    <row r="619" spans="1:9" x14ac:dyDescent="0.15">
      <c r="A619" s="9">
        <v>618</v>
      </c>
      <c r="B619" s="10" t="s">
        <v>9</v>
      </c>
      <c r="C619" s="10" t="s">
        <v>164</v>
      </c>
      <c r="D619" s="10" t="s">
        <v>165</v>
      </c>
      <c r="E619" s="11" t="str">
        <f>+HYPERLINK("http://trademark.i-assist.jp/data/china/image_1901th/78789091.pdf", "78789091")</f>
        <v>78789091</v>
      </c>
      <c r="F619" s="10" t="s">
        <v>1915</v>
      </c>
      <c r="G619" s="10" t="s">
        <v>119</v>
      </c>
      <c r="H619" s="10" t="s">
        <v>1916</v>
      </c>
      <c r="I619" s="10" t="s">
        <v>1762</v>
      </c>
    </row>
    <row r="620" spans="1:9" x14ac:dyDescent="0.15">
      <c r="A620" s="9">
        <v>619</v>
      </c>
      <c r="B620" s="10" t="s">
        <v>9</v>
      </c>
      <c r="C620" s="10" t="s">
        <v>164</v>
      </c>
      <c r="D620" s="10" t="s">
        <v>165</v>
      </c>
      <c r="E620" s="11" t="str">
        <f>+HYPERLINK("http://trademark.i-assist.jp/data/china/image_1901th/78789191.pdf", "78789191")</f>
        <v>78789191</v>
      </c>
      <c r="F620" s="10" t="s">
        <v>1917</v>
      </c>
      <c r="G620" s="10" t="s">
        <v>1918</v>
      </c>
      <c r="H620" s="10" t="s">
        <v>1919</v>
      </c>
      <c r="I620" s="10" t="s">
        <v>1762</v>
      </c>
    </row>
    <row r="621" spans="1:9" x14ac:dyDescent="0.15">
      <c r="A621" s="9">
        <v>620</v>
      </c>
      <c r="B621" s="10" t="s">
        <v>9</v>
      </c>
      <c r="C621" s="10" t="s">
        <v>164</v>
      </c>
      <c r="D621" s="10" t="s">
        <v>165</v>
      </c>
      <c r="E621" s="11" t="str">
        <f>+HYPERLINK("http://trademark.i-assist.jp/data/china/image_1901th/78789229.pdf", "78789229")</f>
        <v>78789229</v>
      </c>
      <c r="F621" s="10" t="s">
        <v>1920</v>
      </c>
      <c r="G621" s="10" t="s">
        <v>1921</v>
      </c>
      <c r="H621" s="10" t="s">
        <v>1922</v>
      </c>
      <c r="I621" s="10" t="s">
        <v>1762</v>
      </c>
    </row>
    <row r="622" spans="1:9" x14ac:dyDescent="0.15">
      <c r="A622" s="9">
        <v>621</v>
      </c>
      <c r="B622" s="10" t="s">
        <v>9</v>
      </c>
      <c r="C622" s="10" t="s">
        <v>164</v>
      </c>
      <c r="D622" s="10" t="s">
        <v>165</v>
      </c>
      <c r="E622" s="11" t="str">
        <f>+HYPERLINK("http://trademark.i-assist.jp/data/china/image_1901th/78789270.pdf", "78789270")</f>
        <v>78789270</v>
      </c>
      <c r="F622" s="10" t="s">
        <v>1923</v>
      </c>
      <c r="G622" s="10" t="s">
        <v>1924</v>
      </c>
      <c r="H622" s="10" t="s">
        <v>1925</v>
      </c>
      <c r="I622" s="10" t="s">
        <v>1762</v>
      </c>
    </row>
    <row r="623" spans="1:9" x14ac:dyDescent="0.15">
      <c r="A623" s="9">
        <v>622</v>
      </c>
      <c r="B623" s="10" t="s">
        <v>9</v>
      </c>
      <c r="C623" s="10" t="s">
        <v>164</v>
      </c>
      <c r="D623" s="10" t="s">
        <v>165</v>
      </c>
      <c r="E623" s="11" t="str">
        <f>+HYPERLINK("http://trademark.i-assist.jp/data/china/image_1901th/78789432.pdf", "78789432")</f>
        <v>78789432</v>
      </c>
      <c r="F623" s="10" t="s">
        <v>1926</v>
      </c>
      <c r="G623" s="10" t="s">
        <v>1927</v>
      </c>
      <c r="H623" s="10" t="s">
        <v>1928</v>
      </c>
      <c r="I623" s="10" t="s">
        <v>1762</v>
      </c>
    </row>
    <row r="624" spans="1:9" x14ac:dyDescent="0.15">
      <c r="A624" s="9">
        <v>623</v>
      </c>
      <c r="B624" s="10" t="s">
        <v>9</v>
      </c>
      <c r="C624" s="10" t="s">
        <v>164</v>
      </c>
      <c r="D624" s="10" t="s">
        <v>165</v>
      </c>
      <c r="E624" s="11" t="str">
        <f>+HYPERLINK("http://trademark.i-assist.jp/data/china/image_1901th/78790063.pdf", "78790063")</f>
        <v>78790063</v>
      </c>
      <c r="F624" s="10" t="s">
        <v>1929</v>
      </c>
      <c r="G624" s="10" t="s">
        <v>1930</v>
      </c>
      <c r="H624" s="10" t="s">
        <v>1931</v>
      </c>
      <c r="I624" s="10" t="s">
        <v>1762</v>
      </c>
    </row>
    <row r="625" spans="1:9" x14ac:dyDescent="0.15">
      <c r="A625" s="9">
        <v>624</v>
      </c>
      <c r="B625" s="10" t="s">
        <v>9</v>
      </c>
      <c r="C625" s="10" t="s">
        <v>164</v>
      </c>
      <c r="D625" s="10" t="s">
        <v>165</v>
      </c>
      <c r="E625" s="11" t="str">
        <f>+HYPERLINK("http://trademark.i-assist.jp/data/china/image_1901th/78790137.pdf", "78790137")</f>
        <v>78790137</v>
      </c>
      <c r="F625" s="10" t="s">
        <v>1932</v>
      </c>
      <c r="G625" s="10" t="s">
        <v>1933</v>
      </c>
      <c r="H625" s="10" t="s">
        <v>1934</v>
      </c>
      <c r="I625" s="10" t="s">
        <v>1762</v>
      </c>
    </row>
    <row r="626" spans="1:9" x14ac:dyDescent="0.15">
      <c r="A626" s="9">
        <v>625</v>
      </c>
      <c r="B626" s="10" t="s">
        <v>9</v>
      </c>
      <c r="C626" s="10" t="s">
        <v>164</v>
      </c>
      <c r="D626" s="10" t="s">
        <v>165</v>
      </c>
      <c r="E626" s="11" t="str">
        <f>+HYPERLINK("http://trademark.i-assist.jp/data/china/image_1901th/78790641.pdf", "78790641")</f>
        <v>78790641</v>
      </c>
      <c r="F626" s="10" t="s">
        <v>1935</v>
      </c>
      <c r="G626" s="10" t="s">
        <v>1936</v>
      </c>
      <c r="H626" s="10" t="s">
        <v>1937</v>
      </c>
      <c r="I626" s="10" t="s">
        <v>1762</v>
      </c>
    </row>
    <row r="627" spans="1:9" x14ac:dyDescent="0.15">
      <c r="A627" s="9">
        <v>626</v>
      </c>
      <c r="B627" s="10" t="s">
        <v>9</v>
      </c>
      <c r="C627" s="10" t="s">
        <v>164</v>
      </c>
      <c r="D627" s="10" t="s">
        <v>165</v>
      </c>
      <c r="E627" s="11" t="str">
        <f>+HYPERLINK("http://trademark.i-assist.jp/data/china/image_1901th/78790786.pdf", "78790786")</f>
        <v>78790786</v>
      </c>
      <c r="F627" s="10" t="s">
        <v>1938</v>
      </c>
      <c r="G627" s="10" t="s">
        <v>1808</v>
      </c>
      <c r="H627" s="10" t="s">
        <v>1939</v>
      </c>
      <c r="I627" s="10" t="s">
        <v>1762</v>
      </c>
    </row>
    <row r="628" spans="1:9" x14ac:dyDescent="0.15">
      <c r="A628" s="9">
        <v>627</v>
      </c>
      <c r="B628" s="10" t="s">
        <v>9</v>
      </c>
      <c r="C628" s="10" t="s">
        <v>164</v>
      </c>
      <c r="D628" s="10" t="s">
        <v>165</v>
      </c>
      <c r="E628" s="11" t="str">
        <f>+HYPERLINK("http://trademark.i-assist.jp/data/china/image_1901th/78791313.pdf", "78791313")</f>
        <v>78791313</v>
      </c>
      <c r="F628" s="10" t="s">
        <v>1940</v>
      </c>
      <c r="G628" s="10" t="s">
        <v>1769</v>
      </c>
      <c r="H628" s="10" t="s">
        <v>1941</v>
      </c>
      <c r="I628" s="10" t="s">
        <v>1762</v>
      </c>
    </row>
    <row r="629" spans="1:9" x14ac:dyDescent="0.15">
      <c r="A629" s="9">
        <v>628</v>
      </c>
      <c r="B629" s="10" t="s">
        <v>9</v>
      </c>
      <c r="C629" s="10" t="s">
        <v>164</v>
      </c>
      <c r="D629" s="10" t="s">
        <v>165</v>
      </c>
      <c r="E629" s="11" t="str">
        <f>+HYPERLINK("http://trademark.i-assist.jp/data/china/image_1901th/78791328.pdf", "78791328")</f>
        <v>78791328</v>
      </c>
      <c r="F629" s="10" t="s">
        <v>1942</v>
      </c>
      <c r="G629" s="10" t="s">
        <v>1943</v>
      </c>
      <c r="H629" s="10" t="s">
        <v>1944</v>
      </c>
      <c r="I629" s="10" t="s">
        <v>1762</v>
      </c>
    </row>
    <row r="630" spans="1:9" x14ac:dyDescent="0.15">
      <c r="A630" s="9">
        <v>629</v>
      </c>
      <c r="B630" s="10" t="s">
        <v>9</v>
      </c>
      <c r="C630" s="10" t="s">
        <v>164</v>
      </c>
      <c r="D630" s="10" t="s">
        <v>165</v>
      </c>
      <c r="E630" s="11" t="str">
        <f>+HYPERLINK("http://trademark.i-assist.jp/data/china/image_1901th/78791620.pdf", "78791620")</f>
        <v>78791620</v>
      </c>
      <c r="F630" s="10" t="s">
        <v>1945</v>
      </c>
      <c r="G630" s="10" t="s">
        <v>1946</v>
      </c>
      <c r="H630" s="10" t="s">
        <v>1947</v>
      </c>
      <c r="I630" s="10" t="s">
        <v>1762</v>
      </c>
    </row>
    <row r="631" spans="1:9" x14ac:dyDescent="0.15">
      <c r="A631" s="9">
        <v>630</v>
      </c>
      <c r="B631" s="10" t="s">
        <v>9</v>
      </c>
      <c r="C631" s="10" t="s">
        <v>164</v>
      </c>
      <c r="D631" s="10" t="s">
        <v>165</v>
      </c>
      <c r="E631" s="11" t="str">
        <f>+HYPERLINK("http://trademark.i-assist.jp/data/china/image_1901th/78791630.pdf", "78791630")</f>
        <v>78791630</v>
      </c>
      <c r="F631" s="10" t="s">
        <v>1948</v>
      </c>
      <c r="G631" s="10" t="s">
        <v>1949</v>
      </c>
      <c r="H631" s="10" t="s">
        <v>1950</v>
      </c>
      <c r="I631" s="10" t="s">
        <v>1762</v>
      </c>
    </row>
    <row r="632" spans="1:9" x14ac:dyDescent="0.15">
      <c r="A632" s="9">
        <v>631</v>
      </c>
      <c r="B632" s="10" t="s">
        <v>9</v>
      </c>
      <c r="C632" s="10" t="s">
        <v>164</v>
      </c>
      <c r="D632" s="10" t="s">
        <v>165</v>
      </c>
      <c r="E632" s="11" t="str">
        <f>+HYPERLINK("http://trademark.i-assist.jp/data/china/image_1901th/78791701.pdf", "78791701")</f>
        <v>78791701</v>
      </c>
      <c r="F632" s="10" t="s">
        <v>1951</v>
      </c>
      <c r="G632" s="10" t="s">
        <v>1796</v>
      </c>
      <c r="H632" s="10" t="s">
        <v>1952</v>
      </c>
      <c r="I632" s="10" t="s">
        <v>1762</v>
      </c>
    </row>
    <row r="633" spans="1:9" x14ac:dyDescent="0.15">
      <c r="A633" s="9">
        <v>632</v>
      </c>
      <c r="B633" s="10" t="s">
        <v>9</v>
      </c>
      <c r="C633" s="10" t="s">
        <v>164</v>
      </c>
      <c r="D633" s="10" t="s">
        <v>165</v>
      </c>
      <c r="E633" s="11" t="str">
        <f>+HYPERLINK("http://trademark.i-assist.jp/data/china/image_1901th/78791801.pdf", "78791801")</f>
        <v>78791801</v>
      </c>
      <c r="F633" s="10" t="s">
        <v>1953</v>
      </c>
      <c r="G633" s="10" t="s">
        <v>1954</v>
      </c>
      <c r="H633" s="10" t="s">
        <v>1955</v>
      </c>
      <c r="I633" s="10" t="s">
        <v>1762</v>
      </c>
    </row>
    <row r="634" spans="1:9" x14ac:dyDescent="0.15">
      <c r="A634" s="9">
        <v>633</v>
      </c>
      <c r="B634" s="10" t="s">
        <v>9</v>
      </c>
      <c r="C634" s="10" t="s">
        <v>164</v>
      </c>
      <c r="D634" s="10" t="s">
        <v>165</v>
      </c>
      <c r="E634" s="11" t="str">
        <f>+HYPERLINK("http://trademark.i-assist.jp/data/china/image_1901th/78791864.pdf", "78791864")</f>
        <v>78791864</v>
      </c>
      <c r="F634" s="10" t="s">
        <v>1956</v>
      </c>
      <c r="G634" s="10" t="s">
        <v>1817</v>
      </c>
      <c r="H634" s="10" t="s">
        <v>1957</v>
      </c>
      <c r="I634" s="10" t="s">
        <v>1762</v>
      </c>
    </row>
    <row r="635" spans="1:9" x14ac:dyDescent="0.15">
      <c r="A635" s="9">
        <v>634</v>
      </c>
      <c r="B635" s="10" t="s">
        <v>9</v>
      </c>
      <c r="C635" s="10" t="s">
        <v>164</v>
      </c>
      <c r="D635" s="10" t="s">
        <v>165</v>
      </c>
      <c r="E635" s="11" t="str">
        <f>+HYPERLINK("http://trademark.i-assist.jp/data/china/image_1901th/78792023.pdf", "78792023")</f>
        <v>78792023</v>
      </c>
      <c r="F635" s="10" t="s">
        <v>1958</v>
      </c>
      <c r="G635" s="10" t="s">
        <v>1886</v>
      </c>
      <c r="H635" s="10" t="s">
        <v>1959</v>
      </c>
      <c r="I635" s="10" t="s">
        <v>1762</v>
      </c>
    </row>
    <row r="636" spans="1:9" x14ac:dyDescent="0.15">
      <c r="A636" s="9">
        <v>635</v>
      </c>
      <c r="B636" s="10" t="s">
        <v>9</v>
      </c>
      <c r="C636" s="10" t="s">
        <v>164</v>
      </c>
      <c r="D636" s="10" t="s">
        <v>165</v>
      </c>
      <c r="E636" s="11" t="str">
        <f>+HYPERLINK("http://trademark.i-assist.jp/data/china/image_1901th/78792157.pdf", "78792157")</f>
        <v>78792157</v>
      </c>
      <c r="F636" s="10" t="s">
        <v>1960</v>
      </c>
      <c r="G636" s="10" t="s">
        <v>1961</v>
      </c>
      <c r="H636" s="10" t="s">
        <v>1962</v>
      </c>
      <c r="I636" s="10" t="s">
        <v>1762</v>
      </c>
    </row>
    <row r="637" spans="1:9" x14ac:dyDescent="0.15">
      <c r="A637" s="9">
        <v>636</v>
      </c>
      <c r="B637" s="10" t="s">
        <v>9</v>
      </c>
      <c r="C637" s="10" t="s">
        <v>164</v>
      </c>
      <c r="D637" s="10" t="s">
        <v>165</v>
      </c>
      <c r="E637" s="11" t="str">
        <f>+HYPERLINK("http://trademark.i-assist.jp/data/china/image_1901th/78792188.pdf", "78792188")</f>
        <v>78792188</v>
      </c>
      <c r="F637" s="10" t="s">
        <v>1963</v>
      </c>
      <c r="G637" s="10" t="s">
        <v>1961</v>
      </c>
      <c r="H637" s="10" t="s">
        <v>1964</v>
      </c>
      <c r="I637" s="10" t="s">
        <v>1762</v>
      </c>
    </row>
    <row r="638" spans="1:9" x14ac:dyDescent="0.15">
      <c r="A638" s="9">
        <v>637</v>
      </c>
      <c r="B638" s="10" t="s">
        <v>9</v>
      </c>
      <c r="C638" s="10" t="s">
        <v>164</v>
      </c>
      <c r="D638" s="10" t="s">
        <v>165</v>
      </c>
      <c r="E638" s="11" t="str">
        <f>+HYPERLINK("http://trademark.i-assist.jp/data/china/image_1901th/78792454.pdf", "78792454")</f>
        <v>78792454</v>
      </c>
      <c r="F638" s="10" t="s">
        <v>1965</v>
      </c>
      <c r="G638" s="10" t="s">
        <v>1796</v>
      </c>
      <c r="H638" s="10" t="s">
        <v>1966</v>
      </c>
      <c r="I638" s="10" t="s">
        <v>1762</v>
      </c>
    </row>
    <row r="639" spans="1:9" x14ac:dyDescent="0.15">
      <c r="A639" s="9">
        <v>638</v>
      </c>
      <c r="B639" s="10" t="s">
        <v>9</v>
      </c>
      <c r="C639" s="10" t="s">
        <v>164</v>
      </c>
      <c r="D639" s="10" t="s">
        <v>165</v>
      </c>
      <c r="E639" s="11" t="str">
        <f>+HYPERLINK("http://trademark.i-assist.jp/data/china/image_1901th/78792902.pdf", "78792902")</f>
        <v>78792902</v>
      </c>
      <c r="F639" s="10" t="s">
        <v>1967</v>
      </c>
      <c r="G639" s="10" t="s">
        <v>1968</v>
      </c>
      <c r="H639" s="10" t="s">
        <v>1969</v>
      </c>
      <c r="I639" s="10" t="s">
        <v>1762</v>
      </c>
    </row>
    <row r="640" spans="1:9" x14ac:dyDescent="0.15">
      <c r="A640" s="9">
        <v>639</v>
      </c>
      <c r="B640" s="10" t="s">
        <v>9</v>
      </c>
      <c r="C640" s="10" t="s">
        <v>164</v>
      </c>
      <c r="D640" s="10" t="s">
        <v>165</v>
      </c>
      <c r="E640" s="11" t="str">
        <f>+HYPERLINK("http://trademark.i-assist.jp/data/china/image_1901th/78793424.pdf", "78793424")</f>
        <v>78793424</v>
      </c>
      <c r="F640" s="10" t="s">
        <v>1970</v>
      </c>
      <c r="G640" s="10" t="s">
        <v>1971</v>
      </c>
      <c r="H640" s="10" t="s">
        <v>1972</v>
      </c>
      <c r="I640" s="10" t="s">
        <v>1762</v>
      </c>
    </row>
    <row r="641" spans="1:9" x14ac:dyDescent="0.15">
      <c r="A641" s="9">
        <v>640</v>
      </c>
      <c r="B641" s="10" t="s">
        <v>9</v>
      </c>
      <c r="C641" s="10" t="s">
        <v>164</v>
      </c>
      <c r="D641" s="10" t="s">
        <v>165</v>
      </c>
      <c r="E641" s="11" t="str">
        <f>+HYPERLINK("http://trademark.i-assist.jp/data/china/image_1901th/78793716.pdf", "78793716")</f>
        <v>78793716</v>
      </c>
      <c r="F641" s="10" t="s">
        <v>12</v>
      </c>
      <c r="G641" s="10" t="s">
        <v>1831</v>
      </c>
      <c r="H641" s="10" t="s">
        <v>1973</v>
      </c>
      <c r="I641" s="10" t="s">
        <v>1762</v>
      </c>
    </row>
    <row r="642" spans="1:9" x14ac:dyDescent="0.15">
      <c r="A642" s="9">
        <v>641</v>
      </c>
      <c r="B642" s="10" t="s">
        <v>9</v>
      </c>
      <c r="C642" s="10" t="s">
        <v>164</v>
      </c>
      <c r="D642" s="10" t="s">
        <v>165</v>
      </c>
      <c r="E642" s="11" t="str">
        <f>+HYPERLINK("http://trademark.i-assist.jp/data/china/image_1901th/78793781.pdf", "78793781")</f>
        <v>78793781</v>
      </c>
      <c r="F642" s="10" t="s">
        <v>1974</v>
      </c>
      <c r="G642" s="10" t="s">
        <v>1975</v>
      </c>
      <c r="H642" s="10" t="s">
        <v>1976</v>
      </c>
      <c r="I642" s="10" t="s">
        <v>1762</v>
      </c>
    </row>
    <row r="643" spans="1:9" x14ac:dyDescent="0.15">
      <c r="A643" s="9">
        <v>642</v>
      </c>
      <c r="B643" s="10" t="s">
        <v>9</v>
      </c>
      <c r="C643" s="10" t="s">
        <v>164</v>
      </c>
      <c r="D643" s="10" t="s">
        <v>165</v>
      </c>
      <c r="E643" s="11" t="str">
        <f>+HYPERLINK("http://trademark.i-assist.jp/data/china/image_1901th/78794180.pdf", "78794180")</f>
        <v>78794180</v>
      </c>
      <c r="F643" s="10" t="s">
        <v>12</v>
      </c>
      <c r="G643" s="10" t="s">
        <v>1977</v>
      </c>
      <c r="H643" s="10" t="s">
        <v>1978</v>
      </c>
      <c r="I643" s="10" t="s">
        <v>1762</v>
      </c>
    </row>
    <row r="644" spans="1:9" x14ac:dyDescent="0.15">
      <c r="A644" s="9">
        <v>643</v>
      </c>
      <c r="B644" s="10" t="s">
        <v>9</v>
      </c>
      <c r="C644" s="10" t="s">
        <v>164</v>
      </c>
      <c r="D644" s="10" t="s">
        <v>165</v>
      </c>
      <c r="E644" s="11" t="str">
        <f>+HYPERLINK("http://trademark.i-assist.jp/data/china/image_1901th/78794360.pdf", "78794360")</f>
        <v>78794360</v>
      </c>
      <c r="F644" s="10" t="s">
        <v>1979</v>
      </c>
      <c r="G644" s="10" t="s">
        <v>1980</v>
      </c>
      <c r="H644" s="10" t="s">
        <v>1981</v>
      </c>
      <c r="I644" s="10" t="s">
        <v>1762</v>
      </c>
    </row>
    <row r="645" spans="1:9" x14ac:dyDescent="0.15">
      <c r="A645" s="9">
        <v>644</v>
      </c>
      <c r="B645" s="10" t="s">
        <v>9</v>
      </c>
      <c r="C645" s="10" t="s">
        <v>164</v>
      </c>
      <c r="D645" s="10" t="s">
        <v>165</v>
      </c>
      <c r="E645" s="11" t="str">
        <f>+HYPERLINK("http://trademark.i-assist.jp/data/china/image_1901th/78794904.pdf", "78794904")</f>
        <v>78794904</v>
      </c>
      <c r="F645" s="10" t="s">
        <v>1982</v>
      </c>
      <c r="G645" s="10" t="s">
        <v>1983</v>
      </c>
      <c r="H645" s="10" t="s">
        <v>1984</v>
      </c>
      <c r="I645" s="10" t="s">
        <v>1762</v>
      </c>
    </row>
    <row r="646" spans="1:9" x14ac:dyDescent="0.15">
      <c r="A646" s="9">
        <v>645</v>
      </c>
      <c r="B646" s="10" t="s">
        <v>9</v>
      </c>
      <c r="C646" s="10" t="s">
        <v>164</v>
      </c>
      <c r="D646" s="10" t="s">
        <v>165</v>
      </c>
      <c r="E646" s="11" t="str">
        <f>+HYPERLINK("http://trademark.i-assist.jp/data/china/image_1901th/78795388.pdf", "78795388")</f>
        <v>78795388</v>
      </c>
      <c r="F646" s="10" t="s">
        <v>1985</v>
      </c>
      <c r="G646" s="10" t="s">
        <v>1986</v>
      </c>
      <c r="H646" s="10" t="s">
        <v>1987</v>
      </c>
      <c r="I646" s="10" t="s">
        <v>1762</v>
      </c>
    </row>
    <row r="647" spans="1:9" x14ac:dyDescent="0.15">
      <c r="A647" s="9">
        <v>646</v>
      </c>
      <c r="B647" s="10" t="s">
        <v>9</v>
      </c>
      <c r="C647" s="10" t="s">
        <v>164</v>
      </c>
      <c r="D647" s="10" t="s">
        <v>165</v>
      </c>
      <c r="E647" s="11" t="str">
        <f>+HYPERLINK("http://trademark.i-assist.jp/data/china/image_1901th/78795459.pdf", "78795459")</f>
        <v>78795459</v>
      </c>
      <c r="F647" s="10" t="s">
        <v>1988</v>
      </c>
      <c r="G647" s="10" t="s">
        <v>1989</v>
      </c>
      <c r="H647" s="10" t="s">
        <v>1990</v>
      </c>
      <c r="I647" s="10" t="s">
        <v>1762</v>
      </c>
    </row>
    <row r="648" spans="1:9" x14ac:dyDescent="0.15">
      <c r="A648" s="9">
        <v>647</v>
      </c>
      <c r="B648" s="10" t="s">
        <v>9</v>
      </c>
      <c r="C648" s="10" t="s">
        <v>164</v>
      </c>
      <c r="D648" s="10" t="s">
        <v>165</v>
      </c>
      <c r="E648" s="11" t="str">
        <f>+HYPERLINK("http://trademark.i-assist.jp/data/china/image_1901th/78795501.pdf", "78795501")</f>
        <v>78795501</v>
      </c>
      <c r="F648" s="10" t="s">
        <v>1991</v>
      </c>
      <c r="G648" s="10" t="s">
        <v>1992</v>
      </c>
      <c r="H648" s="10" t="s">
        <v>1993</v>
      </c>
      <c r="I648" s="10" t="s">
        <v>1762</v>
      </c>
    </row>
    <row r="649" spans="1:9" x14ac:dyDescent="0.15">
      <c r="A649" s="9">
        <v>648</v>
      </c>
      <c r="B649" s="10" t="s">
        <v>9</v>
      </c>
      <c r="C649" s="10" t="s">
        <v>164</v>
      </c>
      <c r="D649" s="10" t="s">
        <v>165</v>
      </c>
      <c r="E649" s="11" t="str">
        <f>+HYPERLINK("http://trademark.i-assist.jp/data/china/image_1901th/78796126.pdf", "78796126")</f>
        <v>78796126</v>
      </c>
      <c r="F649" s="10" t="s">
        <v>1994</v>
      </c>
      <c r="G649" s="10" t="s">
        <v>1842</v>
      </c>
      <c r="H649" s="10" t="s">
        <v>1995</v>
      </c>
      <c r="I649" s="10" t="s">
        <v>1762</v>
      </c>
    </row>
    <row r="650" spans="1:9" x14ac:dyDescent="0.15">
      <c r="A650" s="9">
        <v>649</v>
      </c>
      <c r="B650" s="10" t="s">
        <v>9</v>
      </c>
      <c r="C650" s="10" t="s">
        <v>164</v>
      </c>
      <c r="D650" s="10" t="s">
        <v>165</v>
      </c>
      <c r="E650" s="11" t="str">
        <f>+HYPERLINK("http://trademark.i-assist.jp/data/china/image_1901th/78796208.pdf", "78796208")</f>
        <v>78796208</v>
      </c>
      <c r="F650" s="10" t="s">
        <v>1996</v>
      </c>
      <c r="G650" s="10" t="s">
        <v>1862</v>
      </c>
      <c r="H650" s="10" t="s">
        <v>1997</v>
      </c>
      <c r="I650" s="10" t="s">
        <v>1762</v>
      </c>
    </row>
    <row r="651" spans="1:9" x14ac:dyDescent="0.15">
      <c r="A651" s="9">
        <v>650</v>
      </c>
      <c r="B651" s="10" t="s">
        <v>9</v>
      </c>
      <c r="C651" s="10" t="s">
        <v>164</v>
      </c>
      <c r="D651" s="10" t="s">
        <v>165</v>
      </c>
      <c r="E651" s="11" t="str">
        <f>+HYPERLINK("http://trademark.i-assist.jp/data/china/image_1901th/78796213.pdf", "78796213")</f>
        <v>78796213</v>
      </c>
      <c r="F651" s="10" t="s">
        <v>1998</v>
      </c>
      <c r="G651" s="10" t="s">
        <v>1862</v>
      </c>
      <c r="H651" s="10" t="s">
        <v>1999</v>
      </c>
      <c r="I651" s="10" t="s">
        <v>1762</v>
      </c>
    </row>
    <row r="652" spans="1:9" x14ac:dyDescent="0.15">
      <c r="A652" s="9">
        <v>651</v>
      </c>
      <c r="B652" s="10" t="s">
        <v>9</v>
      </c>
      <c r="C652" s="10" t="s">
        <v>164</v>
      </c>
      <c r="D652" s="10" t="s">
        <v>165</v>
      </c>
      <c r="E652" s="11" t="str">
        <f>+HYPERLINK("http://trademark.i-assist.jp/data/china/image_1901th/78796412.pdf", "78796412")</f>
        <v>78796412</v>
      </c>
      <c r="F652" s="10" t="s">
        <v>2000</v>
      </c>
      <c r="G652" s="10" t="s">
        <v>2001</v>
      </c>
      <c r="H652" s="10" t="s">
        <v>2002</v>
      </c>
      <c r="I652" s="10" t="s">
        <v>1762</v>
      </c>
    </row>
    <row r="653" spans="1:9" x14ac:dyDescent="0.15">
      <c r="A653" s="9">
        <v>652</v>
      </c>
      <c r="B653" s="10" t="s">
        <v>9</v>
      </c>
      <c r="C653" s="10" t="s">
        <v>164</v>
      </c>
      <c r="D653" s="10" t="s">
        <v>165</v>
      </c>
      <c r="E653" s="11" t="str">
        <f>+HYPERLINK("http://trademark.i-assist.jp/data/china/image_1901th/78796622.pdf", "78796622")</f>
        <v>78796622</v>
      </c>
      <c r="F653" s="10" t="s">
        <v>12</v>
      </c>
      <c r="G653" s="10" t="s">
        <v>2003</v>
      </c>
      <c r="H653" s="10" t="s">
        <v>2004</v>
      </c>
      <c r="I653" s="10" t="s">
        <v>1762</v>
      </c>
    </row>
    <row r="654" spans="1:9" x14ac:dyDescent="0.15">
      <c r="A654" s="9">
        <v>653</v>
      </c>
      <c r="B654" s="10" t="s">
        <v>9</v>
      </c>
      <c r="C654" s="10" t="s">
        <v>164</v>
      </c>
      <c r="D654" s="10" t="s">
        <v>165</v>
      </c>
      <c r="E654" s="11" t="str">
        <f>+HYPERLINK("http://trademark.i-assist.jp/data/china/image_1901th/78796740.pdf", "78796740")</f>
        <v>78796740</v>
      </c>
      <c r="F654" s="10" t="s">
        <v>2005</v>
      </c>
      <c r="G654" s="10" t="s">
        <v>1886</v>
      </c>
      <c r="H654" s="10" t="s">
        <v>2006</v>
      </c>
      <c r="I654" s="10" t="s">
        <v>1762</v>
      </c>
    </row>
    <row r="655" spans="1:9" x14ac:dyDescent="0.15">
      <c r="A655" s="9">
        <v>654</v>
      </c>
      <c r="B655" s="10" t="s">
        <v>9</v>
      </c>
      <c r="C655" s="10" t="s">
        <v>164</v>
      </c>
      <c r="D655" s="10" t="s">
        <v>165</v>
      </c>
      <c r="E655" s="11" t="str">
        <f>+HYPERLINK("http://trademark.i-assist.jp/data/china/image_1901th/78797106.pdf", "78797106")</f>
        <v>78797106</v>
      </c>
      <c r="F655" s="10" t="s">
        <v>2007</v>
      </c>
      <c r="G655" s="10" t="s">
        <v>1878</v>
      </c>
      <c r="H655" s="10" t="s">
        <v>2008</v>
      </c>
      <c r="I655" s="10" t="s">
        <v>1762</v>
      </c>
    </row>
    <row r="656" spans="1:9" x14ac:dyDescent="0.15">
      <c r="A656" s="9">
        <v>655</v>
      </c>
      <c r="B656" s="10" t="s">
        <v>9</v>
      </c>
      <c r="C656" s="10" t="s">
        <v>164</v>
      </c>
      <c r="D656" s="10" t="s">
        <v>165</v>
      </c>
      <c r="E656" s="11" t="str">
        <f>+HYPERLINK("http://trademark.i-assist.jp/data/china/image_1901th/78797884.pdf", "78797884")</f>
        <v>78797884</v>
      </c>
      <c r="F656" s="10" t="s">
        <v>2009</v>
      </c>
      <c r="G656" s="10" t="s">
        <v>2010</v>
      </c>
      <c r="H656" s="10" t="s">
        <v>2011</v>
      </c>
      <c r="I656" s="10" t="s">
        <v>1762</v>
      </c>
    </row>
    <row r="657" spans="1:9" x14ac:dyDescent="0.15">
      <c r="A657" s="9">
        <v>656</v>
      </c>
      <c r="B657" s="10" t="s">
        <v>9</v>
      </c>
      <c r="C657" s="10" t="s">
        <v>164</v>
      </c>
      <c r="D657" s="10" t="s">
        <v>165</v>
      </c>
      <c r="E657" s="11" t="str">
        <f>+HYPERLINK("http://trademark.i-assist.jp/data/china/image_1901th/78798079.pdf", "78798079")</f>
        <v>78798079</v>
      </c>
      <c r="F657" s="10" t="s">
        <v>2012</v>
      </c>
      <c r="G657" s="10" t="s">
        <v>2013</v>
      </c>
      <c r="H657" s="10" t="s">
        <v>2014</v>
      </c>
      <c r="I657" s="10" t="s">
        <v>1762</v>
      </c>
    </row>
    <row r="658" spans="1:9" x14ac:dyDescent="0.15">
      <c r="A658" s="9">
        <v>657</v>
      </c>
      <c r="B658" s="10" t="s">
        <v>9</v>
      </c>
      <c r="C658" s="10" t="s">
        <v>164</v>
      </c>
      <c r="D658" s="10" t="s">
        <v>165</v>
      </c>
      <c r="E658" s="11" t="str">
        <f>+HYPERLINK("http://trademark.i-assist.jp/data/china/image_1901th/78798383.pdf", "78798383")</f>
        <v>78798383</v>
      </c>
      <c r="F658" s="10" t="s">
        <v>2015</v>
      </c>
      <c r="G658" s="10" t="s">
        <v>2016</v>
      </c>
      <c r="H658" s="10" t="s">
        <v>2017</v>
      </c>
      <c r="I658" s="10" t="s">
        <v>1762</v>
      </c>
    </row>
    <row r="659" spans="1:9" x14ac:dyDescent="0.15">
      <c r="A659" s="9">
        <v>658</v>
      </c>
      <c r="B659" s="10" t="s">
        <v>9</v>
      </c>
      <c r="C659" s="10" t="s">
        <v>164</v>
      </c>
      <c r="D659" s="10" t="s">
        <v>165</v>
      </c>
      <c r="E659" s="11" t="str">
        <f>+HYPERLINK("http://trademark.i-assist.jp/data/china/image_1901th/78798562.pdf", "78798562")</f>
        <v>78798562</v>
      </c>
      <c r="F659" s="10" t="s">
        <v>2018</v>
      </c>
      <c r="G659" s="10" t="s">
        <v>129</v>
      </c>
      <c r="H659" s="10" t="s">
        <v>2019</v>
      </c>
      <c r="I659" s="10" t="s">
        <v>1762</v>
      </c>
    </row>
    <row r="660" spans="1:9" x14ac:dyDescent="0.15">
      <c r="A660" s="9">
        <v>659</v>
      </c>
      <c r="B660" s="10" t="s">
        <v>9</v>
      </c>
      <c r="C660" s="10" t="s">
        <v>164</v>
      </c>
      <c r="D660" s="10" t="s">
        <v>165</v>
      </c>
      <c r="E660" s="11" t="str">
        <f>+HYPERLINK("http://trademark.i-assist.jp/data/china/image_1901th/78798775.pdf", "78798775")</f>
        <v>78798775</v>
      </c>
      <c r="F660" s="10" t="s">
        <v>2020</v>
      </c>
      <c r="G660" s="10" t="s">
        <v>1842</v>
      </c>
      <c r="H660" s="10" t="s">
        <v>2021</v>
      </c>
      <c r="I660" s="10" t="s">
        <v>1762</v>
      </c>
    </row>
    <row r="661" spans="1:9" x14ac:dyDescent="0.15">
      <c r="A661" s="9">
        <v>660</v>
      </c>
      <c r="B661" s="10" t="s">
        <v>9</v>
      </c>
      <c r="C661" s="10" t="s">
        <v>164</v>
      </c>
      <c r="D661" s="10" t="s">
        <v>165</v>
      </c>
      <c r="E661" s="11" t="str">
        <f>+HYPERLINK("http://trademark.i-assist.jp/data/china/image_1901th/78799317.pdf", "78799317")</f>
        <v>78799317</v>
      </c>
      <c r="F661" s="10" t="s">
        <v>2022</v>
      </c>
      <c r="G661" s="10" t="s">
        <v>1927</v>
      </c>
      <c r="H661" s="10" t="s">
        <v>2023</v>
      </c>
      <c r="I661" s="10" t="s">
        <v>1762</v>
      </c>
    </row>
    <row r="662" spans="1:9" x14ac:dyDescent="0.15">
      <c r="A662" s="9">
        <v>661</v>
      </c>
      <c r="B662" s="10" t="s">
        <v>9</v>
      </c>
      <c r="C662" s="10" t="s">
        <v>164</v>
      </c>
      <c r="D662" s="10" t="s">
        <v>165</v>
      </c>
      <c r="E662" s="11" t="str">
        <f>+HYPERLINK("http://trademark.i-assist.jp/data/china/image_1901th/78799585.pdf", "78799585")</f>
        <v>78799585</v>
      </c>
      <c r="F662" s="10" t="s">
        <v>2024</v>
      </c>
      <c r="G662" s="10" t="s">
        <v>2025</v>
      </c>
      <c r="H662" s="10" t="s">
        <v>2026</v>
      </c>
      <c r="I662" s="10" t="s">
        <v>1762</v>
      </c>
    </row>
    <row r="663" spans="1:9" x14ac:dyDescent="0.15">
      <c r="A663" s="9">
        <v>662</v>
      </c>
      <c r="B663" s="10" t="s">
        <v>9</v>
      </c>
      <c r="C663" s="10" t="s">
        <v>164</v>
      </c>
      <c r="D663" s="10" t="s">
        <v>165</v>
      </c>
      <c r="E663" s="11" t="str">
        <f>+HYPERLINK("http://trademark.i-assist.jp/data/china/image_1901th/78799812.pdf", "78799812")</f>
        <v>78799812</v>
      </c>
      <c r="F663" s="10" t="s">
        <v>2027</v>
      </c>
      <c r="G663" s="10" t="s">
        <v>1817</v>
      </c>
      <c r="H663" s="10" t="s">
        <v>2028</v>
      </c>
      <c r="I663" s="10" t="s">
        <v>1762</v>
      </c>
    </row>
    <row r="664" spans="1:9" x14ac:dyDescent="0.15">
      <c r="A664" s="9">
        <v>663</v>
      </c>
      <c r="B664" s="10" t="s">
        <v>9</v>
      </c>
      <c r="C664" s="10" t="s">
        <v>164</v>
      </c>
      <c r="D664" s="10" t="s">
        <v>165</v>
      </c>
      <c r="E664" s="11" t="str">
        <f>+HYPERLINK("http://trademark.i-assist.jp/data/china/image_1901th/78801173.pdf", "78801173")</f>
        <v>78801173</v>
      </c>
      <c r="F664" s="10" t="s">
        <v>2029</v>
      </c>
      <c r="G664" s="10" t="s">
        <v>2030</v>
      </c>
      <c r="H664" s="10" t="s">
        <v>2031</v>
      </c>
      <c r="I664" s="10" t="s">
        <v>2032</v>
      </c>
    </row>
    <row r="665" spans="1:9" x14ac:dyDescent="0.15">
      <c r="A665" s="9">
        <v>664</v>
      </c>
      <c r="B665" s="10" t="s">
        <v>9</v>
      </c>
      <c r="C665" s="10" t="s">
        <v>164</v>
      </c>
      <c r="D665" s="10" t="s">
        <v>165</v>
      </c>
      <c r="E665" s="11" t="str">
        <f>+HYPERLINK("http://trademark.i-assist.jp/data/china/image_1901th/78802282.pdf", "78802282")</f>
        <v>78802282</v>
      </c>
      <c r="F665" s="10" t="s">
        <v>2033</v>
      </c>
      <c r="G665" s="10" t="s">
        <v>2034</v>
      </c>
      <c r="H665" s="10" t="s">
        <v>2035</v>
      </c>
      <c r="I665" s="10" t="s">
        <v>2032</v>
      </c>
    </row>
    <row r="666" spans="1:9" x14ac:dyDescent="0.15">
      <c r="A666" s="9">
        <v>665</v>
      </c>
      <c r="B666" s="10" t="s">
        <v>9</v>
      </c>
      <c r="C666" s="10" t="s">
        <v>164</v>
      </c>
      <c r="D666" s="10" t="s">
        <v>165</v>
      </c>
      <c r="E666" s="11" t="str">
        <f>+HYPERLINK("http://trademark.i-assist.jp/data/china/image_1901th/78802647.pdf", "78802647")</f>
        <v>78802647</v>
      </c>
      <c r="F666" s="10" t="s">
        <v>2036</v>
      </c>
      <c r="G666" s="10" t="s">
        <v>2037</v>
      </c>
      <c r="H666" s="10" t="s">
        <v>2038</v>
      </c>
      <c r="I666" s="10" t="s">
        <v>2032</v>
      </c>
    </row>
    <row r="667" spans="1:9" x14ac:dyDescent="0.15">
      <c r="A667" s="9">
        <v>666</v>
      </c>
      <c r="B667" s="10" t="s">
        <v>9</v>
      </c>
      <c r="C667" s="10" t="s">
        <v>164</v>
      </c>
      <c r="D667" s="10" t="s">
        <v>165</v>
      </c>
      <c r="E667" s="11" t="str">
        <f>+HYPERLINK("http://trademark.i-assist.jp/data/china/image_1901th/78802691.pdf", "78802691")</f>
        <v>78802691</v>
      </c>
      <c r="F667" s="10" t="s">
        <v>2039</v>
      </c>
      <c r="G667" s="10" t="s">
        <v>2040</v>
      </c>
      <c r="H667" s="10" t="s">
        <v>2041</v>
      </c>
      <c r="I667" s="10" t="s">
        <v>2032</v>
      </c>
    </row>
    <row r="668" spans="1:9" x14ac:dyDescent="0.15">
      <c r="A668" s="9">
        <v>667</v>
      </c>
      <c r="B668" s="10" t="s">
        <v>9</v>
      </c>
      <c r="C668" s="10" t="s">
        <v>164</v>
      </c>
      <c r="D668" s="10" t="s">
        <v>165</v>
      </c>
      <c r="E668" s="11" t="str">
        <f>+HYPERLINK("http://trademark.i-assist.jp/data/china/image_1901th/78803999.pdf", "78803999")</f>
        <v>78803999</v>
      </c>
      <c r="F668" s="10" t="s">
        <v>2042</v>
      </c>
      <c r="G668" s="10" t="s">
        <v>2043</v>
      </c>
      <c r="H668" s="10" t="s">
        <v>2044</v>
      </c>
      <c r="I668" s="10" t="s">
        <v>2032</v>
      </c>
    </row>
    <row r="669" spans="1:9" x14ac:dyDescent="0.15">
      <c r="A669" s="9">
        <v>668</v>
      </c>
      <c r="B669" s="10" t="s">
        <v>9</v>
      </c>
      <c r="C669" s="10" t="s">
        <v>164</v>
      </c>
      <c r="D669" s="10" t="s">
        <v>165</v>
      </c>
      <c r="E669" s="11" t="str">
        <f>+HYPERLINK("http://trademark.i-assist.jp/data/china/image_1901th/78804337.pdf", "78804337")</f>
        <v>78804337</v>
      </c>
      <c r="F669" s="10" t="s">
        <v>2045</v>
      </c>
      <c r="G669" s="10" t="s">
        <v>2046</v>
      </c>
      <c r="H669" s="10" t="s">
        <v>2047</v>
      </c>
      <c r="I669" s="10" t="s">
        <v>2032</v>
      </c>
    </row>
    <row r="670" spans="1:9" x14ac:dyDescent="0.15">
      <c r="A670" s="9">
        <v>669</v>
      </c>
      <c r="B670" s="10" t="s">
        <v>9</v>
      </c>
      <c r="C670" s="10" t="s">
        <v>164</v>
      </c>
      <c r="D670" s="10" t="s">
        <v>165</v>
      </c>
      <c r="E670" s="11" t="str">
        <f>+HYPERLINK("http://trademark.i-assist.jp/data/china/image_1901th/78804430.pdf", "78804430")</f>
        <v>78804430</v>
      </c>
      <c r="F670" s="10" t="s">
        <v>2048</v>
      </c>
      <c r="G670" s="10" t="s">
        <v>2049</v>
      </c>
      <c r="H670" s="10" t="s">
        <v>2050</v>
      </c>
      <c r="I670" s="10" t="s">
        <v>2032</v>
      </c>
    </row>
    <row r="671" spans="1:9" x14ac:dyDescent="0.15">
      <c r="A671" s="9">
        <v>670</v>
      </c>
      <c r="B671" s="10" t="s">
        <v>9</v>
      </c>
      <c r="C671" s="10" t="s">
        <v>164</v>
      </c>
      <c r="D671" s="10" t="s">
        <v>165</v>
      </c>
      <c r="E671" s="11" t="str">
        <f>+HYPERLINK("http://trademark.i-assist.jp/data/china/image_1901th/78807263.pdf", "78807263")</f>
        <v>78807263</v>
      </c>
      <c r="F671" s="10" t="s">
        <v>2051</v>
      </c>
      <c r="G671" s="10" t="s">
        <v>2052</v>
      </c>
      <c r="H671" s="10" t="s">
        <v>2053</v>
      </c>
      <c r="I671" s="10" t="s">
        <v>2032</v>
      </c>
    </row>
    <row r="672" spans="1:9" x14ac:dyDescent="0.15">
      <c r="A672" s="9">
        <v>671</v>
      </c>
      <c r="B672" s="10" t="s">
        <v>9</v>
      </c>
      <c r="C672" s="10" t="s">
        <v>164</v>
      </c>
      <c r="D672" s="10" t="s">
        <v>165</v>
      </c>
      <c r="E672" s="11" t="str">
        <f>+HYPERLINK("http://trademark.i-assist.jp/data/china/image_1901th/78807405.pdf", "78807405")</f>
        <v>78807405</v>
      </c>
      <c r="F672" s="10" t="s">
        <v>2054</v>
      </c>
      <c r="G672" s="10" t="s">
        <v>2055</v>
      </c>
      <c r="H672" s="10" t="s">
        <v>2056</v>
      </c>
      <c r="I672" s="10" t="s">
        <v>2032</v>
      </c>
    </row>
    <row r="673" spans="1:9" x14ac:dyDescent="0.15">
      <c r="A673" s="9">
        <v>672</v>
      </c>
      <c r="B673" s="10" t="s">
        <v>9</v>
      </c>
      <c r="C673" s="10" t="s">
        <v>164</v>
      </c>
      <c r="D673" s="10" t="s">
        <v>165</v>
      </c>
      <c r="E673" s="11" t="str">
        <f>+HYPERLINK("http://trademark.i-assist.jp/data/china/image_1901th/78808561.pdf", "78808561")</f>
        <v>78808561</v>
      </c>
      <c r="F673" s="10" t="s">
        <v>2057</v>
      </c>
      <c r="G673" s="10" t="s">
        <v>2058</v>
      </c>
      <c r="H673" s="10" t="s">
        <v>2059</v>
      </c>
      <c r="I673" s="10" t="s">
        <v>2032</v>
      </c>
    </row>
    <row r="674" spans="1:9" x14ac:dyDescent="0.15">
      <c r="A674" s="9">
        <v>673</v>
      </c>
      <c r="B674" s="10" t="s">
        <v>9</v>
      </c>
      <c r="C674" s="10" t="s">
        <v>164</v>
      </c>
      <c r="D674" s="10" t="s">
        <v>165</v>
      </c>
      <c r="E674" s="11" t="str">
        <f>+HYPERLINK("http://trademark.i-assist.jp/data/china/image_1901th/78808627.pdf", "78808627")</f>
        <v>78808627</v>
      </c>
      <c r="F674" s="10" t="s">
        <v>2060</v>
      </c>
      <c r="G674" s="10" t="s">
        <v>2046</v>
      </c>
      <c r="H674" s="10" t="s">
        <v>2061</v>
      </c>
      <c r="I674" s="10" t="s">
        <v>2032</v>
      </c>
    </row>
    <row r="675" spans="1:9" x14ac:dyDescent="0.15">
      <c r="A675" s="9">
        <v>674</v>
      </c>
      <c r="B675" s="10" t="s">
        <v>9</v>
      </c>
      <c r="C675" s="10" t="s">
        <v>164</v>
      </c>
      <c r="D675" s="10" t="s">
        <v>165</v>
      </c>
      <c r="E675" s="11" t="str">
        <f>+HYPERLINK("http://trademark.i-assist.jp/data/china/image_1901th/78809337.pdf", "78809337")</f>
        <v>78809337</v>
      </c>
      <c r="F675" s="10" t="s">
        <v>2062</v>
      </c>
      <c r="G675" s="10" t="s">
        <v>2063</v>
      </c>
      <c r="H675" s="10" t="s">
        <v>2064</v>
      </c>
      <c r="I675" s="10" t="s">
        <v>2032</v>
      </c>
    </row>
    <row r="676" spans="1:9" x14ac:dyDescent="0.15">
      <c r="A676" s="9">
        <v>675</v>
      </c>
      <c r="B676" s="10" t="s">
        <v>9</v>
      </c>
      <c r="C676" s="10" t="s">
        <v>164</v>
      </c>
      <c r="D676" s="10" t="s">
        <v>165</v>
      </c>
      <c r="E676" s="11" t="str">
        <f>+HYPERLINK("http://trademark.i-assist.jp/data/china/image_1901th/78811753.pdf", "78811753")</f>
        <v>78811753</v>
      </c>
      <c r="F676" s="10" t="s">
        <v>2065</v>
      </c>
      <c r="G676" s="10" t="s">
        <v>2066</v>
      </c>
      <c r="H676" s="10" t="s">
        <v>2067</v>
      </c>
      <c r="I676" s="10" t="s">
        <v>2032</v>
      </c>
    </row>
    <row r="677" spans="1:9" x14ac:dyDescent="0.15">
      <c r="A677" s="9">
        <v>676</v>
      </c>
      <c r="B677" s="10" t="s">
        <v>9</v>
      </c>
      <c r="C677" s="10" t="s">
        <v>164</v>
      </c>
      <c r="D677" s="10" t="s">
        <v>165</v>
      </c>
      <c r="E677" s="11" t="str">
        <f>+HYPERLINK("http://trademark.i-assist.jp/data/china/image_1901th/78812795.pdf", "78812795")</f>
        <v>78812795</v>
      </c>
      <c r="F677" s="10" t="s">
        <v>2068</v>
      </c>
      <c r="G677" s="10" t="s">
        <v>2069</v>
      </c>
      <c r="H677" s="10" t="s">
        <v>2070</v>
      </c>
      <c r="I677" s="10" t="s">
        <v>2032</v>
      </c>
    </row>
    <row r="678" spans="1:9" x14ac:dyDescent="0.15">
      <c r="A678" s="9">
        <v>677</v>
      </c>
      <c r="B678" s="10" t="s">
        <v>9</v>
      </c>
      <c r="C678" s="10" t="s">
        <v>164</v>
      </c>
      <c r="D678" s="10" t="s">
        <v>165</v>
      </c>
      <c r="E678" s="11" t="str">
        <f>+HYPERLINK("http://trademark.i-assist.jp/data/china/image_1901th/78813015.pdf", "78813015")</f>
        <v>78813015</v>
      </c>
      <c r="F678" s="10" t="s">
        <v>2071</v>
      </c>
      <c r="G678" s="10" t="s">
        <v>2072</v>
      </c>
      <c r="H678" s="10" t="s">
        <v>2073</v>
      </c>
      <c r="I678" s="10" t="s">
        <v>2032</v>
      </c>
    </row>
    <row r="679" spans="1:9" x14ac:dyDescent="0.15">
      <c r="A679" s="9">
        <v>678</v>
      </c>
      <c r="B679" s="10" t="s">
        <v>9</v>
      </c>
      <c r="C679" s="10" t="s">
        <v>164</v>
      </c>
      <c r="D679" s="10" t="s">
        <v>165</v>
      </c>
      <c r="E679" s="11" t="str">
        <f>+HYPERLINK("http://trademark.i-assist.jp/data/china/image_1901th/78813087.pdf", "78813087")</f>
        <v>78813087</v>
      </c>
      <c r="F679" s="10" t="s">
        <v>2074</v>
      </c>
      <c r="G679" s="10" t="s">
        <v>2075</v>
      </c>
      <c r="H679" s="10" t="s">
        <v>2076</v>
      </c>
      <c r="I679" s="10" t="s">
        <v>2032</v>
      </c>
    </row>
    <row r="680" spans="1:9" x14ac:dyDescent="0.15">
      <c r="A680" s="9">
        <v>679</v>
      </c>
      <c r="B680" s="10" t="s">
        <v>9</v>
      </c>
      <c r="C680" s="10" t="s">
        <v>164</v>
      </c>
      <c r="D680" s="10" t="s">
        <v>165</v>
      </c>
      <c r="E680" s="11" t="str">
        <f>+HYPERLINK("http://trademark.i-assist.jp/data/china/image_1901th/78813150.pdf", "78813150")</f>
        <v>78813150</v>
      </c>
      <c r="F680" s="10" t="s">
        <v>2077</v>
      </c>
      <c r="G680" s="10" t="s">
        <v>2078</v>
      </c>
      <c r="H680" s="10" t="s">
        <v>2079</v>
      </c>
      <c r="I680" s="10" t="s">
        <v>2032</v>
      </c>
    </row>
    <row r="681" spans="1:9" x14ac:dyDescent="0.15">
      <c r="A681" s="9">
        <v>680</v>
      </c>
      <c r="B681" s="10" t="s">
        <v>9</v>
      </c>
      <c r="C681" s="10" t="s">
        <v>164</v>
      </c>
      <c r="D681" s="10" t="s">
        <v>165</v>
      </c>
      <c r="E681" s="11" t="str">
        <f>+HYPERLINK("http://trademark.i-assist.jp/data/china/image_1901th/78813159.pdf", "78813159")</f>
        <v>78813159</v>
      </c>
      <c r="F681" s="10" t="s">
        <v>2080</v>
      </c>
      <c r="G681" s="10" t="s">
        <v>2081</v>
      </c>
      <c r="H681" s="10" t="s">
        <v>2082</v>
      </c>
      <c r="I681" s="10" t="s">
        <v>2032</v>
      </c>
    </row>
    <row r="682" spans="1:9" x14ac:dyDescent="0.15">
      <c r="A682" s="9">
        <v>681</v>
      </c>
      <c r="B682" s="10" t="s">
        <v>9</v>
      </c>
      <c r="C682" s="10" t="s">
        <v>164</v>
      </c>
      <c r="D682" s="10" t="s">
        <v>165</v>
      </c>
      <c r="E682" s="11" t="str">
        <f>+HYPERLINK("http://trademark.i-assist.jp/data/china/image_1901th/78814183.pdf", "78814183")</f>
        <v>78814183</v>
      </c>
      <c r="F682" s="10" t="s">
        <v>2083</v>
      </c>
      <c r="G682" s="10" t="s">
        <v>2084</v>
      </c>
      <c r="H682" s="10" t="s">
        <v>2085</v>
      </c>
      <c r="I682" s="10" t="s">
        <v>2032</v>
      </c>
    </row>
    <row r="683" spans="1:9" x14ac:dyDescent="0.15">
      <c r="A683" s="9">
        <v>682</v>
      </c>
      <c r="B683" s="10" t="s">
        <v>9</v>
      </c>
      <c r="C683" s="10" t="s">
        <v>164</v>
      </c>
      <c r="D683" s="10" t="s">
        <v>165</v>
      </c>
      <c r="E683" s="11" t="str">
        <f>+HYPERLINK("http://trademark.i-assist.jp/data/china/image_1901th/78814369.pdf", "78814369")</f>
        <v>78814369</v>
      </c>
      <c r="F683" s="10" t="s">
        <v>2086</v>
      </c>
      <c r="G683" s="10" t="s">
        <v>2087</v>
      </c>
      <c r="H683" s="10" t="s">
        <v>2088</v>
      </c>
      <c r="I683" s="10" t="s">
        <v>2032</v>
      </c>
    </row>
    <row r="684" spans="1:9" x14ac:dyDescent="0.15">
      <c r="A684" s="9">
        <v>683</v>
      </c>
      <c r="B684" s="10" t="s">
        <v>9</v>
      </c>
      <c r="C684" s="10" t="s">
        <v>164</v>
      </c>
      <c r="D684" s="10" t="s">
        <v>165</v>
      </c>
      <c r="E684" s="11" t="str">
        <f>+HYPERLINK("http://trademark.i-assist.jp/data/china/image_1901th/78814403.pdf", "78814403")</f>
        <v>78814403</v>
      </c>
      <c r="F684" s="10" t="s">
        <v>2089</v>
      </c>
      <c r="G684" s="10" t="s">
        <v>2090</v>
      </c>
      <c r="H684" s="10" t="s">
        <v>2091</v>
      </c>
      <c r="I684" s="10" t="s">
        <v>2032</v>
      </c>
    </row>
    <row r="685" spans="1:9" x14ac:dyDescent="0.15">
      <c r="A685" s="9">
        <v>684</v>
      </c>
      <c r="B685" s="10" t="s">
        <v>9</v>
      </c>
      <c r="C685" s="10" t="s">
        <v>164</v>
      </c>
      <c r="D685" s="10" t="s">
        <v>165</v>
      </c>
      <c r="E685" s="11" t="str">
        <f>+HYPERLINK("http://trademark.i-assist.jp/data/china/image_1901th/78814595.pdf", "78814595")</f>
        <v>78814595</v>
      </c>
      <c r="F685" s="10" t="s">
        <v>2092</v>
      </c>
      <c r="G685" s="10" t="s">
        <v>2040</v>
      </c>
      <c r="H685" s="10" t="s">
        <v>2093</v>
      </c>
      <c r="I685" s="10" t="s">
        <v>2032</v>
      </c>
    </row>
    <row r="686" spans="1:9" x14ac:dyDescent="0.15">
      <c r="A686" s="9">
        <v>685</v>
      </c>
      <c r="B686" s="10" t="s">
        <v>9</v>
      </c>
      <c r="C686" s="10" t="s">
        <v>164</v>
      </c>
      <c r="D686" s="10" t="s">
        <v>165</v>
      </c>
      <c r="E686" s="11" t="str">
        <f>+HYPERLINK("http://trademark.i-assist.jp/data/china/image_1901th/78814960.pdf", "78814960")</f>
        <v>78814960</v>
      </c>
      <c r="F686" s="10" t="s">
        <v>2094</v>
      </c>
      <c r="G686" s="10" t="s">
        <v>2095</v>
      </c>
      <c r="H686" s="10" t="s">
        <v>2096</v>
      </c>
      <c r="I686" s="10" t="s">
        <v>2032</v>
      </c>
    </row>
    <row r="687" spans="1:9" x14ac:dyDescent="0.15">
      <c r="A687" s="9">
        <v>686</v>
      </c>
      <c r="B687" s="10" t="s">
        <v>9</v>
      </c>
      <c r="C687" s="10" t="s">
        <v>164</v>
      </c>
      <c r="D687" s="10" t="s">
        <v>165</v>
      </c>
      <c r="E687" s="11" t="str">
        <f>+HYPERLINK("http://trademark.i-assist.jp/data/china/image_1901th/78815820.pdf", "78815820")</f>
        <v>78815820</v>
      </c>
      <c r="F687" s="10" t="s">
        <v>2097</v>
      </c>
      <c r="G687" s="10" t="s">
        <v>101</v>
      </c>
      <c r="H687" s="10" t="s">
        <v>2098</v>
      </c>
      <c r="I687" s="10" t="s">
        <v>2032</v>
      </c>
    </row>
    <row r="688" spans="1:9" x14ac:dyDescent="0.15">
      <c r="A688" s="9">
        <v>687</v>
      </c>
      <c r="B688" s="10" t="s">
        <v>9</v>
      </c>
      <c r="C688" s="10" t="s">
        <v>164</v>
      </c>
      <c r="D688" s="10" t="s">
        <v>165</v>
      </c>
      <c r="E688" s="11" t="str">
        <f>+HYPERLINK("http://trademark.i-assist.jp/data/china/image_1901th/78816472.pdf", "78816472")</f>
        <v>78816472</v>
      </c>
      <c r="F688" s="10" t="s">
        <v>2099</v>
      </c>
      <c r="G688" s="10" t="s">
        <v>2100</v>
      </c>
      <c r="H688" s="10" t="s">
        <v>2101</v>
      </c>
      <c r="I688" s="10" t="s">
        <v>2032</v>
      </c>
    </row>
    <row r="689" spans="1:9" x14ac:dyDescent="0.15">
      <c r="A689" s="9">
        <v>688</v>
      </c>
      <c r="B689" s="10" t="s">
        <v>9</v>
      </c>
      <c r="C689" s="10" t="s">
        <v>164</v>
      </c>
      <c r="D689" s="10" t="s">
        <v>165</v>
      </c>
      <c r="E689" s="11" t="str">
        <f>+HYPERLINK("http://trademark.i-assist.jp/data/china/image_1901th/78817922.pdf", "78817922")</f>
        <v>78817922</v>
      </c>
      <c r="F689" s="10" t="s">
        <v>2102</v>
      </c>
      <c r="G689" s="10" t="s">
        <v>2103</v>
      </c>
      <c r="H689" s="10" t="s">
        <v>2104</v>
      </c>
      <c r="I689" s="10" t="s">
        <v>2032</v>
      </c>
    </row>
    <row r="690" spans="1:9" x14ac:dyDescent="0.15">
      <c r="A690" s="9">
        <v>689</v>
      </c>
      <c r="B690" s="10" t="s">
        <v>9</v>
      </c>
      <c r="C690" s="10" t="s">
        <v>164</v>
      </c>
      <c r="D690" s="10" t="s">
        <v>165</v>
      </c>
      <c r="E690" s="11" t="str">
        <f>+HYPERLINK("http://trademark.i-assist.jp/data/china/image_1901th/78818480.pdf", "78818480")</f>
        <v>78818480</v>
      </c>
      <c r="F690" s="10" t="s">
        <v>2105</v>
      </c>
      <c r="G690" s="10" t="s">
        <v>2106</v>
      </c>
      <c r="H690" s="10" t="s">
        <v>2107</v>
      </c>
      <c r="I690" s="10" t="s">
        <v>2032</v>
      </c>
    </row>
    <row r="691" spans="1:9" x14ac:dyDescent="0.15">
      <c r="A691" s="9">
        <v>690</v>
      </c>
      <c r="B691" s="10" t="s">
        <v>9</v>
      </c>
      <c r="C691" s="10" t="s">
        <v>164</v>
      </c>
      <c r="D691" s="10" t="s">
        <v>165</v>
      </c>
      <c r="E691" s="11" t="str">
        <f>+HYPERLINK("http://trademark.i-assist.jp/data/china/image_1901th/78818549.pdf", "78818549")</f>
        <v>78818549</v>
      </c>
      <c r="F691" s="10" t="s">
        <v>2108</v>
      </c>
      <c r="G691" s="10" t="s">
        <v>2109</v>
      </c>
      <c r="H691" s="10" t="s">
        <v>2110</v>
      </c>
      <c r="I691" s="10" t="s">
        <v>2032</v>
      </c>
    </row>
    <row r="692" spans="1:9" x14ac:dyDescent="0.15">
      <c r="A692" s="9">
        <v>691</v>
      </c>
      <c r="B692" s="10" t="s">
        <v>9</v>
      </c>
      <c r="C692" s="10" t="s">
        <v>164</v>
      </c>
      <c r="D692" s="10" t="s">
        <v>165</v>
      </c>
      <c r="E692" s="11" t="str">
        <f>+HYPERLINK("http://trademark.i-assist.jp/data/china/image_1901th/78818826.pdf", "78818826")</f>
        <v>78818826</v>
      </c>
      <c r="F692" s="10" t="s">
        <v>2111</v>
      </c>
      <c r="G692" s="10" t="s">
        <v>2112</v>
      </c>
      <c r="H692" s="10" t="s">
        <v>2113</v>
      </c>
      <c r="I692" s="10" t="s">
        <v>2032</v>
      </c>
    </row>
    <row r="693" spans="1:9" x14ac:dyDescent="0.15">
      <c r="A693" s="9">
        <v>692</v>
      </c>
      <c r="B693" s="10" t="s">
        <v>9</v>
      </c>
      <c r="C693" s="10" t="s">
        <v>164</v>
      </c>
      <c r="D693" s="10" t="s">
        <v>165</v>
      </c>
      <c r="E693" s="11" t="str">
        <f>+HYPERLINK("http://trademark.i-assist.jp/data/china/image_1901th/78818900.pdf", "78818900")</f>
        <v>78818900</v>
      </c>
      <c r="F693" s="10" t="s">
        <v>2114</v>
      </c>
      <c r="G693" s="10" t="s">
        <v>2115</v>
      </c>
      <c r="H693" s="10" t="s">
        <v>2116</v>
      </c>
      <c r="I693" s="10" t="s">
        <v>2032</v>
      </c>
    </row>
    <row r="694" spans="1:9" x14ac:dyDescent="0.15">
      <c r="A694" s="9">
        <v>693</v>
      </c>
      <c r="B694" s="10" t="s">
        <v>9</v>
      </c>
      <c r="C694" s="10" t="s">
        <v>164</v>
      </c>
      <c r="D694" s="10" t="s">
        <v>165</v>
      </c>
      <c r="E694" s="11" t="str">
        <f>+HYPERLINK("http://trademark.i-assist.jp/data/china/image_1901th/78819228.pdf", "78819228")</f>
        <v>78819228</v>
      </c>
      <c r="F694" s="10" t="s">
        <v>2117</v>
      </c>
      <c r="G694" s="10" t="s">
        <v>2118</v>
      </c>
      <c r="H694" s="10" t="s">
        <v>2119</v>
      </c>
      <c r="I694" s="10" t="s">
        <v>2032</v>
      </c>
    </row>
    <row r="695" spans="1:9" x14ac:dyDescent="0.15">
      <c r="A695" s="9">
        <v>694</v>
      </c>
      <c r="B695" s="10" t="s">
        <v>9</v>
      </c>
      <c r="C695" s="10" t="s">
        <v>164</v>
      </c>
      <c r="D695" s="10" t="s">
        <v>165</v>
      </c>
      <c r="E695" s="11" t="str">
        <f>+HYPERLINK("http://trademark.i-assist.jp/data/china/image_1901th/78819240.pdf", "78819240")</f>
        <v>78819240</v>
      </c>
      <c r="F695" s="10" t="s">
        <v>2120</v>
      </c>
      <c r="G695" s="10" t="s">
        <v>2121</v>
      </c>
      <c r="H695" s="10" t="s">
        <v>2122</v>
      </c>
      <c r="I695" s="10" t="s">
        <v>2032</v>
      </c>
    </row>
    <row r="696" spans="1:9" x14ac:dyDescent="0.15">
      <c r="A696" s="9">
        <v>695</v>
      </c>
      <c r="B696" s="10" t="s">
        <v>9</v>
      </c>
      <c r="C696" s="10" t="s">
        <v>164</v>
      </c>
      <c r="D696" s="10" t="s">
        <v>165</v>
      </c>
      <c r="E696" s="11" t="str">
        <f>+HYPERLINK("http://trademark.i-assist.jp/data/china/image_1901th/78819381.pdf", "78819381")</f>
        <v>78819381</v>
      </c>
      <c r="F696" s="10" t="s">
        <v>2123</v>
      </c>
      <c r="G696" s="10" t="s">
        <v>2124</v>
      </c>
      <c r="H696" s="10" t="s">
        <v>2125</v>
      </c>
      <c r="I696" s="10" t="s">
        <v>2032</v>
      </c>
    </row>
    <row r="697" spans="1:9" x14ac:dyDescent="0.15">
      <c r="A697" s="9">
        <v>696</v>
      </c>
      <c r="B697" s="10" t="s">
        <v>9</v>
      </c>
      <c r="C697" s="10" t="s">
        <v>164</v>
      </c>
      <c r="D697" s="10" t="s">
        <v>165</v>
      </c>
      <c r="E697" s="11" t="str">
        <f>+HYPERLINK("http://trademark.i-assist.jp/data/china/image_1901th/78819920.pdf", "78819920")</f>
        <v>78819920</v>
      </c>
      <c r="F697" s="10" t="s">
        <v>2126</v>
      </c>
      <c r="G697" s="10" t="s">
        <v>2127</v>
      </c>
      <c r="H697" s="10" t="s">
        <v>2128</v>
      </c>
      <c r="I697" s="10" t="s">
        <v>2032</v>
      </c>
    </row>
    <row r="698" spans="1:9" x14ac:dyDescent="0.15">
      <c r="A698" s="9">
        <v>697</v>
      </c>
      <c r="B698" s="10" t="s">
        <v>9</v>
      </c>
      <c r="C698" s="10" t="s">
        <v>164</v>
      </c>
      <c r="D698" s="10" t="s">
        <v>165</v>
      </c>
      <c r="E698" s="11" t="str">
        <f>+HYPERLINK("http://trademark.i-assist.jp/data/china/image_1901th/78820258.pdf", "78820258")</f>
        <v>78820258</v>
      </c>
      <c r="F698" s="10" t="s">
        <v>2129</v>
      </c>
      <c r="G698" s="10" t="s">
        <v>2130</v>
      </c>
      <c r="H698" s="10" t="s">
        <v>2131</v>
      </c>
      <c r="I698" s="10" t="s">
        <v>2032</v>
      </c>
    </row>
    <row r="699" spans="1:9" x14ac:dyDescent="0.15">
      <c r="A699" s="9">
        <v>698</v>
      </c>
      <c r="B699" s="10" t="s">
        <v>9</v>
      </c>
      <c r="C699" s="10" t="s">
        <v>164</v>
      </c>
      <c r="D699" s="10" t="s">
        <v>165</v>
      </c>
      <c r="E699" s="11" t="str">
        <f>+HYPERLINK("http://trademark.i-assist.jp/data/china/image_1901th/78820749.pdf", "78820749")</f>
        <v>78820749</v>
      </c>
      <c r="F699" s="10" t="s">
        <v>2132</v>
      </c>
      <c r="G699" s="10" t="s">
        <v>2133</v>
      </c>
      <c r="H699" s="10" t="s">
        <v>2134</v>
      </c>
      <c r="I699" s="10" t="s">
        <v>2032</v>
      </c>
    </row>
    <row r="700" spans="1:9" x14ac:dyDescent="0.15">
      <c r="A700" s="9">
        <v>699</v>
      </c>
      <c r="B700" s="10" t="s">
        <v>9</v>
      </c>
      <c r="C700" s="10" t="s">
        <v>164</v>
      </c>
      <c r="D700" s="10" t="s">
        <v>165</v>
      </c>
      <c r="E700" s="11" t="str">
        <f>+HYPERLINK("http://trademark.i-assist.jp/data/china/image_1901th/78820790.pdf", "78820790")</f>
        <v>78820790</v>
      </c>
      <c r="F700" s="10" t="s">
        <v>2135</v>
      </c>
      <c r="G700" s="10" t="s">
        <v>2136</v>
      </c>
      <c r="H700" s="10" t="s">
        <v>2137</v>
      </c>
      <c r="I700" s="10" t="s">
        <v>2032</v>
      </c>
    </row>
    <row r="701" spans="1:9" x14ac:dyDescent="0.15">
      <c r="A701" s="9">
        <v>700</v>
      </c>
      <c r="B701" s="10" t="s">
        <v>9</v>
      </c>
      <c r="C701" s="10" t="s">
        <v>164</v>
      </c>
      <c r="D701" s="10" t="s">
        <v>165</v>
      </c>
      <c r="E701" s="11" t="str">
        <f>+HYPERLINK("http://trademark.i-assist.jp/data/china/image_1901th/78821684.pdf", "78821684")</f>
        <v>78821684</v>
      </c>
      <c r="F701" s="10" t="s">
        <v>2138</v>
      </c>
      <c r="G701" s="10" t="s">
        <v>2139</v>
      </c>
      <c r="H701" s="10" t="s">
        <v>2140</v>
      </c>
      <c r="I701" s="10" t="s">
        <v>2032</v>
      </c>
    </row>
    <row r="702" spans="1:9" x14ac:dyDescent="0.15">
      <c r="A702" s="9">
        <v>701</v>
      </c>
      <c r="B702" s="10" t="s">
        <v>9</v>
      </c>
      <c r="C702" s="10" t="s">
        <v>164</v>
      </c>
      <c r="D702" s="10" t="s">
        <v>165</v>
      </c>
      <c r="E702" s="11" t="str">
        <f>+HYPERLINK("http://trademark.i-assist.jp/data/china/image_1901th/78821890.pdf", "78821890")</f>
        <v>78821890</v>
      </c>
      <c r="F702" s="10" t="s">
        <v>2141</v>
      </c>
      <c r="G702" s="10" t="s">
        <v>2142</v>
      </c>
      <c r="H702" s="10" t="s">
        <v>2143</v>
      </c>
      <c r="I702" s="10" t="s">
        <v>2032</v>
      </c>
    </row>
    <row r="703" spans="1:9" x14ac:dyDescent="0.15">
      <c r="A703" s="9">
        <v>702</v>
      </c>
      <c r="B703" s="10" t="s">
        <v>9</v>
      </c>
      <c r="C703" s="10" t="s">
        <v>164</v>
      </c>
      <c r="D703" s="10" t="s">
        <v>165</v>
      </c>
      <c r="E703" s="11" t="str">
        <f>+HYPERLINK("http://trademark.i-assist.jp/data/china/image_1901th/78822119.pdf", "78822119")</f>
        <v>78822119</v>
      </c>
      <c r="F703" s="10" t="s">
        <v>2144</v>
      </c>
      <c r="G703" s="10" t="s">
        <v>2145</v>
      </c>
      <c r="H703" s="10" t="s">
        <v>2146</v>
      </c>
      <c r="I703" s="10" t="s">
        <v>2032</v>
      </c>
    </row>
    <row r="704" spans="1:9" x14ac:dyDescent="0.15">
      <c r="A704" s="9">
        <v>703</v>
      </c>
      <c r="B704" s="10" t="s">
        <v>9</v>
      </c>
      <c r="C704" s="10" t="s">
        <v>164</v>
      </c>
      <c r="D704" s="10" t="s">
        <v>165</v>
      </c>
      <c r="E704" s="11" t="str">
        <f>+HYPERLINK("http://trademark.i-assist.jp/data/china/image_1901th/78823542.pdf", "78823542")</f>
        <v>78823542</v>
      </c>
      <c r="F704" s="10" t="s">
        <v>2147</v>
      </c>
      <c r="G704" s="10" t="s">
        <v>2148</v>
      </c>
      <c r="H704" s="10" t="s">
        <v>2149</v>
      </c>
      <c r="I704" s="10" t="s">
        <v>2032</v>
      </c>
    </row>
    <row r="705" spans="1:9" x14ac:dyDescent="0.15">
      <c r="A705" s="9">
        <v>704</v>
      </c>
      <c r="B705" s="10" t="s">
        <v>9</v>
      </c>
      <c r="C705" s="10" t="s">
        <v>164</v>
      </c>
      <c r="D705" s="10" t="s">
        <v>165</v>
      </c>
      <c r="E705" s="11" t="str">
        <f>+HYPERLINK("http://trademark.i-assist.jp/data/china/image_1901th/78824010.pdf", "78824010")</f>
        <v>78824010</v>
      </c>
      <c r="F705" s="10" t="s">
        <v>2150</v>
      </c>
      <c r="G705" s="10" t="s">
        <v>2151</v>
      </c>
      <c r="H705" s="10" t="s">
        <v>2152</v>
      </c>
      <c r="I705" s="10" t="s">
        <v>2032</v>
      </c>
    </row>
    <row r="706" spans="1:9" x14ac:dyDescent="0.15">
      <c r="A706" s="9">
        <v>705</v>
      </c>
      <c r="B706" s="10" t="s">
        <v>9</v>
      </c>
      <c r="C706" s="10" t="s">
        <v>164</v>
      </c>
      <c r="D706" s="10" t="s">
        <v>165</v>
      </c>
      <c r="E706" s="11" t="str">
        <f>+HYPERLINK("http://trademark.i-assist.jp/data/china/image_1901th/78824394.pdf", "78824394")</f>
        <v>78824394</v>
      </c>
      <c r="F706" s="10" t="s">
        <v>2153</v>
      </c>
      <c r="G706" s="10" t="s">
        <v>2154</v>
      </c>
      <c r="H706" s="10" t="s">
        <v>2155</v>
      </c>
      <c r="I706" s="10" t="s">
        <v>2032</v>
      </c>
    </row>
    <row r="707" spans="1:9" x14ac:dyDescent="0.15">
      <c r="A707" s="9">
        <v>706</v>
      </c>
      <c r="B707" s="10" t="s">
        <v>9</v>
      </c>
      <c r="C707" s="10" t="s">
        <v>164</v>
      </c>
      <c r="D707" s="10" t="s">
        <v>165</v>
      </c>
      <c r="E707" s="11" t="str">
        <f>+HYPERLINK("http://trademark.i-assist.jp/data/china/image_1901th/78825643.pdf", "78825643")</f>
        <v>78825643</v>
      </c>
      <c r="F707" s="10" t="s">
        <v>2108</v>
      </c>
      <c r="G707" s="10" t="s">
        <v>2109</v>
      </c>
      <c r="H707" s="10" t="s">
        <v>2156</v>
      </c>
      <c r="I707" s="10" t="s">
        <v>2032</v>
      </c>
    </row>
    <row r="708" spans="1:9" x14ac:dyDescent="0.15">
      <c r="A708" s="9">
        <v>707</v>
      </c>
      <c r="B708" s="10" t="s">
        <v>9</v>
      </c>
      <c r="C708" s="10" t="s">
        <v>164</v>
      </c>
      <c r="D708" s="10" t="s">
        <v>165</v>
      </c>
      <c r="E708" s="11" t="str">
        <f>+HYPERLINK("http://trademark.i-assist.jp/data/china/image_1901th/78827033.pdf", "78827033")</f>
        <v>78827033</v>
      </c>
      <c r="F708" s="10" t="s">
        <v>2157</v>
      </c>
      <c r="G708" s="10" t="s">
        <v>2158</v>
      </c>
      <c r="H708" s="10" t="s">
        <v>2159</v>
      </c>
      <c r="I708" s="10" t="s">
        <v>2032</v>
      </c>
    </row>
    <row r="709" spans="1:9" x14ac:dyDescent="0.15">
      <c r="A709" s="9">
        <v>708</v>
      </c>
      <c r="B709" s="10" t="s">
        <v>9</v>
      </c>
      <c r="C709" s="10" t="s">
        <v>164</v>
      </c>
      <c r="D709" s="10" t="s">
        <v>165</v>
      </c>
      <c r="E709" s="11" t="str">
        <f>+HYPERLINK("http://trademark.i-assist.jp/data/china/image_1901th/78827278.pdf", "78827278")</f>
        <v>78827278</v>
      </c>
      <c r="F709" s="10" t="s">
        <v>2160</v>
      </c>
      <c r="G709" s="10" t="s">
        <v>2161</v>
      </c>
      <c r="H709" s="10" t="s">
        <v>2162</v>
      </c>
      <c r="I709" s="10" t="s">
        <v>2032</v>
      </c>
    </row>
    <row r="710" spans="1:9" x14ac:dyDescent="0.15">
      <c r="A710" s="9">
        <v>709</v>
      </c>
      <c r="B710" s="10" t="s">
        <v>9</v>
      </c>
      <c r="C710" s="10" t="s">
        <v>164</v>
      </c>
      <c r="D710" s="10" t="s">
        <v>165</v>
      </c>
      <c r="E710" s="11" t="str">
        <f>+HYPERLINK("http://trademark.i-assist.jp/data/china/image_1901th/78827286.pdf", "78827286")</f>
        <v>78827286</v>
      </c>
      <c r="F710" s="10" t="s">
        <v>2163</v>
      </c>
      <c r="G710" s="10" t="s">
        <v>2161</v>
      </c>
      <c r="H710" s="10" t="s">
        <v>2164</v>
      </c>
      <c r="I710" s="10" t="s">
        <v>2032</v>
      </c>
    </row>
    <row r="711" spans="1:9" x14ac:dyDescent="0.15">
      <c r="A711" s="9">
        <v>710</v>
      </c>
      <c r="B711" s="10" t="s">
        <v>9</v>
      </c>
      <c r="C711" s="10" t="s">
        <v>164</v>
      </c>
      <c r="D711" s="10" t="s">
        <v>165</v>
      </c>
      <c r="E711" s="11" t="str">
        <f>+HYPERLINK("http://trademark.i-assist.jp/data/china/image_1901th/78827311.pdf", "78827311")</f>
        <v>78827311</v>
      </c>
      <c r="F711" s="10" t="s">
        <v>2165</v>
      </c>
      <c r="G711" s="10" t="s">
        <v>2166</v>
      </c>
      <c r="H711" s="10" t="s">
        <v>2167</v>
      </c>
      <c r="I711" s="10" t="s">
        <v>2032</v>
      </c>
    </row>
    <row r="712" spans="1:9" x14ac:dyDescent="0.15">
      <c r="A712" s="9">
        <v>711</v>
      </c>
      <c r="B712" s="10" t="s">
        <v>9</v>
      </c>
      <c r="C712" s="10" t="s">
        <v>164</v>
      </c>
      <c r="D712" s="10" t="s">
        <v>165</v>
      </c>
      <c r="E712" s="11" t="str">
        <f>+HYPERLINK("http://trademark.i-assist.jp/data/china/image_1901th/78827323.pdf", "78827323")</f>
        <v>78827323</v>
      </c>
      <c r="F712" s="10" t="s">
        <v>2168</v>
      </c>
      <c r="G712" s="10" t="s">
        <v>2121</v>
      </c>
      <c r="H712" s="10" t="s">
        <v>2169</v>
      </c>
      <c r="I712" s="10" t="s">
        <v>2032</v>
      </c>
    </row>
    <row r="713" spans="1:9" x14ac:dyDescent="0.15">
      <c r="A713" s="9">
        <v>712</v>
      </c>
      <c r="B713" s="10" t="s">
        <v>9</v>
      </c>
      <c r="C713" s="10" t="s">
        <v>164</v>
      </c>
      <c r="D713" s="10" t="s">
        <v>165</v>
      </c>
      <c r="E713" s="11" t="str">
        <f>+HYPERLINK("http://trademark.i-assist.jp/data/china/image_1901th/78827357.pdf", "78827357")</f>
        <v>78827357</v>
      </c>
      <c r="F713" s="10" t="s">
        <v>2170</v>
      </c>
      <c r="G713" s="10" t="s">
        <v>2171</v>
      </c>
      <c r="H713" s="10" t="s">
        <v>2172</v>
      </c>
      <c r="I713" s="10" t="s">
        <v>2032</v>
      </c>
    </row>
    <row r="714" spans="1:9" x14ac:dyDescent="0.15">
      <c r="A714" s="9">
        <v>713</v>
      </c>
      <c r="B714" s="10" t="s">
        <v>9</v>
      </c>
      <c r="C714" s="10" t="s">
        <v>164</v>
      </c>
      <c r="D714" s="10" t="s">
        <v>165</v>
      </c>
      <c r="E714" s="11" t="str">
        <f>+HYPERLINK("http://trademark.i-assist.jp/data/china/image_1901th/78828204.pdf", "78828204")</f>
        <v>78828204</v>
      </c>
      <c r="F714" s="10" t="s">
        <v>2173</v>
      </c>
      <c r="G714" s="10" t="s">
        <v>2174</v>
      </c>
      <c r="H714" s="10" t="s">
        <v>2175</v>
      </c>
      <c r="I714" s="10" t="s">
        <v>2176</v>
      </c>
    </row>
    <row r="715" spans="1:9" x14ac:dyDescent="0.15">
      <c r="A715" s="9">
        <v>714</v>
      </c>
      <c r="B715" s="10" t="s">
        <v>9</v>
      </c>
      <c r="C715" s="10" t="s">
        <v>164</v>
      </c>
      <c r="D715" s="10" t="s">
        <v>165</v>
      </c>
      <c r="E715" s="11" t="str">
        <f>+HYPERLINK("http://trademark.i-assist.jp/data/china/image_1901th/78828509.pdf", "78828509")</f>
        <v>78828509</v>
      </c>
      <c r="F715" s="10" t="s">
        <v>2177</v>
      </c>
      <c r="G715" s="10" t="s">
        <v>2178</v>
      </c>
      <c r="H715" s="10" t="s">
        <v>2179</v>
      </c>
      <c r="I715" s="10" t="s">
        <v>2176</v>
      </c>
    </row>
    <row r="716" spans="1:9" x14ac:dyDescent="0.15">
      <c r="A716" s="9">
        <v>715</v>
      </c>
      <c r="B716" s="10" t="s">
        <v>9</v>
      </c>
      <c r="C716" s="10" t="s">
        <v>164</v>
      </c>
      <c r="D716" s="10" t="s">
        <v>165</v>
      </c>
      <c r="E716" s="11" t="str">
        <f>+HYPERLINK("http://trademark.i-assist.jp/data/china/image_1901th/78829513.pdf", "78829513")</f>
        <v>78829513</v>
      </c>
      <c r="F716" s="10" t="s">
        <v>2180</v>
      </c>
      <c r="G716" s="10" t="s">
        <v>2181</v>
      </c>
      <c r="H716" s="10" t="s">
        <v>2182</v>
      </c>
      <c r="I716" s="10" t="s">
        <v>2176</v>
      </c>
    </row>
    <row r="717" spans="1:9" x14ac:dyDescent="0.15">
      <c r="A717" s="9">
        <v>716</v>
      </c>
      <c r="B717" s="10" t="s">
        <v>9</v>
      </c>
      <c r="C717" s="10" t="s">
        <v>164</v>
      </c>
      <c r="D717" s="10" t="s">
        <v>165</v>
      </c>
      <c r="E717" s="11" t="str">
        <f>+HYPERLINK("http://trademark.i-assist.jp/data/china/image_1901th/78829905.pdf", "78829905")</f>
        <v>78829905</v>
      </c>
      <c r="F717" s="10" t="s">
        <v>2183</v>
      </c>
      <c r="G717" s="10" t="s">
        <v>2184</v>
      </c>
      <c r="H717" s="10" t="s">
        <v>2185</v>
      </c>
      <c r="I717" s="10" t="s">
        <v>2176</v>
      </c>
    </row>
    <row r="718" spans="1:9" x14ac:dyDescent="0.15">
      <c r="A718" s="9">
        <v>717</v>
      </c>
      <c r="B718" s="10" t="s">
        <v>9</v>
      </c>
      <c r="C718" s="10" t="s">
        <v>164</v>
      </c>
      <c r="D718" s="10" t="s">
        <v>165</v>
      </c>
      <c r="E718" s="11" t="str">
        <f>+HYPERLINK("http://trademark.i-assist.jp/data/china/image_1901th/78829918.pdf", "78829918")</f>
        <v>78829918</v>
      </c>
      <c r="F718" s="10" t="s">
        <v>2186</v>
      </c>
      <c r="G718" s="10" t="s">
        <v>2187</v>
      </c>
      <c r="H718" s="10" t="s">
        <v>2188</v>
      </c>
      <c r="I718" s="10" t="s">
        <v>2176</v>
      </c>
    </row>
    <row r="719" spans="1:9" x14ac:dyDescent="0.15">
      <c r="A719" s="9">
        <v>718</v>
      </c>
      <c r="B719" s="10" t="s">
        <v>9</v>
      </c>
      <c r="C719" s="10" t="s">
        <v>164</v>
      </c>
      <c r="D719" s="10" t="s">
        <v>165</v>
      </c>
      <c r="E719" s="11" t="str">
        <f>+HYPERLINK("http://trademark.i-assist.jp/data/china/image_1901th/78830560.pdf", "78830560")</f>
        <v>78830560</v>
      </c>
      <c r="F719" s="10" t="s">
        <v>2189</v>
      </c>
      <c r="G719" s="10" t="s">
        <v>2190</v>
      </c>
      <c r="H719" s="10" t="s">
        <v>2191</v>
      </c>
      <c r="I719" s="10" t="s">
        <v>2176</v>
      </c>
    </row>
    <row r="720" spans="1:9" x14ac:dyDescent="0.15">
      <c r="A720" s="9">
        <v>719</v>
      </c>
      <c r="B720" s="10" t="s">
        <v>9</v>
      </c>
      <c r="C720" s="10" t="s">
        <v>164</v>
      </c>
      <c r="D720" s="10" t="s">
        <v>165</v>
      </c>
      <c r="E720" s="11" t="str">
        <f>+HYPERLINK("http://trademark.i-assist.jp/data/china/image_1901th/78830705.pdf", "78830705")</f>
        <v>78830705</v>
      </c>
      <c r="F720" s="10" t="s">
        <v>2192</v>
      </c>
      <c r="G720" s="10" t="s">
        <v>2193</v>
      </c>
      <c r="H720" s="10" t="s">
        <v>2194</v>
      </c>
      <c r="I720" s="10" t="s">
        <v>2176</v>
      </c>
    </row>
    <row r="721" spans="1:9" x14ac:dyDescent="0.15">
      <c r="A721" s="9">
        <v>720</v>
      </c>
      <c r="B721" s="10" t="s">
        <v>9</v>
      </c>
      <c r="C721" s="10" t="s">
        <v>164</v>
      </c>
      <c r="D721" s="10" t="s">
        <v>165</v>
      </c>
      <c r="E721" s="11" t="str">
        <f>+HYPERLINK("http://trademark.i-assist.jp/data/china/image_1901th/78832197.pdf", "78832197")</f>
        <v>78832197</v>
      </c>
      <c r="F721" s="10" t="s">
        <v>2195</v>
      </c>
      <c r="G721" s="10" t="s">
        <v>2196</v>
      </c>
      <c r="H721" s="10" t="s">
        <v>2197</v>
      </c>
      <c r="I721" s="10" t="s">
        <v>2176</v>
      </c>
    </row>
    <row r="722" spans="1:9" x14ac:dyDescent="0.15">
      <c r="A722" s="9">
        <v>721</v>
      </c>
      <c r="B722" s="10" t="s">
        <v>9</v>
      </c>
      <c r="C722" s="10" t="s">
        <v>164</v>
      </c>
      <c r="D722" s="10" t="s">
        <v>165</v>
      </c>
      <c r="E722" s="11" t="str">
        <f>+HYPERLINK("http://trademark.i-assist.jp/data/china/image_1901th/78833941.pdf", "78833941")</f>
        <v>78833941</v>
      </c>
      <c r="F722" s="10" t="s">
        <v>2198</v>
      </c>
      <c r="G722" s="10" t="s">
        <v>2199</v>
      </c>
      <c r="H722" s="10" t="s">
        <v>2200</v>
      </c>
      <c r="I722" s="10" t="s">
        <v>2176</v>
      </c>
    </row>
    <row r="723" spans="1:9" x14ac:dyDescent="0.15">
      <c r="A723" s="9">
        <v>722</v>
      </c>
      <c r="B723" s="10" t="s">
        <v>9</v>
      </c>
      <c r="C723" s="10" t="s">
        <v>164</v>
      </c>
      <c r="D723" s="10" t="s">
        <v>165</v>
      </c>
      <c r="E723" s="11" t="str">
        <f>+HYPERLINK("http://trademark.i-assist.jp/data/china/image_1901th/78834447.pdf", "78834447")</f>
        <v>78834447</v>
      </c>
      <c r="F723" s="10" t="s">
        <v>2201</v>
      </c>
      <c r="G723" s="10" t="s">
        <v>2202</v>
      </c>
      <c r="H723" s="10" t="s">
        <v>2203</v>
      </c>
      <c r="I723" s="10" t="s">
        <v>2176</v>
      </c>
    </row>
    <row r="724" spans="1:9" x14ac:dyDescent="0.15">
      <c r="A724" s="9">
        <v>723</v>
      </c>
      <c r="B724" s="10" t="s">
        <v>9</v>
      </c>
      <c r="C724" s="10" t="s">
        <v>164</v>
      </c>
      <c r="D724" s="10" t="s">
        <v>165</v>
      </c>
      <c r="E724" s="11" t="str">
        <f>+HYPERLINK("http://trademark.i-assist.jp/data/china/image_1901th/78834727.pdf", "78834727")</f>
        <v>78834727</v>
      </c>
      <c r="F724" s="10" t="s">
        <v>2204</v>
      </c>
      <c r="G724" s="10" t="s">
        <v>2205</v>
      </c>
      <c r="H724" s="10" t="s">
        <v>2206</v>
      </c>
      <c r="I724" s="10" t="s">
        <v>2176</v>
      </c>
    </row>
    <row r="725" spans="1:9" x14ac:dyDescent="0.15">
      <c r="A725" s="9">
        <v>724</v>
      </c>
      <c r="B725" s="10" t="s">
        <v>9</v>
      </c>
      <c r="C725" s="10" t="s">
        <v>164</v>
      </c>
      <c r="D725" s="10" t="s">
        <v>165</v>
      </c>
      <c r="E725" s="11" t="str">
        <f>+HYPERLINK("http://trademark.i-assist.jp/data/china/image_1901th/78835561.pdf", "78835561")</f>
        <v>78835561</v>
      </c>
      <c r="F725" s="10" t="s">
        <v>2207</v>
      </c>
      <c r="G725" s="10" t="s">
        <v>2208</v>
      </c>
      <c r="H725" s="10" t="s">
        <v>2209</v>
      </c>
      <c r="I725" s="10" t="s">
        <v>2210</v>
      </c>
    </row>
    <row r="726" spans="1:9" x14ac:dyDescent="0.15">
      <c r="A726" s="9">
        <v>725</v>
      </c>
      <c r="B726" s="10" t="s">
        <v>9</v>
      </c>
      <c r="C726" s="10" t="s">
        <v>164</v>
      </c>
      <c r="D726" s="10" t="s">
        <v>165</v>
      </c>
      <c r="E726" s="11" t="str">
        <f>+HYPERLINK("http://trademark.i-assist.jp/data/china/image_1901th/78835571.pdf", "78835571")</f>
        <v>78835571</v>
      </c>
      <c r="F726" s="10" t="s">
        <v>2211</v>
      </c>
      <c r="G726" s="10" t="s">
        <v>2208</v>
      </c>
      <c r="H726" s="10" t="s">
        <v>2212</v>
      </c>
      <c r="I726" s="10" t="s">
        <v>2210</v>
      </c>
    </row>
    <row r="727" spans="1:9" x14ac:dyDescent="0.15">
      <c r="A727" s="9">
        <v>726</v>
      </c>
      <c r="B727" s="10" t="s">
        <v>9</v>
      </c>
      <c r="C727" s="10" t="s">
        <v>164</v>
      </c>
      <c r="D727" s="10" t="s">
        <v>165</v>
      </c>
      <c r="E727" s="11" t="str">
        <f>+HYPERLINK("http://trademark.i-assist.jp/data/china/image_1901th/78835677.pdf", "78835677")</f>
        <v>78835677</v>
      </c>
      <c r="F727" s="10" t="s">
        <v>2213</v>
      </c>
      <c r="G727" s="10" t="s">
        <v>2214</v>
      </c>
      <c r="H727" s="10" t="s">
        <v>2215</v>
      </c>
      <c r="I727" s="10" t="s">
        <v>2210</v>
      </c>
    </row>
    <row r="728" spans="1:9" x14ac:dyDescent="0.15">
      <c r="A728" s="9">
        <v>727</v>
      </c>
      <c r="B728" s="10" t="s">
        <v>9</v>
      </c>
      <c r="C728" s="10" t="s">
        <v>164</v>
      </c>
      <c r="D728" s="10" t="s">
        <v>165</v>
      </c>
      <c r="E728" s="11" t="str">
        <f>+HYPERLINK("http://trademark.i-assist.jp/data/china/image_1901th/78835705.pdf", "78835705")</f>
        <v>78835705</v>
      </c>
      <c r="F728" s="10" t="s">
        <v>2216</v>
      </c>
      <c r="G728" s="10" t="s">
        <v>142</v>
      </c>
      <c r="H728" s="10" t="s">
        <v>2217</v>
      </c>
      <c r="I728" s="10" t="s">
        <v>2210</v>
      </c>
    </row>
    <row r="729" spans="1:9" x14ac:dyDescent="0.15">
      <c r="A729" s="9">
        <v>728</v>
      </c>
      <c r="B729" s="10" t="s">
        <v>9</v>
      </c>
      <c r="C729" s="10" t="s">
        <v>164</v>
      </c>
      <c r="D729" s="10" t="s">
        <v>165</v>
      </c>
      <c r="E729" s="11" t="str">
        <f>+HYPERLINK("http://trademark.i-assist.jp/data/china/image_1901th/78835957.pdf", "78835957")</f>
        <v>78835957</v>
      </c>
      <c r="F729" s="10" t="s">
        <v>2218</v>
      </c>
      <c r="G729" s="10" t="s">
        <v>2219</v>
      </c>
      <c r="H729" s="10" t="s">
        <v>2220</v>
      </c>
      <c r="I729" s="10" t="s">
        <v>2210</v>
      </c>
    </row>
    <row r="730" spans="1:9" x14ac:dyDescent="0.15">
      <c r="A730" s="9">
        <v>729</v>
      </c>
      <c r="B730" s="10" t="s">
        <v>9</v>
      </c>
      <c r="C730" s="10" t="s">
        <v>164</v>
      </c>
      <c r="D730" s="10" t="s">
        <v>165</v>
      </c>
      <c r="E730" s="11" t="str">
        <f>+HYPERLINK("http://trademark.i-assist.jp/data/china/image_1901th/78836058.pdf", "78836058")</f>
        <v>78836058</v>
      </c>
      <c r="F730" s="10" t="s">
        <v>2221</v>
      </c>
      <c r="G730" s="10" t="s">
        <v>2222</v>
      </c>
      <c r="H730" s="10" t="s">
        <v>2223</v>
      </c>
      <c r="I730" s="10" t="s">
        <v>2210</v>
      </c>
    </row>
    <row r="731" spans="1:9" x14ac:dyDescent="0.15">
      <c r="A731" s="9">
        <v>730</v>
      </c>
      <c r="B731" s="10" t="s">
        <v>9</v>
      </c>
      <c r="C731" s="10" t="s">
        <v>164</v>
      </c>
      <c r="D731" s="10" t="s">
        <v>165</v>
      </c>
      <c r="E731" s="11" t="str">
        <f>+HYPERLINK("http://trademark.i-assist.jp/data/china/image_1901th/78836423.pdf", "78836423")</f>
        <v>78836423</v>
      </c>
      <c r="F731" s="10" t="s">
        <v>2224</v>
      </c>
      <c r="G731" s="10" t="s">
        <v>2208</v>
      </c>
      <c r="H731" s="10" t="s">
        <v>2225</v>
      </c>
      <c r="I731" s="10" t="s">
        <v>2210</v>
      </c>
    </row>
    <row r="732" spans="1:9" x14ac:dyDescent="0.15">
      <c r="A732" s="9">
        <v>731</v>
      </c>
      <c r="B732" s="10" t="s">
        <v>9</v>
      </c>
      <c r="C732" s="10" t="s">
        <v>164</v>
      </c>
      <c r="D732" s="10" t="s">
        <v>165</v>
      </c>
      <c r="E732" s="11" t="str">
        <f>+HYPERLINK("http://trademark.i-assist.jp/data/china/image_1901th/78836454.pdf", "78836454")</f>
        <v>78836454</v>
      </c>
      <c r="F732" s="10" t="s">
        <v>2226</v>
      </c>
      <c r="G732" s="10" t="s">
        <v>2227</v>
      </c>
      <c r="H732" s="10" t="s">
        <v>2228</v>
      </c>
      <c r="I732" s="10" t="s">
        <v>2210</v>
      </c>
    </row>
    <row r="733" spans="1:9" x14ac:dyDescent="0.15">
      <c r="A733" s="9">
        <v>732</v>
      </c>
      <c r="B733" s="10" t="s">
        <v>9</v>
      </c>
      <c r="C733" s="10" t="s">
        <v>164</v>
      </c>
      <c r="D733" s="10" t="s">
        <v>165</v>
      </c>
      <c r="E733" s="11" t="str">
        <f>+HYPERLINK("http://trademark.i-assist.jp/data/china/image_1901th/78836713.pdf", "78836713")</f>
        <v>78836713</v>
      </c>
      <c r="F733" s="10" t="s">
        <v>2229</v>
      </c>
      <c r="G733" s="10" t="s">
        <v>2208</v>
      </c>
      <c r="H733" s="10" t="s">
        <v>2230</v>
      </c>
      <c r="I733" s="10" t="s">
        <v>2210</v>
      </c>
    </row>
    <row r="734" spans="1:9" x14ac:dyDescent="0.15">
      <c r="A734" s="9">
        <v>733</v>
      </c>
      <c r="B734" s="10" t="s">
        <v>9</v>
      </c>
      <c r="C734" s="10" t="s">
        <v>164</v>
      </c>
      <c r="D734" s="10" t="s">
        <v>165</v>
      </c>
      <c r="E734" s="11" t="str">
        <f>+HYPERLINK("http://trademark.i-assist.jp/data/china/image_1901th/78836850.pdf", "78836850")</f>
        <v>78836850</v>
      </c>
      <c r="F734" s="10" t="s">
        <v>2231</v>
      </c>
      <c r="G734" s="10" t="s">
        <v>2232</v>
      </c>
      <c r="H734" s="10" t="s">
        <v>2233</v>
      </c>
      <c r="I734" s="10" t="s">
        <v>2210</v>
      </c>
    </row>
    <row r="735" spans="1:9" x14ac:dyDescent="0.15">
      <c r="A735" s="9">
        <v>734</v>
      </c>
      <c r="B735" s="10" t="s">
        <v>9</v>
      </c>
      <c r="C735" s="10" t="s">
        <v>164</v>
      </c>
      <c r="D735" s="10" t="s">
        <v>165</v>
      </c>
      <c r="E735" s="11" t="str">
        <f>+HYPERLINK("http://trademark.i-assist.jp/data/china/image_1901th/78836929.pdf", "78836929")</f>
        <v>78836929</v>
      </c>
      <c r="F735" s="10" t="s">
        <v>2234</v>
      </c>
      <c r="G735" s="10" t="s">
        <v>2235</v>
      </c>
      <c r="H735" s="10" t="s">
        <v>2236</v>
      </c>
      <c r="I735" s="10" t="s">
        <v>2210</v>
      </c>
    </row>
    <row r="736" spans="1:9" x14ac:dyDescent="0.15">
      <c r="A736" s="9">
        <v>735</v>
      </c>
      <c r="B736" s="10" t="s">
        <v>9</v>
      </c>
      <c r="C736" s="10" t="s">
        <v>164</v>
      </c>
      <c r="D736" s="10" t="s">
        <v>165</v>
      </c>
      <c r="E736" s="11" t="str">
        <f>+HYPERLINK("http://trademark.i-assist.jp/data/china/image_1901th/78838041.pdf", "78838041")</f>
        <v>78838041</v>
      </c>
      <c r="F736" s="10" t="s">
        <v>2237</v>
      </c>
      <c r="G736" s="10" t="s">
        <v>2238</v>
      </c>
      <c r="H736" s="10" t="s">
        <v>2239</v>
      </c>
      <c r="I736" s="10" t="s">
        <v>2240</v>
      </c>
    </row>
    <row r="737" spans="1:9" x14ac:dyDescent="0.15">
      <c r="A737" s="9">
        <v>736</v>
      </c>
      <c r="B737" s="10" t="s">
        <v>9</v>
      </c>
      <c r="C737" s="10" t="s">
        <v>164</v>
      </c>
      <c r="D737" s="10" t="s">
        <v>165</v>
      </c>
      <c r="E737" s="11" t="str">
        <f>+HYPERLINK("http://trademark.i-assist.jp/data/china/image_1901th/78838165.pdf", "78838165")</f>
        <v>78838165</v>
      </c>
      <c r="F737" s="10" t="s">
        <v>2241</v>
      </c>
      <c r="G737" s="10" t="s">
        <v>706</v>
      </c>
      <c r="H737" s="10" t="s">
        <v>2242</v>
      </c>
      <c r="I737" s="10" t="s">
        <v>2240</v>
      </c>
    </row>
    <row r="738" spans="1:9" x14ac:dyDescent="0.15">
      <c r="A738" s="9">
        <v>737</v>
      </c>
      <c r="B738" s="10" t="s">
        <v>9</v>
      </c>
      <c r="C738" s="10" t="s">
        <v>164</v>
      </c>
      <c r="D738" s="10" t="s">
        <v>165</v>
      </c>
      <c r="E738" s="11" t="str">
        <f>+HYPERLINK("http://trademark.i-assist.jp/data/china/image_1901th/78838465.pdf", "78838465")</f>
        <v>78838465</v>
      </c>
      <c r="F738" s="10" t="s">
        <v>2243</v>
      </c>
      <c r="G738" s="10" t="s">
        <v>2244</v>
      </c>
      <c r="H738" s="10" t="s">
        <v>2245</v>
      </c>
      <c r="I738" s="10" t="s">
        <v>2240</v>
      </c>
    </row>
    <row r="739" spans="1:9" x14ac:dyDescent="0.15">
      <c r="A739" s="9">
        <v>738</v>
      </c>
      <c r="B739" s="10" t="s">
        <v>9</v>
      </c>
      <c r="C739" s="10" t="s">
        <v>164</v>
      </c>
      <c r="D739" s="10" t="s">
        <v>165</v>
      </c>
      <c r="E739" s="11" t="str">
        <f>+HYPERLINK("http://trademark.i-assist.jp/data/china/image_1901th/78839522.pdf", "78839522")</f>
        <v>78839522</v>
      </c>
      <c r="F739" s="10" t="s">
        <v>2246</v>
      </c>
      <c r="G739" s="10" t="s">
        <v>2247</v>
      </c>
      <c r="H739" s="10" t="s">
        <v>2248</v>
      </c>
      <c r="I739" s="10" t="s">
        <v>2240</v>
      </c>
    </row>
    <row r="740" spans="1:9" x14ac:dyDescent="0.15">
      <c r="A740" s="9">
        <v>739</v>
      </c>
      <c r="B740" s="10" t="s">
        <v>9</v>
      </c>
      <c r="C740" s="10" t="s">
        <v>164</v>
      </c>
      <c r="D740" s="10" t="s">
        <v>165</v>
      </c>
      <c r="E740" s="11" t="str">
        <f>+HYPERLINK("http://trademark.i-assist.jp/data/china/image_1901th/78839678.pdf", "78839678")</f>
        <v>78839678</v>
      </c>
      <c r="F740" s="10" t="s">
        <v>2249</v>
      </c>
      <c r="G740" s="10" t="s">
        <v>2250</v>
      </c>
      <c r="H740" s="10" t="s">
        <v>2251</v>
      </c>
      <c r="I740" s="10" t="s">
        <v>2240</v>
      </c>
    </row>
    <row r="741" spans="1:9" x14ac:dyDescent="0.15">
      <c r="A741" s="9">
        <v>740</v>
      </c>
      <c r="B741" s="10" t="s">
        <v>9</v>
      </c>
      <c r="C741" s="10" t="s">
        <v>164</v>
      </c>
      <c r="D741" s="10" t="s">
        <v>165</v>
      </c>
      <c r="E741" s="11" t="str">
        <f>+HYPERLINK("http://trademark.i-assist.jp/data/china/image_1901th/78839886.pdf", "78839886")</f>
        <v>78839886</v>
      </c>
      <c r="F741" s="10" t="s">
        <v>2252</v>
      </c>
      <c r="G741" s="10" t="s">
        <v>2253</v>
      </c>
      <c r="H741" s="10" t="s">
        <v>2254</v>
      </c>
      <c r="I741" s="10" t="s">
        <v>2240</v>
      </c>
    </row>
    <row r="742" spans="1:9" x14ac:dyDescent="0.15">
      <c r="A742" s="9">
        <v>741</v>
      </c>
      <c r="B742" s="10" t="s">
        <v>9</v>
      </c>
      <c r="C742" s="10" t="s">
        <v>164</v>
      </c>
      <c r="D742" s="10" t="s">
        <v>165</v>
      </c>
      <c r="E742" s="11" t="str">
        <f>+HYPERLINK("http://trademark.i-assist.jp/data/china/image_1901th/78840119.pdf", "78840119")</f>
        <v>78840119</v>
      </c>
      <c r="F742" s="10" t="s">
        <v>2255</v>
      </c>
      <c r="G742" s="10" t="s">
        <v>530</v>
      </c>
      <c r="H742" s="10" t="s">
        <v>2256</v>
      </c>
      <c r="I742" s="10" t="s">
        <v>2240</v>
      </c>
    </row>
    <row r="743" spans="1:9" x14ac:dyDescent="0.15">
      <c r="A743" s="9">
        <v>742</v>
      </c>
      <c r="B743" s="10" t="s">
        <v>9</v>
      </c>
      <c r="C743" s="10" t="s">
        <v>164</v>
      </c>
      <c r="D743" s="10" t="s">
        <v>165</v>
      </c>
      <c r="E743" s="11" t="str">
        <f>+HYPERLINK("http://trademark.i-assist.jp/data/china/image_1901th/78840125.pdf", "78840125")</f>
        <v>78840125</v>
      </c>
      <c r="F743" s="10" t="s">
        <v>12</v>
      </c>
      <c r="G743" s="10" t="s">
        <v>2257</v>
      </c>
      <c r="H743" s="10" t="s">
        <v>2258</v>
      </c>
      <c r="I743" s="10" t="s">
        <v>2240</v>
      </c>
    </row>
    <row r="744" spans="1:9" x14ac:dyDescent="0.15">
      <c r="A744" s="9">
        <v>743</v>
      </c>
      <c r="B744" s="10" t="s">
        <v>9</v>
      </c>
      <c r="C744" s="10" t="s">
        <v>164</v>
      </c>
      <c r="D744" s="10" t="s">
        <v>165</v>
      </c>
      <c r="E744" s="11" t="str">
        <f>+HYPERLINK("http://trademark.i-assist.jp/data/china/image_1901th/78840202.pdf", "78840202")</f>
        <v>78840202</v>
      </c>
      <c r="F744" s="10" t="s">
        <v>2259</v>
      </c>
      <c r="G744" s="10" t="s">
        <v>2260</v>
      </c>
      <c r="H744" s="10" t="s">
        <v>2261</v>
      </c>
      <c r="I744" s="10" t="s">
        <v>2240</v>
      </c>
    </row>
    <row r="745" spans="1:9" x14ac:dyDescent="0.15">
      <c r="A745" s="9">
        <v>744</v>
      </c>
      <c r="B745" s="10" t="s">
        <v>9</v>
      </c>
      <c r="C745" s="10" t="s">
        <v>164</v>
      </c>
      <c r="D745" s="10" t="s">
        <v>165</v>
      </c>
      <c r="E745" s="11" t="str">
        <f>+HYPERLINK("http://trademark.i-assist.jp/data/china/image_1901th/78840281.pdf", "78840281")</f>
        <v>78840281</v>
      </c>
      <c r="F745" s="10" t="s">
        <v>2262</v>
      </c>
      <c r="G745" s="10" t="s">
        <v>2263</v>
      </c>
      <c r="H745" s="10" t="s">
        <v>2264</v>
      </c>
      <c r="I745" s="10" t="s">
        <v>2240</v>
      </c>
    </row>
    <row r="746" spans="1:9" x14ac:dyDescent="0.15">
      <c r="A746" s="9">
        <v>745</v>
      </c>
      <c r="B746" s="10" t="s">
        <v>9</v>
      </c>
      <c r="C746" s="10" t="s">
        <v>164</v>
      </c>
      <c r="D746" s="10" t="s">
        <v>165</v>
      </c>
      <c r="E746" s="11" t="str">
        <f>+HYPERLINK("http://trademark.i-assist.jp/data/china/image_1901th/78840307.pdf", "78840307")</f>
        <v>78840307</v>
      </c>
      <c r="F746" s="10" t="s">
        <v>2265</v>
      </c>
      <c r="G746" s="10" t="s">
        <v>2266</v>
      </c>
      <c r="H746" s="10" t="s">
        <v>2267</v>
      </c>
      <c r="I746" s="10" t="s">
        <v>2240</v>
      </c>
    </row>
    <row r="747" spans="1:9" x14ac:dyDescent="0.15">
      <c r="A747" s="9">
        <v>746</v>
      </c>
      <c r="B747" s="10" t="s">
        <v>9</v>
      </c>
      <c r="C747" s="10" t="s">
        <v>164</v>
      </c>
      <c r="D747" s="10" t="s">
        <v>165</v>
      </c>
      <c r="E747" s="11" t="str">
        <f>+HYPERLINK("http://trademark.i-assist.jp/data/china/image_1901th/78840429.pdf", "78840429")</f>
        <v>78840429</v>
      </c>
      <c r="F747" s="10" t="s">
        <v>2268</v>
      </c>
      <c r="G747" s="10" t="s">
        <v>2269</v>
      </c>
      <c r="H747" s="10" t="s">
        <v>2270</v>
      </c>
      <c r="I747" s="10" t="s">
        <v>2240</v>
      </c>
    </row>
    <row r="748" spans="1:9" x14ac:dyDescent="0.15">
      <c r="A748" s="9">
        <v>747</v>
      </c>
      <c r="B748" s="10" t="s">
        <v>9</v>
      </c>
      <c r="C748" s="10" t="s">
        <v>164</v>
      </c>
      <c r="D748" s="10" t="s">
        <v>165</v>
      </c>
      <c r="E748" s="11" t="str">
        <f>+HYPERLINK("http://trademark.i-assist.jp/data/china/image_1901th/78840460.pdf", "78840460")</f>
        <v>78840460</v>
      </c>
      <c r="F748" s="10" t="s">
        <v>2271</v>
      </c>
      <c r="G748" s="10" t="s">
        <v>2272</v>
      </c>
      <c r="H748" s="10" t="s">
        <v>2273</v>
      </c>
      <c r="I748" s="10" t="s">
        <v>2240</v>
      </c>
    </row>
    <row r="749" spans="1:9" x14ac:dyDescent="0.15">
      <c r="A749" s="9">
        <v>748</v>
      </c>
      <c r="B749" s="10" t="s">
        <v>9</v>
      </c>
      <c r="C749" s="10" t="s">
        <v>164</v>
      </c>
      <c r="D749" s="10" t="s">
        <v>165</v>
      </c>
      <c r="E749" s="11" t="str">
        <f>+HYPERLINK("http://trademark.i-assist.jp/data/china/image_1901th/78840491.pdf", "78840491")</f>
        <v>78840491</v>
      </c>
      <c r="F749" s="10" t="s">
        <v>2274</v>
      </c>
      <c r="G749" s="10" t="s">
        <v>2275</v>
      </c>
      <c r="H749" s="10" t="s">
        <v>2276</v>
      </c>
      <c r="I749" s="10" t="s">
        <v>2240</v>
      </c>
    </row>
    <row r="750" spans="1:9" x14ac:dyDescent="0.15">
      <c r="A750" s="9">
        <v>749</v>
      </c>
      <c r="B750" s="10" t="s">
        <v>9</v>
      </c>
      <c r="C750" s="10" t="s">
        <v>164</v>
      </c>
      <c r="D750" s="10" t="s">
        <v>165</v>
      </c>
      <c r="E750" s="11" t="str">
        <f>+HYPERLINK("http://trademark.i-assist.jp/data/china/image_1901th/78840685.pdf", "78840685")</f>
        <v>78840685</v>
      </c>
      <c r="F750" s="10" t="s">
        <v>2277</v>
      </c>
      <c r="G750" s="10" t="s">
        <v>2278</v>
      </c>
      <c r="H750" s="10" t="s">
        <v>27</v>
      </c>
      <c r="I750" s="10" t="s">
        <v>2240</v>
      </c>
    </row>
    <row r="751" spans="1:9" x14ac:dyDescent="0.15">
      <c r="A751" s="9">
        <v>750</v>
      </c>
      <c r="B751" s="10" t="s">
        <v>9</v>
      </c>
      <c r="C751" s="10" t="s">
        <v>164</v>
      </c>
      <c r="D751" s="10" t="s">
        <v>165</v>
      </c>
      <c r="E751" s="11" t="str">
        <f>+HYPERLINK("http://trademark.i-assist.jp/data/china/image_1901th/78840697.pdf", "78840697")</f>
        <v>78840697</v>
      </c>
      <c r="F751" s="10" t="s">
        <v>2279</v>
      </c>
      <c r="G751" s="10" t="s">
        <v>2278</v>
      </c>
      <c r="H751" s="10" t="s">
        <v>27</v>
      </c>
      <c r="I751" s="10" t="s">
        <v>2240</v>
      </c>
    </row>
    <row r="752" spans="1:9" x14ac:dyDescent="0.15">
      <c r="A752" s="9">
        <v>751</v>
      </c>
      <c r="B752" s="10" t="s">
        <v>9</v>
      </c>
      <c r="C752" s="10" t="s">
        <v>164</v>
      </c>
      <c r="D752" s="10" t="s">
        <v>165</v>
      </c>
      <c r="E752" s="11" t="str">
        <f>+HYPERLINK("http://trademark.i-assist.jp/data/china/image_1901th/78840936.pdf", "78840936")</f>
        <v>78840936</v>
      </c>
      <c r="F752" s="10" t="s">
        <v>2280</v>
      </c>
      <c r="G752" s="10" t="s">
        <v>2281</v>
      </c>
      <c r="H752" s="10" t="s">
        <v>2282</v>
      </c>
      <c r="I752" s="10" t="s">
        <v>2240</v>
      </c>
    </row>
    <row r="753" spans="1:9" x14ac:dyDescent="0.15">
      <c r="A753" s="9">
        <v>752</v>
      </c>
      <c r="B753" s="10" t="s">
        <v>9</v>
      </c>
      <c r="C753" s="10" t="s">
        <v>164</v>
      </c>
      <c r="D753" s="10" t="s">
        <v>165</v>
      </c>
      <c r="E753" s="11" t="str">
        <f>+HYPERLINK("http://trademark.i-assist.jp/data/china/image_1901th/78840996.pdf", "78840996")</f>
        <v>78840996</v>
      </c>
      <c r="F753" s="10" t="s">
        <v>2283</v>
      </c>
      <c r="G753" s="10" t="s">
        <v>2284</v>
      </c>
      <c r="H753" s="10" t="s">
        <v>2285</v>
      </c>
      <c r="I753" s="10" t="s">
        <v>2240</v>
      </c>
    </row>
    <row r="754" spans="1:9" x14ac:dyDescent="0.15">
      <c r="A754" s="9">
        <v>753</v>
      </c>
      <c r="B754" s="10" t="s">
        <v>9</v>
      </c>
      <c r="C754" s="10" t="s">
        <v>164</v>
      </c>
      <c r="D754" s="10" t="s">
        <v>165</v>
      </c>
      <c r="E754" s="11" t="str">
        <f>+HYPERLINK("http://trademark.i-assist.jp/data/china/image_1901th/78841040.pdf", "78841040")</f>
        <v>78841040</v>
      </c>
      <c r="F754" s="10" t="s">
        <v>2286</v>
      </c>
      <c r="G754" s="10" t="s">
        <v>2287</v>
      </c>
      <c r="H754" s="10" t="s">
        <v>2288</v>
      </c>
      <c r="I754" s="10" t="s">
        <v>2240</v>
      </c>
    </row>
    <row r="755" spans="1:9" x14ac:dyDescent="0.15">
      <c r="A755" s="9">
        <v>754</v>
      </c>
      <c r="B755" s="10" t="s">
        <v>9</v>
      </c>
      <c r="C755" s="10" t="s">
        <v>164</v>
      </c>
      <c r="D755" s="10" t="s">
        <v>165</v>
      </c>
      <c r="E755" s="11" t="str">
        <f>+HYPERLINK("http://trademark.i-assist.jp/data/china/image_1901th/78841058.pdf", "78841058")</f>
        <v>78841058</v>
      </c>
      <c r="F755" s="10" t="s">
        <v>2289</v>
      </c>
      <c r="G755" s="10" t="s">
        <v>2290</v>
      </c>
      <c r="H755" s="10" t="s">
        <v>2291</v>
      </c>
      <c r="I755" s="10" t="s">
        <v>2240</v>
      </c>
    </row>
    <row r="756" spans="1:9" x14ac:dyDescent="0.15">
      <c r="A756" s="9">
        <v>755</v>
      </c>
      <c r="B756" s="10" t="s">
        <v>9</v>
      </c>
      <c r="C756" s="10" t="s">
        <v>164</v>
      </c>
      <c r="D756" s="10" t="s">
        <v>165</v>
      </c>
      <c r="E756" s="11" t="str">
        <f>+HYPERLINK("http://trademark.i-assist.jp/data/china/image_1901th/78841117.pdf", "78841117")</f>
        <v>78841117</v>
      </c>
      <c r="F756" s="10" t="s">
        <v>2292</v>
      </c>
      <c r="G756" s="10" t="s">
        <v>2293</v>
      </c>
      <c r="H756" s="10" t="s">
        <v>2294</v>
      </c>
      <c r="I756" s="10" t="s">
        <v>2240</v>
      </c>
    </row>
    <row r="757" spans="1:9" x14ac:dyDescent="0.15">
      <c r="A757" s="9">
        <v>756</v>
      </c>
      <c r="B757" s="10" t="s">
        <v>9</v>
      </c>
      <c r="C757" s="10" t="s">
        <v>164</v>
      </c>
      <c r="D757" s="10" t="s">
        <v>165</v>
      </c>
      <c r="E757" s="11" t="str">
        <f>+HYPERLINK("http://trademark.i-assist.jp/data/china/image_1901th/78841149.pdf", "78841149")</f>
        <v>78841149</v>
      </c>
      <c r="F757" s="10" t="s">
        <v>2295</v>
      </c>
      <c r="G757" s="10" t="s">
        <v>2293</v>
      </c>
      <c r="H757" s="10" t="s">
        <v>2296</v>
      </c>
      <c r="I757" s="10" t="s">
        <v>2240</v>
      </c>
    </row>
    <row r="758" spans="1:9" x14ac:dyDescent="0.15">
      <c r="A758" s="9">
        <v>757</v>
      </c>
      <c r="B758" s="10" t="s">
        <v>9</v>
      </c>
      <c r="C758" s="10" t="s">
        <v>164</v>
      </c>
      <c r="D758" s="10" t="s">
        <v>165</v>
      </c>
      <c r="E758" s="11" t="str">
        <f>+HYPERLINK("http://trademark.i-assist.jp/data/china/image_1901th/78841538.pdf", "78841538")</f>
        <v>78841538</v>
      </c>
      <c r="F758" s="10" t="s">
        <v>2297</v>
      </c>
      <c r="G758" s="10" t="s">
        <v>2298</v>
      </c>
      <c r="H758" s="10" t="s">
        <v>2299</v>
      </c>
      <c r="I758" s="10" t="s">
        <v>2240</v>
      </c>
    </row>
    <row r="759" spans="1:9" x14ac:dyDescent="0.15">
      <c r="A759" s="9">
        <v>758</v>
      </c>
      <c r="B759" s="10" t="s">
        <v>9</v>
      </c>
      <c r="C759" s="10" t="s">
        <v>164</v>
      </c>
      <c r="D759" s="10" t="s">
        <v>165</v>
      </c>
      <c r="E759" s="11" t="str">
        <f>+HYPERLINK("http://trademark.i-assist.jp/data/china/image_1901th/78841545.pdf", "78841545")</f>
        <v>78841545</v>
      </c>
      <c r="F759" s="10" t="s">
        <v>2300</v>
      </c>
      <c r="G759" s="10" t="s">
        <v>2301</v>
      </c>
      <c r="H759" s="10" t="s">
        <v>2302</v>
      </c>
      <c r="I759" s="10" t="s">
        <v>2240</v>
      </c>
    </row>
    <row r="760" spans="1:9" x14ac:dyDescent="0.15">
      <c r="A760" s="9">
        <v>759</v>
      </c>
      <c r="B760" s="10" t="s">
        <v>9</v>
      </c>
      <c r="C760" s="10" t="s">
        <v>164</v>
      </c>
      <c r="D760" s="10" t="s">
        <v>165</v>
      </c>
      <c r="E760" s="11" t="str">
        <f>+HYPERLINK("http://trademark.i-assist.jp/data/china/image_1901th/78842530.pdf", "78842530")</f>
        <v>78842530</v>
      </c>
      <c r="F760" s="10" t="s">
        <v>2303</v>
      </c>
      <c r="G760" s="10" t="s">
        <v>2304</v>
      </c>
      <c r="H760" s="10" t="s">
        <v>2305</v>
      </c>
      <c r="I760" s="10" t="s">
        <v>2240</v>
      </c>
    </row>
    <row r="761" spans="1:9" x14ac:dyDescent="0.15">
      <c r="A761" s="9">
        <v>760</v>
      </c>
      <c r="B761" s="10" t="s">
        <v>9</v>
      </c>
      <c r="C761" s="10" t="s">
        <v>164</v>
      </c>
      <c r="D761" s="10" t="s">
        <v>165</v>
      </c>
      <c r="E761" s="11" t="str">
        <f>+HYPERLINK("http://trademark.i-assist.jp/data/china/image_1901th/78842556.pdf", "78842556")</f>
        <v>78842556</v>
      </c>
      <c r="F761" s="10" t="s">
        <v>2306</v>
      </c>
      <c r="G761" s="10" t="s">
        <v>2307</v>
      </c>
      <c r="H761" s="10" t="s">
        <v>2308</v>
      </c>
      <c r="I761" s="10" t="s">
        <v>2240</v>
      </c>
    </row>
    <row r="762" spans="1:9" x14ac:dyDescent="0.15">
      <c r="A762" s="9">
        <v>761</v>
      </c>
      <c r="B762" s="10" t="s">
        <v>9</v>
      </c>
      <c r="C762" s="10" t="s">
        <v>164</v>
      </c>
      <c r="D762" s="10" t="s">
        <v>165</v>
      </c>
      <c r="E762" s="11" t="str">
        <f>+HYPERLINK("http://trademark.i-assist.jp/data/china/image_1901th/78842956.pdf", "78842956")</f>
        <v>78842956</v>
      </c>
      <c r="F762" s="10" t="s">
        <v>2309</v>
      </c>
      <c r="G762" s="10" t="s">
        <v>2272</v>
      </c>
      <c r="H762" s="10" t="s">
        <v>2310</v>
      </c>
      <c r="I762" s="10" t="s">
        <v>2240</v>
      </c>
    </row>
    <row r="763" spans="1:9" x14ac:dyDescent="0.15">
      <c r="A763" s="9">
        <v>762</v>
      </c>
      <c r="B763" s="10" t="s">
        <v>9</v>
      </c>
      <c r="C763" s="10" t="s">
        <v>164</v>
      </c>
      <c r="D763" s="10" t="s">
        <v>165</v>
      </c>
      <c r="E763" s="11" t="str">
        <f>+HYPERLINK("http://trademark.i-assist.jp/data/china/image_1901th/78843024.pdf", "78843024")</f>
        <v>78843024</v>
      </c>
      <c r="F763" s="10" t="s">
        <v>2311</v>
      </c>
      <c r="G763" s="10" t="s">
        <v>2312</v>
      </c>
      <c r="H763" s="10" t="s">
        <v>2313</v>
      </c>
      <c r="I763" s="10" t="s">
        <v>2240</v>
      </c>
    </row>
    <row r="764" spans="1:9" x14ac:dyDescent="0.15">
      <c r="A764" s="9">
        <v>763</v>
      </c>
      <c r="B764" s="10" t="s">
        <v>9</v>
      </c>
      <c r="C764" s="10" t="s">
        <v>164</v>
      </c>
      <c r="D764" s="10" t="s">
        <v>165</v>
      </c>
      <c r="E764" s="11" t="str">
        <f>+HYPERLINK("http://trademark.i-assist.jp/data/china/image_1901th/78843300.pdf", "78843300")</f>
        <v>78843300</v>
      </c>
      <c r="F764" s="10" t="s">
        <v>2314</v>
      </c>
      <c r="G764" s="10" t="s">
        <v>2315</v>
      </c>
      <c r="H764" s="10" t="s">
        <v>2316</v>
      </c>
      <c r="I764" s="10" t="s">
        <v>2240</v>
      </c>
    </row>
    <row r="765" spans="1:9" x14ac:dyDescent="0.15">
      <c r="A765" s="9">
        <v>764</v>
      </c>
      <c r="B765" s="10" t="s">
        <v>9</v>
      </c>
      <c r="C765" s="10" t="s">
        <v>164</v>
      </c>
      <c r="D765" s="10" t="s">
        <v>165</v>
      </c>
      <c r="E765" s="11" t="str">
        <f>+HYPERLINK("http://trademark.i-assist.jp/data/china/image_1901th/78843421.pdf", "78843421")</f>
        <v>78843421</v>
      </c>
      <c r="F765" s="10" t="s">
        <v>2317</v>
      </c>
      <c r="G765" s="10" t="s">
        <v>958</v>
      </c>
      <c r="H765" s="10" t="s">
        <v>2318</v>
      </c>
      <c r="I765" s="10" t="s">
        <v>2240</v>
      </c>
    </row>
    <row r="766" spans="1:9" x14ac:dyDescent="0.15">
      <c r="A766" s="9">
        <v>765</v>
      </c>
      <c r="B766" s="10" t="s">
        <v>9</v>
      </c>
      <c r="C766" s="10" t="s">
        <v>164</v>
      </c>
      <c r="D766" s="10" t="s">
        <v>165</v>
      </c>
      <c r="E766" s="11" t="str">
        <f>+HYPERLINK("http://trademark.i-assist.jp/data/china/image_1901th/78843638.pdf", "78843638")</f>
        <v>78843638</v>
      </c>
      <c r="F766" s="10" t="s">
        <v>2319</v>
      </c>
      <c r="G766" s="10" t="s">
        <v>2320</v>
      </c>
      <c r="H766" s="10" t="s">
        <v>2321</v>
      </c>
      <c r="I766" s="10" t="s">
        <v>2240</v>
      </c>
    </row>
    <row r="767" spans="1:9" x14ac:dyDescent="0.15">
      <c r="A767" s="9">
        <v>766</v>
      </c>
      <c r="B767" s="10" t="s">
        <v>9</v>
      </c>
      <c r="C767" s="10" t="s">
        <v>164</v>
      </c>
      <c r="D767" s="10" t="s">
        <v>165</v>
      </c>
      <c r="E767" s="11" t="str">
        <f>+HYPERLINK("http://trademark.i-assist.jp/data/china/image_1901th/78844360.pdf", "78844360")</f>
        <v>78844360</v>
      </c>
      <c r="F767" s="10" t="s">
        <v>2322</v>
      </c>
      <c r="G767" s="10" t="s">
        <v>2323</v>
      </c>
      <c r="H767" s="10" t="s">
        <v>2324</v>
      </c>
      <c r="I767" s="10" t="s">
        <v>2240</v>
      </c>
    </row>
    <row r="768" spans="1:9" x14ac:dyDescent="0.15">
      <c r="A768" s="9">
        <v>767</v>
      </c>
      <c r="B768" s="10" t="s">
        <v>9</v>
      </c>
      <c r="C768" s="10" t="s">
        <v>164</v>
      </c>
      <c r="D768" s="10" t="s">
        <v>165</v>
      </c>
      <c r="E768" s="11" t="str">
        <f>+HYPERLINK("http://trademark.i-assist.jp/data/china/image_1901th/78844758.pdf", "78844758")</f>
        <v>78844758</v>
      </c>
      <c r="F768" s="10" t="s">
        <v>2325</v>
      </c>
      <c r="G768" s="10" t="s">
        <v>2326</v>
      </c>
      <c r="H768" s="10" t="s">
        <v>2327</v>
      </c>
      <c r="I768" s="10" t="s">
        <v>2240</v>
      </c>
    </row>
    <row r="769" spans="1:9" x14ac:dyDescent="0.15">
      <c r="A769" s="9">
        <v>768</v>
      </c>
      <c r="B769" s="10" t="s">
        <v>9</v>
      </c>
      <c r="C769" s="10" t="s">
        <v>164</v>
      </c>
      <c r="D769" s="10" t="s">
        <v>165</v>
      </c>
      <c r="E769" s="11" t="str">
        <f>+HYPERLINK("http://trademark.i-assist.jp/data/china/image_1901th/78845298.pdf", "78845298")</f>
        <v>78845298</v>
      </c>
      <c r="F769" s="10" t="s">
        <v>2328</v>
      </c>
      <c r="G769" s="10" t="s">
        <v>2329</v>
      </c>
      <c r="H769" s="10" t="s">
        <v>2330</v>
      </c>
      <c r="I769" s="10" t="s">
        <v>2240</v>
      </c>
    </row>
    <row r="770" spans="1:9" x14ac:dyDescent="0.15">
      <c r="A770" s="9">
        <v>769</v>
      </c>
      <c r="B770" s="10" t="s">
        <v>9</v>
      </c>
      <c r="C770" s="10" t="s">
        <v>164</v>
      </c>
      <c r="D770" s="10" t="s">
        <v>165</v>
      </c>
      <c r="E770" s="11" t="str">
        <f>+HYPERLINK("http://trademark.i-assist.jp/data/china/image_1901th/78845933.pdf", "78845933")</f>
        <v>78845933</v>
      </c>
      <c r="F770" s="10" t="s">
        <v>2331</v>
      </c>
      <c r="G770" s="10" t="s">
        <v>2332</v>
      </c>
      <c r="H770" s="10" t="s">
        <v>2333</v>
      </c>
      <c r="I770" s="10" t="s">
        <v>2240</v>
      </c>
    </row>
    <row r="771" spans="1:9" x14ac:dyDescent="0.15">
      <c r="A771" s="9">
        <v>770</v>
      </c>
      <c r="B771" s="10" t="s">
        <v>9</v>
      </c>
      <c r="C771" s="10" t="s">
        <v>164</v>
      </c>
      <c r="D771" s="10" t="s">
        <v>165</v>
      </c>
      <c r="E771" s="11" t="str">
        <f>+HYPERLINK("http://trademark.i-assist.jp/data/china/image_1901th/78845937.pdf", "78845937")</f>
        <v>78845937</v>
      </c>
      <c r="F771" s="10" t="s">
        <v>2334</v>
      </c>
      <c r="G771" s="10" t="s">
        <v>2335</v>
      </c>
      <c r="H771" s="10" t="s">
        <v>2336</v>
      </c>
      <c r="I771" s="10" t="s">
        <v>2240</v>
      </c>
    </row>
    <row r="772" spans="1:9" x14ac:dyDescent="0.15">
      <c r="A772" s="9">
        <v>771</v>
      </c>
      <c r="B772" s="10" t="s">
        <v>9</v>
      </c>
      <c r="C772" s="10" t="s">
        <v>164</v>
      </c>
      <c r="D772" s="10" t="s">
        <v>165</v>
      </c>
      <c r="E772" s="11" t="str">
        <f>+HYPERLINK("http://trademark.i-assist.jp/data/china/image_1901th/78846639.pdf", "78846639")</f>
        <v>78846639</v>
      </c>
      <c r="F772" s="10" t="s">
        <v>2337</v>
      </c>
      <c r="G772" s="10" t="s">
        <v>2338</v>
      </c>
      <c r="H772" s="10" t="s">
        <v>2339</v>
      </c>
      <c r="I772" s="10" t="s">
        <v>2240</v>
      </c>
    </row>
    <row r="773" spans="1:9" x14ac:dyDescent="0.15">
      <c r="A773" s="9">
        <v>772</v>
      </c>
      <c r="B773" s="10" t="s">
        <v>9</v>
      </c>
      <c r="C773" s="10" t="s">
        <v>164</v>
      </c>
      <c r="D773" s="10" t="s">
        <v>165</v>
      </c>
      <c r="E773" s="11" t="str">
        <f>+HYPERLINK("http://trademark.i-assist.jp/data/china/image_1901th/78846673.pdf", "78846673")</f>
        <v>78846673</v>
      </c>
      <c r="F773" s="10" t="s">
        <v>2340</v>
      </c>
      <c r="G773" s="10" t="s">
        <v>2341</v>
      </c>
      <c r="H773" s="10" t="s">
        <v>2342</v>
      </c>
      <c r="I773" s="10" t="s">
        <v>2240</v>
      </c>
    </row>
    <row r="774" spans="1:9" x14ac:dyDescent="0.15">
      <c r="A774" s="9">
        <v>773</v>
      </c>
      <c r="B774" s="10" t="s">
        <v>9</v>
      </c>
      <c r="C774" s="10" t="s">
        <v>164</v>
      </c>
      <c r="D774" s="10" t="s">
        <v>165</v>
      </c>
      <c r="E774" s="11" t="str">
        <f>+HYPERLINK("http://trademark.i-assist.jp/data/china/image_1901th/78847773.pdf", "78847773")</f>
        <v>78847773</v>
      </c>
      <c r="F774" s="10" t="s">
        <v>2343</v>
      </c>
      <c r="G774" s="10" t="s">
        <v>2344</v>
      </c>
      <c r="H774" s="10" t="s">
        <v>2345</v>
      </c>
      <c r="I774" s="10" t="s">
        <v>2240</v>
      </c>
    </row>
    <row r="775" spans="1:9" x14ac:dyDescent="0.15">
      <c r="A775" s="9">
        <v>774</v>
      </c>
      <c r="B775" s="10" t="s">
        <v>9</v>
      </c>
      <c r="C775" s="10" t="s">
        <v>164</v>
      </c>
      <c r="D775" s="10" t="s">
        <v>165</v>
      </c>
      <c r="E775" s="11" t="str">
        <f>+HYPERLINK("http://trademark.i-assist.jp/data/china/image_1901th/78847897.pdf", "78847897")</f>
        <v>78847897</v>
      </c>
      <c r="F775" s="10" t="s">
        <v>2346</v>
      </c>
      <c r="G775" s="10" t="s">
        <v>2347</v>
      </c>
      <c r="H775" s="10" t="s">
        <v>2348</v>
      </c>
      <c r="I775" s="10" t="s">
        <v>2240</v>
      </c>
    </row>
    <row r="776" spans="1:9" x14ac:dyDescent="0.15">
      <c r="A776" s="9">
        <v>775</v>
      </c>
      <c r="B776" s="10" t="s">
        <v>9</v>
      </c>
      <c r="C776" s="10" t="s">
        <v>164</v>
      </c>
      <c r="D776" s="10" t="s">
        <v>165</v>
      </c>
      <c r="E776" s="11" t="str">
        <f>+HYPERLINK("http://trademark.i-assist.jp/data/china/image_1901th/78848595.pdf", "78848595")</f>
        <v>78848595</v>
      </c>
      <c r="F776" s="10" t="s">
        <v>2349</v>
      </c>
      <c r="G776" s="10" t="s">
        <v>2350</v>
      </c>
      <c r="H776" s="10" t="s">
        <v>2351</v>
      </c>
      <c r="I776" s="10" t="s">
        <v>2240</v>
      </c>
    </row>
    <row r="777" spans="1:9" x14ac:dyDescent="0.15">
      <c r="A777" s="9">
        <v>776</v>
      </c>
      <c r="B777" s="10" t="s">
        <v>9</v>
      </c>
      <c r="C777" s="10" t="s">
        <v>164</v>
      </c>
      <c r="D777" s="10" t="s">
        <v>165</v>
      </c>
      <c r="E777" s="11" t="str">
        <f>+HYPERLINK("http://trademark.i-assist.jp/data/china/image_1901th/78848795.pdf", "78848795")</f>
        <v>78848795</v>
      </c>
      <c r="F777" s="10" t="s">
        <v>2352</v>
      </c>
      <c r="G777" s="10" t="s">
        <v>2353</v>
      </c>
      <c r="H777" s="10" t="s">
        <v>2354</v>
      </c>
      <c r="I777" s="10" t="s">
        <v>2240</v>
      </c>
    </row>
    <row r="778" spans="1:9" x14ac:dyDescent="0.15">
      <c r="A778" s="9">
        <v>777</v>
      </c>
      <c r="B778" s="10" t="s">
        <v>9</v>
      </c>
      <c r="C778" s="10" t="s">
        <v>164</v>
      </c>
      <c r="D778" s="10" t="s">
        <v>165</v>
      </c>
      <c r="E778" s="11" t="str">
        <f>+HYPERLINK("http://trademark.i-assist.jp/data/china/image_1901th/78848889.pdf", "78848889")</f>
        <v>78848889</v>
      </c>
      <c r="F778" s="10" t="s">
        <v>2355</v>
      </c>
      <c r="G778" s="10" t="s">
        <v>2278</v>
      </c>
      <c r="H778" s="10" t="s">
        <v>27</v>
      </c>
      <c r="I778" s="10" t="s">
        <v>2240</v>
      </c>
    </row>
    <row r="779" spans="1:9" x14ac:dyDescent="0.15">
      <c r="A779" s="9">
        <v>778</v>
      </c>
      <c r="B779" s="10" t="s">
        <v>9</v>
      </c>
      <c r="C779" s="10" t="s">
        <v>164</v>
      </c>
      <c r="D779" s="10" t="s">
        <v>165</v>
      </c>
      <c r="E779" s="11" t="str">
        <f>+HYPERLINK("http://trademark.i-assist.jp/data/china/image_1901th/78849487.pdf", "78849487")</f>
        <v>78849487</v>
      </c>
      <c r="F779" s="10" t="s">
        <v>2356</v>
      </c>
      <c r="G779" s="10" t="s">
        <v>2357</v>
      </c>
      <c r="H779" s="10" t="s">
        <v>2358</v>
      </c>
      <c r="I779" s="10" t="s">
        <v>2240</v>
      </c>
    </row>
    <row r="780" spans="1:9" x14ac:dyDescent="0.15">
      <c r="A780" s="9">
        <v>779</v>
      </c>
      <c r="B780" s="10" t="s">
        <v>9</v>
      </c>
      <c r="C780" s="10" t="s">
        <v>164</v>
      </c>
      <c r="D780" s="10" t="s">
        <v>165</v>
      </c>
      <c r="E780" s="11" t="str">
        <f>+HYPERLINK("http://trademark.i-assist.jp/data/china/image_1901th/78849711.pdf", "78849711")</f>
        <v>78849711</v>
      </c>
      <c r="F780" s="10" t="s">
        <v>2359</v>
      </c>
      <c r="G780" s="10" t="s">
        <v>2127</v>
      </c>
      <c r="H780" s="10" t="s">
        <v>2360</v>
      </c>
      <c r="I780" s="10" t="s">
        <v>2240</v>
      </c>
    </row>
    <row r="781" spans="1:9" x14ac:dyDescent="0.15">
      <c r="A781" s="9">
        <v>780</v>
      </c>
      <c r="B781" s="10" t="s">
        <v>9</v>
      </c>
      <c r="C781" s="10" t="s">
        <v>164</v>
      </c>
      <c r="D781" s="10" t="s">
        <v>165</v>
      </c>
      <c r="E781" s="11" t="str">
        <f>+HYPERLINK("http://trademark.i-assist.jp/data/china/image_1901th/78851113.pdf", "78851113")</f>
        <v>78851113</v>
      </c>
      <c r="F781" s="10" t="s">
        <v>2361</v>
      </c>
      <c r="G781" s="10" t="s">
        <v>2362</v>
      </c>
      <c r="H781" s="10" t="s">
        <v>2363</v>
      </c>
      <c r="I781" s="10" t="s">
        <v>2240</v>
      </c>
    </row>
    <row r="782" spans="1:9" x14ac:dyDescent="0.15">
      <c r="A782" s="9">
        <v>781</v>
      </c>
      <c r="B782" s="10" t="s">
        <v>9</v>
      </c>
      <c r="C782" s="10" t="s">
        <v>164</v>
      </c>
      <c r="D782" s="10" t="s">
        <v>165</v>
      </c>
      <c r="E782" s="11" t="str">
        <f>+HYPERLINK("http://trademark.i-assist.jp/data/china/image_1901th/78851474.pdf", "78851474")</f>
        <v>78851474</v>
      </c>
      <c r="F782" s="10" t="s">
        <v>2364</v>
      </c>
      <c r="G782" s="10" t="s">
        <v>2365</v>
      </c>
      <c r="H782" s="10" t="s">
        <v>2366</v>
      </c>
      <c r="I782" s="10" t="s">
        <v>2240</v>
      </c>
    </row>
    <row r="783" spans="1:9" x14ac:dyDescent="0.15">
      <c r="A783" s="9">
        <v>782</v>
      </c>
      <c r="B783" s="10" t="s">
        <v>9</v>
      </c>
      <c r="C783" s="10" t="s">
        <v>164</v>
      </c>
      <c r="D783" s="10" t="s">
        <v>165</v>
      </c>
      <c r="E783" s="11" t="str">
        <f>+HYPERLINK("http://trademark.i-assist.jp/data/china/image_1901th/78851529.pdf", "78851529")</f>
        <v>78851529</v>
      </c>
      <c r="F783" s="10" t="s">
        <v>2367</v>
      </c>
      <c r="G783" s="10" t="s">
        <v>2368</v>
      </c>
      <c r="H783" s="10" t="s">
        <v>2369</v>
      </c>
      <c r="I783" s="10" t="s">
        <v>2240</v>
      </c>
    </row>
    <row r="784" spans="1:9" x14ac:dyDescent="0.15">
      <c r="A784" s="9">
        <v>783</v>
      </c>
      <c r="B784" s="10" t="s">
        <v>9</v>
      </c>
      <c r="C784" s="10" t="s">
        <v>164</v>
      </c>
      <c r="D784" s="10" t="s">
        <v>165</v>
      </c>
      <c r="E784" s="11" t="str">
        <f>+HYPERLINK("http://trademark.i-assist.jp/data/china/image_1901th/78852181.pdf", "78852181")</f>
        <v>78852181</v>
      </c>
      <c r="F784" s="10" t="s">
        <v>2370</v>
      </c>
      <c r="G784" s="10" t="s">
        <v>2371</v>
      </c>
      <c r="H784" s="10" t="s">
        <v>2372</v>
      </c>
      <c r="I784" s="10" t="s">
        <v>2240</v>
      </c>
    </row>
    <row r="785" spans="1:9" x14ac:dyDescent="0.15">
      <c r="A785" s="9">
        <v>784</v>
      </c>
      <c r="B785" s="10" t="s">
        <v>9</v>
      </c>
      <c r="C785" s="10" t="s">
        <v>164</v>
      </c>
      <c r="D785" s="10" t="s">
        <v>165</v>
      </c>
      <c r="E785" s="11" t="str">
        <f>+HYPERLINK("http://trademark.i-assist.jp/data/china/image_1901th/78852315.pdf", "78852315")</f>
        <v>78852315</v>
      </c>
      <c r="F785" s="10" t="s">
        <v>2373</v>
      </c>
      <c r="G785" s="10" t="s">
        <v>2374</v>
      </c>
      <c r="H785" s="10" t="s">
        <v>2375</v>
      </c>
      <c r="I785" s="10" t="s">
        <v>2240</v>
      </c>
    </row>
    <row r="786" spans="1:9" x14ac:dyDescent="0.15">
      <c r="A786" s="9">
        <v>785</v>
      </c>
      <c r="B786" s="10" t="s">
        <v>9</v>
      </c>
      <c r="C786" s="10" t="s">
        <v>164</v>
      </c>
      <c r="D786" s="10" t="s">
        <v>165</v>
      </c>
      <c r="E786" s="11" t="str">
        <f>+HYPERLINK("http://trademark.i-assist.jp/data/china/image_1901th/78852515.pdf", "78852515")</f>
        <v>78852515</v>
      </c>
      <c r="F786" s="10" t="s">
        <v>2376</v>
      </c>
      <c r="G786" s="10" t="s">
        <v>2377</v>
      </c>
      <c r="H786" s="10" t="s">
        <v>2378</v>
      </c>
      <c r="I786" s="10" t="s">
        <v>2240</v>
      </c>
    </row>
    <row r="787" spans="1:9" x14ac:dyDescent="0.15">
      <c r="A787" s="9">
        <v>786</v>
      </c>
      <c r="B787" s="10" t="s">
        <v>9</v>
      </c>
      <c r="C787" s="10" t="s">
        <v>164</v>
      </c>
      <c r="D787" s="10" t="s">
        <v>165</v>
      </c>
      <c r="E787" s="11" t="str">
        <f>+HYPERLINK("http://trademark.i-assist.jp/data/china/image_1901th/78853490.pdf", "78853490")</f>
        <v>78853490</v>
      </c>
      <c r="F787" s="10" t="s">
        <v>2379</v>
      </c>
      <c r="G787" s="10" t="s">
        <v>2380</v>
      </c>
      <c r="H787" s="10" t="s">
        <v>2381</v>
      </c>
      <c r="I787" s="10" t="s">
        <v>2240</v>
      </c>
    </row>
    <row r="788" spans="1:9" x14ac:dyDescent="0.15">
      <c r="A788" s="9">
        <v>787</v>
      </c>
      <c r="B788" s="10" t="s">
        <v>9</v>
      </c>
      <c r="C788" s="10" t="s">
        <v>164</v>
      </c>
      <c r="D788" s="10" t="s">
        <v>165</v>
      </c>
      <c r="E788" s="11" t="str">
        <f>+HYPERLINK("http://trademark.i-assist.jp/data/china/image_1901th/78853494.pdf", "78853494")</f>
        <v>78853494</v>
      </c>
      <c r="F788" s="10" t="s">
        <v>2382</v>
      </c>
      <c r="G788" s="10" t="s">
        <v>2383</v>
      </c>
      <c r="H788" s="10" t="s">
        <v>2384</v>
      </c>
      <c r="I788" s="10" t="s">
        <v>2240</v>
      </c>
    </row>
    <row r="789" spans="1:9" x14ac:dyDescent="0.15">
      <c r="A789" s="9">
        <v>788</v>
      </c>
      <c r="B789" s="10" t="s">
        <v>9</v>
      </c>
      <c r="C789" s="10" t="s">
        <v>164</v>
      </c>
      <c r="D789" s="10" t="s">
        <v>165</v>
      </c>
      <c r="E789" s="11" t="str">
        <f>+HYPERLINK("http://trademark.i-assist.jp/data/china/image_1901th/78854093.pdf", "78854093")</f>
        <v>78854093</v>
      </c>
      <c r="F789" s="10" t="s">
        <v>2385</v>
      </c>
      <c r="G789" s="10" t="s">
        <v>2386</v>
      </c>
      <c r="H789" s="10" t="s">
        <v>2387</v>
      </c>
      <c r="I789" s="10" t="s">
        <v>2240</v>
      </c>
    </row>
    <row r="790" spans="1:9" x14ac:dyDescent="0.15">
      <c r="A790" s="9">
        <v>789</v>
      </c>
      <c r="B790" s="10" t="s">
        <v>9</v>
      </c>
      <c r="C790" s="10" t="s">
        <v>164</v>
      </c>
      <c r="D790" s="10" t="s">
        <v>165</v>
      </c>
      <c r="E790" s="11" t="str">
        <f>+HYPERLINK("http://trademark.i-assist.jp/data/china/image_1901th/78854113.pdf", "78854113")</f>
        <v>78854113</v>
      </c>
      <c r="F790" s="10" t="s">
        <v>2388</v>
      </c>
      <c r="G790" s="10" t="s">
        <v>2278</v>
      </c>
      <c r="H790" s="10" t="s">
        <v>27</v>
      </c>
      <c r="I790" s="10" t="s">
        <v>2240</v>
      </c>
    </row>
    <row r="791" spans="1:9" x14ac:dyDescent="0.15">
      <c r="A791" s="9">
        <v>790</v>
      </c>
      <c r="B791" s="10" t="s">
        <v>9</v>
      </c>
      <c r="C791" s="10" t="s">
        <v>164</v>
      </c>
      <c r="D791" s="10" t="s">
        <v>165</v>
      </c>
      <c r="E791" s="11" t="str">
        <f>+HYPERLINK("http://trademark.i-assist.jp/data/china/image_1901th/78855134.pdf", "78855134")</f>
        <v>78855134</v>
      </c>
      <c r="F791" s="10" t="s">
        <v>2389</v>
      </c>
      <c r="G791" s="10" t="s">
        <v>2390</v>
      </c>
      <c r="H791" s="10" t="s">
        <v>2391</v>
      </c>
      <c r="I791" s="10" t="s">
        <v>2240</v>
      </c>
    </row>
    <row r="792" spans="1:9" x14ac:dyDescent="0.15">
      <c r="A792" s="9">
        <v>791</v>
      </c>
      <c r="B792" s="10" t="s">
        <v>9</v>
      </c>
      <c r="C792" s="10" t="s">
        <v>164</v>
      </c>
      <c r="D792" s="10" t="s">
        <v>165</v>
      </c>
      <c r="E792" s="11" t="str">
        <f>+HYPERLINK("http://trademark.i-assist.jp/data/china/image_1901th/78855802.pdf", "78855802")</f>
        <v>78855802</v>
      </c>
      <c r="F792" s="10" t="s">
        <v>2392</v>
      </c>
      <c r="G792" s="10" t="s">
        <v>2393</v>
      </c>
      <c r="H792" s="10" t="s">
        <v>2394</v>
      </c>
      <c r="I792" s="10" t="s">
        <v>2240</v>
      </c>
    </row>
    <row r="793" spans="1:9" x14ac:dyDescent="0.15">
      <c r="A793" s="9">
        <v>792</v>
      </c>
      <c r="B793" s="10" t="s">
        <v>9</v>
      </c>
      <c r="C793" s="10" t="s">
        <v>164</v>
      </c>
      <c r="D793" s="10" t="s">
        <v>165</v>
      </c>
      <c r="E793" s="11" t="str">
        <f>+HYPERLINK("http://trademark.i-assist.jp/data/china/image_1901th/78857487.pdf", "78857487")</f>
        <v>78857487</v>
      </c>
      <c r="F793" s="10" t="s">
        <v>2395</v>
      </c>
      <c r="G793" s="10" t="s">
        <v>2396</v>
      </c>
      <c r="H793" s="10" t="s">
        <v>2397</v>
      </c>
      <c r="I793" s="10" t="s">
        <v>2240</v>
      </c>
    </row>
    <row r="794" spans="1:9" x14ac:dyDescent="0.15">
      <c r="A794" s="9">
        <v>793</v>
      </c>
      <c r="B794" s="10" t="s">
        <v>9</v>
      </c>
      <c r="C794" s="10" t="s">
        <v>164</v>
      </c>
      <c r="D794" s="10" t="s">
        <v>165</v>
      </c>
      <c r="E794" s="11" t="str">
        <f>+HYPERLINK("http://trademark.i-assist.jp/data/china/image_1901th/78857784.pdf", "78857784")</f>
        <v>78857784</v>
      </c>
      <c r="F794" s="10" t="s">
        <v>2398</v>
      </c>
      <c r="G794" s="10" t="s">
        <v>2399</v>
      </c>
      <c r="H794" s="10" t="s">
        <v>2400</v>
      </c>
      <c r="I794" s="10" t="s">
        <v>2240</v>
      </c>
    </row>
    <row r="795" spans="1:9" x14ac:dyDescent="0.15">
      <c r="A795" s="9">
        <v>794</v>
      </c>
      <c r="B795" s="10" t="s">
        <v>9</v>
      </c>
      <c r="C795" s="10" t="s">
        <v>164</v>
      </c>
      <c r="D795" s="10" t="s">
        <v>165</v>
      </c>
      <c r="E795" s="11" t="str">
        <f>+HYPERLINK("http://trademark.i-assist.jp/data/china/image_1901th/78858605.pdf", "78858605")</f>
        <v>78858605</v>
      </c>
      <c r="F795" s="10" t="s">
        <v>2401</v>
      </c>
      <c r="G795" s="10" t="s">
        <v>2402</v>
      </c>
      <c r="H795" s="10" t="s">
        <v>2403</v>
      </c>
      <c r="I795" s="10" t="s">
        <v>2240</v>
      </c>
    </row>
    <row r="796" spans="1:9" x14ac:dyDescent="0.15">
      <c r="A796" s="9">
        <v>795</v>
      </c>
      <c r="B796" s="10" t="s">
        <v>9</v>
      </c>
      <c r="C796" s="10" t="s">
        <v>164</v>
      </c>
      <c r="D796" s="10" t="s">
        <v>165</v>
      </c>
      <c r="E796" s="11" t="str">
        <f>+HYPERLINK("http://trademark.i-assist.jp/data/china/image_1901th/78858866.pdf", "78858866")</f>
        <v>78858866</v>
      </c>
      <c r="F796" s="10" t="s">
        <v>2404</v>
      </c>
      <c r="G796" s="10" t="s">
        <v>2405</v>
      </c>
      <c r="H796" s="10" t="s">
        <v>2406</v>
      </c>
      <c r="I796" s="10" t="s">
        <v>2240</v>
      </c>
    </row>
    <row r="797" spans="1:9" x14ac:dyDescent="0.15">
      <c r="A797" s="9">
        <v>796</v>
      </c>
      <c r="B797" s="10" t="s">
        <v>9</v>
      </c>
      <c r="C797" s="10" t="s">
        <v>164</v>
      </c>
      <c r="D797" s="10" t="s">
        <v>165</v>
      </c>
      <c r="E797" s="11" t="str">
        <f>+HYPERLINK("http://trademark.i-assist.jp/data/china/image_1901th/78858933.pdf", "78858933")</f>
        <v>78858933</v>
      </c>
      <c r="F797" s="10" t="s">
        <v>2407</v>
      </c>
      <c r="G797" s="10" t="s">
        <v>2408</v>
      </c>
      <c r="H797" s="10" t="s">
        <v>2409</v>
      </c>
      <c r="I797" s="10" t="s">
        <v>2240</v>
      </c>
    </row>
    <row r="798" spans="1:9" x14ac:dyDescent="0.15">
      <c r="A798" s="9">
        <v>797</v>
      </c>
      <c r="B798" s="10" t="s">
        <v>9</v>
      </c>
      <c r="C798" s="10" t="s">
        <v>164</v>
      </c>
      <c r="D798" s="10" t="s">
        <v>165</v>
      </c>
      <c r="E798" s="11" t="str">
        <f>+HYPERLINK("http://trademark.i-assist.jp/data/china/image_1901th/78859270.pdf", "78859270")</f>
        <v>78859270</v>
      </c>
      <c r="F798" s="10" t="s">
        <v>2410</v>
      </c>
      <c r="G798" s="10" t="s">
        <v>2411</v>
      </c>
      <c r="H798" s="10" t="s">
        <v>2412</v>
      </c>
      <c r="I798" s="10" t="s">
        <v>2240</v>
      </c>
    </row>
    <row r="799" spans="1:9" x14ac:dyDescent="0.15">
      <c r="A799" s="9">
        <v>798</v>
      </c>
      <c r="B799" s="10" t="s">
        <v>9</v>
      </c>
      <c r="C799" s="10" t="s">
        <v>164</v>
      </c>
      <c r="D799" s="10" t="s">
        <v>165</v>
      </c>
      <c r="E799" s="11" t="str">
        <f>+HYPERLINK("http://trademark.i-assist.jp/data/china/image_1901th/78859565.pdf", "78859565")</f>
        <v>78859565</v>
      </c>
      <c r="F799" s="10" t="s">
        <v>2413</v>
      </c>
      <c r="G799" s="10" t="s">
        <v>2414</v>
      </c>
      <c r="H799" s="10" t="s">
        <v>2415</v>
      </c>
      <c r="I799" s="10" t="s">
        <v>2240</v>
      </c>
    </row>
    <row r="800" spans="1:9" x14ac:dyDescent="0.15">
      <c r="A800" s="9">
        <v>799</v>
      </c>
      <c r="B800" s="10" t="s">
        <v>9</v>
      </c>
      <c r="C800" s="10" t="s">
        <v>164</v>
      </c>
      <c r="D800" s="10" t="s">
        <v>165</v>
      </c>
      <c r="E800" s="11" t="str">
        <f>+HYPERLINK("http://trademark.i-assist.jp/data/china/image_1901th/78859646.pdf", "78859646")</f>
        <v>78859646</v>
      </c>
      <c r="F800" s="10" t="s">
        <v>2416</v>
      </c>
      <c r="G800" s="10" t="s">
        <v>2417</v>
      </c>
      <c r="H800" s="10" t="s">
        <v>2418</v>
      </c>
      <c r="I800" s="10" t="s">
        <v>2240</v>
      </c>
    </row>
    <row r="801" spans="1:9" x14ac:dyDescent="0.15">
      <c r="A801" s="9">
        <v>800</v>
      </c>
      <c r="B801" s="10" t="s">
        <v>9</v>
      </c>
      <c r="C801" s="10" t="s">
        <v>164</v>
      </c>
      <c r="D801" s="10" t="s">
        <v>165</v>
      </c>
      <c r="E801" s="11" t="str">
        <f>+HYPERLINK("http://trademark.i-assist.jp/data/china/image_1901th/78859818.pdf", "78859818")</f>
        <v>78859818</v>
      </c>
      <c r="F801" s="10" t="s">
        <v>2419</v>
      </c>
      <c r="G801" s="10" t="s">
        <v>2420</v>
      </c>
      <c r="H801" s="10" t="s">
        <v>2421</v>
      </c>
      <c r="I801" s="10" t="s">
        <v>2240</v>
      </c>
    </row>
    <row r="802" spans="1:9" x14ac:dyDescent="0.15">
      <c r="A802" s="9">
        <v>801</v>
      </c>
      <c r="B802" s="10" t="s">
        <v>9</v>
      </c>
      <c r="C802" s="10" t="s">
        <v>164</v>
      </c>
      <c r="D802" s="10" t="s">
        <v>165</v>
      </c>
      <c r="E802" s="11" t="str">
        <f>+HYPERLINK("http://trademark.i-assist.jp/data/china/image_1901th/78860592.pdf", "78860592")</f>
        <v>78860592</v>
      </c>
      <c r="F802" s="10" t="s">
        <v>2422</v>
      </c>
      <c r="G802" s="10" t="s">
        <v>2423</v>
      </c>
      <c r="H802" s="10" t="s">
        <v>2424</v>
      </c>
      <c r="I802" s="10" t="s">
        <v>2240</v>
      </c>
    </row>
    <row r="803" spans="1:9" x14ac:dyDescent="0.15">
      <c r="A803" s="9">
        <v>802</v>
      </c>
      <c r="B803" s="10" t="s">
        <v>9</v>
      </c>
      <c r="C803" s="10" t="s">
        <v>164</v>
      </c>
      <c r="D803" s="10" t="s">
        <v>165</v>
      </c>
      <c r="E803" s="11" t="str">
        <f>+HYPERLINK("http://trademark.i-assist.jp/data/china/image_1901th/78860925.pdf", "78860925")</f>
        <v>78860925</v>
      </c>
      <c r="F803" s="10" t="s">
        <v>2425</v>
      </c>
      <c r="G803" s="10" t="s">
        <v>2426</v>
      </c>
      <c r="H803" s="10" t="s">
        <v>2427</v>
      </c>
      <c r="I803" s="10" t="s">
        <v>2240</v>
      </c>
    </row>
    <row r="804" spans="1:9" x14ac:dyDescent="0.15">
      <c r="A804" s="9">
        <v>803</v>
      </c>
      <c r="B804" s="10" t="s">
        <v>9</v>
      </c>
      <c r="C804" s="10" t="s">
        <v>164</v>
      </c>
      <c r="D804" s="10" t="s">
        <v>165</v>
      </c>
      <c r="E804" s="11" t="str">
        <f>+HYPERLINK("http://trademark.i-assist.jp/data/china/image_1901th/78861180.pdf", "78861180")</f>
        <v>78861180</v>
      </c>
      <c r="F804" s="10" t="s">
        <v>2428</v>
      </c>
      <c r="G804" s="10" t="s">
        <v>2429</v>
      </c>
      <c r="H804" s="10" t="s">
        <v>2430</v>
      </c>
      <c r="I804" s="10" t="s">
        <v>2240</v>
      </c>
    </row>
    <row r="805" spans="1:9" x14ac:dyDescent="0.15">
      <c r="A805" s="9">
        <v>804</v>
      </c>
      <c r="B805" s="10" t="s">
        <v>9</v>
      </c>
      <c r="C805" s="10" t="s">
        <v>164</v>
      </c>
      <c r="D805" s="10" t="s">
        <v>165</v>
      </c>
      <c r="E805" s="11" t="str">
        <f>+HYPERLINK("http://trademark.i-assist.jp/data/china/image_1901th/78861200.pdf", "78861200")</f>
        <v>78861200</v>
      </c>
      <c r="F805" s="10" t="s">
        <v>2431</v>
      </c>
      <c r="G805" s="10" t="s">
        <v>2432</v>
      </c>
      <c r="H805" s="10" t="s">
        <v>2433</v>
      </c>
      <c r="I805" s="10" t="s">
        <v>2240</v>
      </c>
    </row>
    <row r="806" spans="1:9" x14ac:dyDescent="0.15">
      <c r="A806" s="9">
        <v>805</v>
      </c>
      <c r="B806" s="10" t="s">
        <v>9</v>
      </c>
      <c r="C806" s="10" t="s">
        <v>164</v>
      </c>
      <c r="D806" s="10" t="s">
        <v>165</v>
      </c>
      <c r="E806" s="11" t="str">
        <f>+HYPERLINK("http://trademark.i-assist.jp/data/china/image_1901th/78861204.pdf", "78861204")</f>
        <v>78861204</v>
      </c>
      <c r="F806" s="10" t="s">
        <v>2434</v>
      </c>
      <c r="G806" s="10" t="s">
        <v>2435</v>
      </c>
      <c r="H806" s="10" t="s">
        <v>2436</v>
      </c>
      <c r="I806" s="10" t="s">
        <v>2240</v>
      </c>
    </row>
    <row r="807" spans="1:9" x14ac:dyDescent="0.15">
      <c r="A807" s="9">
        <v>806</v>
      </c>
      <c r="B807" s="10" t="s">
        <v>9</v>
      </c>
      <c r="C807" s="10" t="s">
        <v>164</v>
      </c>
      <c r="D807" s="10" t="s">
        <v>165</v>
      </c>
      <c r="E807" s="11" t="str">
        <f>+HYPERLINK("http://trademark.i-assist.jp/data/china/image_1901th/78862210.pdf", "78862210")</f>
        <v>78862210</v>
      </c>
      <c r="F807" s="10" t="s">
        <v>2437</v>
      </c>
      <c r="G807" s="10" t="s">
        <v>2438</v>
      </c>
      <c r="H807" s="10" t="s">
        <v>2439</v>
      </c>
      <c r="I807" s="10" t="s">
        <v>2240</v>
      </c>
    </row>
    <row r="808" spans="1:9" x14ac:dyDescent="0.15">
      <c r="A808" s="9">
        <v>807</v>
      </c>
      <c r="B808" s="10" t="s">
        <v>9</v>
      </c>
      <c r="C808" s="10" t="s">
        <v>164</v>
      </c>
      <c r="D808" s="10" t="s">
        <v>165</v>
      </c>
      <c r="E808" s="11" t="str">
        <f>+HYPERLINK("http://trademark.i-assist.jp/data/china/image_1901th/78863126.pdf", "78863126")</f>
        <v>78863126</v>
      </c>
      <c r="F808" s="10" t="s">
        <v>2440</v>
      </c>
      <c r="G808" s="10" t="s">
        <v>2441</v>
      </c>
      <c r="H808" s="10" t="s">
        <v>2442</v>
      </c>
      <c r="I808" s="10" t="s">
        <v>2240</v>
      </c>
    </row>
    <row r="809" spans="1:9" x14ac:dyDescent="0.15">
      <c r="A809" s="9">
        <v>808</v>
      </c>
      <c r="B809" s="10" t="s">
        <v>9</v>
      </c>
      <c r="C809" s="10" t="s">
        <v>164</v>
      </c>
      <c r="D809" s="10" t="s">
        <v>165</v>
      </c>
      <c r="E809" s="11" t="str">
        <f>+HYPERLINK("http://trademark.i-assist.jp/data/china/image_1901th/78863171.pdf", "78863171")</f>
        <v>78863171</v>
      </c>
      <c r="F809" s="10" t="s">
        <v>2443</v>
      </c>
      <c r="G809" s="10" t="s">
        <v>2444</v>
      </c>
      <c r="H809" s="10" t="s">
        <v>2445</v>
      </c>
      <c r="I809" s="10" t="s">
        <v>2240</v>
      </c>
    </row>
    <row r="810" spans="1:9" x14ac:dyDescent="0.15">
      <c r="A810" s="9">
        <v>809</v>
      </c>
      <c r="B810" s="10" t="s">
        <v>9</v>
      </c>
      <c r="C810" s="10" t="s">
        <v>164</v>
      </c>
      <c r="D810" s="10" t="s">
        <v>165</v>
      </c>
      <c r="E810" s="11" t="str">
        <f>+HYPERLINK("http://trademark.i-assist.jp/data/china/image_1901th/78863250.pdf", "78863250")</f>
        <v>78863250</v>
      </c>
      <c r="F810" s="10" t="s">
        <v>2446</v>
      </c>
      <c r="G810" s="10" t="s">
        <v>2272</v>
      </c>
      <c r="H810" s="10" t="s">
        <v>2447</v>
      </c>
      <c r="I810" s="10" t="s">
        <v>2240</v>
      </c>
    </row>
    <row r="811" spans="1:9" x14ac:dyDescent="0.15">
      <c r="A811" s="9">
        <v>810</v>
      </c>
      <c r="B811" s="10" t="s">
        <v>9</v>
      </c>
      <c r="C811" s="10" t="s">
        <v>164</v>
      </c>
      <c r="D811" s="10" t="s">
        <v>165</v>
      </c>
      <c r="E811" s="11" t="str">
        <f>+HYPERLINK("http://trademark.i-assist.jp/data/china/image_1901th/78864484.pdf", "78864484")</f>
        <v>78864484</v>
      </c>
      <c r="F811" s="10" t="s">
        <v>2448</v>
      </c>
      <c r="G811" s="10" t="s">
        <v>2449</v>
      </c>
      <c r="H811" s="10" t="s">
        <v>2450</v>
      </c>
      <c r="I811" s="10" t="s">
        <v>2240</v>
      </c>
    </row>
    <row r="812" spans="1:9" x14ac:dyDescent="0.15">
      <c r="A812" s="9">
        <v>811</v>
      </c>
      <c r="B812" s="10" t="s">
        <v>9</v>
      </c>
      <c r="C812" s="10" t="s">
        <v>164</v>
      </c>
      <c r="D812" s="10" t="s">
        <v>165</v>
      </c>
      <c r="E812" s="11" t="str">
        <f>+HYPERLINK("http://trademark.i-assist.jp/data/china/image_1901th/78864513.pdf", "78864513")</f>
        <v>78864513</v>
      </c>
      <c r="F812" s="10" t="s">
        <v>2451</v>
      </c>
      <c r="G812" s="10" t="s">
        <v>2452</v>
      </c>
      <c r="H812" s="10" t="s">
        <v>2453</v>
      </c>
      <c r="I812" s="10" t="s">
        <v>2240</v>
      </c>
    </row>
    <row r="813" spans="1:9" x14ac:dyDescent="0.15">
      <c r="A813" s="9">
        <v>812</v>
      </c>
      <c r="B813" s="10" t="s">
        <v>9</v>
      </c>
      <c r="C813" s="10" t="s">
        <v>164</v>
      </c>
      <c r="D813" s="10" t="s">
        <v>165</v>
      </c>
      <c r="E813" s="11" t="str">
        <f>+HYPERLINK("http://trademark.i-assist.jp/data/china/image_1901th/78864515.pdf", "78864515")</f>
        <v>78864515</v>
      </c>
      <c r="F813" s="10" t="s">
        <v>2454</v>
      </c>
      <c r="G813" s="10" t="s">
        <v>2455</v>
      </c>
      <c r="H813" s="10" t="s">
        <v>2456</v>
      </c>
      <c r="I813" s="10" t="s">
        <v>2240</v>
      </c>
    </row>
    <row r="814" spans="1:9" x14ac:dyDescent="0.15">
      <c r="A814" s="9">
        <v>813</v>
      </c>
      <c r="B814" s="10" t="s">
        <v>9</v>
      </c>
      <c r="C814" s="10" t="s">
        <v>164</v>
      </c>
      <c r="D814" s="10" t="s">
        <v>165</v>
      </c>
      <c r="E814" s="11" t="str">
        <f>+HYPERLINK("http://trademark.i-assist.jp/data/china/image_1901th/78864651.pdf", "78864651")</f>
        <v>78864651</v>
      </c>
      <c r="F814" s="10" t="s">
        <v>2457</v>
      </c>
      <c r="G814" s="10" t="s">
        <v>2458</v>
      </c>
      <c r="H814" s="10" t="s">
        <v>2459</v>
      </c>
      <c r="I814" s="10" t="s">
        <v>2240</v>
      </c>
    </row>
    <row r="815" spans="1:9" x14ac:dyDescent="0.15">
      <c r="A815" s="9">
        <v>814</v>
      </c>
      <c r="B815" s="10" t="s">
        <v>9</v>
      </c>
      <c r="C815" s="10" t="s">
        <v>164</v>
      </c>
      <c r="D815" s="10" t="s">
        <v>165</v>
      </c>
      <c r="E815" s="11" t="str">
        <f>+HYPERLINK("http://trademark.i-assist.jp/data/china/image_1901th/78864663.pdf", "78864663")</f>
        <v>78864663</v>
      </c>
      <c r="F815" s="10" t="s">
        <v>2460</v>
      </c>
      <c r="G815" s="10" t="s">
        <v>2278</v>
      </c>
      <c r="H815" s="10" t="s">
        <v>27</v>
      </c>
      <c r="I815" s="10" t="s">
        <v>2240</v>
      </c>
    </row>
    <row r="816" spans="1:9" x14ac:dyDescent="0.15">
      <c r="A816" s="9">
        <v>815</v>
      </c>
      <c r="B816" s="10" t="s">
        <v>9</v>
      </c>
      <c r="C816" s="10" t="s">
        <v>164</v>
      </c>
      <c r="D816" s="10" t="s">
        <v>165</v>
      </c>
      <c r="E816" s="11" t="str">
        <f>+HYPERLINK("http://trademark.i-assist.jp/data/china/image_1901th/78864790.pdf", "78864790")</f>
        <v>78864790</v>
      </c>
      <c r="F816" s="10" t="s">
        <v>2461</v>
      </c>
      <c r="G816" s="10" t="s">
        <v>2344</v>
      </c>
      <c r="H816" s="10" t="s">
        <v>2462</v>
      </c>
      <c r="I816" s="10" t="s">
        <v>2240</v>
      </c>
    </row>
    <row r="817" spans="1:9" x14ac:dyDescent="0.15">
      <c r="A817" s="9">
        <v>816</v>
      </c>
      <c r="B817" s="10" t="s">
        <v>9</v>
      </c>
      <c r="C817" s="10" t="s">
        <v>164</v>
      </c>
      <c r="D817" s="10" t="s">
        <v>165</v>
      </c>
      <c r="E817" s="11" t="str">
        <f>+HYPERLINK("http://trademark.i-assist.jp/data/china/image_1901th/78864799.pdf", "78864799")</f>
        <v>78864799</v>
      </c>
      <c r="F817" s="10" t="s">
        <v>2463</v>
      </c>
      <c r="G817" s="10" t="s">
        <v>2464</v>
      </c>
      <c r="H817" s="10" t="s">
        <v>2465</v>
      </c>
      <c r="I817" s="10" t="s">
        <v>2240</v>
      </c>
    </row>
    <row r="818" spans="1:9" x14ac:dyDescent="0.15">
      <c r="A818" s="9">
        <v>817</v>
      </c>
      <c r="B818" s="10" t="s">
        <v>9</v>
      </c>
      <c r="C818" s="10" t="s">
        <v>164</v>
      </c>
      <c r="D818" s="10" t="s">
        <v>165</v>
      </c>
      <c r="E818" s="11" t="str">
        <f>+HYPERLINK("http://trademark.i-assist.jp/data/china/image_1901th/78865121.pdf", "78865121")</f>
        <v>78865121</v>
      </c>
      <c r="F818" s="10" t="s">
        <v>2466</v>
      </c>
      <c r="G818" s="10" t="s">
        <v>2467</v>
      </c>
      <c r="H818" s="10" t="s">
        <v>2468</v>
      </c>
      <c r="I818" s="10" t="s">
        <v>163</v>
      </c>
    </row>
    <row r="819" spans="1:9" x14ac:dyDescent="0.15">
      <c r="A819" s="9">
        <v>818</v>
      </c>
      <c r="B819" s="10" t="s">
        <v>9</v>
      </c>
      <c r="C819" s="10" t="s">
        <v>164</v>
      </c>
      <c r="D819" s="10" t="s">
        <v>165</v>
      </c>
      <c r="E819" s="11" t="str">
        <f>+HYPERLINK("http://trademark.i-assist.jp/data/china/image_1901th/78865196.pdf", "78865196")</f>
        <v>78865196</v>
      </c>
      <c r="F819" s="10" t="s">
        <v>2469</v>
      </c>
      <c r="G819" s="10" t="s">
        <v>2470</v>
      </c>
      <c r="H819" s="10" t="s">
        <v>2471</v>
      </c>
      <c r="I819" s="10" t="s">
        <v>163</v>
      </c>
    </row>
    <row r="820" spans="1:9" x14ac:dyDescent="0.15">
      <c r="A820" s="9">
        <v>819</v>
      </c>
      <c r="B820" s="10" t="s">
        <v>9</v>
      </c>
      <c r="C820" s="10" t="s">
        <v>164</v>
      </c>
      <c r="D820" s="10" t="s">
        <v>165</v>
      </c>
      <c r="E820" s="11" t="str">
        <f>+HYPERLINK("http://trademark.i-assist.jp/data/china/image_1901th/78865613.pdf", "78865613")</f>
        <v>78865613</v>
      </c>
      <c r="F820" s="10" t="s">
        <v>2472</v>
      </c>
      <c r="G820" s="10" t="s">
        <v>2473</v>
      </c>
      <c r="H820" s="10" t="s">
        <v>2474</v>
      </c>
      <c r="I820" s="10" t="s">
        <v>163</v>
      </c>
    </row>
    <row r="821" spans="1:9" x14ac:dyDescent="0.15">
      <c r="A821" s="9">
        <v>820</v>
      </c>
      <c r="B821" s="10" t="s">
        <v>9</v>
      </c>
      <c r="C821" s="10" t="s">
        <v>164</v>
      </c>
      <c r="D821" s="10" t="s">
        <v>165</v>
      </c>
      <c r="E821" s="11" t="str">
        <f>+HYPERLINK("http://trademark.i-assist.jp/data/china/image_1901th/78865629.pdf", "78865629")</f>
        <v>78865629</v>
      </c>
      <c r="F821" s="10" t="s">
        <v>2475</v>
      </c>
      <c r="G821" s="10" t="s">
        <v>2476</v>
      </c>
      <c r="H821" s="10" t="s">
        <v>2477</v>
      </c>
      <c r="I821" s="10" t="s">
        <v>163</v>
      </c>
    </row>
    <row r="822" spans="1:9" x14ac:dyDescent="0.15">
      <c r="A822" s="9">
        <v>821</v>
      </c>
      <c r="B822" s="10" t="s">
        <v>9</v>
      </c>
      <c r="C822" s="10" t="s">
        <v>164</v>
      </c>
      <c r="D822" s="10" t="s">
        <v>165</v>
      </c>
      <c r="E822" s="11" t="str">
        <f>+HYPERLINK("http://trademark.i-assist.jp/data/china/image_1901th/78866010.pdf", "78866010")</f>
        <v>78866010</v>
      </c>
      <c r="F822" s="10" t="s">
        <v>2478</v>
      </c>
      <c r="G822" s="10" t="s">
        <v>2479</v>
      </c>
      <c r="H822" s="10" t="s">
        <v>2480</v>
      </c>
      <c r="I822" s="10" t="s">
        <v>163</v>
      </c>
    </row>
    <row r="823" spans="1:9" x14ac:dyDescent="0.15">
      <c r="A823" s="9">
        <v>822</v>
      </c>
      <c r="B823" s="10" t="s">
        <v>9</v>
      </c>
      <c r="C823" s="10" t="s">
        <v>164</v>
      </c>
      <c r="D823" s="10" t="s">
        <v>165</v>
      </c>
      <c r="E823" s="11" t="str">
        <f>+HYPERLINK("http://trademark.i-assist.jp/data/china/image_1901th/78866298.pdf", "78866298")</f>
        <v>78866298</v>
      </c>
      <c r="F823" s="10" t="s">
        <v>2481</v>
      </c>
      <c r="G823" s="10" t="s">
        <v>2482</v>
      </c>
      <c r="H823" s="10" t="s">
        <v>2483</v>
      </c>
      <c r="I823" s="10" t="s">
        <v>163</v>
      </c>
    </row>
    <row r="824" spans="1:9" x14ac:dyDescent="0.15">
      <c r="A824" s="9">
        <v>823</v>
      </c>
      <c r="B824" s="10" t="s">
        <v>9</v>
      </c>
      <c r="C824" s="10" t="s">
        <v>164</v>
      </c>
      <c r="D824" s="10" t="s">
        <v>165</v>
      </c>
      <c r="E824" s="11" t="str">
        <f>+HYPERLINK("http://trademark.i-assist.jp/data/china/image_1901th/78867374.pdf", "78867374")</f>
        <v>78867374</v>
      </c>
      <c r="F824" s="10" t="s">
        <v>2484</v>
      </c>
      <c r="G824" s="10" t="s">
        <v>115</v>
      </c>
      <c r="H824" s="10" t="s">
        <v>2485</v>
      </c>
      <c r="I824" s="10" t="s">
        <v>163</v>
      </c>
    </row>
    <row r="825" spans="1:9" x14ac:dyDescent="0.15">
      <c r="A825" s="9">
        <v>824</v>
      </c>
      <c r="B825" s="10" t="s">
        <v>9</v>
      </c>
      <c r="C825" s="10" t="s">
        <v>164</v>
      </c>
      <c r="D825" s="10" t="s">
        <v>165</v>
      </c>
      <c r="E825" s="11" t="str">
        <f>+HYPERLINK("http://trademark.i-assist.jp/data/china/image_1901th/78867473.pdf", "78867473")</f>
        <v>78867473</v>
      </c>
      <c r="F825" s="10" t="s">
        <v>2486</v>
      </c>
      <c r="G825" s="10" t="s">
        <v>2487</v>
      </c>
      <c r="H825" s="10" t="s">
        <v>2488</v>
      </c>
      <c r="I825" s="10" t="s">
        <v>163</v>
      </c>
    </row>
    <row r="826" spans="1:9" x14ac:dyDescent="0.15">
      <c r="A826" s="9">
        <v>825</v>
      </c>
      <c r="B826" s="10" t="s">
        <v>9</v>
      </c>
      <c r="C826" s="10" t="s">
        <v>164</v>
      </c>
      <c r="D826" s="10" t="s">
        <v>165</v>
      </c>
      <c r="E826" s="11" t="str">
        <f>+HYPERLINK("http://trademark.i-assist.jp/data/china/image_1901th/78867606.pdf", "78867606")</f>
        <v>78867606</v>
      </c>
      <c r="F826" s="10" t="s">
        <v>2489</v>
      </c>
      <c r="G826" s="10" t="s">
        <v>2490</v>
      </c>
      <c r="H826" s="10" t="s">
        <v>2491</v>
      </c>
      <c r="I826" s="10" t="s">
        <v>163</v>
      </c>
    </row>
    <row r="827" spans="1:9" x14ac:dyDescent="0.15">
      <c r="A827" s="9">
        <v>826</v>
      </c>
      <c r="B827" s="10" t="s">
        <v>9</v>
      </c>
      <c r="C827" s="10" t="s">
        <v>164</v>
      </c>
      <c r="D827" s="10" t="s">
        <v>165</v>
      </c>
      <c r="E827" s="11" t="str">
        <f>+HYPERLINK("http://trademark.i-assist.jp/data/china/image_1901th/78867611.pdf", "78867611")</f>
        <v>78867611</v>
      </c>
      <c r="F827" s="10" t="s">
        <v>2492</v>
      </c>
      <c r="G827" s="10" t="s">
        <v>2493</v>
      </c>
      <c r="H827" s="10" t="s">
        <v>2494</v>
      </c>
      <c r="I827" s="10" t="s">
        <v>163</v>
      </c>
    </row>
    <row r="828" spans="1:9" x14ac:dyDescent="0.15">
      <c r="A828" s="9">
        <v>827</v>
      </c>
      <c r="B828" s="10" t="s">
        <v>9</v>
      </c>
      <c r="C828" s="10" t="s">
        <v>164</v>
      </c>
      <c r="D828" s="10" t="s">
        <v>165</v>
      </c>
      <c r="E828" s="11" t="str">
        <f>+HYPERLINK("http://trademark.i-assist.jp/data/china/image_1901th/78867848.pdf", "78867848")</f>
        <v>78867848</v>
      </c>
      <c r="F828" s="10" t="s">
        <v>2495</v>
      </c>
      <c r="G828" s="10" t="s">
        <v>161</v>
      </c>
      <c r="H828" s="10" t="s">
        <v>2496</v>
      </c>
      <c r="I828" s="10" t="s">
        <v>163</v>
      </c>
    </row>
    <row r="829" spans="1:9" x14ac:dyDescent="0.15">
      <c r="A829" s="9">
        <v>828</v>
      </c>
      <c r="B829" s="10" t="s">
        <v>9</v>
      </c>
      <c r="C829" s="10" t="s">
        <v>164</v>
      </c>
      <c r="D829" s="10" t="s">
        <v>165</v>
      </c>
      <c r="E829" s="11" t="str">
        <f>+HYPERLINK("http://trademark.i-assist.jp/data/china/image_1901th/78867867.pdf", "78867867")</f>
        <v>78867867</v>
      </c>
      <c r="F829" s="10" t="s">
        <v>2497</v>
      </c>
      <c r="G829" s="10" t="s">
        <v>2498</v>
      </c>
      <c r="H829" s="10" t="s">
        <v>2499</v>
      </c>
      <c r="I829" s="10" t="s">
        <v>163</v>
      </c>
    </row>
    <row r="830" spans="1:9" x14ac:dyDescent="0.15">
      <c r="A830" s="9">
        <v>829</v>
      </c>
      <c r="B830" s="10" t="s">
        <v>9</v>
      </c>
      <c r="C830" s="10" t="s">
        <v>164</v>
      </c>
      <c r="D830" s="10" t="s">
        <v>165</v>
      </c>
      <c r="E830" s="11" t="str">
        <f>+HYPERLINK("http://trademark.i-assist.jp/data/china/image_1901th/78868122.pdf", "78868122")</f>
        <v>78868122</v>
      </c>
      <c r="F830" s="10" t="s">
        <v>2500</v>
      </c>
      <c r="G830" s="10" t="s">
        <v>2501</v>
      </c>
      <c r="H830" s="10" t="s">
        <v>2502</v>
      </c>
      <c r="I830" s="10" t="s">
        <v>163</v>
      </c>
    </row>
    <row r="831" spans="1:9" x14ac:dyDescent="0.15">
      <c r="A831" s="9">
        <v>830</v>
      </c>
      <c r="B831" s="10" t="s">
        <v>9</v>
      </c>
      <c r="C831" s="10" t="s">
        <v>164</v>
      </c>
      <c r="D831" s="10" t="s">
        <v>165</v>
      </c>
      <c r="E831" s="11" t="str">
        <f>+HYPERLINK("http://trademark.i-assist.jp/data/china/image_1901th/78868393.pdf", "78868393")</f>
        <v>78868393</v>
      </c>
      <c r="F831" s="10" t="s">
        <v>2503</v>
      </c>
      <c r="G831" s="10" t="s">
        <v>2504</v>
      </c>
      <c r="H831" s="10" t="s">
        <v>2505</v>
      </c>
      <c r="I831" s="10" t="s">
        <v>163</v>
      </c>
    </row>
    <row r="832" spans="1:9" x14ac:dyDescent="0.15">
      <c r="A832" s="9">
        <v>831</v>
      </c>
      <c r="B832" s="10" t="s">
        <v>9</v>
      </c>
      <c r="C832" s="10" t="s">
        <v>164</v>
      </c>
      <c r="D832" s="10" t="s">
        <v>165</v>
      </c>
      <c r="E832" s="11" t="str">
        <f>+HYPERLINK("http://trademark.i-assist.jp/data/china/image_1901th/78868786.pdf", "78868786")</f>
        <v>78868786</v>
      </c>
      <c r="F832" s="10" t="s">
        <v>2506</v>
      </c>
      <c r="G832" s="10" t="s">
        <v>2507</v>
      </c>
      <c r="H832" s="10" t="s">
        <v>2508</v>
      </c>
      <c r="I832" s="10" t="s">
        <v>163</v>
      </c>
    </row>
    <row r="833" spans="1:9" x14ac:dyDescent="0.15">
      <c r="A833" s="9">
        <v>832</v>
      </c>
      <c r="B833" s="10" t="s">
        <v>9</v>
      </c>
      <c r="C833" s="10" t="s">
        <v>164</v>
      </c>
      <c r="D833" s="10" t="s">
        <v>165</v>
      </c>
      <c r="E833" s="11" t="str">
        <f>+HYPERLINK("http://trademark.i-assist.jp/data/china/image_1901th/78868968.pdf", "78868968")</f>
        <v>78868968</v>
      </c>
      <c r="F833" s="10" t="s">
        <v>2509</v>
      </c>
      <c r="G833" s="10" t="s">
        <v>2510</v>
      </c>
      <c r="H833" s="10" t="s">
        <v>2511</v>
      </c>
      <c r="I833" s="10" t="s">
        <v>163</v>
      </c>
    </row>
    <row r="834" spans="1:9" x14ac:dyDescent="0.15">
      <c r="A834" s="9">
        <v>833</v>
      </c>
      <c r="B834" s="10" t="s">
        <v>9</v>
      </c>
      <c r="C834" s="10" t="s">
        <v>164</v>
      </c>
      <c r="D834" s="10" t="s">
        <v>165</v>
      </c>
      <c r="E834" s="11" t="str">
        <f>+HYPERLINK("http://trademark.i-assist.jp/data/china/image_1901th/78869142.pdf", "78869142")</f>
        <v>78869142</v>
      </c>
      <c r="F834" s="10" t="s">
        <v>2512</v>
      </c>
      <c r="G834" s="10" t="s">
        <v>2487</v>
      </c>
      <c r="H834" s="10" t="s">
        <v>2513</v>
      </c>
      <c r="I834" s="10" t="s">
        <v>163</v>
      </c>
    </row>
    <row r="835" spans="1:9" x14ac:dyDescent="0.15">
      <c r="A835" s="9">
        <v>834</v>
      </c>
      <c r="B835" s="10" t="s">
        <v>9</v>
      </c>
      <c r="C835" s="10" t="s">
        <v>164</v>
      </c>
      <c r="D835" s="10" t="s">
        <v>165</v>
      </c>
      <c r="E835" s="11" t="str">
        <f>+HYPERLINK("http://trademark.i-assist.jp/data/china/image_1901th/78869276.pdf", "78869276")</f>
        <v>78869276</v>
      </c>
      <c r="F835" s="10" t="s">
        <v>2514</v>
      </c>
      <c r="G835" s="10" t="s">
        <v>2515</v>
      </c>
      <c r="H835" s="10" t="s">
        <v>2516</v>
      </c>
      <c r="I835" s="10" t="s">
        <v>163</v>
      </c>
    </row>
    <row r="836" spans="1:9" x14ac:dyDescent="0.15">
      <c r="A836" s="9">
        <v>835</v>
      </c>
      <c r="B836" s="10" t="s">
        <v>9</v>
      </c>
      <c r="C836" s="10" t="s">
        <v>164</v>
      </c>
      <c r="D836" s="10" t="s">
        <v>165</v>
      </c>
      <c r="E836" s="11" t="str">
        <f>+HYPERLINK("http://trademark.i-assist.jp/data/china/image_1901th/78869344.pdf", "78869344")</f>
        <v>78869344</v>
      </c>
      <c r="F836" s="10" t="s">
        <v>2517</v>
      </c>
      <c r="G836" s="10" t="s">
        <v>2518</v>
      </c>
      <c r="H836" s="10" t="s">
        <v>2519</v>
      </c>
      <c r="I836" s="10" t="s">
        <v>163</v>
      </c>
    </row>
    <row r="837" spans="1:9" x14ac:dyDescent="0.15">
      <c r="A837" s="9">
        <v>836</v>
      </c>
      <c r="B837" s="10" t="s">
        <v>9</v>
      </c>
      <c r="C837" s="10" t="s">
        <v>164</v>
      </c>
      <c r="D837" s="10" t="s">
        <v>165</v>
      </c>
      <c r="E837" s="11" t="str">
        <f>+HYPERLINK("http://trademark.i-assist.jp/data/china/image_1901th/78869452.pdf", "78869452")</f>
        <v>78869452</v>
      </c>
      <c r="F837" s="10" t="s">
        <v>2520</v>
      </c>
      <c r="G837" s="10" t="s">
        <v>2521</v>
      </c>
      <c r="H837" s="10" t="s">
        <v>2522</v>
      </c>
      <c r="I837" s="10" t="s">
        <v>163</v>
      </c>
    </row>
    <row r="838" spans="1:9" x14ac:dyDescent="0.15">
      <c r="A838" s="9">
        <v>837</v>
      </c>
      <c r="B838" s="10" t="s">
        <v>9</v>
      </c>
      <c r="C838" s="10" t="s">
        <v>164</v>
      </c>
      <c r="D838" s="10" t="s">
        <v>165</v>
      </c>
      <c r="E838" s="11" t="str">
        <f>+HYPERLINK("http://trademark.i-assist.jp/data/china/image_1901th/78869983.pdf", "78869983")</f>
        <v>78869983</v>
      </c>
      <c r="F838" s="10" t="s">
        <v>2523</v>
      </c>
      <c r="G838" s="10" t="s">
        <v>2524</v>
      </c>
      <c r="H838" s="10" t="s">
        <v>2525</v>
      </c>
      <c r="I838" s="10" t="s">
        <v>163</v>
      </c>
    </row>
    <row r="839" spans="1:9" x14ac:dyDescent="0.15">
      <c r="A839" s="9">
        <v>838</v>
      </c>
      <c r="B839" s="10" t="s">
        <v>9</v>
      </c>
      <c r="C839" s="10" t="s">
        <v>164</v>
      </c>
      <c r="D839" s="10" t="s">
        <v>165</v>
      </c>
      <c r="E839" s="11" t="str">
        <f>+HYPERLINK("http://trademark.i-assist.jp/data/china/image_1901th/78870781.pdf", "78870781")</f>
        <v>78870781</v>
      </c>
      <c r="F839" s="10" t="s">
        <v>2526</v>
      </c>
      <c r="G839" s="10" t="s">
        <v>2527</v>
      </c>
      <c r="H839" s="10" t="s">
        <v>2528</v>
      </c>
      <c r="I839" s="10" t="s">
        <v>163</v>
      </c>
    </row>
    <row r="840" spans="1:9" x14ac:dyDescent="0.15">
      <c r="A840" s="9">
        <v>839</v>
      </c>
      <c r="B840" s="10" t="s">
        <v>9</v>
      </c>
      <c r="C840" s="10" t="s">
        <v>164</v>
      </c>
      <c r="D840" s="10" t="s">
        <v>165</v>
      </c>
      <c r="E840" s="11" t="str">
        <f>+HYPERLINK("http://trademark.i-assist.jp/data/china/image_1901th/78871777.pdf", "78871777")</f>
        <v>78871777</v>
      </c>
      <c r="F840" s="10" t="s">
        <v>2529</v>
      </c>
      <c r="G840" s="10" t="s">
        <v>2530</v>
      </c>
      <c r="H840" s="10" t="s">
        <v>24</v>
      </c>
      <c r="I840" s="10" t="s">
        <v>163</v>
      </c>
    </row>
    <row r="841" spans="1:9" x14ac:dyDescent="0.15">
      <c r="A841" s="9">
        <v>840</v>
      </c>
      <c r="B841" s="10" t="s">
        <v>9</v>
      </c>
      <c r="C841" s="10" t="s">
        <v>164</v>
      </c>
      <c r="D841" s="10" t="s">
        <v>165</v>
      </c>
      <c r="E841" s="11" t="str">
        <f>+HYPERLINK("http://trademark.i-assist.jp/data/china/image_1901th/78871809.pdf", "78871809")</f>
        <v>78871809</v>
      </c>
      <c r="F841" s="10" t="s">
        <v>2531</v>
      </c>
      <c r="G841" s="10" t="s">
        <v>2532</v>
      </c>
      <c r="H841" s="10" t="s">
        <v>2533</v>
      </c>
      <c r="I841" s="10" t="s">
        <v>163</v>
      </c>
    </row>
    <row r="842" spans="1:9" x14ac:dyDescent="0.15">
      <c r="A842" s="9">
        <v>841</v>
      </c>
      <c r="B842" s="10" t="s">
        <v>9</v>
      </c>
      <c r="C842" s="10" t="s">
        <v>164</v>
      </c>
      <c r="D842" s="10" t="s">
        <v>165</v>
      </c>
      <c r="E842" s="11" t="str">
        <f>+HYPERLINK("http://trademark.i-assist.jp/data/china/image_1901th/78871870.pdf", "78871870")</f>
        <v>78871870</v>
      </c>
      <c r="F842" s="10" t="s">
        <v>2534</v>
      </c>
      <c r="G842" s="10" t="s">
        <v>2535</v>
      </c>
      <c r="H842" s="10" t="s">
        <v>2536</v>
      </c>
      <c r="I842" s="10" t="s">
        <v>163</v>
      </c>
    </row>
    <row r="843" spans="1:9" x14ac:dyDescent="0.15">
      <c r="A843" s="9">
        <v>842</v>
      </c>
      <c r="B843" s="10" t="s">
        <v>9</v>
      </c>
      <c r="C843" s="10" t="s">
        <v>164</v>
      </c>
      <c r="D843" s="10" t="s">
        <v>165</v>
      </c>
      <c r="E843" s="11" t="str">
        <f>+HYPERLINK("http://trademark.i-assist.jp/data/china/image_1901th/78872152.pdf", "78872152")</f>
        <v>78872152</v>
      </c>
      <c r="F843" s="10" t="s">
        <v>2537</v>
      </c>
      <c r="G843" s="10" t="s">
        <v>2538</v>
      </c>
      <c r="H843" s="10" t="s">
        <v>2539</v>
      </c>
      <c r="I843" s="10" t="s">
        <v>163</v>
      </c>
    </row>
    <row r="844" spans="1:9" x14ac:dyDescent="0.15">
      <c r="A844" s="9">
        <v>843</v>
      </c>
      <c r="B844" s="10" t="s">
        <v>9</v>
      </c>
      <c r="C844" s="10" t="s">
        <v>164</v>
      </c>
      <c r="D844" s="10" t="s">
        <v>165</v>
      </c>
      <c r="E844" s="11" t="str">
        <f>+HYPERLINK("http://trademark.i-assist.jp/data/china/image_1901th/78872197.pdf", "78872197")</f>
        <v>78872197</v>
      </c>
      <c r="F844" s="10" t="s">
        <v>2540</v>
      </c>
      <c r="G844" s="10" t="s">
        <v>2541</v>
      </c>
      <c r="H844" s="10" t="s">
        <v>2542</v>
      </c>
      <c r="I844" s="10" t="s">
        <v>163</v>
      </c>
    </row>
    <row r="845" spans="1:9" x14ac:dyDescent="0.15">
      <c r="A845" s="9">
        <v>844</v>
      </c>
      <c r="B845" s="10" t="s">
        <v>9</v>
      </c>
      <c r="C845" s="10" t="s">
        <v>164</v>
      </c>
      <c r="D845" s="10" t="s">
        <v>165</v>
      </c>
      <c r="E845" s="11" t="str">
        <f>+HYPERLINK("http://trademark.i-assist.jp/data/china/image_1901th/78872200.pdf", "78872200")</f>
        <v>78872200</v>
      </c>
      <c r="F845" s="10" t="s">
        <v>2543</v>
      </c>
      <c r="G845" s="10" t="s">
        <v>2544</v>
      </c>
      <c r="H845" s="10" t="s">
        <v>2545</v>
      </c>
      <c r="I845" s="10" t="s">
        <v>163</v>
      </c>
    </row>
    <row r="846" spans="1:9" x14ac:dyDescent="0.15">
      <c r="A846" s="9">
        <v>845</v>
      </c>
      <c r="B846" s="10" t="s">
        <v>9</v>
      </c>
      <c r="C846" s="10" t="s">
        <v>164</v>
      </c>
      <c r="D846" s="10" t="s">
        <v>165</v>
      </c>
      <c r="E846" s="11" t="str">
        <f>+HYPERLINK("http://trademark.i-assist.jp/data/china/image_1901th/78872410.pdf", "78872410")</f>
        <v>78872410</v>
      </c>
      <c r="F846" s="10" t="s">
        <v>2546</v>
      </c>
      <c r="G846" s="10" t="s">
        <v>2547</v>
      </c>
      <c r="H846" s="10" t="s">
        <v>2548</v>
      </c>
      <c r="I846" s="10" t="s">
        <v>163</v>
      </c>
    </row>
    <row r="847" spans="1:9" x14ac:dyDescent="0.15">
      <c r="A847" s="9">
        <v>846</v>
      </c>
      <c r="B847" s="10" t="s">
        <v>9</v>
      </c>
      <c r="C847" s="10" t="s">
        <v>164</v>
      </c>
      <c r="D847" s="10" t="s">
        <v>165</v>
      </c>
      <c r="E847" s="11" t="str">
        <f>+HYPERLINK("http://trademark.i-assist.jp/data/china/image_1901th/78873672.pdf", "78873672")</f>
        <v>78873672</v>
      </c>
      <c r="F847" s="10" t="s">
        <v>2549</v>
      </c>
      <c r="G847" s="10" t="s">
        <v>2550</v>
      </c>
      <c r="H847" s="10" t="s">
        <v>2551</v>
      </c>
      <c r="I847" s="10" t="s">
        <v>163</v>
      </c>
    </row>
    <row r="848" spans="1:9" x14ac:dyDescent="0.15">
      <c r="A848" s="9">
        <v>847</v>
      </c>
      <c r="B848" s="10" t="s">
        <v>9</v>
      </c>
      <c r="C848" s="10" t="s">
        <v>164</v>
      </c>
      <c r="D848" s="10" t="s">
        <v>165</v>
      </c>
      <c r="E848" s="11" t="str">
        <f>+HYPERLINK("http://trademark.i-assist.jp/data/china/image_1901th/78873767.pdf", "78873767")</f>
        <v>78873767</v>
      </c>
      <c r="F848" s="10" t="s">
        <v>2552</v>
      </c>
      <c r="G848" s="10" t="s">
        <v>2553</v>
      </c>
      <c r="H848" s="10" t="s">
        <v>2554</v>
      </c>
      <c r="I848" s="10" t="s">
        <v>163</v>
      </c>
    </row>
    <row r="849" spans="1:9" x14ac:dyDescent="0.15">
      <c r="A849" s="9">
        <v>848</v>
      </c>
      <c r="B849" s="10" t="s">
        <v>9</v>
      </c>
      <c r="C849" s="10" t="s">
        <v>164</v>
      </c>
      <c r="D849" s="10" t="s">
        <v>165</v>
      </c>
      <c r="E849" s="11" t="str">
        <f>+HYPERLINK("http://trademark.i-assist.jp/data/china/image_1901th/78873917.pdf", "78873917")</f>
        <v>78873917</v>
      </c>
      <c r="F849" s="10" t="s">
        <v>2555</v>
      </c>
      <c r="G849" s="10" t="s">
        <v>2556</v>
      </c>
      <c r="H849" s="10" t="s">
        <v>19</v>
      </c>
      <c r="I849" s="10" t="s">
        <v>19</v>
      </c>
    </row>
    <row r="850" spans="1:9" x14ac:dyDescent="0.15">
      <c r="A850" s="9">
        <v>849</v>
      </c>
      <c r="B850" s="10" t="s">
        <v>9</v>
      </c>
      <c r="C850" s="10" t="s">
        <v>164</v>
      </c>
      <c r="D850" s="10" t="s">
        <v>165</v>
      </c>
      <c r="E850" s="11" t="str">
        <f>+HYPERLINK("http://trademark.i-assist.jp/data/china/image_1901th/78874037.pdf", "78874037")</f>
        <v>78874037</v>
      </c>
      <c r="F850" s="10" t="s">
        <v>2557</v>
      </c>
      <c r="G850" s="10" t="s">
        <v>2558</v>
      </c>
      <c r="H850" s="10" t="s">
        <v>2559</v>
      </c>
      <c r="I850" s="10" t="s">
        <v>163</v>
      </c>
    </row>
    <row r="851" spans="1:9" x14ac:dyDescent="0.15">
      <c r="A851" s="9">
        <v>850</v>
      </c>
      <c r="B851" s="10" t="s">
        <v>9</v>
      </c>
      <c r="C851" s="10" t="s">
        <v>164</v>
      </c>
      <c r="D851" s="10" t="s">
        <v>165</v>
      </c>
      <c r="E851" s="11" t="str">
        <f>+HYPERLINK("http://trademark.i-assist.jp/data/china/image_1901th/78874065.pdf", "78874065")</f>
        <v>78874065</v>
      </c>
      <c r="F851" s="10" t="s">
        <v>2560</v>
      </c>
      <c r="G851" s="10" t="s">
        <v>2561</v>
      </c>
      <c r="H851" s="10" t="s">
        <v>2562</v>
      </c>
      <c r="I851" s="10" t="s">
        <v>163</v>
      </c>
    </row>
    <row r="852" spans="1:9" x14ac:dyDescent="0.15">
      <c r="A852" s="9">
        <v>851</v>
      </c>
      <c r="B852" s="10" t="s">
        <v>9</v>
      </c>
      <c r="C852" s="10" t="s">
        <v>164</v>
      </c>
      <c r="D852" s="10" t="s">
        <v>165</v>
      </c>
      <c r="E852" s="11" t="str">
        <f>+HYPERLINK("http://trademark.i-assist.jp/data/china/image_1901th/78874070.pdf", "78874070")</f>
        <v>78874070</v>
      </c>
      <c r="F852" s="10" t="s">
        <v>2563</v>
      </c>
      <c r="G852" s="10" t="s">
        <v>2564</v>
      </c>
      <c r="H852" s="10" t="s">
        <v>19</v>
      </c>
      <c r="I852" s="10" t="s">
        <v>163</v>
      </c>
    </row>
    <row r="853" spans="1:9" x14ac:dyDescent="0.15">
      <c r="A853" s="9">
        <v>852</v>
      </c>
      <c r="B853" s="10" t="s">
        <v>9</v>
      </c>
      <c r="C853" s="10" t="s">
        <v>164</v>
      </c>
      <c r="D853" s="10" t="s">
        <v>165</v>
      </c>
      <c r="E853" s="11" t="str">
        <f>+HYPERLINK("http://trademark.i-assist.jp/data/china/image_1901th/78874730.pdf", "78874730")</f>
        <v>78874730</v>
      </c>
      <c r="F853" s="10" t="s">
        <v>2565</v>
      </c>
      <c r="G853" s="10" t="s">
        <v>2566</v>
      </c>
      <c r="H853" s="10" t="s">
        <v>2567</v>
      </c>
      <c r="I853" s="10" t="s">
        <v>163</v>
      </c>
    </row>
    <row r="854" spans="1:9" x14ac:dyDescent="0.15">
      <c r="A854" s="9">
        <v>853</v>
      </c>
      <c r="B854" s="10" t="s">
        <v>9</v>
      </c>
      <c r="C854" s="10" t="s">
        <v>164</v>
      </c>
      <c r="D854" s="10" t="s">
        <v>165</v>
      </c>
      <c r="E854" s="11" t="str">
        <f>+HYPERLINK("http://trademark.i-assist.jp/data/china/image_1901th/78874743.pdf", "78874743")</f>
        <v>78874743</v>
      </c>
      <c r="F854" s="10" t="s">
        <v>2568</v>
      </c>
      <c r="G854" s="10" t="s">
        <v>45</v>
      </c>
      <c r="H854" s="10" t="s">
        <v>2569</v>
      </c>
      <c r="I854" s="10" t="s">
        <v>163</v>
      </c>
    </row>
    <row r="855" spans="1:9" x14ac:dyDescent="0.15">
      <c r="A855" s="9">
        <v>854</v>
      </c>
      <c r="B855" s="10" t="s">
        <v>9</v>
      </c>
      <c r="C855" s="10" t="s">
        <v>164</v>
      </c>
      <c r="D855" s="10" t="s">
        <v>165</v>
      </c>
      <c r="E855" s="11" t="str">
        <f>+HYPERLINK("http://trademark.i-assist.jp/data/china/image_1901th/78874774.pdf", "78874774")</f>
        <v>78874774</v>
      </c>
      <c r="F855" s="10" t="s">
        <v>2570</v>
      </c>
      <c r="G855" s="10" t="s">
        <v>2571</v>
      </c>
      <c r="H855" s="10" t="s">
        <v>2572</v>
      </c>
      <c r="I855" s="10" t="s">
        <v>163</v>
      </c>
    </row>
    <row r="856" spans="1:9" x14ac:dyDescent="0.15">
      <c r="A856" s="9">
        <v>855</v>
      </c>
      <c r="B856" s="10" t="s">
        <v>9</v>
      </c>
      <c r="C856" s="10" t="s">
        <v>164</v>
      </c>
      <c r="D856" s="10" t="s">
        <v>165</v>
      </c>
      <c r="E856" s="11" t="str">
        <f>+HYPERLINK("http://trademark.i-assist.jp/data/china/image_1901th/78874968.pdf", "78874968")</f>
        <v>78874968</v>
      </c>
      <c r="F856" s="10" t="s">
        <v>2573</v>
      </c>
      <c r="G856" s="10" t="s">
        <v>1805</v>
      </c>
      <c r="H856" s="10" t="s">
        <v>2574</v>
      </c>
      <c r="I856" s="10" t="s">
        <v>163</v>
      </c>
    </row>
    <row r="857" spans="1:9" x14ac:dyDescent="0.15">
      <c r="A857" s="9">
        <v>856</v>
      </c>
      <c r="B857" s="10" t="s">
        <v>9</v>
      </c>
      <c r="C857" s="10" t="s">
        <v>164</v>
      </c>
      <c r="D857" s="10" t="s">
        <v>165</v>
      </c>
      <c r="E857" s="11" t="str">
        <f>+HYPERLINK("http://trademark.i-assist.jp/data/china/image_1901th/78875064.pdf", "78875064")</f>
        <v>78875064</v>
      </c>
      <c r="F857" s="10" t="s">
        <v>2575</v>
      </c>
      <c r="G857" s="10" t="s">
        <v>2518</v>
      </c>
      <c r="H857" s="10" t="s">
        <v>2576</v>
      </c>
      <c r="I857" s="10" t="s">
        <v>163</v>
      </c>
    </row>
    <row r="858" spans="1:9" x14ac:dyDescent="0.15">
      <c r="A858" s="9">
        <v>857</v>
      </c>
      <c r="B858" s="10" t="s">
        <v>9</v>
      </c>
      <c r="C858" s="10" t="s">
        <v>164</v>
      </c>
      <c r="D858" s="10" t="s">
        <v>165</v>
      </c>
      <c r="E858" s="11" t="str">
        <f>+HYPERLINK("http://trademark.i-assist.jp/data/china/image_1901th/78875288.pdf", "78875288")</f>
        <v>78875288</v>
      </c>
      <c r="F858" s="10" t="s">
        <v>2577</v>
      </c>
      <c r="G858" s="10" t="s">
        <v>2578</v>
      </c>
      <c r="H858" s="10" t="s">
        <v>2579</v>
      </c>
      <c r="I858" s="10" t="s">
        <v>163</v>
      </c>
    </row>
    <row r="859" spans="1:9" x14ac:dyDescent="0.15">
      <c r="A859" s="9">
        <v>858</v>
      </c>
      <c r="B859" s="10" t="s">
        <v>9</v>
      </c>
      <c r="C859" s="10" t="s">
        <v>164</v>
      </c>
      <c r="D859" s="10" t="s">
        <v>165</v>
      </c>
      <c r="E859" s="11" t="str">
        <f>+HYPERLINK("http://trademark.i-assist.jp/data/china/image_1901th/78875343.pdf", "78875343")</f>
        <v>78875343</v>
      </c>
      <c r="F859" s="10" t="s">
        <v>2580</v>
      </c>
      <c r="G859" s="10" t="s">
        <v>2581</v>
      </c>
      <c r="H859" s="10" t="s">
        <v>2582</v>
      </c>
      <c r="I859" s="10" t="s">
        <v>163</v>
      </c>
    </row>
    <row r="860" spans="1:9" x14ac:dyDescent="0.15">
      <c r="A860" s="9">
        <v>859</v>
      </c>
      <c r="B860" s="10" t="s">
        <v>9</v>
      </c>
      <c r="C860" s="10" t="s">
        <v>164</v>
      </c>
      <c r="D860" s="10" t="s">
        <v>165</v>
      </c>
      <c r="E860" s="11" t="str">
        <f>+HYPERLINK("http://trademark.i-assist.jp/data/china/image_1901th/78875795.pdf", "78875795")</f>
        <v>78875795</v>
      </c>
      <c r="F860" s="10" t="s">
        <v>2583</v>
      </c>
      <c r="G860" s="10" t="s">
        <v>2584</v>
      </c>
      <c r="H860" s="10" t="s">
        <v>2585</v>
      </c>
      <c r="I860" s="10" t="s">
        <v>163</v>
      </c>
    </row>
    <row r="861" spans="1:9" x14ac:dyDescent="0.15">
      <c r="A861" s="9">
        <v>860</v>
      </c>
      <c r="B861" s="10" t="s">
        <v>9</v>
      </c>
      <c r="C861" s="10" t="s">
        <v>164</v>
      </c>
      <c r="D861" s="10" t="s">
        <v>165</v>
      </c>
      <c r="E861" s="11" t="str">
        <f>+HYPERLINK("http://trademark.i-assist.jp/data/china/image_1901th/78876277.pdf", "78876277")</f>
        <v>78876277</v>
      </c>
      <c r="F861" s="10" t="s">
        <v>2586</v>
      </c>
      <c r="G861" s="10" t="s">
        <v>2587</v>
      </c>
      <c r="H861" s="10" t="s">
        <v>2588</v>
      </c>
      <c r="I861" s="10" t="s">
        <v>163</v>
      </c>
    </row>
    <row r="862" spans="1:9" x14ac:dyDescent="0.15">
      <c r="A862" s="9">
        <v>861</v>
      </c>
      <c r="B862" s="10" t="s">
        <v>9</v>
      </c>
      <c r="C862" s="10" t="s">
        <v>164</v>
      </c>
      <c r="D862" s="10" t="s">
        <v>165</v>
      </c>
      <c r="E862" s="11" t="str">
        <f>+HYPERLINK("http://trademark.i-assist.jp/data/china/image_1901th/78876418.pdf", "78876418")</f>
        <v>78876418</v>
      </c>
      <c r="F862" s="10" t="s">
        <v>2589</v>
      </c>
      <c r="G862" s="10" t="s">
        <v>2590</v>
      </c>
      <c r="H862" s="10" t="s">
        <v>2591</v>
      </c>
      <c r="I862" s="10" t="s">
        <v>163</v>
      </c>
    </row>
    <row r="863" spans="1:9" x14ac:dyDescent="0.15">
      <c r="A863" s="9">
        <v>862</v>
      </c>
      <c r="B863" s="10" t="s">
        <v>9</v>
      </c>
      <c r="C863" s="10" t="s">
        <v>164</v>
      </c>
      <c r="D863" s="10" t="s">
        <v>165</v>
      </c>
      <c r="E863" s="11" t="str">
        <f>+HYPERLINK("http://trademark.i-assist.jp/data/china/image_1901th/78876601.pdf", "78876601")</f>
        <v>78876601</v>
      </c>
      <c r="F863" s="10" t="s">
        <v>2592</v>
      </c>
      <c r="G863" s="10" t="s">
        <v>2593</v>
      </c>
      <c r="H863" s="10" t="s">
        <v>2594</v>
      </c>
      <c r="I863" s="10" t="s">
        <v>163</v>
      </c>
    </row>
    <row r="864" spans="1:9" x14ac:dyDescent="0.15">
      <c r="A864" s="9">
        <v>863</v>
      </c>
      <c r="B864" s="10" t="s">
        <v>9</v>
      </c>
      <c r="C864" s="10" t="s">
        <v>164</v>
      </c>
      <c r="D864" s="10" t="s">
        <v>165</v>
      </c>
      <c r="E864" s="11" t="str">
        <f>+HYPERLINK("http://trademark.i-assist.jp/data/china/image_1901th/78877030.pdf", "78877030")</f>
        <v>78877030</v>
      </c>
      <c r="F864" s="10" t="s">
        <v>2595</v>
      </c>
      <c r="G864" s="10" t="s">
        <v>2596</v>
      </c>
      <c r="H864" s="10" t="s">
        <v>2597</v>
      </c>
      <c r="I864" s="10" t="s">
        <v>163</v>
      </c>
    </row>
    <row r="865" spans="1:9" x14ac:dyDescent="0.15">
      <c r="A865" s="9">
        <v>864</v>
      </c>
      <c r="B865" s="10" t="s">
        <v>9</v>
      </c>
      <c r="C865" s="10" t="s">
        <v>164</v>
      </c>
      <c r="D865" s="10" t="s">
        <v>165</v>
      </c>
      <c r="E865" s="11" t="str">
        <f>+HYPERLINK("http://trademark.i-assist.jp/data/china/image_1901th/78877365.pdf", "78877365")</f>
        <v>78877365</v>
      </c>
      <c r="F865" s="10" t="s">
        <v>2598</v>
      </c>
      <c r="G865" s="10" t="s">
        <v>2599</v>
      </c>
      <c r="H865" s="10" t="s">
        <v>2600</v>
      </c>
      <c r="I865" s="10" t="s">
        <v>163</v>
      </c>
    </row>
    <row r="866" spans="1:9" x14ac:dyDescent="0.15">
      <c r="A866" s="9">
        <v>865</v>
      </c>
      <c r="B866" s="10" t="s">
        <v>9</v>
      </c>
      <c r="C866" s="10" t="s">
        <v>164</v>
      </c>
      <c r="D866" s="10" t="s">
        <v>165</v>
      </c>
      <c r="E866" s="11" t="str">
        <f>+HYPERLINK("http://trademark.i-assist.jp/data/china/image_1901th/78877467.pdf", "78877467")</f>
        <v>78877467</v>
      </c>
      <c r="F866" s="10" t="s">
        <v>2601</v>
      </c>
      <c r="G866" s="10" t="s">
        <v>2602</v>
      </c>
      <c r="H866" s="10" t="s">
        <v>2603</v>
      </c>
      <c r="I866" s="10" t="s">
        <v>163</v>
      </c>
    </row>
    <row r="867" spans="1:9" x14ac:dyDescent="0.15">
      <c r="A867" s="9">
        <v>866</v>
      </c>
      <c r="B867" s="10" t="s">
        <v>9</v>
      </c>
      <c r="C867" s="10" t="s">
        <v>164</v>
      </c>
      <c r="D867" s="10" t="s">
        <v>165</v>
      </c>
      <c r="E867" s="11" t="str">
        <f>+HYPERLINK("http://trademark.i-assist.jp/data/china/image_1901th/78877524.pdf", "78877524")</f>
        <v>78877524</v>
      </c>
      <c r="F867" s="10" t="s">
        <v>2604</v>
      </c>
      <c r="G867" s="10" t="s">
        <v>2605</v>
      </c>
      <c r="H867" s="10" t="s">
        <v>2606</v>
      </c>
      <c r="I867" s="10" t="s">
        <v>163</v>
      </c>
    </row>
    <row r="868" spans="1:9" x14ac:dyDescent="0.15">
      <c r="A868" s="9">
        <v>867</v>
      </c>
      <c r="B868" s="10" t="s">
        <v>9</v>
      </c>
      <c r="C868" s="10" t="s">
        <v>164</v>
      </c>
      <c r="D868" s="10" t="s">
        <v>165</v>
      </c>
      <c r="E868" s="11" t="str">
        <f>+HYPERLINK("http://trademark.i-assist.jp/data/china/image_1901th/78877970.pdf", "78877970")</f>
        <v>78877970</v>
      </c>
      <c r="F868" s="10" t="s">
        <v>2607</v>
      </c>
      <c r="G868" s="10" t="s">
        <v>2608</v>
      </c>
      <c r="H868" s="10" t="s">
        <v>2609</v>
      </c>
      <c r="I868" s="10" t="s">
        <v>163</v>
      </c>
    </row>
    <row r="869" spans="1:9" x14ac:dyDescent="0.15">
      <c r="A869" s="9">
        <v>868</v>
      </c>
      <c r="B869" s="10" t="s">
        <v>9</v>
      </c>
      <c r="C869" s="10" t="s">
        <v>164</v>
      </c>
      <c r="D869" s="10" t="s">
        <v>165</v>
      </c>
      <c r="E869" s="11" t="str">
        <f>+HYPERLINK("http://trademark.i-assist.jp/data/china/image_1901th/78878955.pdf", "78878955")</f>
        <v>78878955</v>
      </c>
      <c r="F869" s="10" t="s">
        <v>2610</v>
      </c>
      <c r="G869" s="10" t="s">
        <v>2611</v>
      </c>
      <c r="H869" s="10" t="s">
        <v>2612</v>
      </c>
      <c r="I869" s="10" t="s">
        <v>163</v>
      </c>
    </row>
    <row r="870" spans="1:9" x14ac:dyDescent="0.15">
      <c r="A870" s="9">
        <v>869</v>
      </c>
      <c r="B870" s="10" t="s">
        <v>9</v>
      </c>
      <c r="C870" s="10" t="s">
        <v>164</v>
      </c>
      <c r="D870" s="10" t="s">
        <v>165</v>
      </c>
      <c r="E870" s="11" t="str">
        <f>+HYPERLINK("http://trademark.i-assist.jp/data/china/image_1901th/78879166.pdf", "78879166")</f>
        <v>78879166</v>
      </c>
      <c r="F870" s="10" t="s">
        <v>2613</v>
      </c>
      <c r="G870" s="10" t="s">
        <v>2614</v>
      </c>
      <c r="H870" s="10" t="s">
        <v>2615</v>
      </c>
      <c r="I870" s="10" t="s">
        <v>163</v>
      </c>
    </row>
    <row r="871" spans="1:9" x14ac:dyDescent="0.15">
      <c r="A871" s="9">
        <v>870</v>
      </c>
      <c r="B871" s="10" t="s">
        <v>9</v>
      </c>
      <c r="C871" s="10" t="s">
        <v>164</v>
      </c>
      <c r="D871" s="10" t="s">
        <v>165</v>
      </c>
      <c r="E871" s="11" t="str">
        <f>+HYPERLINK("http://trademark.i-assist.jp/data/china/image_1901th/78879269.pdf", "78879269")</f>
        <v>78879269</v>
      </c>
      <c r="F871" s="10" t="s">
        <v>2616</v>
      </c>
      <c r="G871" s="10" t="s">
        <v>2617</v>
      </c>
      <c r="H871" s="10" t="s">
        <v>2618</v>
      </c>
      <c r="I871" s="10" t="s">
        <v>163</v>
      </c>
    </row>
    <row r="872" spans="1:9" x14ac:dyDescent="0.15">
      <c r="A872" s="9">
        <v>871</v>
      </c>
      <c r="B872" s="10" t="s">
        <v>9</v>
      </c>
      <c r="C872" s="10" t="s">
        <v>164</v>
      </c>
      <c r="D872" s="10" t="s">
        <v>165</v>
      </c>
      <c r="E872" s="11" t="str">
        <f>+HYPERLINK("http://trademark.i-assist.jp/data/china/image_1901th/78879301.pdf", "78879301")</f>
        <v>78879301</v>
      </c>
      <c r="F872" s="10" t="s">
        <v>2619</v>
      </c>
      <c r="G872" s="10" t="s">
        <v>2620</v>
      </c>
      <c r="H872" s="10" t="s">
        <v>2621</v>
      </c>
      <c r="I872" s="10" t="s">
        <v>163</v>
      </c>
    </row>
    <row r="873" spans="1:9" x14ac:dyDescent="0.15">
      <c r="A873" s="9">
        <v>872</v>
      </c>
      <c r="B873" s="10" t="s">
        <v>9</v>
      </c>
      <c r="C873" s="10" t="s">
        <v>164</v>
      </c>
      <c r="D873" s="10" t="s">
        <v>165</v>
      </c>
      <c r="E873" s="11" t="str">
        <f>+HYPERLINK("http://trademark.i-assist.jp/data/china/image_1901th/78880103.pdf", "78880103")</f>
        <v>78880103</v>
      </c>
      <c r="F873" s="10" t="s">
        <v>2622</v>
      </c>
      <c r="G873" s="10" t="s">
        <v>1805</v>
      </c>
      <c r="H873" s="10" t="s">
        <v>2623</v>
      </c>
      <c r="I873" s="10" t="s">
        <v>163</v>
      </c>
    </row>
    <row r="874" spans="1:9" x14ac:dyDescent="0.15">
      <c r="A874" s="9">
        <v>873</v>
      </c>
      <c r="B874" s="10" t="s">
        <v>9</v>
      </c>
      <c r="C874" s="10" t="s">
        <v>164</v>
      </c>
      <c r="D874" s="10" t="s">
        <v>165</v>
      </c>
      <c r="E874" s="11" t="str">
        <f>+HYPERLINK("http://trademark.i-assist.jp/data/china/image_1901th/78880394.pdf", "78880394")</f>
        <v>78880394</v>
      </c>
      <c r="F874" s="10" t="s">
        <v>2624</v>
      </c>
      <c r="G874" s="10" t="s">
        <v>2625</v>
      </c>
      <c r="H874" s="10" t="s">
        <v>2626</v>
      </c>
      <c r="I874" s="10" t="s">
        <v>163</v>
      </c>
    </row>
    <row r="875" spans="1:9" x14ac:dyDescent="0.15">
      <c r="A875" s="9">
        <v>874</v>
      </c>
      <c r="B875" s="10" t="s">
        <v>9</v>
      </c>
      <c r="C875" s="10" t="s">
        <v>164</v>
      </c>
      <c r="D875" s="10" t="s">
        <v>165</v>
      </c>
      <c r="E875" s="11" t="str">
        <f>+HYPERLINK("http://trademark.i-assist.jp/data/china/image_1901th/78880474.pdf", "78880474")</f>
        <v>78880474</v>
      </c>
      <c r="F875" s="10" t="s">
        <v>2627</v>
      </c>
      <c r="G875" s="10" t="s">
        <v>2628</v>
      </c>
      <c r="H875" s="10" t="s">
        <v>2629</v>
      </c>
      <c r="I875" s="10" t="s">
        <v>163</v>
      </c>
    </row>
    <row r="876" spans="1:9" x14ac:dyDescent="0.15">
      <c r="A876" s="9">
        <v>875</v>
      </c>
      <c r="B876" s="10" t="s">
        <v>9</v>
      </c>
      <c r="C876" s="10" t="s">
        <v>164</v>
      </c>
      <c r="D876" s="10" t="s">
        <v>165</v>
      </c>
      <c r="E876" s="11" t="str">
        <f>+HYPERLINK("http://trademark.i-assist.jp/data/china/image_1901th/78880513.pdf", "78880513")</f>
        <v>78880513</v>
      </c>
      <c r="F876" s="10" t="s">
        <v>2630</v>
      </c>
      <c r="G876" s="10" t="s">
        <v>2631</v>
      </c>
      <c r="H876" s="10" t="s">
        <v>2632</v>
      </c>
      <c r="I876" s="10" t="s">
        <v>163</v>
      </c>
    </row>
    <row r="877" spans="1:9" x14ac:dyDescent="0.15">
      <c r="A877" s="9">
        <v>876</v>
      </c>
      <c r="B877" s="10" t="s">
        <v>9</v>
      </c>
      <c r="C877" s="10" t="s">
        <v>164</v>
      </c>
      <c r="D877" s="10" t="s">
        <v>165</v>
      </c>
      <c r="E877" s="11" t="str">
        <f>+HYPERLINK("http://trademark.i-assist.jp/data/china/image_1901th/78881247.pdf", "78881247")</f>
        <v>78881247</v>
      </c>
      <c r="F877" s="10" t="s">
        <v>2633</v>
      </c>
      <c r="G877" s="10" t="s">
        <v>2634</v>
      </c>
      <c r="H877" s="10" t="s">
        <v>2635</v>
      </c>
      <c r="I877" s="10" t="s">
        <v>163</v>
      </c>
    </row>
    <row r="878" spans="1:9" x14ac:dyDescent="0.15">
      <c r="A878" s="9">
        <v>877</v>
      </c>
      <c r="B878" s="10" t="s">
        <v>9</v>
      </c>
      <c r="C878" s="10" t="s">
        <v>164</v>
      </c>
      <c r="D878" s="10" t="s">
        <v>165</v>
      </c>
      <c r="E878" s="11" t="str">
        <f>+HYPERLINK("http://trademark.i-assist.jp/data/china/image_1901th/78881314.pdf", "78881314")</f>
        <v>78881314</v>
      </c>
      <c r="F878" s="10" t="s">
        <v>2636</v>
      </c>
      <c r="G878" s="10" t="s">
        <v>2637</v>
      </c>
      <c r="H878" s="10" t="s">
        <v>2638</v>
      </c>
      <c r="I878" s="10" t="s">
        <v>163</v>
      </c>
    </row>
    <row r="879" spans="1:9" x14ac:dyDescent="0.15">
      <c r="A879" s="9">
        <v>878</v>
      </c>
      <c r="B879" s="10" t="s">
        <v>9</v>
      </c>
      <c r="C879" s="10" t="s">
        <v>164</v>
      </c>
      <c r="D879" s="10" t="s">
        <v>165</v>
      </c>
      <c r="E879" s="11" t="str">
        <f>+HYPERLINK("http://trademark.i-assist.jp/data/china/image_1901th/78881648.pdf", "78881648")</f>
        <v>78881648</v>
      </c>
      <c r="F879" s="10" t="s">
        <v>2639</v>
      </c>
      <c r="G879" s="10" t="s">
        <v>2640</v>
      </c>
      <c r="H879" s="10" t="s">
        <v>2641</v>
      </c>
      <c r="I879" s="10" t="s">
        <v>163</v>
      </c>
    </row>
    <row r="880" spans="1:9" x14ac:dyDescent="0.15">
      <c r="A880" s="9">
        <v>879</v>
      </c>
      <c r="B880" s="10" t="s">
        <v>9</v>
      </c>
      <c r="C880" s="10" t="s">
        <v>164</v>
      </c>
      <c r="D880" s="10" t="s">
        <v>165</v>
      </c>
      <c r="E880" s="11" t="str">
        <f>+HYPERLINK("http://trademark.i-assist.jp/data/china/image_1901th/78881807.pdf", "78881807")</f>
        <v>78881807</v>
      </c>
      <c r="F880" s="10" t="s">
        <v>2642</v>
      </c>
      <c r="G880" s="10" t="s">
        <v>2643</v>
      </c>
      <c r="H880" s="10" t="s">
        <v>2644</v>
      </c>
      <c r="I880" s="10" t="s">
        <v>163</v>
      </c>
    </row>
    <row r="881" spans="1:9" x14ac:dyDescent="0.15">
      <c r="A881" s="9">
        <v>880</v>
      </c>
      <c r="B881" s="10" t="s">
        <v>9</v>
      </c>
      <c r="C881" s="10" t="s">
        <v>164</v>
      </c>
      <c r="D881" s="10" t="s">
        <v>165</v>
      </c>
      <c r="E881" s="11" t="str">
        <f>+HYPERLINK("http://trademark.i-assist.jp/data/china/image_1901th/78882340.pdf", "78882340")</f>
        <v>78882340</v>
      </c>
      <c r="F881" s="10" t="s">
        <v>2645</v>
      </c>
      <c r="G881" s="10" t="s">
        <v>2646</v>
      </c>
      <c r="H881" s="10" t="s">
        <v>2647</v>
      </c>
      <c r="I881" s="10" t="s">
        <v>163</v>
      </c>
    </row>
    <row r="882" spans="1:9" x14ac:dyDescent="0.15">
      <c r="A882" s="9">
        <v>881</v>
      </c>
      <c r="B882" s="10" t="s">
        <v>9</v>
      </c>
      <c r="C882" s="10" t="s">
        <v>164</v>
      </c>
      <c r="D882" s="10" t="s">
        <v>165</v>
      </c>
      <c r="E882" s="11" t="str">
        <f>+HYPERLINK("http://trademark.i-assist.jp/data/china/image_1901th/78883327.pdf", "78883327")</f>
        <v>78883327</v>
      </c>
      <c r="F882" s="10" t="s">
        <v>2648</v>
      </c>
      <c r="G882" s="10" t="s">
        <v>2649</v>
      </c>
      <c r="H882" s="10" t="s">
        <v>2650</v>
      </c>
      <c r="I882" s="10" t="s">
        <v>163</v>
      </c>
    </row>
    <row r="883" spans="1:9" x14ac:dyDescent="0.15">
      <c r="A883" s="9">
        <v>882</v>
      </c>
      <c r="B883" s="10" t="s">
        <v>9</v>
      </c>
      <c r="C883" s="10" t="s">
        <v>164</v>
      </c>
      <c r="D883" s="10" t="s">
        <v>165</v>
      </c>
      <c r="E883" s="11" t="str">
        <f>+HYPERLINK("http://trademark.i-assist.jp/data/china/image_1901th/78883595.pdf", "78883595")</f>
        <v>78883595</v>
      </c>
      <c r="F883" s="10" t="s">
        <v>2651</v>
      </c>
      <c r="G883" s="10" t="s">
        <v>2652</v>
      </c>
      <c r="H883" s="10" t="s">
        <v>2653</v>
      </c>
      <c r="I883" s="10" t="s">
        <v>163</v>
      </c>
    </row>
    <row r="884" spans="1:9" x14ac:dyDescent="0.15">
      <c r="A884" s="9">
        <v>883</v>
      </c>
      <c r="B884" s="10" t="s">
        <v>9</v>
      </c>
      <c r="C884" s="10" t="s">
        <v>164</v>
      </c>
      <c r="D884" s="10" t="s">
        <v>165</v>
      </c>
      <c r="E884" s="11" t="str">
        <f>+HYPERLINK("http://trademark.i-assist.jp/data/china/image_1901th/78884094.pdf", "78884094")</f>
        <v>78884094</v>
      </c>
      <c r="F884" s="10" t="s">
        <v>2654</v>
      </c>
      <c r="G884" s="10" t="s">
        <v>2655</v>
      </c>
      <c r="H884" s="10" t="s">
        <v>2656</v>
      </c>
      <c r="I884" s="10" t="s">
        <v>163</v>
      </c>
    </row>
    <row r="885" spans="1:9" x14ac:dyDescent="0.15">
      <c r="A885" s="9">
        <v>884</v>
      </c>
      <c r="B885" s="10" t="s">
        <v>9</v>
      </c>
      <c r="C885" s="10" t="s">
        <v>164</v>
      </c>
      <c r="D885" s="10" t="s">
        <v>165</v>
      </c>
      <c r="E885" s="11" t="str">
        <f>+HYPERLINK("http://trademark.i-assist.jp/data/china/image_1901th/78884169.pdf", "78884169")</f>
        <v>78884169</v>
      </c>
      <c r="F885" s="10" t="s">
        <v>2657</v>
      </c>
      <c r="G885" s="10" t="s">
        <v>2658</v>
      </c>
      <c r="H885" s="10" t="s">
        <v>2659</v>
      </c>
      <c r="I885" s="10" t="s">
        <v>163</v>
      </c>
    </row>
    <row r="886" spans="1:9" x14ac:dyDescent="0.15">
      <c r="A886" s="9">
        <v>885</v>
      </c>
      <c r="B886" s="10" t="s">
        <v>9</v>
      </c>
      <c r="C886" s="10" t="s">
        <v>164</v>
      </c>
      <c r="D886" s="10" t="s">
        <v>165</v>
      </c>
      <c r="E886" s="11" t="str">
        <f>+HYPERLINK("http://trademark.i-assist.jp/data/china/image_1901th/78884251.pdf", "78884251")</f>
        <v>78884251</v>
      </c>
      <c r="F886" s="10" t="s">
        <v>2660</v>
      </c>
      <c r="G886" s="10" t="s">
        <v>2661</v>
      </c>
      <c r="H886" s="10" t="s">
        <v>2662</v>
      </c>
      <c r="I886" s="10" t="s">
        <v>163</v>
      </c>
    </row>
    <row r="887" spans="1:9" x14ac:dyDescent="0.15">
      <c r="A887" s="9">
        <v>886</v>
      </c>
      <c r="B887" s="10" t="s">
        <v>9</v>
      </c>
      <c r="C887" s="10" t="s">
        <v>164</v>
      </c>
      <c r="D887" s="10" t="s">
        <v>165</v>
      </c>
      <c r="E887" s="11" t="str">
        <f>+HYPERLINK("http://trademark.i-assist.jp/data/china/image_1901th/78884293.pdf", "78884293")</f>
        <v>78884293</v>
      </c>
      <c r="F887" s="10" t="s">
        <v>2663</v>
      </c>
      <c r="G887" s="10" t="s">
        <v>2664</v>
      </c>
      <c r="H887" s="10" t="s">
        <v>2665</v>
      </c>
      <c r="I887" s="10" t="s">
        <v>163</v>
      </c>
    </row>
    <row r="888" spans="1:9" x14ac:dyDescent="0.15">
      <c r="A888" s="9">
        <v>887</v>
      </c>
      <c r="B888" s="10" t="s">
        <v>9</v>
      </c>
      <c r="C888" s="10" t="s">
        <v>164</v>
      </c>
      <c r="D888" s="10" t="s">
        <v>165</v>
      </c>
      <c r="E888" s="11" t="str">
        <f>+HYPERLINK("http://trademark.i-assist.jp/data/china/image_1901th/78884300.pdf", "78884300")</f>
        <v>78884300</v>
      </c>
      <c r="F888" s="10" t="s">
        <v>2666</v>
      </c>
      <c r="G888" s="10" t="s">
        <v>2666</v>
      </c>
      <c r="H888" s="10" t="s">
        <v>2667</v>
      </c>
      <c r="I888" s="10" t="s">
        <v>163</v>
      </c>
    </row>
    <row r="889" spans="1:9" x14ac:dyDescent="0.15">
      <c r="A889" s="9">
        <v>888</v>
      </c>
      <c r="B889" s="10" t="s">
        <v>9</v>
      </c>
      <c r="C889" s="10" t="s">
        <v>164</v>
      </c>
      <c r="D889" s="10" t="s">
        <v>165</v>
      </c>
      <c r="E889" s="11" t="str">
        <f>+HYPERLINK("http://trademark.i-assist.jp/data/china/image_1901th/78885028.pdf", "78885028")</f>
        <v>78885028</v>
      </c>
      <c r="F889" s="10" t="s">
        <v>2668</v>
      </c>
      <c r="G889" s="10" t="s">
        <v>2669</v>
      </c>
      <c r="H889" s="10" t="s">
        <v>2670</v>
      </c>
      <c r="I889" s="10" t="s">
        <v>163</v>
      </c>
    </row>
    <row r="890" spans="1:9" x14ac:dyDescent="0.15">
      <c r="A890" s="9">
        <v>889</v>
      </c>
      <c r="B890" s="10" t="s">
        <v>9</v>
      </c>
      <c r="C890" s="10" t="s">
        <v>164</v>
      </c>
      <c r="D890" s="10" t="s">
        <v>165</v>
      </c>
      <c r="E890" s="11" t="str">
        <f>+HYPERLINK("http://trademark.i-assist.jp/data/china/image_1901th/78886459.pdf", "78886459")</f>
        <v>78886459</v>
      </c>
      <c r="F890" s="10" t="s">
        <v>2671</v>
      </c>
      <c r="G890" s="10" t="s">
        <v>2672</v>
      </c>
      <c r="H890" s="10" t="s">
        <v>2673</v>
      </c>
      <c r="I890" s="10" t="s">
        <v>163</v>
      </c>
    </row>
    <row r="891" spans="1:9" x14ac:dyDescent="0.15">
      <c r="A891" s="9">
        <v>890</v>
      </c>
      <c r="B891" s="10" t="s">
        <v>9</v>
      </c>
      <c r="C891" s="10" t="s">
        <v>164</v>
      </c>
      <c r="D891" s="10" t="s">
        <v>165</v>
      </c>
      <c r="E891" s="11" t="str">
        <f>+HYPERLINK("http://trademark.i-assist.jp/data/china/image_1901th/78887312.pdf", "78887312")</f>
        <v>78887312</v>
      </c>
      <c r="F891" s="10" t="s">
        <v>2674</v>
      </c>
      <c r="G891" s="10" t="s">
        <v>2675</v>
      </c>
      <c r="H891" s="10" t="s">
        <v>2676</v>
      </c>
      <c r="I891" s="10" t="s">
        <v>163</v>
      </c>
    </row>
    <row r="892" spans="1:9" x14ac:dyDescent="0.15">
      <c r="A892" s="9">
        <v>891</v>
      </c>
      <c r="B892" s="10" t="s">
        <v>9</v>
      </c>
      <c r="C892" s="10" t="s">
        <v>164</v>
      </c>
      <c r="D892" s="10" t="s">
        <v>165</v>
      </c>
      <c r="E892" s="11" t="str">
        <f>+HYPERLINK("http://trademark.i-assist.jp/data/china/image_1901th/78887491.pdf", "78887491")</f>
        <v>78887491</v>
      </c>
      <c r="F892" s="10" t="s">
        <v>2677</v>
      </c>
      <c r="G892" s="10" t="s">
        <v>2678</v>
      </c>
      <c r="H892" s="10" t="s">
        <v>2679</v>
      </c>
      <c r="I892" s="10" t="s">
        <v>163</v>
      </c>
    </row>
    <row r="893" spans="1:9" x14ac:dyDescent="0.15">
      <c r="A893" s="9">
        <v>892</v>
      </c>
      <c r="B893" s="10" t="s">
        <v>9</v>
      </c>
      <c r="C893" s="10" t="s">
        <v>164</v>
      </c>
      <c r="D893" s="10" t="s">
        <v>165</v>
      </c>
      <c r="E893" s="11" t="str">
        <f>+HYPERLINK("http://trademark.i-assist.jp/data/china/image_1901th/78887808.pdf", "78887808")</f>
        <v>78887808</v>
      </c>
      <c r="F893" s="10" t="s">
        <v>2680</v>
      </c>
      <c r="G893" s="10" t="s">
        <v>2681</v>
      </c>
      <c r="H893" s="10" t="s">
        <v>2682</v>
      </c>
      <c r="I893" s="10" t="s">
        <v>163</v>
      </c>
    </row>
    <row r="894" spans="1:9" x14ac:dyDescent="0.15">
      <c r="A894" s="9">
        <v>893</v>
      </c>
      <c r="B894" s="10" t="s">
        <v>9</v>
      </c>
      <c r="C894" s="10" t="s">
        <v>164</v>
      </c>
      <c r="D894" s="10" t="s">
        <v>165</v>
      </c>
      <c r="E894" s="11" t="str">
        <f>+HYPERLINK("http://trademark.i-assist.jp/data/china/image_1901th/78887846.pdf", "78887846")</f>
        <v>78887846</v>
      </c>
      <c r="F894" s="10" t="s">
        <v>2683</v>
      </c>
      <c r="G894" s="10" t="s">
        <v>1805</v>
      </c>
      <c r="H894" s="10" t="s">
        <v>2684</v>
      </c>
      <c r="I894" s="10" t="s">
        <v>163</v>
      </c>
    </row>
    <row r="895" spans="1:9" x14ac:dyDescent="0.15">
      <c r="A895" s="9">
        <v>894</v>
      </c>
      <c r="B895" s="10" t="s">
        <v>9</v>
      </c>
      <c r="C895" s="10" t="s">
        <v>164</v>
      </c>
      <c r="D895" s="10" t="s">
        <v>165</v>
      </c>
      <c r="E895" s="11" t="str">
        <f>+HYPERLINK("http://trademark.i-assist.jp/data/china/image_1901th/78887901.pdf", "78887901")</f>
        <v>78887901</v>
      </c>
      <c r="F895" s="10" t="s">
        <v>2685</v>
      </c>
      <c r="G895" s="10" t="s">
        <v>2643</v>
      </c>
      <c r="H895" s="10" t="s">
        <v>2686</v>
      </c>
      <c r="I895" s="10" t="s">
        <v>163</v>
      </c>
    </row>
    <row r="896" spans="1:9" x14ac:dyDescent="0.15">
      <c r="A896" s="9">
        <v>895</v>
      </c>
      <c r="B896" s="10" t="s">
        <v>9</v>
      </c>
      <c r="C896" s="10" t="s">
        <v>164</v>
      </c>
      <c r="D896" s="10" t="s">
        <v>165</v>
      </c>
      <c r="E896" s="11" t="str">
        <f>+HYPERLINK("http://trademark.i-assist.jp/data/china/image_1901th/78888284.pdf", "78888284")</f>
        <v>78888284</v>
      </c>
      <c r="F896" s="10" t="s">
        <v>2687</v>
      </c>
      <c r="G896" s="10" t="s">
        <v>2688</v>
      </c>
      <c r="H896" s="10" t="s">
        <v>2689</v>
      </c>
      <c r="I896" s="10" t="s">
        <v>163</v>
      </c>
    </row>
    <row r="897" spans="1:9" x14ac:dyDescent="0.15">
      <c r="A897" s="9">
        <v>896</v>
      </c>
      <c r="B897" s="10" t="s">
        <v>9</v>
      </c>
      <c r="C897" s="10" t="s">
        <v>164</v>
      </c>
      <c r="D897" s="10" t="s">
        <v>165</v>
      </c>
      <c r="E897" s="11" t="str">
        <f>+HYPERLINK("http://trademark.i-assist.jp/data/china/image_1901th/78888629.pdf", "78888629")</f>
        <v>78888629</v>
      </c>
      <c r="F897" s="10" t="s">
        <v>2690</v>
      </c>
      <c r="G897" s="10" t="s">
        <v>2691</v>
      </c>
      <c r="H897" s="10" t="s">
        <v>2692</v>
      </c>
      <c r="I897" s="10" t="s">
        <v>163</v>
      </c>
    </row>
    <row r="898" spans="1:9" x14ac:dyDescent="0.15">
      <c r="A898" s="9">
        <v>897</v>
      </c>
      <c r="B898" s="10" t="s">
        <v>9</v>
      </c>
      <c r="C898" s="10" t="s">
        <v>164</v>
      </c>
      <c r="D898" s="10" t="s">
        <v>165</v>
      </c>
      <c r="E898" s="11" t="str">
        <f>+HYPERLINK("http://trademark.i-assist.jp/data/china/image_1901th/78888841.pdf", "78888841")</f>
        <v>78888841</v>
      </c>
      <c r="F898" s="10" t="s">
        <v>2693</v>
      </c>
      <c r="G898" s="10" t="s">
        <v>2694</v>
      </c>
      <c r="H898" s="10" t="s">
        <v>2695</v>
      </c>
      <c r="I898" s="10" t="s">
        <v>163</v>
      </c>
    </row>
    <row r="899" spans="1:9" x14ac:dyDescent="0.15">
      <c r="A899" s="9">
        <v>898</v>
      </c>
      <c r="B899" s="10" t="s">
        <v>9</v>
      </c>
      <c r="C899" s="10" t="s">
        <v>164</v>
      </c>
      <c r="D899" s="10" t="s">
        <v>165</v>
      </c>
      <c r="E899" s="11" t="str">
        <f>+HYPERLINK("http://trademark.i-assist.jp/data/china/image_1901th/78889065.pdf", "78889065")</f>
        <v>78889065</v>
      </c>
      <c r="F899" s="10" t="s">
        <v>2696</v>
      </c>
      <c r="G899" s="10" t="s">
        <v>2697</v>
      </c>
      <c r="H899" s="10" t="s">
        <v>2698</v>
      </c>
      <c r="I899" s="10" t="s">
        <v>163</v>
      </c>
    </row>
    <row r="900" spans="1:9" x14ac:dyDescent="0.15">
      <c r="A900" s="9">
        <v>899</v>
      </c>
      <c r="B900" s="10" t="s">
        <v>9</v>
      </c>
      <c r="C900" s="10" t="s">
        <v>164</v>
      </c>
      <c r="D900" s="10" t="s">
        <v>165</v>
      </c>
      <c r="E900" s="11" t="str">
        <f>+HYPERLINK("http://trademark.i-assist.jp/data/china/image_1901th/78889107.pdf", "78889107")</f>
        <v>78889107</v>
      </c>
      <c r="F900" s="10" t="s">
        <v>2699</v>
      </c>
      <c r="G900" s="10" t="s">
        <v>69</v>
      </c>
      <c r="H900" s="10" t="s">
        <v>2700</v>
      </c>
      <c r="I900" s="10" t="s">
        <v>163</v>
      </c>
    </row>
    <row r="901" spans="1:9" x14ac:dyDescent="0.15">
      <c r="A901" s="9">
        <v>900</v>
      </c>
      <c r="B901" s="10" t="s">
        <v>9</v>
      </c>
      <c r="C901" s="10" t="s">
        <v>164</v>
      </c>
      <c r="D901" s="10" t="s">
        <v>165</v>
      </c>
      <c r="E901" s="11" t="str">
        <f>+HYPERLINK("http://trademark.i-assist.jp/data/china/image_1901th/78889679.pdf", "78889679")</f>
        <v>78889679</v>
      </c>
      <c r="F901" s="10" t="s">
        <v>2701</v>
      </c>
      <c r="G901" s="10" t="s">
        <v>2702</v>
      </c>
      <c r="H901" s="10" t="s">
        <v>87</v>
      </c>
      <c r="I901" s="10" t="s">
        <v>163</v>
      </c>
    </row>
    <row r="902" spans="1:9" x14ac:dyDescent="0.15">
      <c r="A902" s="9">
        <v>901</v>
      </c>
      <c r="B902" s="10" t="s">
        <v>9</v>
      </c>
      <c r="C902" s="10" t="s">
        <v>164</v>
      </c>
      <c r="D902" s="10" t="s">
        <v>165</v>
      </c>
      <c r="E902" s="11" t="str">
        <f>+HYPERLINK("http://trademark.i-assist.jp/data/china/image_1901th/78889683.pdf", "78889683")</f>
        <v>78889683</v>
      </c>
      <c r="F902" s="10" t="s">
        <v>2703</v>
      </c>
      <c r="G902" s="10" t="s">
        <v>2704</v>
      </c>
      <c r="H902" s="10" t="s">
        <v>19</v>
      </c>
      <c r="I902" s="10" t="s">
        <v>19</v>
      </c>
    </row>
    <row r="903" spans="1:9" x14ac:dyDescent="0.15">
      <c r="A903" s="9">
        <v>902</v>
      </c>
      <c r="B903" s="10" t="s">
        <v>9</v>
      </c>
      <c r="C903" s="10" t="s">
        <v>164</v>
      </c>
      <c r="D903" s="10" t="s">
        <v>165</v>
      </c>
      <c r="E903" s="11" t="str">
        <f>+HYPERLINK("http://trademark.i-assist.jp/data/china/image_1901th/78889895.pdf", "78889895")</f>
        <v>78889895</v>
      </c>
      <c r="F903" s="10" t="s">
        <v>2705</v>
      </c>
      <c r="G903" s="10" t="s">
        <v>2487</v>
      </c>
      <c r="H903" s="10" t="s">
        <v>2706</v>
      </c>
      <c r="I903" s="10" t="s">
        <v>163</v>
      </c>
    </row>
    <row r="904" spans="1:9" x14ac:dyDescent="0.15">
      <c r="A904" s="9">
        <v>903</v>
      </c>
      <c r="B904" s="10" t="s">
        <v>9</v>
      </c>
      <c r="C904" s="10" t="s">
        <v>164</v>
      </c>
      <c r="D904" s="10" t="s">
        <v>165</v>
      </c>
      <c r="E904" s="11" t="str">
        <f>+HYPERLINK("http://trademark.i-assist.jp/data/china/image_1901th/78890327.pdf", "78890327")</f>
        <v>78890327</v>
      </c>
      <c r="F904" s="10" t="s">
        <v>2707</v>
      </c>
      <c r="G904" s="10" t="s">
        <v>2631</v>
      </c>
      <c r="H904" s="10" t="s">
        <v>2708</v>
      </c>
      <c r="I904" s="10" t="s">
        <v>163</v>
      </c>
    </row>
    <row r="905" spans="1:9" x14ac:dyDescent="0.15">
      <c r="A905" s="9">
        <v>904</v>
      </c>
      <c r="B905" s="10" t="s">
        <v>9</v>
      </c>
      <c r="C905" s="10" t="s">
        <v>164</v>
      </c>
      <c r="D905" s="10" t="s">
        <v>165</v>
      </c>
      <c r="E905" s="11" t="str">
        <f>+HYPERLINK("http://trademark.i-assist.jp/data/china/image_1901th/78890710.pdf", "78890710")</f>
        <v>78890710</v>
      </c>
      <c r="F905" s="10" t="s">
        <v>2709</v>
      </c>
      <c r="G905" s="10" t="s">
        <v>2710</v>
      </c>
      <c r="H905" s="10" t="s">
        <v>2711</v>
      </c>
      <c r="I905" s="10" t="s">
        <v>163</v>
      </c>
    </row>
    <row r="906" spans="1:9" x14ac:dyDescent="0.15">
      <c r="A906" s="9">
        <v>905</v>
      </c>
      <c r="B906" s="10" t="s">
        <v>9</v>
      </c>
      <c r="C906" s="10" t="s">
        <v>164</v>
      </c>
      <c r="D906" s="10" t="s">
        <v>165</v>
      </c>
      <c r="E906" s="11" t="str">
        <f>+HYPERLINK("http://trademark.i-assist.jp/data/china/image_1901th/78891342.pdf", "78891342")</f>
        <v>78891342</v>
      </c>
      <c r="F906" s="10" t="s">
        <v>2712</v>
      </c>
      <c r="G906" s="10" t="s">
        <v>2713</v>
      </c>
      <c r="H906" s="10" t="s">
        <v>2714</v>
      </c>
      <c r="I906" s="10" t="s">
        <v>163</v>
      </c>
    </row>
    <row r="907" spans="1:9" x14ac:dyDescent="0.15">
      <c r="A907" s="9">
        <v>906</v>
      </c>
      <c r="B907" s="10" t="s">
        <v>9</v>
      </c>
      <c r="C907" s="10" t="s">
        <v>164</v>
      </c>
      <c r="D907" s="10" t="s">
        <v>165</v>
      </c>
      <c r="E907" s="11" t="str">
        <f>+HYPERLINK("http://trademark.i-assist.jp/data/china/image_1901th/78891375.pdf", "78891375")</f>
        <v>78891375</v>
      </c>
      <c r="F907" s="10" t="s">
        <v>2715</v>
      </c>
      <c r="G907" s="10" t="s">
        <v>2716</v>
      </c>
      <c r="H907" s="10" t="s">
        <v>2717</v>
      </c>
      <c r="I907" s="10" t="s">
        <v>163</v>
      </c>
    </row>
    <row r="908" spans="1:9" x14ac:dyDescent="0.15">
      <c r="A908" s="9">
        <v>907</v>
      </c>
      <c r="B908" s="10" t="s">
        <v>9</v>
      </c>
      <c r="C908" s="10" t="s">
        <v>164</v>
      </c>
      <c r="D908" s="10" t="s">
        <v>165</v>
      </c>
      <c r="E908" s="11" t="str">
        <f>+HYPERLINK("http://trademark.i-assist.jp/data/china/image_1901th/78891587.pdf", "78891587")</f>
        <v>78891587</v>
      </c>
      <c r="F908" s="10" t="s">
        <v>2718</v>
      </c>
      <c r="G908" s="10" t="s">
        <v>2719</v>
      </c>
      <c r="H908" s="10" t="s">
        <v>2720</v>
      </c>
      <c r="I908" s="10" t="s">
        <v>163</v>
      </c>
    </row>
    <row r="909" spans="1:9" x14ac:dyDescent="0.15">
      <c r="A909" s="9">
        <v>908</v>
      </c>
      <c r="B909" s="10" t="s">
        <v>9</v>
      </c>
      <c r="C909" s="10" t="s">
        <v>164</v>
      </c>
      <c r="D909" s="10" t="s">
        <v>165</v>
      </c>
      <c r="E909" s="11" t="str">
        <f>+HYPERLINK("http://trademark.i-assist.jp/data/china/image_1901th/78891859.pdf", "78891859")</f>
        <v>78891859</v>
      </c>
      <c r="F909" s="10" t="s">
        <v>2721</v>
      </c>
      <c r="G909" s="10" t="s">
        <v>2722</v>
      </c>
      <c r="H909" s="10" t="s">
        <v>2723</v>
      </c>
      <c r="I909" s="10" t="s">
        <v>163</v>
      </c>
    </row>
    <row r="910" spans="1:9" x14ac:dyDescent="0.15">
      <c r="A910" s="9">
        <v>909</v>
      </c>
      <c r="B910" s="10" t="s">
        <v>9</v>
      </c>
      <c r="C910" s="10" t="s">
        <v>164</v>
      </c>
      <c r="D910" s="10" t="s">
        <v>165</v>
      </c>
      <c r="E910" s="11" t="str">
        <f>+HYPERLINK("http://trademark.i-assist.jp/data/china/image_1901th/78891970.pdf", "78891970")</f>
        <v>78891970</v>
      </c>
      <c r="F910" s="10" t="s">
        <v>2724</v>
      </c>
      <c r="G910" s="10" t="s">
        <v>2725</v>
      </c>
      <c r="H910" s="10" t="s">
        <v>2726</v>
      </c>
      <c r="I910" s="10" t="s">
        <v>163</v>
      </c>
    </row>
    <row r="911" spans="1:9" x14ac:dyDescent="0.15">
      <c r="A911" s="9">
        <v>910</v>
      </c>
      <c r="B911" s="10" t="s">
        <v>9</v>
      </c>
      <c r="C911" s="10" t="s">
        <v>164</v>
      </c>
      <c r="D911" s="10" t="s">
        <v>165</v>
      </c>
      <c r="E911" s="11" t="str">
        <f>+HYPERLINK("http://trademark.i-assist.jp/data/china/image_1901th/78892895.pdf", "78892895")</f>
        <v>78892895</v>
      </c>
      <c r="F911" s="10" t="s">
        <v>2727</v>
      </c>
      <c r="G911" s="10" t="s">
        <v>2728</v>
      </c>
      <c r="H911" s="10" t="s">
        <v>2729</v>
      </c>
      <c r="I911" s="10" t="s">
        <v>2730</v>
      </c>
    </row>
    <row r="912" spans="1:9" x14ac:dyDescent="0.15">
      <c r="A912" s="9">
        <v>911</v>
      </c>
      <c r="B912" s="10" t="s">
        <v>9</v>
      </c>
      <c r="C912" s="10" t="s">
        <v>164</v>
      </c>
      <c r="D912" s="10" t="s">
        <v>165</v>
      </c>
      <c r="E912" s="11" t="str">
        <f>+HYPERLINK("http://trademark.i-assist.jp/data/china/image_1901th/78893212.pdf", "78893212")</f>
        <v>78893212</v>
      </c>
      <c r="F912" s="10" t="s">
        <v>2731</v>
      </c>
      <c r="G912" s="10" t="s">
        <v>2732</v>
      </c>
      <c r="H912" s="10" t="s">
        <v>2733</v>
      </c>
      <c r="I912" s="10" t="s">
        <v>2730</v>
      </c>
    </row>
    <row r="913" spans="1:9" x14ac:dyDescent="0.15">
      <c r="A913" s="9">
        <v>912</v>
      </c>
      <c r="B913" s="10" t="s">
        <v>9</v>
      </c>
      <c r="C913" s="10" t="s">
        <v>164</v>
      </c>
      <c r="D913" s="10" t="s">
        <v>165</v>
      </c>
      <c r="E913" s="11" t="str">
        <f>+HYPERLINK("http://trademark.i-assist.jp/data/china/image_1901th/78893463.pdf", "78893463")</f>
        <v>78893463</v>
      </c>
      <c r="F913" s="10" t="s">
        <v>2734</v>
      </c>
      <c r="G913" s="10" t="s">
        <v>2735</v>
      </c>
      <c r="H913" s="10" t="s">
        <v>2736</v>
      </c>
      <c r="I913" s="10" t="s">
        <v>2730</v>
      </c>
    </row>
    <row r="914" spans="1:9" x14ac:dyDescent="0.15">
      <c r="A914" s="9">
        <v>913</v>
      </c>
      <c r="B914" s="10" t="s">
        <v>9</v>
      </c>
      <c r="C914" s="10" t="s">
        <v>164</v>
      </c>
      <c r="D914" s="10" t="s">
        <v>165</v>
      </c>
      <c r="E914" s="11" t="str">
        <f>+HYPERLINK("http://trademark.i-assist.jp/data/china/image_1901th/78893803.pdf", "78893803")</f>
        <v>78893803</v>
      </c>
      <c r="F914" s="10" t="s">
        <v>2737</v>
      </c>
      <c r="G914" s="10" t="s">
        <v>2738</v>
      </c>
      <c r="H914" s="10" t="s">
        <v>2739</v>
      </c>
      <c r="I914" s="10" t="s">
        <v>2730</v>
      </c>
    </row>
    <row r="915" spans="1:9" x14ac:dyDescent="0.15">
      <c r="A915" s="9">
        <v>914</v>
      </c>
      <c r="B915" s="10" t="s">
        <v>9</v>
      </c>
      <c r="C915" s="10" t="s">
        <v>164</v>
      </c>
      <c r="D915" s="10" t="s">
        <v>165</v>
      </c>
      <c r="E915" s="11" t="str">
        <f>+HYPERLINK("http://trademark.i-assist.jp/data/china/image_1901th/78894267.pdf", "78894267")</f>
        <v>78894267</v>
      </c>
      <c r="F915" s="10" t="s">
        <v>2740</v>
      </c>
      <c r="G915" s="10" t="s">
        <v>149</v>
      </c>
      <c r="H915" s="10" t="s">
        <v>2741</v>
      </c>
      <c r="I915" s="10" t="s">
        <v>2730</v>
      </c>
    </row>
    <row r="916" spans="1:9" x14ac:dyDescent="0.15">
      <c r="A916" s="9">
        <v>915</v>
      </c>
      <c r="B916" s="10" t="s">
        <v>9</v>
      </c>
      <c r="C916" s="10" t="s">
        <v>164</v>
      </c>
      <c r="D916" s="10" t="s">
        <v>165</v>
      </c>
      <c r="E916" s="11" t="str">
        <f>+HYPERLINK("http://trademark.i-assist.jp/data/china/image_1901th/78894608.pdf", "78894608")</f>
        <v>78894608</v>
      </c>
      <c r="F916" s="10" t="s">
        <v>2742</v>
      </c>
      <c r="G916" s="10" t="s">
        <v>2743</v>
      </c>
      <c r="H916" s="10" t="s">
        <v>2744</v>
      </c>
      <c r="I916" s="10" t="s">
        <v>2730</v>
      </c>
    </row>
    <row r="917" spans="1:9" x14ac:dyDescent="0.15">
      <c r="A917" s="9">
        <v>916</v>
      </c>
      <c r="B917" s="10" t="s">
        <v>9</v>
      </c>
      <c r="C917" s="10" t="s">
        <v>164</v>
      </c>
      <c r="D917" s="10" t="s">
        <v>165</v>
      </c>
      <c r="E917" s="11" t="str">
        <f>+HYPERLINK("http://trademark.i-assist.jp/data/china/image_1901th/78894675.pdf", "78894675")</f>
        <v>78894675</v>
      </c>
      <c r="F917" s="10" t="s">
        <v>2745</v>
      </c>
      <c r="G917" s="10" t="s">
        <v>2746</v>
      </c>
      <c r="H917" s="10" t="s">
        <v>2747</v>
      </c>
      <c r="I917" s="10" t="s">
        <v>2730</v>
      </c>
    </row>
    <row r="918" spans="1:9" x14ac:dyDescent="0.15">
      <c r="A918" s="9">
        <v>917</v>
      </c>
      <c r="B918" s="10" t="s">
        <v>9</v>
      </c>
      <c r="C918" s="10" t="s">
        <v>164</v>
      </c>
      <c r="D918" s="10" t="s">
        <v>165</v>
      </c>
      <c r="E918" s="11" t="str">
        <f>+HYPERLINK("http://trademark.i-assist.jp/data/china/image_1901th/78895475.pdf", "78895475")</f>
        <v>78895475</v>
      </c>
      <c r="F918" s="10" t="s">
        <v>2748</v>
      </c>
      <c r="G918" s="10" t="s">
        <v>2749</v>
      </c>
      <c r="H918" s="10" t="s">
        <v>2750</v>
      </c>
      <c r="I918" s="10" t="s">
        <v>2730</v>
      </c>
    </row>
    <row r="919" spans="1:9" x14ac:dyDescent="0.15">
      <c r="A919" s="9">
        <v>918</v>
      </c>
      <c r="B919" s="10" t="s">
        <v>9</v>
      </c>
      <c r="C919" s="10" t="s">
        <v>164</v>
      </c>
      <c r="D919" s="10" t="s">
        <v>165</v>
      </c>
      <c r="E919" s="11" t="str">
        <f>+HYPERLINK("http://trademark.i-assist.jp/data/china/image_1901th/78895704.pdf", "78895704")</f>
        <v>78895704</v>
      </c>
      <c r="F919" s="10" t="s">
        <v>2751</v>
      </c>
      <c r="G919" s="10" t="s">
        <v>2752</v>
      </c>
      <c r="H919" s="10" t="s">
        <v>2753</v>
      </c>
      <c r="I919" s="10" t="s">
        <v>2730</v>
      </c>
    </row>
    <row r="920" spans="1:9" x14ac:dyDescent="0.15">
      <c r="A920" s="9">
        <v>919</v>
      </c>
      <c r="B920" s="10" t="s">
        <v>9</v>
      </c>
      <c r="C920" s="10" t="s">
        <v>164</v>
      </c>
      <c r="D920" s="10" t="s">
        <v>165</v>
      </c>
      <c r="E920" s="11" t="str">
        <f>+HYPERLINK("http://trademark.i-assist.jp/data/china/image_1901th/78895925.pdf", "78895925")</f>
        <v>78895925</v>
      </c>
      <c r="F920" s="10" t="s">
        <v>2754</v>
      </c>
      <c r="G920" s="10" t="s">
        <v>94</v>
      </c>
      <c r="H920" s="10" t="s">
        <v>2755</v>
      </c>
      <c r="I920" s="10" t="s">
        <v>2730</v>
      </c>
    </row>
    <row r="921" spans="1:9" x14ac:dyDescent="0.15">
      <c r="A921" s="9">
        <v>920</v>
      </c>
      <c r="B921" s="10" t="s">
        <v>9</v>
      </c>
      <c r="C921" s="10" t="s">
        <v>164</v>
      </c>
      <c r="D921" s="10" t="s">
        <v>165</v>
      </c>
      <c r="E921" s="11" t="str">
        <f>+HYPERLINK("http://trademark.i-assist.jp/data/china/image_1901th/78895975.pdf", "78895975")</f>
        <v>78895975</v>
      </c>
      <c r="F921" s="10" t="s">
        <v>2756</v>
      </c>
      <c r="G921" s="10" t="s">
        <v>2728</v>
      </c>
      <c r="H921" s="10" t="s">
        <v>2757</v>
      </c>
      <c r="I921" s="10" t="s">
        <v>2730</v>
      </c>
    </row>
    <row r="922" spans="1:9" x14ac:dyDescent="0.15">
      <c r="A922" s="9">
        <v>921</v>
      </c>
      <c r="B922" s="10" t="s">
        <v>9</v>
      </c>
      <c r="C922" s="10" t="s">
        <v>164</v>
      </c>
      <c r="D922" s="10" t="s">
        <v>165</v>
      </c>
      <c r="E922" s="11" t="str">
        <f>+HYPERLINK("http://trademark.i-assist.jp/data/china/image_1901th/78896005.pdf", "78896005")</f>
        <v>78896005</v>
      </c>
      <c r="F922" s="10" t="s">
        <v>2758</v>
      </c>
      <c r="G922" s="10" t="s">
        <v>2759</v>
      </c>
      <c r="H922" s="10" t="s">
        <v>2760</v>
      </c>
      <c r="I922" s="10" t="s">
        <v>2730</v>
      </c>
    </row>
    <row r="923" spans="1:9" x14ac:dyDescent="0.15">
      <c r="A923" s="9">
        <v>922</v>
      </c>
      <c r="B923" s="10" t="s">
        <v>9</v>
      </c>
      <c r="C923" s="10" t="s">
        <v>164</v>
      </c>
      <c r="D923" s="10" t="s">
        <v>165</v>
      </c>
      <c r="E923" s="11" t="str">
        <f>+HYPERLINK("http://trademark.i-assist.jp/data/china/image_1901th/78896461.pdf", "78896461")</f>
        <v>78896461</v>
      </c>
      <c r="F923" s="10" t="s">
        <v>2761</v>
      </c>
      <c r="G923" s="10" t="s">
        <v>2762</v>
      </c>
      <c r="H923" s="10" t="s">
        <v>2763</v>
      </c>
      <c r="I923" s="10" t="s">
        <v>2730</v>
      </c>
    </row>
    <row r="924" spans="1:9" x14ac:dyDescent="0.15">
      <c r="A924" s="9">
        <v>923</v>
      </c>
      <c r="B924" s="10" t="s">
        <v>9</v>
      </c>
      <c r="C924" s="10" t="s">
        <v>164</v>
      </c>
      <c r="D924" s="10" t="s">
        <v>165</v>
      </c>
      <c r="E924" s="11" t="str">
        <f>+HYPERLINK("http://trademark.i-assist.jp/data/china/image_1901th/78896531.pdf", "78896531")</f>
        <v>78896531</v>
      </c>
      <c r="F924" s="10" t="s">
        <v>2764</v>
      </c>
      <c r="G924" s="10" t="s">
        <v>2765</v>
      </c>
      <c r="H924" s="10" t="s">
        <v>2766</v>
      </c>
      <c r="I924" s="10" t="s">
        <v>2730</v>
      </c>
    </row>
    <row r="925" spans="1:9" x14ac:dyDescent="0.15">
      <c r="A925" s="9">
        <v>924</v>
      </c>
      <c r="B925" s="10" t="s">
        <v>9</v>
      </c>
      <c r="C925" s="10" t="s">
        <v>164</v>
      </c>
      <c r="D925" s="10" t="s">
        <v>165</v>
      </c>
      <c r="E925" s="11" t="str">
        <f>+HYPERLINK("http://trademark.i-assist.jp/data/china/image_1901th/78896729.pdf", "78896729")</f>
        <v>78896729</v>
      </c>
      <c r="F925" s="10" t="s">
        <v>2767</v>
      </c>
      <c r="G925" s="10" t="s">
        <v>2768</v>
      </c>
      <c r="H925" s="10" t="s">
        <v>2769</v>
      </c>
      <c r="I925" s="10" t="s">
        <v>2730</v>
      </c>
    </row>
    <row r="926" spans="1:9" x14ac:dyDescent="0.15">
      <c r="A926" s="9">
        <v>925</v>
      </c>
      <c r="B926" s="10" t="s">
        <v>9</v>
      </c>
      <c r="C926" s="10" t="s">
        <v>164</v>
      </c>
      <c r="D926" s="10" t="s">
        <v>165</v>
      </c>
      <c r="E926" s="11" t="str">
        <f>+HYPERLINK("http://trademark.i-assist.jp/data/china/image_1901th/78897315.pdf", "78897315")</f>
        <v>78897315</v>
      </c>
      <c r="F926" s="10" t="s">
        <v>2770</v>
      </c>
      <c r="G926" s="10" t="s">
        <v>2771</v>
      </c>
      <c r="H926" s="10" t="s">
        <v>2772</v>
      </c>
      <c r="I926" s="10" t="s">
        <v>2730</v>
      </c>
    </row>
    <row r="927" spans="1:9" x14ac:dyDescent="0.15">
      <c r="A927" s="9">
        <v>926</v>
      </c>
      <c r="B927" s="10" t="s">
        <v>9</v>
      </c>
      <c r="C927" s="10" t="s">
        <v>164</v>
      </c>
      <c r="D927" s="10" t="s">
        <v>165</v>
      </c>
      <c r="E927" s="11" t="str">
        <f>+HYPERLINK("http://trademark.i-assist.jp/data/china/image_1901th/78897424.pdf", "78897424")</f>
        <v>78897424</v>
      </c>
      <c r="F927" s="10" t="s">
        <v>2773</v>
      </c>
      <c r="G927" s="10" t="s">
        <v>2774</v>
      </c>
      <c r="H927" s="10" t="s">
        <v>2775</v>
      </c>
      <c r="I927" s="10" t="s">
        <v>2730</v>
      </c>
    </row>
    <row r="928" spans="1:9" x14ac:dyDescent="0.15">
      <c r="A928" s="9">
        <v>927</v>
      </c>
      <c r="B928" s="10" t="s">
        <v>9</v>
      </c>
      <c r="C928" s="10" t="s">
        <v>164</v>
      </c>
      <c r="D928" s="10" t="s">
        <v>165</v>
      </c>
      <c r="E928" s="11" t="str">
        <f>+HYPERLINK("http://trademark.i-assist.jp/data/china/image_1901th/78898319.pdf", "78898319")</f>
        <v>78898319</v>
      </c>
      <c r="F928" s="10" t="s">
        <v>2776</v>
      </c>
      <c r="G928" s="10" t="s">
        <v>2777</v>
      </c>
      <c r="H928" s="10" t="s">
        <v>2778</v>
      </c>
      <c r="I928" s="10" t="s">
        <v>2730</v>
      </c>
    </row>
    <row r="929" spans="1:9" x14ac:dyDescent="0.15">
      <c r="A929" s="9">
        <v>928</v>
      </c>
      <c r="B929" s="10" t="s">
        <v>9</v>
      </c>
      <c r="C929" s="10" t="s">
        <v>164</v>
      </c>
      <c r="D929" s="10" t="s">
        <v>165</v>
      </c>
      <c r="E929" s="11" t="str">
        <f>+HYPERLINK("http://trademark.i-assist.jp/data/china/image_1901th/78898371.pdf", "78898371")</f>
        <v>78898371</v>
      </c>
      <c r="F929" s="10" t="s">
        <v>2779</v>
      </c>
      <c r="G929" s="10" t="s">
        <v>2780</v>
      </c>
      <c r="H929" s="10" t="s">
        <v>2781</v>
      </c>
      <c r="I929" s="10" t="s">
        <v>2730</v>
      </c>
    </row>
    <row r="930" spans="1:9" x14ac:dyDescent="0.15">
      <c r="A930" s="9">
        <v>929</v>
      </c>
      <c r="B930" s="10" t="s">
        <v>9</v>
      </c>
      <c r="C930" s="10" t="s">
        <v>164</v>
      </c>
      <c r="D930" s="10" t="s">
        <v>165</v>
      </c>
      <c r="E930" s="11" t="str">
        <f>+HYPERLINK("http://trademark.i-assist.jp/data/china/image_1901th/78898594.pdf", "78898594")</f>
        <v>78898594</v>
      </c>
      <c r="F930" s="10" t="s">
        <v>2782</v>
      </c>
      <c r="G930" s="10" t="s">
        <v>2783</v>
      </c>
      <c r="H930" s="10" t="s">
        <v>2784</v>
      </c>
      <c r="I930" s="10" t="s">
        <v>2730</v>
      </c>
    </row>
    <row r="931" spans="1:9" x14ac:dyDescent="0.15">
      <c r="A931" s="9">
        <v>930</v>
      </c>
      <c r="B931" s="10" t="s">
        <v>9</v>
      </c>
      <c r="C931" s="10" t="s">
        <v>164</v>
      </c>
      <c r="D931" s="10" t="s">
        <v>165</v>
      </c>
      <c r="E931" s="11" t="str">
        <f>+HYPERLINK("http://trademark.i-assist.jp/data/china/image_1901th/78898664.pdf", "78898664")</f>
        <v>78898664</v>
      </c>
      <c r="F931" s="10" t="s">
        <v>2785</v>
      </c>
      <c r="G931" s="10" t="s">
        <v>2786</v>
      </c>
      <c r="H931" s="10" t="s">
        <v>2787</v>
      </c>
      <c r="I931" s="10" t="s">
        <v>2730</v>
      </c>
    </row>
    <row r="932" spans="1:9" x14ac:dyDescent="0.15">
      <c r="A932" s="9">
        <v>931</v>
      </c>
      <c r="B932" s="10" t="s">
        <v>9</v>
      </c>
      <c r="C932" s="10" t="s">
        <v>164</v>
      </c>
      <c r="D932" s="10" t="s">
        <v>165</v>
      </c>
      <c r="E932" s="11" t="str">
        <f>+HYPERLINK("http://trademark.i-assist.jp/data/china/image_1901th/78899504.pdf", "78899504")</f>
        <v>78899504</v>
      </c>
      <c r="F932" s="10" t="s">
        <v>2788</v>
      </c>
      <c r="G932" s="10" t="s">
        <v>2789</v>
      </c>
      <c r="H932" s="10" t="s">
        <v>2790</v>
      </c>
      <c r="I932" s="10" t="s">
        <v>2730</v>
      </c>
    </row>
    <row r="933" spans="1:9" x14ac:dyDescent="0.15">
      <c r="A933" s="9">
        <v>932</v>
      </c>
      <c r="B933" s="10" t="s">
        <v>9</v>
      </c>
      <c r="C933" s="10" t="s">
        <v>164</v>
      </c>
      <c r="D933" s="10" t="s">
        <v>165</v>
      </c>
      <c r="E933" s="11" t="str">
        <f>+HYPERLINK("http://trademark.i-assist.jp/data/china/image_1901th/78899762.pdf", "78899762")</f>
        <v>78899762</v>
      </c>
      <c r="F933" s="10" t="s">
        <v>2791</v>
      </c>
      <c r="G933" s="10" t="s">
        <v>2792</v>
      </c>
      <c r="H933" s="10" t="s">
        <v>2793</v>
      </c>
      <c r="I933" s="10" t="s">
        <v>2730</v>
      </c>
    </row>
    <row r="934" spans="1:9" x14ac:dyDescent="0.15">
      <c r="A934" s="9">
        <v>933</v>
      </c>
      <c r="B934" s="10" t="s">
        <v>9</v>
      </c>
      <c r="C934" s="10" t="s">
        <v>164</v>
      </c>
      <c r="D934" s="10" t="s">
        <v>165</v>
      </c>
      <c r="E934" s="11" t="str">
        <f>+HYPERLINK("http://trademark.i-assist.jp/data/china/image_1901th/78899788.pdf", "78899788")</f>
        <v>78899788</v>
      </c>
      <c r="F934" s="10" t="s">
        <v>2794</v>
      </c>
      <c r="G934" s="10" t="s">
        <v>2795</v>
      </c>
      <c r="H934" s="10" t="s">
        <v>2796</v>
      </c>
      <c r="I934" s="10" t="s">
        <v>2730</v>
      </c>
    </row>
    <row r="935" spans="1:9" x14ac:dyDescent="0.15">
      <c r="A935" s="9">
        <v>934</v>
      </c>
      <c r="B935" s="10" t="s">
        <v>9</v>
      </c>
      <c r="C935" s="10" t="s">
        <v>164</v>
      </c>
      <c r="D935" s="10" t="s">
        <v>165</v>
      </c>
      <c r="E935" s="11" t="str">
        <f>+HYPERLINK("http://trademark.i-assist.jp/data/china/image_1901th/78899838.pdf", "78899838")</f>
        <v>78899838</v>
      </c>
      <c r="F935" s="10" t="s">
        <v>2797</v>
      </c>
      <c r="G935" s="10" t="s">
        <v>2798</v>
      </c>
      <c r="H935" s="10" t="s">
        <v>2799</v>
      </c>
      <c r="I935" s="10" t="s">
        <v>2730</v>
      </c>
    </row>
    <row r="936" spans="1:9" x14ac:dyDescent="0.15">
      <c r="A936" s="9">
        <v>935</v>
      </c>
      <c r="B936" s="10" t="s">
        <v>9</v>
      </c>
      <c r="C936" s="10" t="s">
        <v>164</v>
      </c>
      <c r="D936" s="10" t="s">
        <v>165</v>
      </c>
      <c r="E936" s="11" t="str">
        <f>+HYPERLINK("http://trademark.i-assist.jp/data/china/image_1901th/78900262.pdf", "78900262")</f>
        <v>78900262</v>
      </c>
      <c r="F936" s="10" t="s">
        <v>2800</v>
      </c>
      <c r="G936" s="10" t="s">
        <v>2801</v>
      </c>
      <c r="H936" s="10" t="s">
        <v>2802</v>
      </c>
      <c r="I936" s="10" t="s">
        <v>2730</v>
      </c>
    </row>
    <row r="937" spans="1:9" x14ac:dyDescent="0.15">
      <c r="A937" s="9">
        <v>936</v>
      </c>
      <c r="B937" s="10" t="s">
        <v>9</v>
      </c>
      <c r="C937" s="10" t="s">
        <v>164</v>
      </c>
      <c r="D937" s="10" t="s">
        <v>165</v>
      </c>
      <c r="E937" s="11" t="str">
        <f>+HYPERLINK("http://trademark.i-assist.jp/data/china/image_1901th/78900453.pdf", "78900453")</f>
        <v>78900453</v>
      </c>
      <c r="F937" s="10" t="s">
        <v>2803</v>
      </c>
      <c r="G937" s="10" t="s">
        <v>2804</v>
      </c>
      <c r="H937" s="10" t="s">
        <v>2805</v>
      </c>
      <c r="I937" s="10" t="s">
        <v>2730</v>
      </c>
    </row>
    <row r="938" spans="1:9" x14ac:dyDescent="0.15">
      <c r="A938" s="9">
        <v>937</v>
      </c>
      <c r="B938" s="10" t="s">
        <v>9</v>
      </c>
      <c r="C938" s="10" t="s">
        <v>164</v>
      </c>
      <c r="D938" s="10" t="s">
        <v>165</v>
      </c>
      <c r="E938" s="11" t="str">
        <f>+HYPERLINK("http://trademark.i-assist.jp/data/china/image_1901th/78900525.pdf", "78900525")</f>
        <v>78900525</v>
      </c>
      <c r="F938" s="10" t="s">
        <v>2806</v>
      </c>
      <c r="G938" s="10" t="s">
        <v>2807</v>
      </c>
      <c r="H938" s="10" t="s">
        <v>2808</v>
      </c>
      <c r="I938" s="10" t="s">
        <v>2730</v>
      </c>
    </row>
    <row r="939" spans="1:9" x14ac:dyDescent="0.15">
      <c r="A939" s="9">
        <v>938</v>
      </c>
      <c r="B939" s="10" t="s">
        <v>9</v>
      </c>
      <c r="C939" s="10" t="s">
        <v>164</v>
      </c>
      <c r="D939" s="10" t="s">
        <v>165</v>
      </c>
      <c r="E939" s="11" t="str">
        <f>+HYPERLINK("http://trademark.i-assist.jp/data/china/image_1901th/78900549.pdf", "78900549")</f>
        <v>78900549</v>
      </c>
      <c r="F939" s="10" t="s">
        <v>2809</v>
      </c>
      <c r="G939" s="10" t="s">
        <v>2743</v>
      </c>
      <c r="H939" s="10" t="s">
        <v>2810</v>
      </c>
      <c r="I939" s="10" t="s">
        <v>2730</v>
      </c>
    </row>
    <row r="940" spans="1:9" x14ac:dyDescent="0.15">
      <c r="A940" s="9">
        <v>939</v>
      </c>
      <c r="B940" s="10" t="s">
        <v>9</v>
      </c>
      <c r="C940" s="10" t="s">
        <v>164</v>
      </c>
      <c r="D940" s="10" t="s">
        <v>165</v>
      </c>
      <c r="E940" s="11" t="str">
        <f>+HYPERLINK("http://trademark.i-assist.jp/data/china/image_1901th/78900595.pdf", "78900595")</f>
        <v>78900595</v>
      </c>
      <c r="F940" s="10" t="s">
        <v>2811</v>
      </c>
      <c r="G940" s="10" t="s">
        <v>2812</v>
      </c>
      <c r="H940" s="10" t="s">
        <v>2813</v>
      </c>
      <c r="I940" s="10" t="s">
        <v>2730</v>
      </c>
    </row>
    <row r="941" spans="1:9" x14ac:dyDescent="0.15">
      <c r="A941" s="9">
        <v>940</v>
      </c>
      <c r="B941" s="10" t="s">
        <v>9</v>
      </c>
      <c r="C941" s="10" t="s">
        <v>164</v>
      </c>
      <c r="D941" s="10" t="s">
        <v>165</v>
      </c>
      <c r="E941" s="11" t="str">
        <f>+HYPERLINK("http://trademark.i-assist.jp/data/china/image_1901th/78900620.pdf", "78900620")</f>
        <v>78900620</v>
      </c>
      <c r="F941" s="10" t="s">
        <v>2814</v>
      </c>
      <c r="G941" s="10" t="s">
        <v>2815</v>
      </c>
      <c r="H941" s="10" t="s">
        <v>2816</v>
      </c>
      <c r="I941" s="10" t="s">
        <v>2730</v>
      </c>
    </row>
    <row r="942" spans="1:9" x14ac:dyDescent="0.15">
      <c r="A942" s="9">
        <v>941</v>
      </c>
      <c r="B942" s="10" t="s">
        <v>9</v>
      </c>
      <c r="C942" s="10" t="s">
        <v>164</v>
      </c>
      <c r="D942" s="10" t="s">
        <v>165</v>
      </c>
      <c r="E942" s="11" t="str">
        <f>+HYPERLINK("http://trademark.i-assist.jp/data/china/image_1901th/78901349.pdf", "78901349")</f>
        <v>78901349</v>
      </c>
      <c r="F942" s="10" t="s">
        <v>2817</v>
      </c>
      <c r="G942" s="10" t="s">
        <v>2818</v>
      </c>
      <c r="H942" s="10" t="s">
        <v>2819</v>
      </c>
      <c r="I942" s="10" t="s">
        <v>2730</v>
      </c>
    </row>
    <row r="943" spans="1:9" x14ac:dyDescent="0.15">
      <c r="A943" s="9">
        <v>942</v>
      </c>
      <c r="B943" s="10" t="s">
        <v>9</v>
      </c>
      <c r="C943" s="10" t="s">
        <v>164</v>
      </c>
      <c r="D943" s="10" t="s">
        <v>165</v>
      </c>
      <c r="E943" s="11" t="str">
        <f>+HYPERLINK("http://trademark.i-assist.jp/data/china/image_1901th/78901417.pdf", "78901417")</f>
        <v>78901417</v>
      </c>
      <c r="F943" s="10" t="s">
        <v>2820</v>
      </c>
      <c r="G943" s="10" t="s">
        <v>2821</v>
      </c>
      <c r="H943" s="10" t="s">
        <v>19</v>
      </c>
      <c r="I943" s="10" t="s">
        <v>2730</v>
      </c>
    </row>
    <row r="944" spans="1:9" x14ac:dyDescent="0.15">
      <c r="A944" s="9">
        <v>943</v>
      </c>
      <c r="B944" s="10" t="s">
        <v>9</v>
      </c>
      <c r="C944" s="10" t="s">
        <v>164</v>
      </c>
      <c r="D944" s="10" t="s">
        <v>165</v>
      </c>
      <c r="E944" s="11" t="str">
        <f>+HYPERLINK("http://trademark.i-assist.jp/data/china/image_1901th/78901446.pdf", "78901446")</f>
        <v>78901446</v>
      </c>
      <c r="F944" s="10" t="s">
        <v>2822</v>
      </c>
      <c r="G944" s="10" t="s">
        <v>2823</v>
      </c>
      <c r="H944" s="10" t="s">
        <v>2824</v>
      </c>
      <c r="I944" s="10" t="s">
        <v>2730</v>
      </c>
    </row>
    <row r="945" spans="1:9" x14ac:dyDescent="0.15">
      <c r="A945" s="9">
        <v>944</v>
      </c>
      <c r="B945" s="10" t="s">
        <v>9</v>
      </c>
      <c r="C945" s="10" t="s">
        <v>164</v>
      </c>
      <c r="D945" s="10" t="s">
        <v>165</v>
      </c>
      <c r="E945" s="11" t="str">
        <f>+HYPERLINK("http://trademark.i-assist.jp/data/china/image_1901th/78901689.pdf", "78901689")</f>
        <v>78901689</v>
      </c>
      <c r="F945" s="10" t="s">
        <v>2825</v>
      </c>
      <c r="G945" s="10" t="s">
        <v>2826</v>
      </c>
      <c r="H945" s="10" t="s">
        <v>2827</v>
      </c>
      <c r="I945" s="10" t="s">
        <v>2730</v>
      </c>
    </row>
    <row r="946" spans="1:9" x14ac:dyDescent="0.15">
      <c r="A946" s="9">
        <v>945</v>
      </c>
      <c r="B946" s="10" t="s">
        <v>9</v>
      </c>
      <c r="C946" s="10" t="s">
        <v>164</v>
      </c>
      <c r="D946" s="10" t="s">
        <v>165</v>
      </c>
      <c r="E946" s="11" t="str">
        <f>+HYPERLINK("http://trademark.i-assist.jp/data/china/image_1901th/78902016.pdf", "78902016")</f>
        <v>78902016</v>
      </c>
      <c r="F946" s="10" t="s">
        <v>2828</v>
      </c>
      <c r="G946" s="10" t="s">
        <v>2829</v>
      </c>
      <c r="H946" s="10" t="s">
        <v>2830</v>
      </c>
      <c r="I946" s="10" t="s">
        <v>2730</v>
      </c>
    </row>
    <row r="947" spans="1:9" x14ac:dyDescent="0.15">
      <c r="A947" s="9">
        <v>946</v>
      </c>
      <c r="B947" s="10" t="s">
        <v>9</v>
      </c>
      <c r="C947" s="10" t="s">
        <v>164</v>
      </c>
      <c r="D947" s="10" t="s">
        <v>165</v>
      </c>
      <c r="E947" s="11" t="str">
        <f>+HYPERLINK("http://trademark.i-assist.jp/data/china/image_1901th/78902431.pdf", "78902431")</f>
        <v>78902431</v>
      </c>
      <c r="F947" s="10" t="s">
        <v>2831</v>
      </c>
      <c r="G947" s="10" t="s">
        <v>2832</v>
      </c>
      <c r="H947" s="10" t="s">
        <v>2833</v>
      </c>
      <c r="I947" s="10" t="s">
        <v>2730</v>
      </c>
    </row>
    <row r="948" spans="1:9" x14ac:dyDescent="0.15">
      <c r="A948" s="9">
        <v>947</v>
      </c>
      <c r="B948" s="10" t="s">
        <v>9</v>
      </c>
      <c r="C948" s="10" t="s">
        <v>164</v>
      </c>
      <c r="D948" s="10" t="s">
        <v>165</v>
      </c>
      <c r="E948" s="11" t="str">
        <f>+HYPERLINK("http://trademark.i-assist.jp/data/china/image_1901th/78902872.pdf", "78902872")</f>
        <v>78902872</v>
      </c>
      <c r="F948" s="10" t="s">
        <v>2834</v>
      </c>
      <c r="G948" s="10" t="s">
        <v>2835</v>
      </c>
      <c r="H948" s="10" t="s">
        <v>2836</v>
      </c>
      <c r="I948" s="10" t="s">
        <v>2730</v>
      </c>
    </row>
    <row r="949" spans="1:9" x14ac:dyDescent="0.15">
      <c r="A949" s="9">
        <v>948</v>
      </c>
      <c r="B949" s="10" t="s">
        <v>9</v>
      </c>
      <c r="C949" s="10" t="s">
        <v>164</v>
      </c>
      <c r="D949" s="10" t="s">
        <v>165</v>
      </c>
      <c r="E949" s="11" t="str">
        <f>+HYPERLINK("http://trademark.i-assist.jp/data/china/image_1901th/78902965.pdf", "78902965")</f>
        <v>78902965</v>
      </c>
      <c r="F949" s="10" t="s">
        <v>2837</v>
      </c>
      <c r="G949" s="10" t="s">
        <v>2838</v>
      </c>
      <c r="H949" s="10" t="s">
        <v>2839</v>
      </c>
      <c r="I949" s="10" t="s">
        <v>2730</v>
      </c>
    </row>
    <row r="950" spans="1:9" x14ac:dyDescent="0.15">
      <c r="A950" s="9">
        <v>949</v>
      </c>
      <c r="B950" s="10" t="s">
        <v>9</v>
      </c>
      <c r="C950" s="10" t="s">
        <v>164</v>
      </c>
      <c r="D950" s="10" t="s">
        <v>165</v>
      </c>
      <c r="E950" s="11" t="str">
        <f>+HYPERLINK("http://trademark.i-assist.jp/data/china/image_1901th/78903133.pdf", "78903133")</f>
        <v>78903133</v>
      </c>
      <c r="F950" s="10" t="s">
        <v>12</v>
      </c>
      <c r="G950" s="10" t="s">
        <v>2840</v>
      </c>
      <c r="H950" s="10" t="s">
        <v>19</v>
      </c>
      <c r="I950" s="10" t="s">
        <v>2730</v>
      </c>
    </row>
    <row r="951" spans="1:9" x14ac:dyDescent="0.15">
      <c r="A951" s="9">
        <v>950</v>
      </c>
      <c r="B951" s="10" t="s">
        <v>9</v>
      </c>
      <c r="C951" s="10" t="s">
        <v>164</v>
      </c>
      <c r="D951" s="10" t="s">
        <v>165</v>
      </c>
      <c r="E951" s="11" t="str">
        <f>+HYPERLINK("http://trademark.i-assist.jp/data/china/image_1901th/78903971.pdf", "78903971")</f>
        <v>78903971</v>
      </c>
      <c r="F951" s="10" t="s">
        <v>2841</v>
      </c>
      <c r="G951" s="10" t="s">
        <v>2842</v>
      </c>
      <c r="H951" s="10" t="s">
        <v>2843</v>
      </c>
      <c r="I951" s="10" t="s">
        <v>2730</v>
      </c>
    </row>
    <row r="952" spans="1:9" x14ac:dyDescent="0.15">
      <c r="A952" s="9">
        <v>951</v>
      </c>
      <c r="B952" s="10" t="s">
        <v>9</v>
      </c>
      <c r="C952" s="10" t="s">
        <v>164</v>
      </c>
      <c r="D952" s="10" t="s">
        <v>165</v>
      </c>
      <c r="E952" s="11" t="str">
        <f>+HYPERLINK("http://trademark.i-assist.jp/data/china/image_1901th/78904246.pdf", "78904246")</f>
        <v>78904246</v>
      </c>
      <c r="F952" s="10" t="s">
        <v>2844</v>
      </c>
      <c r="G952" s="10" t="s">
        <v>2845</v>
      </c>
      <c r="H952" s="10" t="s">
        <v>2846</v>
      </c>
      <c r="I952" s="10" t="s">
        <v>2730</v>
      </c>
    </row>
    <row r="953" spans="1:9" x14ac:dyDescent="0.15">
      <c r="A953" s="9">
        <v>952</v>
      </c>
      <c r="B953" s="10" t="s">
        <v>9</v>
      </c>
      <c r="C953" s="10" t="s">
        <v>164</v>
      </c>
      <c r="D953" s="10" t="s">
        <v>165</v>
      </c>
      <c r="E953" s="11" t="str">
        <f>+HYPERLINK("http://trademark.i-assist.jp/data/china/image_1901th/78904438.pdf", "78904438")</f>
        <v>78904438</v>
      </c>
      <c r="F953" s="10" t="s">
        <v>2847</v>
      </c>
      <c r="G953" s="10" t="s">
        <v>2848</v>
      </c>
      <c r="H953" s="10" t="s">
        <v>2849</v>
      </c>
      <c r="I953" s="10" t="s">
        <v>2730</v>
      </c>
    </row>
    <row r="954" spans="1:9" x14ac:dyDescent="0.15">
      <c r="A954" s="9">
        <v>953</v>
      </c>
      <c r="B954" s="10" t="s">
        <v>9</v>
      </c>
      <c r="C954" s="10" t="s">
        <v>164</v>
      </c>
      <c r="D954" s="10" t="s">
        <v>165</v>
      </c>
      <c r="E954" s="11" t="str">
        <f>+HYPERLINK("http://trademark.i-assist.jp/data/china/image_1901th/78904526.pdf", "78904526")</f>
        <v>78904526</v>
      </c>
      <c r="F954" s="10" t="s">
        <v>2850</v>
      </c>
      <c r="G954" s="10" t="s">
        <v>2851</v>
      </c>
      <c r="H954" s="10" t="s">
        <v>2852</v>
      </c>
      <c r="I954" s="10" t="s">
        <v>2730</v>
      </c>
    </row>
    <row r="955" spans="1:9" x14ac:dyDescent="0.15">
      <c r="A955" s="9">
        <v>954</v>
      </c>
      <c r="B955" s="10" t="s">
        <v>9</v>
      </c>
      <c r="C955" s="10" t="s">
        <v>164</v>
      </c>
      <c r="D955" s="10" t="s">
        <v>165</v>
      </c>
      <c r="E955" s="11" t="str">
        <f>+HYPERLINK("http://trademark.i-assist.jp/data/china/image_1901th/78904802.pdf", "78904802")</f>
        <v>78904802</v>
      </c>
      <c r="F955" s="10" t="s">
        <v>2853</v>
      </c>
      <c r="G955" s="10" t="s">
        <v>2854</v>
      </c>
      <c r="H955" s="10" t="s">
        <v>2855</v>
      </c>
      <c r="I955" s="10" t="s">
        <v>2730</v>
      </c>
    </row>
    <row r="956" spans="1:9" x14ac:dyDescent="0.15">
      <c r="A956" s="9">
        <v>955</v>
      </c>
      <c r="B956" s="10" t="s">
        <v>9</v>
      </c>
      <c r="C956" s="10" t="s">
        <v>164</v>
      </c>
      <c r="D956" s="10" t="s">
        <v>165</v>
      </c>
      <c r="E956" s="11" t="str">
        <f>+HYPERLINK("http://trademark.i-assist.jp/data/china/image_1901th/78905030.pdf", "78905030")</f>
        <v>78905030</v>
      </c>
      <c r="F956" s="10" t="s">
        <v>2856</v>
      </c>
      <c r="G956" s="10" t="s">
        <v>2857</v>
      </c>
      <c r="H956" s="10" t="s">
        <v>2858</v>
      </c>
      <c r="I956" s="10" t="s">
        <v>2730</v>
      </c>
    </row>
    <row r="957" spans="1:9" x14ac:dyDescent="0.15">
      <c r="A957" s="9">
        <v>956</v>
      </c>
      <c r="B957" s="10" t="s">
        <v>9</v>
      </c>
      <c r="C957" s="10" t="s">
        <v>164</v>
      </c>
      <c r="D957" s="10" t="s">
        <v>165</v>
      </c>
      <c r="E957" s="11" t="str">
        <f>+HYPERLINK("http://trademark.i-assist.jp/data/china/image_1901th/78905162.pdf", "78905162")</f>
        <v>78905162</v>
      </c>
      <c r="F957" s="10" t="s">
        <v>2859</v>
      </c>
      <c r="G957" s="10" t="s">
        <v>2860</v>
      </c>
      <c r="H957" s="10" t="s">
        <v>2861</v>
      </c>
      <c r="I957" s="10" t="s">
        <v>2730</v>
      </c>
    </row>
    <row r="958" spans="1:9" x14ac:dyDescent="0.15">
      <c r="A958" s="9">
        <v>957</v>
      </c>
      <c r="B958" s="10" t="s">
        <v>9</v>
      </c>
      <c r="C958" s="10" t="s">
        <v>164</v>
      </c>
      <c r="D958" s="10" t="s">
        <v>165</v>
      </c>
      <c r="E958" s="11" t="str">
        <f>+HYPERLINK("http://trademark.i-assist.jp/data/china/image_1901th/78905215.pdf", "78905215")</f>
        <v>78905215</v>
      </c>
      <c r="F958" s="10" t="s">
        <v>2862</v>
      </c>
      <c r="G958" s="10" t="s">
        <v>2863</v>
      </c>
      <c r="H958" s="10" t="s">
        <v>2864</v>
      </c>
      <c r="I958" s="10" t="s">
        <v>2730</v>
      </c>
    </row>
    <row r="959" spans="1:9" x14ac:dyDescent="0.15">
      <c r="A959" s="9">
        <v>958</v>
      </c>
      <c r="B959" s="10" t="s">
        <v>9</v>
      </c>
      <c r="C959" s="10" t="s">
        <v>164</v>
      </c>
      <c r="D959" s="10" t="s">
        <v>165</v>
      </c>
      <c r="E959" s="11" t="str">
        <f>+HYPERLINK("http://trademark.i-assist.jp/data/china/image_1901th/78905540.pdf", "78905540")</f>
        <v>78905540</v>
      </c>
      <c r="F959" s="10" t="s">
        <v>2865</v>
      </c>
      <c r="G959" s="10" t="s">
        <v>2866</v>
      </c>
      <c r="H959" s="10" t="s">
        <v>2867</v>
      </c>
      <c r="I959" s="10" t="s">
        <v>2730</v>
      </c>
    </row>
    <row r="960" spans="1:9" x14ac:dyDescent="0.15">
      <c r="A960" s="9">
        <v>959</v>
      </c>
      <c r="B960" s="10" t="s">
        <v>9</v>
      </c>
      <c r="C960" s="10" t="s">
        <v>164</v>
      </c>
      <c r="D960" s="10" t="s">
        <v>165</v>
      </c>
      <c r="E960" s="11" t="str">
        <f>+HYPERLINK("http://trademark.i-assist.jp/data/china/image_1901th/78906007.pdf", "78906007")</f>
        <v>78906007</v>
      </c>
      <c r="F960" s="10" t="s">
        <v>2868</v>
      </c>
      <c r="G960" s="10" t="s">
        <v>2869</v>
      </c>
      <c r="H960" s="10" t="s">
        <v>2870</v>
      </c>
      <c r="I960" s="10" t="s">
        <v>2730</v>
      </c>
    </row>
    <row r="961" spans="1:9" x14ac:dyDescent="0.15">
      <c r="A961" s="9">
        <v>960</v>
      </c>
      <c r="B961" s="10" t="s">
        <v>9</v>
      </c>
      <c r="C961" s="10" t="s">
        <v>164</v>
      </c>
      <c r="D961" s="10" t="s">
        <v>165</v>
      </c>
      <c r="E961" s="11" t="str">
        <f>+HYPERLINK("http://trademark.i-assist.jp/data/china/image_1901th/78906038.pdf", "78906038")</f>
        <v>78906038</v>
      </c>
      <c r="F961" s="10" t="s">
        <v>2871</v>
      </c>
      <c r="G961" s="10" t="s">
        <v>148</v>
      </c>
      <c r="H961" s="10" t="s">
        <v>2872</v>
      </c>
      <c r="I961" s="10" t="s">
        <v>2730</v>
      </c>
    </row>
    <row r="962" spans="1:9" x14ac:dyDescent="0.15">
      <c r="A962" s="9">
        <v>961</v>
      </c>
      <c r="B962" s="10" t="s">
        <v>9</v>
      </c>
      <c r="C962" s="10" t="s">
        <v>164</v>
      </c>
      <c r="D962" s="10" t="s">
        <v>165</v>
      </c>
      <c r="E962" s="11" t="str">
        <f>+HYPERLINK("http://trademark.i-assist.jp/data/china/image_1901th/78906164.pdf", "78906164")</f>
        <v>78906164</v>
      </c>
      <c r="F962" s="10" t="s">
        <v>2873</v>
      </c>
      <c r="G962" s="10" t="s">
        <v>2801</v>
      </c>
      <c r="H962" s="10" t="s">
        <v>2874</v>
      </c>
      <c r="I962" s="10" t="s">
        <v>2730</v>
      </c>
    </row>
    <row r="963" spans="1:9" x14ac:dyDescent="0.15">
      <c r="A963" s="9">
        <v>962</v>
      </c>
      <c r="B963" s="10" t="s">
        <v>9</v>
      </c>
      <c r="C963" s="10" t="s">
        <v>164</v>
      </c>
      <c r="D963" s="10" t="s">
        <v>165</v>
      </c>
      <c r="E963" s="11" t="str">
        <f>+HYPERLINK("http://trademark.i-assist.jp/data/china/image_1901th/78906406.pdf", "78906406")</f>
        <v>78906406</v>
      </c>
      <c r="F963" s="10" t="s">
        <v>2875</v>
      </c>
      <c r="G963" s="10" t="s">
        <v>2876</v>
      </c>
      <c r="H963" s="10" t="s">
        <v>2877</v>
      </c>
      <c r="I963" s="10" t="s">
        <v>2730</v>
      </c>
    </row>
    <row r="964" spans="1:9" x14ac:dyDescent="0.15">
      <c r="A964" s="9">
        <v>963</v>
      </c>
      <c r="B964" s="10" t="s">
        <v>9</v>
      </c>
      <c r="C964" s="10" t="s">
        <v>164</v>
      </c>
      <c r="D964" s="10" t="s">
        <v>165</v>
      </c>
      <c r="E964" s="11" t="str">
        <f>+HYPERLINK("http://trademark.i-assist.jp/data/china/image_1901th/78906582.pdf", "78906582")</f>
        <v>78906582</v>
      </c>
      <c r="F964" s="10" t="s">
        <v>2878</v>
      </c>
      <c r="G964" s="10" t="s">
        <v>2879</v>
      </c>
      <c r="H964" s="10" t="s">
        <v>2880</v>
      </c>
      <c r="I964" s="10" t="s">
        <v>2730</v>
      </c>
    </row>
    <row r="965" spans="1:9" x14ac:dyDescent="0.15">
      <c r="A965" s="9">
        <v>964</v>
      </c>
      <c r="B965" s="10" t="s">
        <v>9</v>
      </c>
      <c r="C965" s="10" t="s">
        <v>164</v>
      </c>
      <c r="D965" s="10" t="s">
        <v>165</v>
      </c>
      <c r="E965" s="11" t="str">
        <f>+HYPERLINK("http://trademark.i-assist.jp/data/china/image_1901th/78906662.pdf", "78906662")</f>
        <v>78906662</v>
      </c>
      <c r="F965" s="10" t="s">
        <v>2881</v>
      </c>
      <c r="G965" s="10" t="s">
        <v>2882</v>
      </c>
      <c r="H965" s="10" t="s">
        <v>2883</v>
      </c>
      <c r="I965" s="10" t="s">
        <v>2730</v>
      </c>
    </row>
    <row r="966" spans="1:9" x14ac:dyDescent="0.15">
      <c r="A966" s="9">
        <v>965</v>
      </c>
      <c r="B966" s="10" t="s">
        <v>9</v>
      </c>
      <c r="C966" s="10" t="s">
        <v>164</v>
      </c>
      <c r="D966" s="10" t="s">
        <v>165</v>
      </c>
      <c r="E966" s="11" t="str">
        <f>+HYPERLINK("http://trademark.i-assist.jp/data/china/image_1901th/78907265.pdf", "78907265")</f>
        <v>78907265</v>
      </c>
      <c r="F966" s="10" t="s">
        <v>2884</v>
      </c>
      <c r="G966" s="10" t="s">
        <v>2885</v>
      </c>
      <c r="H966" s="10" t="s">
        <v>2886</v>
      </c>
      <c r="I966" s="10" t="s">
        <v>2730</v>
      </c>
    </row>
    <row r="967" spans="1:9" x14ac:dyDescent="0.15">
      <c r="A967" s="9">
        <v>966</v>
      </c>
      <c r="B967" s="10" t="s">
        <v>9</v>
      </c>
      <c r="C967" s="10" t="s">
        <v>164</v>
      </c>
      <c r="D967" s="10" t="s">
        <v>165</v>
      </c>
      <c r="E967" s="11" t="str">
        <f>+HYPERLINK("http://trademark.i-assist.jp/data/china/image_1901th/78907575.pdf", "78907575")</f>
        <v>78907575</v>
      </c>
      <c r="F967" s="10" t="s">
        <v>2887</v>
      </c>
      <c r="G967" s="10" t="s">
        <v>2888</v>
      </c>
      <c r="H967" s="10" t="s">
        <v>2889</v>
      </c>
      <c r="I967" s="10" t="s">
        <v>2730</v>
      </c>
    </row>
    <row r="968" spans="1:9" x14ac:dyDescent="0.15">
      <c r="A968" s="9">
        <v>967</v>
      </c>
      <c r="B968" s="10" t="s">
        <v>9</v>
      </c>
      <c r="C968" s="10" t="s">
        <v>164</v>
      </c>
      <c r="D968" s="10" t="s">
        <v>165</v>
      </c>
      <c r="E968" s="11" t="str">
        <f>+HYPERLINK("http://trademark.i-assist.jp/data/china/image_1901th/78907872.pdf", "78907872")</f>
        <v>78907872</v>
      </c>
      <c r="F968" s="10" t="s">
        <v>2890</v>
      </c>
      <c r="G968" s="10" t="s">
        <v>2728</v>
      </c>
      <c r="H968" s="10" t="s">
        <v>2891</v>
      </c>
      <c r="I968" s="10" t="s">
        <v>2730</v>
      </c>
    </row>
    <row r="969" spans="1:9" x14ac:dyDescent="0.15">
      <c r="A969" s="9">
        <v>968</v>
      </c>
      <c r="B969" s="10" t="s">
        <v>9</v>
      </c>
      <c r="C969" s="10" t="s">
        <v>164</v>
      </c>
      <c r="D969" s="10" t="s">
        <v>165</v>
      </c>
      <c r="E969" s="11" t="str">
        <f>+HYPERLINK("http://trademark.i-assist.jp/data/china/image_1901th/78907903.pdf", "78907903")</f>
        <v>78907903</v>
      </c>
      <c r="F969" s="10" t="s">
        <v>2892</v>
      </c>
      <c r="G969" s="10" t="s">
        <v>2893</v>
      </c>
      <c r="H969" s="10" t="s">
        <v>2894</v>
      </c>
      <c r="I969" s="10" t="s">
        <v>2730</v>
      </c>
    </row>
    <row r="970" spans="1:9" x14ac:dyDescent="0.15">
      <c r="A970" s="9">
        <v>969</v>
      </c>
      <c r="B970" s="10" t="s">
        <v>9</v>
      </c>
      <c r="C970" s="10" t="s">
        <v>164</v>
      </c>
      <c r="D970" s="10" t="s">
        <v>165</v>
      </c>
      <c r="E970" s="11" t="str">
        <f>+HYPERLINK("http://trademark.i-assist.jp/data/china/image_1901th/78908469.pdf", "78908469")</f>
        <v>78908469</v>
      </c>
      <c r="F970" s="10" t="s">
        <v>2895</v>
      </c>
      <c r="G970" s="10" t="s">
        <v>2896</v>
      </c>
      <c r="H970" s="10" t="s">
        <v>2897</v>
      </c>
      <c r="I970" s="10" t="s">
        <v>2730</v>
      </c>
    </row>
    <row r="971" spans="1:9" x14ac:dyDescent="0.15">
      <c r="A971" s="9">
        <v>970</v>
      </c>
      <c r="B971" s="10" t="s">
        <v>9</v>
      </c>
      <c r="C971" s="10" t="s">
        <v>164</v>
      </c>
      <c r="D971" s="10" t="s">
        <v>165</v>
      </c>
      <c r="E971" s="11" t="str">
        <f>+HYPERLINK("http://trademark.i-assist.jp/data/china/image_1901th/78908529.pdf", "78908529")</f>
        <v>78908529</v>
      </c>
      <c r="F971" s="10" t="s">
        <v>2898</v>
      </c>
      <c r="G971" s="10" t="s">
        <v>2899</v>
      </c>
      <c r="H971" s="10" t="s">
        <v>2900</v>
      </c>
      <c r="I971" s="10" t="s">
        <v>2730</v>
      </c>
    </row>
    <row r="972" spans="1:9" x14ac:dyDescent="0.15">
      <c r="A972" s="9">
        <v>971</v>
      </c>
      <c r="B972" s="10" t="s">
        <v>9</v>
      </c>
      <c r="C972" s="10" t="s">
        <v>164</v>
      </c>
      <c r="D972" s="10" t="s">
        <v>165</v>
      </c>
      <c r="E972" s="11" t="str">
        <f>+HYPERLINK("http://trademark.i-assist.jp/data/china/image_1901th/78908984.pdf", "78908984")</f>
        <v>78908984</v>
      </c>
      <c r="F972" s="10" t="s">
        <v>2901</v>
      </c>
      <c r="G972" s="10" t="s">
        <v>2902</v>
      </c>
      <c r="H972" s="10" t="s">
        <v>2903</v>
      </c>
      <c r="I972" s="10" t="s">
        <v>2730</v>
      </c>
    </row>
    <row r="973" spans="1:9" x14ac:dyDescent="0.15">
      <c r="A973" s="9">
        <v>972</v>
      </c>
      <c r="B973" s="10" t="s">
        <v>9</v>
      </c>
      <c r="C973" s="10" t="s">
        <v>164</v>
      </c>
      <c r="D973" s="10" t="s">
        <v>165</v>
      </c>
      <c r="E973" s="11" t="str">
        <f>+HYPERLINK("http://trademark.i-assist.jp/data/china/image_1901th/78909981.pdf", "78909981")</f>
        <v>78909981</v>
      </c>
      <c r="F973" s="10" t="s">
        <v>2904</v>
      </c>
      <c r="G973" s="10" t="s">
        <v>2905</v>
      </c>
      <c r="H973" s="10" t="s">
        <v>2906</v>
      </c>
      <c r="I973" s="10" t="s">
        <v>2730</v>
      </c>
    </row>
    <row r="974" spans="1:9" x14ac:dyDescent="0.15">
      <c r="A974" s="9">
        <v>973</v>
      </c>
      <c r="B974" s="10" t="s">
        <v>9</v>
      </c>
      <c r="C974" s="10" t="s">
        <v>164</v>
      </c>
      <c r="D974" s="10" t="s">
        <v>165</v>
      </c>
      <c r="E974" s="11" t="str">
        <f>+HYPERLINK("http://trademark.i-assist.jp/data/china/image_1901th/78910255.pdf", "78910255")</f>
        <v>78910255</v>
      </c>
      <c r="F974" s="10" t="s">
        <v>2907</v>
      </c>
      <c r="G974" s="10" t="s">
        <v>2908</v>
      </c>
      <c r="H974" s="10" t="s">
        <v>2909</v>
      </c>
      <c r="I974" s="10" t="s">
        <v>2730</v>
      </c>
    </row>
    <row r="975" spans="1:9" x14ac:dyDescent="0.15">
      <c r="A975" s="9">
        <v>974</v>
      </c>
      <c r="B975" s="10" t="s">
        <v>9</v>
      </c>
      <c r="C975" s="10" t="s">
        <v>164</v>
      </c>
      <c r="D975" s="10" t="s">
        <v>165</v>
      </c>
      <c r="E975" s="11" t="str">
        <f>+HYPERLINK("http://trademark.i-assist.jp/data/china/image_1901th/78910460.pdf", "78910460")</f>
        <v>78910460</v>
      </c>
      <c r="F975" s="10" t="s">
        <v>2910</v>
      </c>
      <c r="G975" s="10" t="s">
        <v>94</v>
      </c>
      <c r="H975" s="10" t="s">
        <v>2911</v>
      </c>
      <c r="I975" s="10" t="s">
        <v>2730</v>
      </c>
    </row>
    <row r="976" spans="1:9" x14ac:dyDescent="0.15">
      <c r="A976" s="9">
        <v>975</v>
      </c>
      <c r="B976" s="10" t="s">
        <v>9</v>
      </c>
      <c r="C976" s="10" t="s">
        <v>164</v>
      </c>
      <c r="D976" s="10" t="s">
        <v>165</v>
      </c>
      <c r="E976" s="11" t="str">
        <f>+HYPERLINK("http://trademark.i-assist.jp/data/china/image_1901th/78910919.pdf", "78910919")</f>
        <v>78910919</v>
      </c>
      <c r="F976" s="10" t="s">
        <v>2912</v>
      </c>
      <c r="G976" s="10" t="s">
        <v>2913</v>
      </c>
      <c r="H976" s="10" t="s">
        <v>2914</v>
      </c>
      <c r="I976" s="10" t="s">
        <v>2730</v>
      </c>
    </row>
    <row r="977" spans="1:9" x14ac:dyDescent="0.15">
      <c r="A977" s="9">
        <v>976</v>
      </c>
      <c r="B977" s="10" t="s">
        <v>9</v>
      </c>
      <c r="C977" s="10" t="s">
        <v>164</v>
      </c>
      <c r="D977" s="10" t="s">
        <v>165</v>
      </c>
      <c r="E977" s="11" t="str">
        <f>+HYPERLINK("http://trademark.i-assist.jp/data/china/image_1901th/78910975.pdf", "78910975")</f>
        <v>78910975</v>
      </c>
      <c r="F977" s="10" t="s">
        <v>2915</v>
      </c>
      <c r="G977" s="10" t="s">
        <v>2916</v>
      </c>
      <c r="H977" s="10" t="s">
        <v>2917</v>
      </c>
      <c r="I977" s="10" t="s">
        <v>2730</v>
      </c>
    </row>
    <row r="978" spans="1:9" x14ac:dyDescent="0.15">
      <c r="A978" s="9">
        <v>977</v>
      </c>
      <c r="B978" s="10" t="s">
        <v>9</v>
      </c>
      <c r="C978" s="10" t="s">
        <v>164</v>
      </c>
      <c r="D978" s="10" t="s">
        <v>165</v>
      </c>
      <c r="E978" s="11" t="str">
        <f>+HYPERLINK("http://trademark.i-assist.jp/data/china/image_1901th/78911213.pdf", "78911213")</f>
        <v>78911213</v>
      </c>
      <c r="F978" s="10" t="s">
        <v>2918</v>
      </c>
      <c r="G978" s="10" t="s">
        <v>2732</v>
      </c>
      <c r="H978" s="10" t="s">
        <v>2919</v>
      </c>
      <c r="I978" s="10" t="s">
        <v>2730</v>
      </c>
    </row>
    <row r="979" spans="1:9" x14ac:dyDescent="0.15">
      <c r="A979" s="9">
        <v>978</v>
      </c>
      <c r="B979" s="10" t="s">
        <v>9</v>
      </c>
      <c r="C979" s="10" t="s">
        <v>164</v>
      </c>
      <c r="D979" s="10" t="s">
        <v>165</v>
      </c>
      <c r="E979" s="11" t="str">
        <f>+HYPERLINK("http://trademark.i-assist.jp/data/china/image_1901th/78911810.pdf", "78911810")</f>
        <v>78911810</v>
      </c>
      <c r="F979" s="10" t="s">
        <v>12</v>
      </c>
      <c r="G979" s="10" t="s">
        <v>2920</v>
      </c>
      <c r="H979" s="10" t="s">
        <v>2921</v>
      </c>
      <c r="I979" s="10" t="s">
        <v>2730</v>
      </c>
    </row>
    <row r="980" spans="1:9" x14ac:dyDescent="0.15">
      <c r="A980" s="9">
        <v>979</v>
      </c>
      <c r="B980" s="10" t="s">
        <v>9</v>
      </c>
      <c r="C980" s="10" t="s">
        <v>164</v>
      </c>
      <c r="D980" s="10" t="s">
        <v>165</v>
      </c>
      <c r="E980" s="11" t="str">
        <f>+HYPERLINK("http://trademark.i-assist.jp/data/china/image_1901th/78912005.pdf", "78912005")</f>
        <v>78912005</v>
      </c>
      <c r="F980" s="10" t="s">
        <v>2922</v>
      </c>
      <c r="G980" s="10" t="s">
        <v>2923</v>
      </c>
      <c r="H980" s="10" t="s">
        <v>2924</v>
      </c>
      <c r="I980" s="10" t="s">
        <v>2730</v>
      </c>
    </row>
    <row r="981" spans="1:9" x14ac:dyDescent="0.15">
      <c r="A981" s="9">
        <v>980</v>
      </c>
      <c r="B981" s="10" t="s">
        <v>9</v>
      </c>
      <c r="C981" s="10" t="s">
        <v>164</v>
      </c>
      <c r="D981" s="10" t="s">
        <v>165</v>
      </c>
      <c r="E981" s="11" t="str">
        <f>+HYPERLINK("http://trademark.i-assist.jp/data/china/image_1901th/78912103.pdf", "78912103")</f>
        <v>78912103</v>
      </c>
      <c r="F981" s="10" t="s">
        <v>2925</v>
      </c>
      <c r="G981" s="10" t="s">
        <v>2842</v>
      </c>
      <c r="H981" s="10" t="s">
        <v>2926</v>
      </c>
      <c r="I981" s="10" t="s">
        <v>2730</v>
      </c>
    </row>
    <row r="982" spans="1:9" x14ac:dyDescent="0.15">
      <c r="A982" s="9">
        <v>981</v>
      </c>
      <c r="B982" s="10" t="s">
        <v>9</v>
      </c>
      <c r="C982" s="10" t="s">
        <v>164</v>
      </c>
      <c r="D982" s="10" t="s">
        <v>165</v>
      </c>
      <c r="E982" s="11" t="str">
        <f>+HYPERLINK("http://trademark.i-assist.jp/data/china/image_1901th/78912263.pdf", "78912263")</f>
        <v>78912263</v>
      </c>
      <c r="F982" s="10" t="s">
        <v>2927</v>
      </c>
      <c r="G982" s="10" t="s">
        <v>2928</v>
      </c>
      <c r="H982" s="10" t="s">
        <v>2929</v>
      </c>
      <c r="I982" s="10" t="s">
        <v>2730</v>
      </c>
    </row>
    <row r="983" spans="1:9" x14ac:dyDescent="0.15">
      <c r="A983" s="9">
        <v>982</v>
      </c>
      <c r="B983" s="10" t="s">
        <v>9</v>
      </c>
      <c r="C983" s="10" t="s">
        <v>164</v>
      </c>
      <c r="D983" s="10" t="s">
        <v>165</v>
      </c>
      <c r="E983" s="11" t="str">
        <f>+HYPERLINK("http://trademark.i-assist.jp/data/china/image_1901th/78912311.pdf", "78912311")</f>
        <v>78912311</v>
      </c>
      <c r="F983" s="10" t="s">
        <v>2930</v>
      </c>
      <c r="G983" s="10" t="s">
        <v>2931</v>
      </c>
      <c r="H983" s="10" t="s">
        <v>2932</v>
      </c>
      <c r="I983" s="10" t="s">
        <v>2730</v>
      </c>
    </row>
    <row r="984" spans="1:9" x14ac:dyDescent="0.15">
      <c r="A984" s="9">
        <v>983</v>
      </c>
      <c r="B984" s="10" t="s">
        <v>9</v>
      </c>
      <c r="C984" s="10" t="s">
        <v>164</v>
      </c>
      <c r="D984" s="10" t="s">
        <v>165</v>
      </c>
      <c r="E984" s="11" t="str">
        <f>+HYPERLINK("http://trademark.i-assist.jp/data/china/image_1901th/78912393.pdf", "78912393")</f>
        <v>78912393</v>
      </c>
      <c r="F984" s="10" t="s">
        <v>2933</v>
      </c>
      <c r="G984" s="10" t="s">
        <v>2933</v>
      </c>
      <c r="H984" s="10" t="s">
        <v>2934</v>
      </c>
      <c r="I984" s="10" t="s">
        <v>2730</v>
      </c>
    </row>
    <row r="985" spans="1:9" x14ac:dyDescent="0.15">
      <c r="A985" s="9">
        <v>984</v>
      </c>
      <c r="B985" s="10" t="s">
        <v>9</v>
      </c>
      <c r="C985" s="10" t="s">
        <v>164</v>
      </c>
      <c r="D985" s="10" t="s">
        <v>165</v>
      </c>
      <c r="E985" s="11" t="str">
        <f>+HYPERLINK("http://trademark.i-assist.jp/data/china/image_1901th/78912580.pdf", "78912580")</f>
        <v>78912580</v>
      </c>
      <c r="F985" s="10" t="s">
        <v>2935</v>
      </c>
      <c r="G985" s="10" t="s">
        <v>2936</v>
      </c>
      <c r="H985" s="10" t="s">
        <v>2937</v>
      </c>
      <c r="I985" s="10" t="s">
        <v>2730</v>
      </c>
    </row>
    <row r="986" spans="1:9" x14ac:dyDescent="0.15">
      <c r="A986" s="9">
        <v>985</v>
      </c>
      <c r="B986" s="10" t="s">
        <v>9</v>
      </c>
      <c r="C986" s="10" t="s">
        <v>164</v>
      </c>
      <c r="D986" s="10" t="s">
        <v>165</v>
      </c>
      <c r="E986" s="11" t="str">
        <f>+HYPERLINK("http://trademark.i-assist.jp/data/china/image_1901th/78912684.pdf", "78912684")</f>
        <v>78912684</v>
      </c>
      <c r="F986" s="10" t="s">
        <v>2938</v>
      </c>
      <c r="G986" s="10" t="s">
        <v>2939</v>
      </c>
      <c r="H986" s="10" t="s">
        <v>2940</v>
      </c>
      <c r="I986" s="10" t="s">
        <v>2730</v>
      </c>
    </row>
    <row r="987" spans="1:9" x14ac:dyDescent="0.15">
      <c r="A987" s="9">
        <v>986</v>
      </c>
      <c r="B987" s="10" t="s">
        <v>9</v>
      </c>
      <c r="C987" s="10" t="s">
        <v>164</v>
      </c>
      <c r="D987" s="10" t="s">
        <v>165</v>
      </c>
      <c r="E987" s="11" t="str">
        <f>+HYPERLINK("http://trademark.i-assist.jp/data/china/image_1901th/78912888.pdf", "78912888")</f>
        <v>78912888</v>
      </c>
      <c r="F987" s="10" t="s">
        <v>2941</v>
      </c>
      <c r="G987" s="10" t="s">
        <v>2942</v>
      </c>
      <c r="H987" s="10" t="s">
        <v>2943</v>
      </c>
      <c r="I987" s="10" t="s">
        <v>2730</v>
      </c>
    </row>
    <row r="988" spans="1:9" x14ac:dyDescent="0.15">
      <c r="A988" s="9">
        <v>987</v>
      </c>
      <c r="B988" s="10" t="s">
        <v>9</v>
      </c>
      <c r="C988" s="10" t="s">
        <v>164</v>
      </c>
      <c r="D988" s="10" t="s">
        <v>165</v>
      </c>
      <c r="E988" s="11" t="str">
        <f>+HYPERLINK("http://trademark.i-assist.jp/data/china/image_1901th/78913523.pdf", "78913523")</f>
        <v>78913523</v>
      </c>
      <c r="F988" s="10" t="s">
        <v>2944</v>
      </c>
      <c r="G988" s="10" t="s">
        <v>2945</v>
      </c>
      <c r="H988" s="10" t="s">
        <v>2946</v>
      </c>
      <c r="I988" s="10" t="s">
        <v>2730</v>
      </c>
    </row>
    <row r="989" spans="1:9" x14ac:dyDescent="0.15">
      <c r="A989" s="9">
        <v>988</v>
      </c>
      <c r="B989" s="10" t="s">
        <v>9</v>
      </c>
      <c r="C989" s="10" t="s">
        <v>164</v>
      </c>
      <c r="D989" s="10" t="s">
        <v>165</v>
      </c>
      <c r="E989" s="11" t="str">
        <f>+HYPERLINK("http://trademark.i-assist.jp/data/china/image_1901th/78913627.pdf", "78913627")</f>
        <v>78913627</v>
      </c>
      <c r="F989" s="10" t="s">
        <v>2947</v>
      </c>
      <c r="G989" s="10" t="s">
        <v>2838</v>
      </c>
      <c r="H989" s="10" t="s">
        <v>2948</v>
      </c>
      <c r="I989" s="10" t="s">
        <v>2730</v>
      </c>
    </row>
    <row r="990" spans="1:9" x14ac:dyDescent="0.15">
      <c r="A990" s="9">
        <v>989</v>
      </c>
      <c r="B990" s="10" t="s">
        <v>9</v>
      </c>
      <c r="C990" s="10" t="s">
        <v>164</v>
      </c>
      <c r="D990" s="10" t="s">
        <v>165</v>
      </c>
      <c r="E990" s="11" t="str">
        <f>+HYPERLINK("http://trademark.i-assist.jp/data/china/image_1901th/78913803.pdf", "78913803")</f>
        <v>78913803</v>
      </c>
      <c r="F990" s="10" t="s">
        <v>2949</v>
      </c>
      <c r="G990" s="10" t="s">
        <v>2801</v>
      </c>
      <c r="H990" s="10" t="s">
        <v>2950</v>
      </c>
      <c r="I990" s="10" t="s">
        <v>2730</v>
      </c>
    </row>
    <row r="991" spans="1:9" x14ac:dyDescent="0.15">
      <c r="A991" s="9">
        <v>990</v>
      </c>
      <c r="B991" s="10" t="s">
        <v>9</v>
      </c>
      <c r="C991" s="10" t="s">
        <v>164</v>
      </c>
      <c r="D991" s="10" t="s">
        <v>165</v>
      </c>
      <c r="E991" s="11" t="str">
        <f>+HYPERLINK("http://trademark.i-assist.jp/data/china/image_1901th/78914240.pdf", "78914240")</f>
        <v>78914240</v>
      </c>
      <c r="F991" s="10" t="s">
        <v>2951</v>
      </c>
      <c r="G991" s="10" t="s">
        <v>2952</v>
      </c>
      <c r="H991" s="10" t="s">
        <v>2953</v>
      </c>
      <c r="I991" s="10" t="s">
        <v>2730</v>
      </c>
    </row>
    <row r="992" spans="1:9" x14ac:dyDescent="0.15">
      <c r="A992" s="9">
        <v>991</v>
      </c>
      <c r="B992" s="10" t="s">
        <v>9</v>
      </c>
      <c r="C992" s="10" t="s">
        <v>164</v>
      </c>
      <c r="D992" s="10" t="s">
        <v>165</v>
      </c>
      <c r="E992" s="11" t="str">
        <f>+HYPERLINK("http://trademark.i-assist.jp/data/china/image_1901th/78915046.pdf", "78915046")</f>
        <v>78915046</v>
      </c>
      <c r="F992" s="10" t="s">
        <v>2954</v>
      </c>
      <c r="G992" s="10" t="s">
        <v>2955</v>
      </c>
      <c r="H992" s="10" t="s">
        <v>2956</v>
      </c>
      <c r="I992" s="10" t="s">
        <v>2730</v>
      </c>
    </row>
    <row r="993" spans="1:9" x14ac:dyDescent="0.15">
      <c r="A993" s="9">
        <v>992</v>
      </c>
      <c r="B993" s="10" t="s">
        <v>9</v>
      </c>
      <c r="C993" s="10" t="s">
        <v>164</v>
      </c>
      <c r="D993" s="10" t="s">
        <v>165</v>
      </c>
      <c r="E993" s="11" t="str">
        <f>+HYPERLINK("http://trademark.i-assist.jp/data/china/image_1901th/78915352.pdf", "78915352")</f>
        <v>78915352</v>
      </c>
      <c r="F993" s="10" t="s">
        <v>2957</v>
      </c>
      <c r="G993" s="10" t="s">
        <v>2801</v>
      </c>
      <c r="H993" s="10" t="s">
        <v>2958</v>
      </c>
      <c r="I993" s="10" t="s">
        <v>2730</v>
      </c>
    </row>
    <row r="994" spans="1:9" x14ac:dyDescent="0.15">
      <c r="A994" s="9">
        <v>993</v>
      </c>
      <c r="B994" s="10" t="s">
        <v>9</v>
      </c>
      <c r="C994" s="10" t="s">
        <v>164</v>
      </c>
      <c r="D994" s="10" t="s">
        <v>165</v>
      </c>
      <c r="E994" s="11" t="str">
        <f>+HYPERLINK("http://trademark.i-assist.jp/data/china/image_1901th/78915492.pdf", "78915492")</f>
        <v>78915492</v>
      </c>
      <c r="F994" s="10" t="s">
        <v>2959</v>
      </c>
      <c r="G994" s="10" t="s">
        <v>2777</v>
      </c>
      <c r="H994" s="10" t="s">
        <v>2960</v>
      </c>
      <c r="I994" s="10" t="s">
        <v>2730</v>
      </c>
    </row>
    <row r="995" spans="1:9" x14ac:dyDescent="0.15">
      <c r="A995" s="9">
        <v>994</v>
      </c>
      <c r="B995" s="10" t="s">
        <v>9</v>
      </c>
      <c r="C995" s="10" t="s">
        <v>164</v>
      </c>
      <c r="D995" s="10" t="s">
        <v>165</v>
      </c>
      <c r="E995" s="11" t="str">
        <f>+HYPERLINK("http://trademark.i-assist.jp/data/china/image_1901th/78915502.pdf", "78915502")</f>
        <v>78915502</v>
      </c>
      <c r="F995" s="10" t="s">
        <v>2961</v>
      </c>
      <c r="G995" s="10" t="s">
        <v>2962</v>
      </c>
      <c r="H995" s="10" t="s">
        <v>2963</v>
      </c>
      <c r="I995" s="10" t="s">
        <v>2730</v>
      </c>
    </row>
    <row r="996" spans="1:9" x14ac:dyDescent="0.15">
      <c r="A996" s="9">
        <v>995</v>
      </c>
      <c r="B996" s="10" t="s">
        <v>9</v>
      </c>
      <c r="C996" s="10" t="s">
        <v>164</v>
      </c>
      <c r="D996" s="10" t="s">
        <v>165</v>
      </c>
      <c r="E996" s="11" t="str">
        <f>+HYPERLINK("http://trademark.i-assist.jp/data/china/image_1901th/78915783.pdf", "78915783")</f>
        <v>78915783</v>
      </c>
      <c r="F996" s="10" t="s">
        <v>2964</v>
      </c>
      <c r="G996" s="10" t="s">
        <v>2965</v>
      </c>
      <c r="H996" s="10" t="s">
        <v>2966</v>
      </c>
      <c r="I996" s="10" t="s">
        <v>2730</v>
      </c>
    </row>
    <row r="997" spans="1:9" x14ac:dyDescent="0.15">
      <c r="A997" s="9">
        <v>996</v>
      </c>
      <c r="B997" s="10" t="s">
        <v>9</v>
      </c>
      <c r="C997" s="10" t="s">
        <v>164</v>
      </c>
      <c r="D997" s="10" t="s">
        <v>165</v>
      </c>
      <c r="E997" s="11" t="str">
        <f>+HYPERLINK("http://trademark.i-assist.jp/data/china/image_1901th/78915924.pdf", "78915924")</f>
        <v>78915924</v>
      </c>
      <c r="F997" s="10" t="s">
        <v>2967</v>
      </c>
      <c r="G997" s="10" t="s">
        <v>2968</v>
      </c>
      <c r="H997" s="10" t="s">
        <v>2969</v>
      </c>
      <c r="I997" s="10" t="s">
        <v>2730</v>
      </c>
    </row>
    <row r="998" spans="1:9" x14ac:dyDescent="0.15">
      <c r="A998" s="9">
        <v>997</v>
      </c>
      <c r="B998" s="10" t="s">
        <v>9</v>
      </c>
      <c r="C998" s="10" t="s">
        <v>164</v>
      </c>
      <c r="D998" s="10" t="s">
        <v>165</v>
      </c>
      <c r="E998" s="11" t="str">
        <f>+HYPERLINK("http://trademark.i-assist.jp/data/china/image_1901th/78915929.pdf", "78915929")</f>
        <v>78915929</v>
      </c>
      <c r="F998" s="10" t="s">
        <v>2970</v>
      </c>
      <c r="G998" s="10" t="s">
        <v>2971</v>
      </c>
      <c r="H998" s="10" t="s">
        <v>2972</v>
      </c>
      <c r="I998" s="10" t="s">
        <v>2730</v>
      </c>
    </row>
    <row r="999" spans="1:9" x14ac:dyDescent="0.15">
      <c r="A999" s="9">
        <v>998</v>
      </c>
      <c r="B999" s="10" t="s">
        <v>9</v>
      </c>
      <c r="C999" s="10" t="s">
        <v>164</v>
      </c>
      <c r="D999" s="10" t="s">
        <v>165</v>
      </c>
      <c r="E999" s="11" t="str">
        <f>+HYPERLINK("http://trademark.i-assist.jp/data/china/image_1901th/78916362.pdf", "78916362")</f>
        <v>78916362</v>
      </c>
      <c r="F999" s="10" t="s">
        <v>2973</v>
      </c>
      <c r="G999" s="10" t="s">
        <v>56</v>
      </c>
      <c r="H999" s="10" t="s">
        <v>2974</v>
      </c>
      <c r="I999" s="10" t="s">
        <v>2730</v>
      </c>
    </row>
    <row r="1000" spans="1:9" x14ac:dyDescent="0.15">
      <c r="A1000" s="9">
        <v>999</v>
      </c>
      <c r="B1000" s="10" t="s">
        <v>9</v>
      </c>
      <c r="C1000" s="10" t="s">
        <v>164</v>
      </c>
      <c r="D1000" s="10" t="s">
        <v>165</v>
      </c>
      <c r="E1000" s="11" t="str">
        <f>+HYPERLINK("http://trademark.i-assist.jp/data/china/image_1901th/78916560.pdf", "78916560")</f>
        <v>78916560</v>
      </c>
      <c r="F1000" s="10" t="s">
        <v>2975</v>
      </c>
      <c r="G1000" s="10" t="s">
        <v>2976</v>
      </c>
      <c r="H1000" s="10" t="s">
        <v>2977</v>
      </c>
      <c r="I1000" s="10" t="s">
        <v>2730</v>
      </c>
    </row>
    <row r="1001" spans="1:9" x14ac:dyDescent="0.15">
      <c r="A1001" s="9">
        <v>1000</v>
      </c>
      <c r="B1001" s="10" t="s">
        <v>9</v>
      </c>
      <c r="C1001" s="10" t="s">
        <v>164</v>
      </c>
      <c r="D1001" s="10" t="s">
        <v>165</v>
      </c>
      <c r="E1001" s="11" t="str">
        <f>+HYPERLINK("http://trademark.i-assist.jp/data/china/image_1901th/78917134.pdf", "78917134")</f>
        <v>78917134</v>
      </c>
      <c r="F1001" s="10" t="s">
        <v>2978</v>
      </c>
      <c r="G1001" s="10" t="s">
        <v>2735</v>
      </c>
      <c r="H1001" s="10" t="s">
        <v>2979</v>
      </c>
      <c r="I1001" s="10" t="s">
        <v>2730</v>
      </c>
    </row>
    <row r="1002" spans="1:9" x14ac:dyDescent="0.15">
      <c r="A1002" s="9">
        <v>1001</v>
      </c>
      <c r="B1002" s="10" t="s">
        <v>9</v>
      </c>
      <c r="C1002" s="10" t="s">
        <v>164</v>
      </c>
      <c r="D1002" s="10" t="s">
        <v>165</v>
      </c>
      <c r="E1002" s="11" t="str">
        <f>+HYPERLINK("http://trademark.i-assist.jp/data/china/image_1901th/78917137.pdf", "78917137")</f>
        <v>78917137</v>
      </c>
      <c r="F1002" s="10" t="s">
        <v>2980</v>
      </c>
      <c r="G1002" s="10" t="s">
        <v>1392</v>
      </c>
      <c r="H1002" s="10" t="s">
        <v>19</v>
      </c>
      <c r="I1002" s="10" t="s">
        <v>2730</v>
      </c>
    </row>
    <row r="1003" spans="1:9" x14ac:dyDescent="0.15">
      <c r="A1003" s="9">
        <v>1002</v>
      </c>
      <c r="B1003" s="10" t="s">
        <v>9</v>
      </c>
      <c r="C1003" s="10" t="s">
        <v>164</v>
      </c>
      <c r="D1003" s="10" t="s">
        <v>165</v>
      </c>
      <c r="E1003" s="11" t="str">
        <f>+HYPERLINK("http://trademark.i-assist.jp/data/china/image_1901th/78917438.pdf", "78917438")</f>
        <v>78917438</v>
      </c>
      <c r="F1003" s="10" t="s">
        <v>2981</v>
      </c>
      <c r="G1003" s="10" t="s">
        <v>53</v>
      </c>
      <c r="H1003" s="10" t="s">
        <v>2982</v>
      </c>
      <c r="I1003" s="10" t="s">
        <v>2730</v>
      </c>
    </row>
    <row r="1004" spans="1:9" x14ac:dyDescent="0.15">
      <c r="A1004" s="9">
        <v>1003</v>
      </c>
      <c r="B1004" s="10" t="s">
        <v>9</v>
      </c>
      <c r="C1004" s="10" t="s">
        <v>164</v>
      </c>
      <c r="D1004" s="10" t="s">
        <v>165</v>
      </c>
      <c r="E1004" s="11" t="str">
        <f>+HYPERLINK("http://trademark.i-assist.jp/data/china/image_1901th/78917472.pdf", "78917472")</f>
        <v>78917472</v>
      </c>
      <c r="F1004" s="10" t="s">
        <v>2983</v>
      </c>
      <c r="G1004" s="10" t="s">
        <v>2984</v>
      </c>
      <c r="H1004" s="10" t="s">
        <v>2985</v>
      </c>
      <c r="I1004" s="10" t="s">
        <v>2730</v>
      </c>
    </row>
    <row r="1005" spans="1:9" x14ac:dyDescent="0.15">
      <c r="A1005" s="9">
        <v>1004</v>
      </c>
      <c r="B1005" s="10" t="s">
        <v>9</v>
      </c>
      <c r="C1005" s="10" t="s">
        <v>164</v>
      </c>
      <c r="D1005" s="10" t="s">
        <v>165</v>
      </c>
      <c r="E1005" s="11" t="str">
        <f>+HYPERLINK("http://trademark.i-assist.jp/data/china/image_1901th/78917979.pdf", "78917979")</f>
        <v>78917979</v>
      </c>
      <c r="F1005" s="10" t="s">
        <v>2986</v>
      </c>
      <c r="G1005" s="10" t="s">
        <v>2987</v>
      </c>
      <c r="H1005" s="10" t="s">
        <v>2988</v>
      </c>
      <c r="I1005" s="10" t="s">
        <v>2730</v>
      </c>
    </row>
    <row r="1006" spans="1:9" x14ac:dyDescent="0.15">
      <c r="A1006" s="9">
        <v>1005</v>
      </c>
      <c r="B1006" s="10" t="s">
        <v>9</v>
      </c>
      <c r="C1006" s="10" t="s">
        <v>164</v>
      </c>
      <c r="D1006" s="10" t="s">
        <v>165</v>
      </c>
      <c r="E1006" s="11" t="str">
        <f>+HYPERLINK("http://trademark.i-assist.jp/data/china/image_1901th/78918022.pdf", "78918022")</f>
        <v>78918022</v>
      </c>
      <c r="F1006" s="10" t="s">
        <v>2989</v>
      </c>
      <c r="G1006" s="10" t="s">
        <v>2990</v>
      </c>
      <c r="H1006" s="10" t="s">
        <v>2991</v>
      </c>
      <c r="I1006" s="10" t="s">
        <v>2730</v>
      </c>
    </row>
    <row r="1007" spans="1:9" x14ac:dyDescent="0.15">
      <c r="A1007" s="9">
        <v>1006</v>
      </c>
      <c r="B1007" s="10" t="s">
        <v>9</v>
      </c>
      <c r="C1007" s="10" t="s">
        <v>164</v>
      </c>
      <c r="D1007" s="10" t="s">
        <v>165</v>
      </c>
      <c r="E1007" s="11" t="str">
        <f>+HYPERLINK("http://trademark.i-assist.jp/data/china/image_1901th/78918079.pdf", "78918079")</f>
        <v>78918079</v>
      </c>
      <c r="F1007" s="10" t="s">
        <v>2992</v>
      </c>
      <c r="G1007" s="10" t="s">
        <v>1342</v>
      </c>
      <c r="H1007" s="10" t="s">
        <v>2993</v>
      </c>
      <c r="I1007" s="10" t="s">
        <v>2730</v>
      </c>
    </row>
    <row r="1008" spans="1:9" x14ac:dyDescent="0.15">
      <c r="A1008" s="9">
        <v>1007</v>
      </c>
      <c r="B1008" s="10" t="s">
        <v>9</v>
      </c>
      <c r="C1008" s="10" t="s">
        <v>164</v>
      </c>
      <c r="D1008" s="10" t="s">
        <v>165</v>
      </c>
      <c r="E1008" s="11" t="str">
        <f>+HYPERLINK("http://trademark.i-assist.jp/data/china/image_1901th/78918198.pdf", "78918198")</f>
        <v>78918198</v>
      </c>
      <c r="F1008" s="10" t="s">
        <v>2994</v>
      </c>
      <c r="G1008" s="10" t="s">
        <v>2838</v>
      </c>
      <c r="H1008" s="10" t="s">
        <v>2995</v>
      </c>
      <c r="I1008" s="10" t="s">
        <v>2730</v>
      </c>
    </row>
    <row r="1009" spans="1:9" x14ac:dyDescent="0.15">
      <c r="A1009" s="9">
        <v>1008</v>
      </c>
      <c r="B1009" s="10" t="s">
        <v>9</v>
      </c>
      <c r="C1009" s="10" t="s">
        <v>164</v>
      </c>
      <c r="D1009" s="10" t="s">
        <v>165</v>
      </c>
      <c r="E1009" s="11" t="str">
        <f>+HYPERLINK("http://trademark.i-assist.jp/data/china/image_1901th/78918443.pdf", "78918443")</f>
        <v>78918443</v>
      </c>
      <c r="F1009" s="10" t="s">
        <v>2996</v>
      </c>
      <c r="G1009" s="10" t="s">
        <v>2801</v>
      </c>
      <c r="H1009" s="10" t="s">
        <v>2997</v>
      </c>
      <c r="I1009" s="10" t="s">
        <v>2730</v>
      </c>
    </row>
    <row r="1010" spans="1:9" x14ac:dyDescent="0.15">
      <c r="A1010" s="9">
        <v>1009</v>
      </c>
      <c r="B1010" s="10" t="s">
        <v>9</v>
      </c>
      <c r="C1010" s="10" t="s">
        <v>164</v>
      </c>
      <c r="D1010" s="10" t="s">
        <v>165</v>
      </c>
      <c r="E1010" s="11" t="str">
        <f>+HYPERLINK("http://trademark.i-assist.jp/data/china/image_1901th/78918670.pdf", "78918670")</f>
        <v>78918670</v>
      </c>
      <c r="F1010" s="10" t="s">
        <v>2998</v>
      </c>
      <c r="G1010" s="10" t="s">
        <v>2999</v>
      </c>
      <c r="H1010" s="10" t="s">
        <v>3000</v>
      </c>
      <c r="I1010" s="10" t="s">
        <v>2730</v>
      </c>
    </row>
    <row r="1011" spans="1:9" x14ac:dyDescent="0.15">
      <c r="A1011" s="9">
        <v>1010</v>
      </c>
      <c r="B1011" s="10" t="s">
        <v>9</v>
      </c>
      <c r="C1011" s="10" t="s">
        <v>164</v>
      </c>
      <c r="D1011" s="10" t="s">
        <v>165</v>
      </c>
      <c r="E1011" s="11" t="str">
        <f>+HYPERLINK("http://trademark.i-assist.jp/data/china/image_1901th/78919348.pdf", "78919348")</f>
        <v>78919348</v>
      </c>
      <c r="F1011" s="10" t="s">
        <v>3001</v>
      </c>
      <c r="G1011" s="10" t="s">
        <v>3002</v>
      </c>
      <c r="H1011" s="10" t="s">
        <v>3003</v>
      </c>
      <c r="I1011" s="10" t="s">
        <v>2730</v>
      </c>
    </row>
    <row r="1012" spans="1:9" x14ac:dyDescent="0.15">
      <c r="A1012" s="9">
        <v>1011</v>
      </c>
      <c r="B1012" s="10" t="s">
        <v>9</v>
      </c>
      <c r="C1012" s="10" t="s">
        <v>164</v>
      </c>
      <c r="D1012" s="10" t="s">
        <v>165</v>
      </c>
      <c r="E1012" s="11" t="str">
        <f>+HYPERLINK("http://trademark.i-assist.jp/data/china/image_1901th/78919482.pdf", "78919482")</f>
        <v>78919482</v>
      </c>
      <c r="F1012" s="10" t="s">
        <v>3004</v>
      </c>
      <c r="G1012" s="10" t="s">
        <v>2902</v>
      </c>
      <c r="H1012" s="10" t="s">
        <v>3005</v>
      </c>
      <c r="I1012" s="10" t="s">
        <v>2730</v>
      </c>
    </row>
    <row r="1013" spans="1:9" x14ac:dyDescent="0.15">
      <c r="A1013" s="9">
        <v>1012</v>
      </c>
      <c r="B1013" s="10" t="s">
        <v>9</v>
      </c>
      <c r="C1013" s="10" t="s">
        <v>164</v>
      </c>
      <c r="D1013" s="10" t="s">
        <v>165</v>
      </c>
      <c r="E1013" s="11" t="str">
        <f>+HYPERLINK("http://trademark.i-assist.jp/data/china/image_1901th/78919603.pdf", "78919603")</f>
        <v>78919603</v>
      </c>
      <c r="F1013" s="10" t="s">
        <v>3006</v>
      </c>
      <c r="G1013" s="10" t="s">
        <v>3007</v>
      </c>
      <c r="H1013" s="10" t="s">
        <v>3008</v>
      </c>
      <c r="I1013" s="10" t="s">
        <v>2730</v>
      </c>
    </row>
    <row r="1014" spans="1:9" x14ac:dyDescent="0.15">
      <c r="A1014" s="9">
        <v>1013</v>
      </c>
      <c r="B1014" s="10" t="s">
        <v>9</v>
      </c>
      <c r="C1014" s="10" t="s">
        <v>164</v>
      </c>
      <c r="D1014" s="10" t="s">
        <v>165</v>
      </c>
      <c r="E1014" s="11" t="str">
        <f>+HYPERLINK("http://trademark.i-assist.jp/data/china/image_1901th/78919824.pdf", "78919824")</f>
        <v>78919824</v>
      </c>
      <c r="F1014" s="10" t="s">
        <v>3009</v>
      </c>
      <c r="G1014" s="10" t="s">
        <v>2826</v>
      </c>
      <c r="H1014" s="10" t="s">
        <v>3010</v>
      </c>
      <c r="I1014" s="10" t="s">
        <v>2730</v>
      </c>
    </row>
    <row r="1015" spans="1:9" x14ac:dyDescent="0.15">
      <c r="A1015" s="9">
        <v>1014</v>
      </c>
      <c r="B1015" s="10" t="s">
        <v>9</v>
      </c>
      <c r="C1015" s="10" t="s">
        <v>164</v>
      </c>
      <c r="D1015" s="10" t="s">
        <v>165</v>
      </c>
      <c r="E1015" s="11" t="str">
        <f>+HYPERLINK("http://trademark.i-assist.jp/data/china/image_1901th/78919879.pdf", "78919879")</f>
        <v>78919879</v>
      </c>
      <c r="F1015" s="10" t="s">
        <v>3011</v>
      </c>
      <c r="G1015" s="10" t="s">
        <v>2001</v>
      </c>
      <c r="H1015" s="10" t="s">
        <v>3012</v>
      </c>
      <c r="I1015" s="10" t="s">
        <v>2730</v>
      </c>
    </row>
    <row r="1016" spans="1:9" x14ac:dyDescent="0.15">
      <c r="A1016" s="9">
        <v>1015</v>
      </c>
      <c r="B1016" s="10" t="s">
        <v>9</v>
      </c>
      <c r="C1016" s="10" t="s">
        <v>164</v>
      </c>
      <c r="D1016" s="10" t="s">
        <v>165</v>
      </c>
      <c r="E1016" s="11" t="str">
        <f>+HYPERLINK("http://trademark.i-assist.jp/data/china/image_1901th/78920641.pdf", "78920641")</f>
        <v>78920641</v>
      </c>
      <c r="F1016" s="10" t="s">
        <v>3013</v>
      </c>
      <c r="G1016" s="10" t="s">
        <v>3014</v>
      </c>
      <c r="H1016" s="10" t="s">
        <v>3015</v>
      </c>
      <c r="I1016" s="10" t="s">
        <v>2730</v>
      </c>
    </row>
    <row r="1017" spans="1:9" x14ac:dyDescent="0.15">
      <c r="A1017" s="9">
        <v>1016</v>
      </c>
      <c r="B1017" s="10" t="s">
        <v>9</v>
      </c>
      <c r="C1017" s="10" t="s">
        <v>164</v>
      </c>
      <c r="D1017" s="10" t="s">
        <v>165</v>
      </c>
      <c r="E1017" s="11" t="str">
        <f>+HYPERLINK("http://trademark.i-assist.jp/data/china/image_1901th/78920895.pdf", "78920895")</f>
        <v>78920895</v>
      </c>
      <c r="F1017" s="10" t="s">
        <v>3016</v>
      </c>
      <c r="G1017" s="10" t="s">
        <v>3017</v>
      </c>
      <c r="H1017" s="10" t="s">
        <v>3018</v>
      </c>
      <c r="I1017" s="10" t="s">
        <v>3019</v>
      </c>
    </row>
    <row r="1018" spans="1:9" x14ac:dyDescent="0.15">
      <c r="A1018" s="9">
        <v>1017</v>
      </c>
      <c r="B1018" s="10" t="s">
        <v>9</v>
      </c>
      <c r="C1018" s="10" t="s">
        <v>164</v>
      </c>
      <c r="D1018" s="10" t="s">
        <v>165</v>
      </c>
      <c r="E1018" s="11" t="str">
        <f>+HYPERLINK("http://trademark.i-assist.jp/data/china/image_1901th/78921148.pdf", "78921148")</f>
        <v>78921148</v>
      </c>
      <c r="F1018" s="10" t="s">
        <v>3020</v>
      </c>
      <c r="G1018" s="10" t="s">
        <v>3021</v>
      </c>
      <c r="H1018" s="10" t="s">
        <v>3022</v>
      </c>
      <c r="I1018" s="10" t="s">
        <v>3019</v>
      </c>
    </row>
    <row r="1019" spans="1:9" x14ac:dyDescent="0.15">
      <c r="A1019" s="9">
        <v>1018</v>
      </c>
      <c r="B1019" s="10" t="s">
        <v>9</v>
      </c>
      <c r="C1019" s="10" t="s">
        <v>164</v>
      </c>
      <c r="D1019" s="10" t="s">
        <v>165</v>
      </c>
      <c r="E1019" s="11" t="str">
        <f>+HYPERLINK("http://trademark.i-assist.jp/data/china/image_1901th/78922114.pdf", "78922114")</f>
        <v>78922114</v>
      </c>
      <c r="F1019" s="10" t="s">
        <v>3023</v>
      </c>
      <c r="G1019" s="10" t="s">
        <v>3024</v>
      </c>
      <c r="H1019" s="10" t="s">
        <v>3025</v>
      </c>
      <c r="I1019" s="10" t="s">
        <v>3019</v>
      </c>
    </row>
    <row r="1020" spans="1:9" x14ac:dyDescent="0.15">
      <c r="A1020" s="9">
        <v>1019</v>
      </c>
      <c r="B1020" s="10" t="s">
        <v>9</v>
      </c>
      <c r="C1020" s="10" t="s">
        <v>164</v>
      </c>
      <c r="D1020" s="10" t="s">
        <v>165</v>
      </c>
      <c r="E1020" s="11" t="str">
        <f>+HYPERLINK("http://trademark.i-assist.jp/data/china/image_1901th/78922150.pdf", "78922150")</f>
        <v>78922150</v>
      </c>
      <c r="F1020" s="10" t="s">
        <v>3026</v>
      </c>
      <c r="G1020" s="10" t="s">
        <v>3027</v>
      </c>
      <c r="H1020" s="10" t="s">
        <v>3028</v>
      </c>
      <c r="I1020" s="10" t="s">
        <v>3019</v>
      </c>
    </row>
    <row r="1021" spans="1:9" x14ac:dyDescent="0.15">
      <c r="A1021" s="9">
        <v>1020</v>
      </c>
      <c r="B1021" s="10" t="s">
        <v>9</v>
      </c>
      <c r="C1021" s="10" t="s">
        <v>164</v>
      </c>
      <c r="D1021" s="10" t="s">
        <v>165</v>
      </c>
      <c r="E1021" s="11" t="str">
        <f>+HYPERLINK("http://trademark.i-assist.jp/data/china/image_1901th/78922371.pdf", "78922371")</f>
        <v>78922371</v>
      </c>
      <c r="F1021" s="10" t="s">
        <v>12</v>
      </c>
      <c r="G1021" s="10" t="s">
        <v>3029</v>
      </c>
      <c r="H1021" s="10" t="s">
        <v>3030</v>
      </c>
      <c r="I1021" s="10" t="s">
        <v>3019</v>
      </c>
    </row>
    <row r="1022" spans="1:9" x14ac:dyDescent="0.15">
      <c r="A1022" s="9">
        <v>1021</v>
      </c>
      <c r="B1022" s="10" t="s">
        <v>9</v>
      </c>
      <c r="C1022" s="10" t="s">
        <v>164</v>
      </c>
      <c r="D1022" s="10" t="s">
        <v>165</v>
      </c>
      <c r="E1022" s="11" t="str">
        <f>+HYPERLINK("http://trademark.i-assist.jp/data/china/image_1901th/78922762.pdf", "78922762")</f>
        <v>78922762</v>
      </c>
      <c r="F1022" s="10" t="s">
        <v>3031</v>
      </c>
      <c r="G1022" s="10" t="s">
        <v>3032</v>
      </c>
      <c r="H1022" s="10" t="s">
        <v>3033</v>
      </c>
      <c r="I1022" s="10" t="s">
        <v>3019</v>
      </c>
    </row>
    <row r="1023" spans="1:9" x14ac:dyDescent="0.15">
      <c r="A1023" s="9">
        <v>1022</v>
      </c>
      <c r="B1023" s="10" t="s">
        <v>9</v>
      </c>
      <c r="C1023" s="10" t="s">
        <v>164</v>
      </c>
      <c r="D1023" s="10" t="s">
        <v>165</v>
      </c>
      <c r="E1023" s="11" t="str">
        <f>+HYPERLINK("http://trademark.i-assist.jp/data/china/image_1901th/78922942.pdf", "78922942")</f>
        <v>78922942</v>
      </c>
      <c r="F1023" s="10" t="s">
        <v>3034</v>
      </c>
      <c r="G1023" s="10" t="s">
        <v>3035</v>
      </c>
      <c r="H1023" s="10" t="s">
        <v>3036</v>
      </c>
      <c r="I1023" s="10" t="s">
        <v>3019</v>
      </c>
    </row>
    <row r="1024" spans="1:9" x14ac:dyDescent="0.15">
      <c r="A1024" s="9">
        <v>1023</v>
      </c>
      <c r="B1024" s="10" t="s">
        <v>9</v>
      </c>
      <c r="C1024" s="10" t="s">
        <v>164</v>
      </c>
      <c r="D1024" s="10" t="s">
        <v>165</v>
      </c>
      <c r="E1024" s="11" t="str">
        <f>+HYPERLINK("http://trademark.i-assist.jp/data/china/image_1901th/78923640.pdf", "78923640")</f>
        <v>78923640</v>
      </c>
      <c r="F1024" s="10" t="s">
        <v>3037</v>
      </c>
      <c r="G1024" s="10" t="s">
        <v>3038</v>
      </c>
      <c r="H1024" s="10" t="s">
        <v>3039</v>
      </c>
      <c r="I1024" s="10" t="s">
        <v>3019</v>
      </c>
    </row>
    <row r="1025" spans="1:9" x14ac:dyDescent="0.15">
      <c r="A1025" s="9">
        <v>1024</v>
      </c>
      <c r="B1025" s="10" t="s">
        <v>9</v>
      </c>
      <c r="C1025" s="10" t="s">
        <v>164</v>
      </c>
      <c r="D1025" s="10" t="s">
        <v>165</v>
      </c>
      <c r="E1025" s="11" t="str">
        <f>+HYPERLINK("http://trademark.i-assist.jp/data/china/image_1901th/78923645.pdf", "78923645")</f>
        <v>78923645</v>
      </c>
      <c r="F1025" s="10" t="s">
        <v>3040</v>
      </c>
      <c r="G1025" s="10" t="s">
        <v>3041</v>
      </c>
      <c r="H1025" s="10" t="s">
        <v>3042</v>
      </c>
      <c r="I1025" s="10" t="s">
        <v>3019</v>
      </c>
    </row>
    <row r="1026" spans="1:9" x14ac:dyDescent="0.15">
      <c r="A1026" s="9">
        <v>1025</v>
      </c>
      <c r="B1026" s="10" t="s">
        <v>9</v>
      </c>
      <c r="C1026" s="10" t="s">
        <v>164</v>
      </c>
      <c r="D1026" s="10" t="s">
        <v>165</v>
      </c>
      <c r="E1026" s="11" t="str">
        <f>+HYPERLINK("http://trademark.i-assist.jp/data/china/image_1901th/78924203.pdf", "78924203")</f>
        <v>78924203</v>
      </c>
      <c r="F1026" s="10" t="s">
        <v>3043</v>
      </c>
      <c r="G1026" s="10" t="s">
        <v>110</v>
      </c>
      <c r="H1026" s="10" t="s">
        <v>3044</v>
      </c>
      <c r="I1026" s="10" t="s">
        <v>3019</v>
      </c>
    </row>
    <row r="1027" spans="1:9" x14ac:dyDescent="0.15">
      <c r="A1027" s="9">
        <v>1026</v>
      </c>
      <c r="B1027" s="10" t="s">
        <v>9</v>
      </c>
      <c r="C1027" s="10" t="s">
        <v>164</v>
      </c>
      <c r="D1027" s="10" t="s">
        <v>165</v>
      </c>
      <c r="E1027" s="11" t="str">
        <f>+HYPERLINK("http://trademark.i-assist.jp/data/china/image_1901th/78924296.pdf", "78924296")</f>
        <v>78924296</v>
      </c>
      <c r="F1027" s="10" t="s">
        <v>3045</v>
      </c>
      <c r="G1027" s="10" t="s">
        <v>3046</v>
      </c>
      <c r="H1027" s="10" t="s">
        <v>3047</v>
      </c>
      <c r="I1027" s="10" t="s">
        <v>3019</v>
      </c>
    </row>
    <row r="1028" spans="1:9" x14ac:dyDescent="0.15">
      <c r="A1028" s="9">
        <v>1027</v>
      </c>
      <c r="B1028" s="10" t="s">
        <v>9</v>
      </c>
      <c r="C1028" s="10" t="s">
        <v>164</v>
      </c>
      <c r="D1028" s="10" t="s">
        <v>165</v>
      </c>
      <c r="E1028" s="11" t="str">
        <f>+HYPERLINK("http://trademark.i-assist.jp/data/china/image_1901th/78924368.pdf", "78924368")</f>
        <v>78924368</v>
      </c>
      <c r="F1028" s="10" t="s">
        <v>3048</v>
      </c>
      <c r="G1028" s="10" t="s">
        <v>48</v>
      </c>
      <c r="H1028" s="10" t="s">
        <v>3049</v>
      </c>
      <c r="I1028" s="10" t="s">
        <v>3019</v>
      </c>
    </row>
    <row r="1029" spans="1:9" x14ac:dyDescent="0.15">
      <c r="A1029" s="9">
        <v>1028</v>
      </c>
      <c r="B1029" s="10" t="s">
        <v>9</v>
      </c>
      <c r="C1029" s="10" t="s">
        <v>164</v>
      </c>
      <c r="D1029" s="10" t="s">
        <v>165</v>
      </c>
      <c r="E1029" s="11" t="str">
        <f>+HYPERLINK("http://trademark.i-assist.jp/data/china/image_1901th/78924764.pdf", "78924764")</f>
        <v>78924764</v>
      </c>
      <c r="F1029" s="10" t="s">
        <v>3050</v>
      </c>
      <c r="G1029" s="10" t="s">
        <v>3051</v>
      </c>
      <c r="H1029" s="10" t="s">
        <v>3052</v>
      </c>
      <c r="I1029" s="10" t="s">
        <v>3019</v>
      </c>
    </row>
    <row r="1030" spans="1:9" x14ac:dyDescent="0.15">
      <c r="A1030" s="9">
        <v>1029</v>
      </c>
      <c r="B1030" s="10" t="s">
        <v>9</v>
      </c>
      <c r="C1030" s="10" t="s">
        <v>164</v>
      </c>
      <c r="D1030" s="10" t="s">
        <v>165</v>
      </c>
      <c r="E1030" s="11" t="str">
        <f>+HYPERLINK("http://trademark.i-assist.jp/data/china/image_1901th/78924888.pdf", "78924888")</f>
        <v>78924888</v>
      </c>
      <c r="F1030" s="10" t="s">
        <v>3053</v>
      </c>
      <c r="G1030" s="10" t="s">
        <v>3054</v>
      </c>
      <c r="H1030" s="10" t="s">
        <v>3055</v>
      </c>
      <c r="I1030" s="10" t="s">
        <v>3019</v>
      </c>
    </row>
    <row r="1031" spans="1:9" x14ac:dyDescent="0.15">
      <c r="A1031" s="9">
        <v>1030</v>
      </c>
      <c r="B1031" s="10" t="s">
        <v>9</v>
      </c>
      <c r="C1031" s="10" t="s">
        <v>164</v>
      </c>
      <c r="D1031" s="10" t="s">
        <v>165</v>
      </c>
      <c r="E1031" s="11" t="str">
        <f>+HYPERLINK("http://trademark.i-assist.jp/data/china/image_1901th/78924889.pdf", "78924889")</f>
        <v>78924889</v>
      </c>
      <c r="F1031" s="10" t="s">
        <v>3056</v>
      </c>
      <c r="G1031" s="10" t="s">
        <v>3057</v>
      </c>
      <c r="H1031" s="10" t="s">
        <v>3058</v>
      </c>
      <c r="I1031" s="10" t="s">
        <v>3019</v>
      </c>
    </row>
    <row r="1032" spans="1:9" x14ac:dyDescent="0.15">
      <c r="A1032" s="9">
        <v>1031</v>
      </c>
      <c r="B1032" s="10" t="s">
        <v>9</v>
      </c>
      <c r="C1032" s="10" t="s">
        <v>164</v>
      </c>
      <c r="D1032" s="10" t="s">
        <v>165</v>
      </c>
      <c r="E1032" s="11" t="str">
        <f>+HYPERLINK("http://trademark.i-assist.jp/data/china/image_1901th/78925080.pdf", "78925080")</f>
        <v>78925080</v>
      </c>
      <c r="F1032" s="10" t="s">
        <v>3059</v>
      </c>
      <c r="G1032" s="10" t="s">
        <v>3060</v>
      </c>
      <c r="H1032" s="10" t="s">
        <v>3061</v>
      </c>
      <c r="I1032" s="10" t="s">
        <v>3019</v>
      </c>
    </row>
    <row r="1033" spans="1:9" x14ac:dyDescent="0.15">
      <c r="A1033" s="9">
        <v>1032</v>
      </c>
      <c r="B1033" s="10" t="s">
        <v>9</v>
      </c>
      <c r="C1033" s="10" t="s">
        <v>164</v>
      </c>
      <c r="D1033" s="10" t="s">
        <v>165</v>
      </c>
      <c r="E1033" s="11" t="str">
        <f>+HYPERLINK("http://trademark.i-assist.jp/data/china/image_1901th/78925284.pdf", "78925284")</f>
        <v>78925284</v>
      </c>
      <c r="F1033" s="10" t="s">
        <v>3062</v>
      </c>
      <c r="G1033" s="10" t="s">
        <v>3051</v>
      </c>
      <c r="H1033" s="10" t="s">
        <v>3063</v>
      </c>
      <c r="I1033" s="10" t="s">
        <v>3019</v>
      </c>
    </row>
    <row r="1034" spans="1:9" x14ac:dyDescent="0.15">
      <c r="A1034" s="9">
        <v>1033</v>
      </c>
      <c r="B1034" s="10" t="s">
        <v>9</v>
      </c>
      <c r="C1034" s="10" t="s">
        <v>164</v>
      </c>
      <c r="D1034" s="10" t="s">
        <v>165</v>
      </c>
      <c r="E1034" s="11" t="str">
        <f>+HYPERLINK("http://trademark.i-assist.jp/data/china/image_1901th/78925303.pdf", "78925303")</f>
        <v>78925303</v>
      </c>
      <c r="F1034" s="10" t="s">
        <v>3064</v>
      </c>
      <c r="G1034" s="10" t="s">
        <v>3051</v>
      </c>
      <c r="H1034" s="10" t="s">
        <v>3065</v>
      </c>
      <c r="I1034" s="10" t="s">
        <v>3019</v>
      </c>
    </row>
    <row r="1035" spans="1:9" x14ac:dyDescent="0.15">
      <c r="A1035" s="9">
        <v>1034</v>
      </c>
      <c r="B1035" s="10" t="s">
        <v>9</v>
      </c>
      <c r="C1035" s="10" t="s">
        <v>164</v>
      </c>
      <c r="D1035" s="10" t="s">
        <v>165</v>
      </c>
      <c r="E1035" s="11" t="str">
        <f>+HYPERLINK("http://trademark.i-assist.jp/data/china/image_1901th/78925743.pdf", "78925743")</f>
        <v>78925743</v>
      </c>
      <c r="F1035" s="10" t="s">
        <v>3066</v>
      </c>
      <c r="G1035" s="10" t="s">
        <v>3067</v>
      </c>
      <c r="H1035" s="10" t="s">
        <v>3068</v>
      </c>
      <c r="I1035" s="10" t="s">
        <v>3019</v>
      </c>
    </row>
    <row r="1036" spans="1:9" x14ac:dyDescent="0.15">
      <c r="A1036" s="9">
        <v>1035</v>
      </c>
      <c r="B1036" s="10" t="s">
        <v>9</v>
      </c>
      <c r="C1036" s="10" t="s">
        <v>164</v>
      </c>
      <c r="D1036" s="10" t="s">
        <v>165</v>
      </c>
      <c r="E1036" s="11" t="str">
        <f>+HYPERLINK("http://trademark.i-assist.jp/data/china/image_1901th/78925941.pdf", "78925941")</f>
        <v>78925941</v>
      </c>
      <c r="F1036" s="10" t="s">
        <v>12</v>
      </c>
      <c r="G1036" s="10" t="s">
        <v>3069</v>
      </c>
      <c r="H1036" s="10" t="s">
        <v>3070</v>
      </c>
      <c r="I1036" s="10" t="s">
        <v>3019</v>
      </c>
    </row>
    <row r="1037" spans="1:9" x14ac:dyDescent="0.15">
      <c r="A1037" s="9">
        <v>1036</v>
      </c>
      <c r="B1037" s="10" t="s">
        <v>9</v>
      </c>
      <c r="C1037" s="10" t="s">
        <v>164</v>
      </c>
      <c r="D1037" s="10" t="s">
        <v>165</v>
      </c>
      <c r="E1037" s="11" t="str">
        <f>+HYPERLINK("http://trademark.i-assist.jp/data/china/image_1901th/78926197.pdf", "78926197")</f>
        <v>78926197</v>
      </c>
      <c r="F1037" s="10" t="s">
        <v>3071</v>
      </c>
      <c r="G1037" s="10" t="s">
        <v>3072</v>
      </c>
      <c r="H1037" s="10" t="s">
        <v>3073</v>
      </c>
      <c r="I1037" s="10" t="s">
        <v>3019</v>
      </c>
    </row>
    <row r="1038" spans="1:9" x14ac:dyDescent="0.15">
      <c r="A1038" s="9">
        <v>1037</v>
      </c>
      <c r="B1038" s="10" t="s">
        <v>9</v>
      </c>
      <c r="C1038" s="10" t="s">
        <v>164</v>
      </c>
      <c r="D1038" s="10" t="s">
        <v>165</v>
      </c>
      <c r="E1038" s="11" t="str">
        <f>+HYPERLINK("http://trademark.i-assist.jp/data/china/image_1901th/78926287.pdf", "78926287")</f>
        <v>78926287</v>
      </c>
      <c r="F1038" s="10" t="s">
        <v>3074</v>
      </c>
      <c r="G1038" s="10" t="s">
        <v>3075</v>
      </c>
      <c r="H1038" s="10" t="s">
        <v>3076</v>
      </c>
      <c r="I1038" s="10" t="s">
        <v>3019</v>
      </c>
    </row>
    <row r="1039" spans="1:9" x14ac:dyDescent="0.15">
      <c r="A1039" s="9">
        <v>1038</v>
      </c>
      <c r="B1039" s="10" t="s">
        <v>9</v>
      </c>
      <c r="C1039" s="10" t="s">
        <v>164</v>
      </c>
      <c r="D1039" s="10" t="s">
        <v>165</v>
      </c>
      <c r="E1039" s="11" t="str">
        <f>+HYPERLINK("http://trademark.i-assist.jp/data/china/image_1901th/78926366.pdf", "78926366")</f>
        <v>78926366</v>
      </c>
      <c r="F1039" s="10" t="s">
        <v>3077</v>
      </c>
      <c r="G1039" s="10" t="s">
        <v>3078</v>
      </c>
      <c r="H1039" s="10" t="s">
        <v>3079</v>
      </c>
      <c r="I1039" s="10" t="s">
        <v>3019</v>
      </c>
    </row>
    <row r="1040" spans="1:9" x14ac:dyDescent="0.15">
      <c r="A1040" s="9">
        <v>1039</v>
      </c>
      <c r="B1040" s="10" t="s">
        <v>9</v>
      </c>
      <c r="C1040" s="10" t="s">
        <v>164</v>
      </c>
      <c r="D1040" s="10" t="s">
        <v>165</v>
      </c>
      <c r="E1040" s="11" t="str">
        <f>+HYPERLINK("http://trademark.i-assist.jp/data/china/image_1901th/78926465.pdf", "78926465")</f>
        <v>78926465</v>
      </c>
      <c r="F1040" s="10" t="s">
        <v>3080</v>
      </c>
      <c r="G1040" s="10" t="s">
        <v>3081</v>
      </c>
      <c r="H1040" s="10" t="s">
        <v>3082</v>
      </c>
      <c r="I1040" s="10" t="s">
        <v>3019</v>
      </c>
    </row>
    <row r="1041" spans="1:9" x14ac:dyDescent="0.15">
      <c r="A1041" s="9">
        <v>1040</v>
      </c>
      <c r="B1041" s="10" t="s">
        <v>9</v>
      </c>
      <c r="C1041" s="10" t="s">
        <v>164</v>
      </c>
      <c r="D1041" s="10" t="s">
        <v>165</v>
      </c>
      <c r="E1041" s="11" t="str">
        <f>+HYPERLINK("http://trademark.i-assist.jp/data/china/image_1901th/78926707.pdf", "78926707")</f>
        <v>78926707</v>
      </c>
      <c r="F1041" s="10" t="s">
        <v>3083</v>
      </c>
      <c r="G1041" s="10" t="s">
        <v>3084</v>
      </c>
      <c r="H1041" s="10" t="s">
        <v>3085</v>
      </c>
      <c r="I1041" s="10" t="s">
        <v>3019</v>
      </c>
    </row>
    <row r="1042" spans="1:9" x14ac:dyDescent="0.15">
      <c r="A1042" s="9">
        <v>1041</v>
      </c>
      <c r="B1042" s="10" t="s">
        <v>9</v>
      </c>
      <c r="C1042" s="10" t="s">
        <v>164</v>
      </c>
      <c r="D1042" s="10" t="s">
        <v>165</v>
      </c>
      <c r="E1042" s="11" t="str">
        <f>+HYPERLINK("http://trademark.i-assist.jp/data/china/image_1901th/78926900.pdf", "78926900")</f>
        <v>78926900</v>
      </c>
      <c r="F1042" s="10" t="s">
        <v>3086</v>
      </c>
      <c r="G1042" s="10" t="s">
        <v>3087</v>
      </c>
      <c r="H1042" s="10" t="s">
        <v>3088</v>
      </c>
      <c r="I1042" s="10" t="s">
        <v>3019</v>
      </c>
    </row>
    <row r="1043" spans="1:9" x14ac:dyDescent="0.15">
      <c r="A1043" s="9">
        <v>1042</v>
      </c>
      <c r="B1043" s="10" t="s">
        <v>9</v>
      </c>
      <c r="C1043" s="10" t="s">
        <v>164</v>
      </c>
      <c r="D1043" s="10" t="s">
        <v>165</v>
      </c>
      <c r="E1043" s="11" t="str">
        <f>+HYPERLINK("http://trademark.i-assist.jp/data/china/image_1901th/78927095.pdf", "78927095")</f>
        <v>78927095</v>
      </c>
      <c r="F1043" s="10" t="s">
        <v>3089</v>
      </c>
      <c r="G1043" s="10" t="s">
        <v>3090</v>
      </c>
      <c r="H1043" s="10" t="s">
        <v>3091</v>
      </c>
      <c r="I1043" s="10" t="s">
        <v>3019</v>
      </c>
    </row>
    <row r="1044" spans="1:9" x14ac:dyDescent="0.15">
      <c r="A1044" s="9">
        <v>1043</v>
      </c>
      <c r="B1044" s="10" t="s">
        <v>9</v>
      </c>
      <c r="C1044" s="10" t="s">
        <v>164</v>
      </c>
      <c r="D1044" s="10" t="s">
        <v>165</v>
      </c>
      <c r="E1044" s="11" t="str">
        <f>+HYPERLINK("http://trademark.i-assist.jp/data/china/image_1901th/78927121.pdf", "78927121")</f>
        <v>78927121</v>
      </c>
      <c r="F1044" s="10" t="s">
        <v>3092</v>
      </c>
      <c r="G1044" s="10" t="s">
        <v>3093</v>
      </c>
      <c r="H1044" s="10" t="s">
        <v>3094</v>
      </c>
      <c r="I1044" s="10" t="s">
        <v>3019</v>
      </c>
    </row>
    <row r="1045" spans="1:9" x14ac:dyDescent="0.15">
      <c r="A1045" s="9">
        <v>1044</v>
      </c>
      <c r="B1045" s="10" t="s">
        <v>9</v>
      </c>
      <c r="C1045" s="10" t="s">
        <v>164</v>
      </c>
      <c r="D1045" s="10" t="s">
        <v>165</v>
      </c>
      <c r="E1045" s="11" t="str">
        <f>+HYPERLINK("http://trademark.i-assist.jp/data/china/image_1901th/78927234.pdf", "78927234")</f>
        <v>78927234</v>
      </c>
      <c r="F1045" s="10" t="s">
        <v>3095</v>
      </c>
      <c r="G1045" s="10" t="s">
        <v>3051</v>
      </c>
      <c r="H1045" s="10" t="s">
        <v>19</v>
      </c>
      <c r="I1045" s="10" t="s">
        <v>19</v>
      </c>
    </row>
    <row r="1046" spans="1:9" x14ac:dyDescent="0.15">
      <c r="A1046" s="9">
        <v>1045</v>
      </c>
      <c r="B1046" s="10" t="s">
        <v>9</v>
      </c>
      <c r="C1046" s="10" t="s">
        <v>164</v>
      </c>
      <c r="D1046" s="10" t="s">
        <v>165</v>
      </c>
      <c r="E1046" s="11" t="str">
        <f>+HYPERLINK("http://trademark.i-assist.jp/data/china/image_1901th/78927254.pdf", "78927254")</f>
        <v>78927254</v>
      </c>
      <c r="F1046" s="10" t="s">
        <v>3096</v>
      </c>
      <c r="G1046" s="10" t="s">
        <v>3051</v>
      </c>
      <c r="H1046" s="10" t="s">
        <v>3097</v>
      </c>
      <c r="I1046" s="10" t="s">
        <v>3019</v>
      </c>
    </row>
    <row r="1047" spans="1:9" x14ac:dyDescent="0.15">
      <c r="A1047" s="9">
        <v>1046</v>
      </c>
      <c r="B1047" s="10" t="s">
        <v>9</v>
      </c>
      <c r="C1047" s="10" t="s">
        <v>164</v>
      </c>
      <c r="D1047" s="10" t="s">
        <v>165</v>
      </c>
      <c r="E1047" s="11" t="str">
        <f>+HYPERLINK("http://trademark.i-assist.jp/data/china/image_1901th/78927381.pdf", "78927381")</f>
        <v>78927381</v>
      </c>
      <c r="F1047" s="10" t="s">
        <v>3098</v>
      </c>
      <c r="G1047" s="10" t="s">
        <v>3099</v>
      </c>
      <c r="H1047" s="10" t="s">
        <v>3100</v>
      </c>
      <c r="I1047" s="10" t="s">
        <v>3019</v>
      </c>
    </row>
    <row r="1048" spans="1:9" x14ac:dyDescent="0.15">
      <c r="A1048" s="9">
        <v>1047</v>
      </c>
      <c r="B1048" s="10" t="s">
        <v>9</v>
      </c>
      <c r="C1048" s="10" t="s">
        <v>164</v>
      </c>
      <c r="D1048" s="10" t="s">
        <v>165</v>
      </c>
      <c r="E1048" s="11" t="str">
        <f>+HYPERLINK("http://trademark.i-assist.jp/data/china/image_1901th/78927436.pdf", "78927436")</f>
        <v>78927436</v>
      </c>
      <c r="F1048" s="10" t="s">
        <v>3101</v>
      </c>
      <c r="G1048" s="10" t="s">
        <v>3102</v>
      </c>
      <c r="H1048" s="10" t="s">
        <v>3103</v>
      </c>
      <c r="I1048" s="10" t="s">
        <v>3019</v>
      </c>
    </row>
    <row r="1049" spans="1:9" x14ac:dyDescent="0.15">
      <c r="A1049" s="9">
        <v>1048</v>
      </c>
      <c r="B1049" s="10" t="s">
        <v>9</v>
      </c>
      <c r="C1049" s="10" t="s">
        <v>164</v>
      </c>
      <c r="D1049" s="10" t="s">
        <v>165</v>
      </c>
      <c r="E1049" s="11" t="str">
        <f>+HYPERLINK("http://trademark.i-assist.jp/data/china/image_1901th/78927584.pdf", "78927584")</f>
        <v>78927584</v>
      </c>
      <c r="F1049" s="10" t="s">
        <v>3104</v>
      </c>
      <c r="G1049" s="10" t="s">
        <v>3105</v>
      </c>
      <c r="H1049" s="10" t="s">
        <v>3106</v>
      </c>
      <c r="I1049" s="10" t="s">
        <v>3019</v>
      </c>
    </row>
    <row r="1050" spans="1:9" x14ac:dyDescent="0.15">
      <c r="A1050" s="9">
        <v>1049</v>
      </c>
      <c r="B1050" s="10" t="s">
        <v>9</v>
      </c>
      <c r="C1050" s="10" t="s">
        <v>164</v>
      </c>
      <c r="D1050" s="10" t="s">
        <v>165</v>
      </c>
      <c r="E1050" s="11" t="str">
        <f>+HYPERLINK("http://trademark.i-assist.jp/data/china/image_1901th/78927659.pdf", "78927659")</f>
        <v>78927659</v>
      </c>
      <c r="F1050" s="10" t="s">
        <v>3107</v>
      </c>
      <c r="G1050" s="10" t="s">
        <v>3108</v>
      </c>
      <c r="H1050" s="10" t="s">
        <v>3109</v>
      </c>
      <c r="I1050" s="10" t="s">
        <v>3019</v>
      </c>
    </row>
    <row r="1051" spans="1:9" x14ac:dyDescent="0.15">
      <c r="A1051" s="9">
        <v>1050</v>
      </c>
      <c r="B1051" s="10" t="s">
        <v>9</v>
      </c>
      <c r="C1051" s="10" t="s">
        <v>164</v>
      </c>
      <c r="D1051" s="10" t="s">
        <v>165</v>
      </c>
      <c r="E1051" s="11" t="str">
        <f>+HYPERLINK("http://trademark.i-assist.jp/data/china/image_1901th/78927746.pdf", "78927746")</f>
        <v>78927746</v>
      </c>
      <c r="F1051" s="10" t="s">
        <v>3110</v>
      </c>
      <c r="G1051" s="10" t="s">
        <v>3111</v>
      </c>
      <c r="H1051" s="10" t="s">
        <v>3112</v>
      </c>
      <c r="I1051" s="10" t="s">
        <v>3019</v>
      </c>
    </row>
    <row r="1052" spans="1:9" x14ac:dyDescent="0.15">
      <c r="A1052" s="9">
        <v>1051</v>
      </c>
      <c r="B1052" s="10" t="s">
        <v>9</v>
      </c>
      <c r="C1052" s="10" t="s">
        <v>164</v>
      </c>
      <c r="D1052" s="10" t="s">
        <v>165</v>
      </c>
      <c r="E1052" s="11" t="str">
        <f>+HYPERLINK("http://trademark.i-assist.jp/data/china/image_1901th/78927870.pdf", "78927870")</f>
        <v>78927870</v>
      </c>
      <c r="F1052" s="10" t="s">
        <v>3113</v>
      </c>
      <c r="G1052" s="10" t="s">
        <v>3114</v>
      </c>
      <c r="H1052" s="10" t="s">
        <v>3115</v>
      </c>
      <c r="I1052" s="10" t="s">
        <v>3019</v>
      </c>
    </row>
    <row r="1053" spans="1:9" x14ac:dyDescent="0.15">
      <c r="A1053" s="9">
        <v>1052</v>
      </c>
      <c r="B1053" s="10" t="s">
        <v>9</v>
      </c>
      <c r="C1053" s="10" t="s">
        <v>164</v>
      </c>
      <c r="D1053" s="10" t="s">
        <v>165</v>
      </c>
      <c r="E1053" s="11" t="str">
        <f>+HYPERLINK("http://trademark.i-assist.jp/data/china/image_1901th/78928191.pdf", "78928191")</f>
        <v>78928191</v>
      </c>
      <c r="F1053" s="10" t="s">
        <v>3116</v>
      </c>
      <c r="G1053" s="10" t="s">
        <v>3117</v>
      </c>
      <c r="H1053" s="10" t="s">
        <v>3118</v>
      </c>
      <c r="I1053" s="10" t="s">
        <v>3019</v>
      </c>
    </row>
    <row r="1054" spans="1:9" x14ac:dyDescent="0.15">
      <c r="A1054" s="9">
        <v>1053</v>
      </c>
      <c r="B1054" s="10" t="s">
        <v>9</v>
      </c>
      <c r="C1054" s="10" t="s">
        <v>164</v>
      </c>
      <c r="D1054" s="10" t="s">
        <v>165</v>
      </c>
      <c r="E1054" s="11" t="str">
        <f>+HYPERLINK("http://trademark.i-assist.jp/data/china/image_1901th/78928286.pdf", "78928286")</f>
        <v>78928286</v>
      </c>
      <c r="F1054" s="10" t="s">
        <v>3119</v>
      </c>
      <c r="G1054" s="10" t="s">
        <v>3120</v>
      </c>
      <c r="H1054" s="10" t="s">
        <v>3121</v>
      </c>
      <c r="I1054" s="10" t="s">
        <v>3019</v>
      </c>
    </row>
    <row r="1055" spans="1:9" x14ac:dyDescent="0.15">
      <c r="A1055" s="9">
        <v>1054</v>
      </c>
      <c r="B1055" s="10" t="s">
        <v>9</v>
      </c>
      <c r="C1055" s="10" t="s">
        <v>164</v>
      </c>
      <c r="D1055" s="10" t="s">
        <v>165</v>
      </c>
      <c r="E1055" s="11" t="str">
        <f>+HYPERLINK("http://trademark.i-assist.jp/data/china/image_1901th/78928295.pdf", "78928295")</f>
        <v>78928295</v>
      </c>
      <c r="F1055" s="10" t="s">
        <v>3122</v>
      </c>
      <c r="G1055" s="10" t="s">
        <v>3123</v>
      </c>
      <c r="H1055" s="10" t="s">
        <v>3124</v>
      </c>
      <c r="I1055" s="10" t="s">
        <v>3019</v>
      </c>
    </row>
    <row r="1056" spans="1:9" x14ac:dyDescent="0.15">
      <c r="A1056" s="9">
        <v>1055</v>
      </c>
      <c r="B1056" s="10" t="s">
        <v>9</v>
      </c>
      <c r="C1056" s="10" t="s">
        <v>164</v>
      </c>
      <c r="D1056" s="10" t="s">
        <v>165</v>
      </c>
      <c r="E1056" s="11" t="str">
        <f>+HYPERLINK("http://trademark.i-assist.jp/data/china/image_1901th/78928786.pdf", "78928786")</f>
        <v>78928786</v>
      </c>
      <c r="F1056" s="10" t="s">
        <v>3125</v>
      </c>
      <c r="G1056" s="10" t="s">
        <v>3126</v>
      </c>
      <c r="H1056" s="10" t="s">
        <v>3127</v>
      </c>
      <c r="I1056" s="10" t="s">
        <v>3019</v>
      </c>
    </row>
    <row r="1057" spans="1:9" x14ac:dyDescent="0.15">
      <c r="A1057" s="9">
        <v>1056</v>
      </c>
      <c r="B1057" s="10" t="s">
        <v>9</v>
      </c>
      <c r="C1057" s="10" t="s">
        <v>164</v>
      </c>
      <c r="D1057" s="10" t="s">
        <v>165</v>
      </c>
      <c r="E1057" s="11" t="str">
        <f>+HYPERLINK("http://trademark.i-assist.jp/data/china/image_1901th/78928874.pdf", "78928874")</f>
        <v>78928874</v>
      </c>
      <c r="F1057" s="10" t="s">
        <v>3128</v>
      </c>
      <c r="G1057" s="10" t="s">
        <v>3129</v>
      </c>
      <c r="H1057" s="10" t="s">
        <v>3130</v>
      </c>
      <c r="I1057" s="10" t="s">
        <v>3019</v>
      </c>
    </row>
    <row r="1058" spans="1:9" x14ac:dyDescent="0.15">
      <c r="A1058" s="9">
        <v>1057</v>
      </c>
      <c r="B1058" s="10" t="s">
        <v>9</v>
      </c>
      <c r="C1058" s="10" t="s">
        <v>164</v>
      </c>
      <c r="D1058" s="10" t="s">
        <v>165</v>
      </c>
      <c r="E1058" s="11" t="str">
        <f>+HYPERLINK("http://trademark.i-assist.jp/data/china/image_1901th/78929003.pdf", "78929003")</f>
        <v>78929003</v>
      </c>
      <c r="F1058" s="10" t="s">
        <v>3131</v>
      </c>
      <c r="G1058" s="10" t="s">
        <v>3132</v>
      </c>
      <c r="H1058" s="10" t="s">
        <v>3133</v>
      </c>
      <c r="I1058" s="10" t="s">
        <v>3019</v>
      </c>
    </row>
    <row r="1059" spans="1:9" x14ac:dyDescent="0.15">
      <c r="A1059" s="9">
        <v>1058</v>
      </c>
      <c r="B1059" s="10" t="s">
        <v>9</v>
      </c>
      <c r="C1059" s="10" t="s">
        <v>164</v>
      </c>
      <c r="D1059" s="10" t="s">
        <v>165</v>
      </c>
      <c r="E1059" s="11" t="str">
        <f>+HYPERLINK("http://trademark.i-assist.jp/data/china/image_1901th/78929079.pdf", "78929079")</f>
        <v>78929079</v>
      </c>
      <c r="F1059" s="10" t="s">
        <v>3134</v>
      </c>
      <c r="G1059" s="10" t="s">
        <v>3135</v>
      </c>
      <c r="H1059" s="10" t="s">
        <v>3136</v>
      </c>
      <c r="I1059" s="10" t="s">
        <v>3019</v>
      </c>
    </row>
    <row r="1060" spans="1:9" x14ac:dyDescent="0.15">
      <c r="A1060" s="9">
        <v>1059</v>
      </c>
      <c r="B1060" s="10" t="s">
        <v>9</v>
      </c>
      <c r="C1060" s="10" t="s">
        <v>164</v>
      </c>
      <c r="D1060" s="10" t="s">
        <v>165</v>
      </c>
      <c r="E1060" s="11" t="str">
        <f>+HYPERLINK("http://trademark.i-assist.jp/data/china/image_1901th/78929254.pdf", "78929254")</f>
        <v>78929254</v>
      </c>
      <c r="F1060" s="10" t="s">
        <v>3137</v>
      </c>
      <c r="G1060" s="10" t="s">
        <v>3087</v>
      </c>
      <c r="H1060" s="10" t="s">
        <v>3138</v>
      </c>
      <c r="I1060" s="10" t="s">
        <v>3019</v>
      </c>
    </row>
    <row r="1061" spans="1:9" x14ac:dyDescent="0.15">
      <c r="A1061" s="9">
        <v>1060</v>
      </c>
      <c r="B1061" s="10" t="s">
        <v>9</v>
      </c>
      <c r="C1061" s="10" t="s">
        <v>164</v>
      </c>
      <c r="D1061" s="10" t="s">
        <v>165</v>
      </c>
      <c r="E1061" s="11" t="str">
        <f>+HYPERLINK("http://trademark.i-assist.jp/data/china/image_1901th/78929471.pdf", "78929471")</f>
        <v>78929471</v>
      </c>
      <c r="F1061" s="10" t="s">
        <v>3139</v>
      </c>
      <c r="G1061" s="10" t="s">
        <v>3140</v>
      </c>
      <c r="H1061" s="10" t="s">
        <v>3141</v>
      </c>
      <c r="I1061" s="10" t="s">
        <v>3019</v>
      </c>
    </row>
    <row r="1062" spans="1:9" x14ac:dyDescent="0.15">
      <c r="A1062" s="9">
        <v>1061</v>
      </c>
      <c r="B1062" s="10" t="s">
        <v>9</v>
      </c>
      <c r="C1062" s="10" t="s">
        <v>164</v>
      </c>
      <c r="D1062" s="10" t="s">
        <v>165</v>
      </c>
      <c r="E1062" s="11" t="str">
        <f>+HYPERLINK("http://trademark.i-assist.jp/data/china/image_1901th/78929562.pdf", "78929562")</f>
        <v>78929562</v>
      </c>
      <c r="F1062" s="10" t="s">
        <v>3142</v>
      </c>
      <c r="G1062" s="10" t="s">
        <v>2678</v>
      </c>
      <c r="H1062" s="10" t="s">
        <v>3143</v>
      </c>
      <c r="I1062" s="10" t="s">
        <v>3019</v>
      </c>
    </row>
    <row r="1063" spans="1:9" x14ac:dyDescent="0.15">
      <c r="A1063" s="9">
        <v>1062</v>
      </c>
      <c r="B1063" s="10" t="s">
        <v>9</v>
      </c>
      <c r="C1063" s="10" t="s">
        <v>164</v>
      </c>
      <c r="D1063" s="10" t="s">
        <v>165</v>
      </c>
      <c r="E1063" s="11" t="str">
        <f>+HYPERLINK("http://trademark.i-assist.jp/data/china/image_1901th/78929674.pdf", "78929674")</f>
        <v>78929674</v>
      </c>
      <c r="F1063" s="10" t="s">
        <v>3144</v>
      </c>
      <c r="G1063" s="10" t="s">
        <v>3145</v>
      </c>
      <c r="H1063" s="10" t="s">
        <v>3146</v>
      </c>
      <c r="I1063" s="10" t="s">
        <v>3019</v>
      </c>
    </row>
    <row r="1064" spans="1:9" x14ac:dyDescent="0.15">
      <c r="A1064" s="9">
        <v>1063</v>
      </c>
      <c r="B1064" s="10" t="s">
        <v>9</v>
      </c>
      <c r="C1064" s="10" t="s">
        <v>164</v>
      </c>
      <c r="D1064" s="10" t="s">
        <v>165</v>
      </c>
      <c r="E1064" s="11" t="str">
        <f>+HYPERLINK("http://trademark.i-assist.jp/data/china/image_1901th/78929703.pdf", "78929703")</f>
        <v>78929703</v>
      </c>
      <c r="F1064" s="10" t="s">
        <v>3147</v>
      </c>
      <c r="G1064" s="10" t="s">
        <v>3148</v>
      </c>
      <c r="H1064" s="10" t="s">
        <v>3149</v>
      </c>
      <c r="I1064" s="10" t="s">
        <v>3019</v>
      </c>
    </row>
    <row r="1065" spans="1:9" x14ac:dyDescent="0.15">
      <c r="A1065" s="9">
        <v>1064</v>
      </c>
      <c r="B1065" s="10" t="s">
        <v>9</v>
      </c>
      <c r="C1065" s="10" t="s">
        <v>164</v>
      </c>
      <c r="D1065" s="10" t="s">
        <v>165</v>
      </c>
      <c r="E1065" s="11" t="str">
        <f>+HYPERLINK("http://trademark.i-assist.jp/data/china/image_1901th/78929936.pdf", "78929936")</f>
        <v>78929936</v>
      </c>
      <c r="F1065" s="10" t="s">
        <v>3150</v>
      </c>
      <c r="G1065" s="10" t="s">
        <v>3151</v>
      </c>
      <c r="H1065" s="10" t="s">
        <v>3152</v>
      </c>
      <c r="I1065" s="10" t="s">
        <v>3019</v>
      </c>
    </row>
    <row r="1066" spans="1:9" x14ac:dyDescent="0.15">
      <c r="A1066" s="9">
        <v>1065</v>
      </c>
      <c r="B1066" s="10" t="s">
        <v>9</v>
      </c>
      <c r="C1066" s="10" t="s">
        <v>164</v>
      </c>
      <c r="D1066" s="10" t="s">
        <v>165</v>
      </c>
      <c r="E1066" s="11" t="str">
        <f>+HYPERLINK("http://trademark.i-assist.jp/data/china/image_1901th/78929995.pdf", "78929995")</f>
        <v>78929995</v>
      </c>
      <c r="F1066" s="10" t="s">
        <v>3153</v>
      </c>
      <c r="G1066" s="10" t="s">
        <v>3154</v>
      </c>
      <c r="H1066" s="10" t="s">
        <v>3155</v>
      </c>
      <c r="I1066" s="10" t="s">
        <v>3019</v>
      </c>
    </row>
    <row r="1067" spans="1:9" x14ac:dyDescent="0.15">
      <c r="A1067" s="9">
        <v>1066</v>
      </c>
      <c r="B1067" s="10" t="s">
        <v>9</v>
      </c>
      <c r="C1067" s="10" t="s">
        <v>164</v>
      </c>
      <c r="D1067" s="10" t="s">
        <v>165</v>
      </c>
      <c r="E1067" s="11" t="str">
        <f>+HYPERLINK("http://trademark.i-assist.jp/data/china/image_1901th/78930039.pdf", "78930039")</f>
        <v>78930039</v>
      </c>
      <c r="F1067" s="10" t="s">
        <v>3156</v>
      </c>
      <c r="G1067" s="10" t="s">
        <v>3157</v>
      </c>
      <c r="H1067" s="10" t="s">
        <v>3158</v>
      </c>
      <c r="I1067" s="10" t="s">
        <v>3019</v>
      </c>
    </row>
    <row r="1068" spans="1:9" x14ac:dyDescent="0.15">
      <c r="A1068" s="9">
        <v>1067</v>
      </c>
      <c r="B1068" s="10" t="s">
        <v>9</v>
      </c>
      <c r="C1068" s="10" t="s">
        <v>164</v>
      </c>
      <c r="D1068" s="10" t="s">
        <v>165</v>
      </c>
      <c r="E1068" s="11" t="str">
        <f>+HYPERLINK("http://trademark.i-assist.jp/data/china/image_1901th/78930430.pdf", "78930430")</f>
        <v>78930430</v>
      </c>
      <c r="F1068" s="10" t="s">
        <v>3159</v>
      </c>
      <c r="G1068" s="10" t="s">
        <v>3160</v>
      </c>
      <c r="H1068" s="10" t="s">
        <v>3161</v>
      </c>
      <c r="I1068" s="10" t="s">
        <v>3019</v>
      </c>
    </row>
    <row r="1069" spans="1:9" x14ac:dyDescent="0.15">
      <c r="A1069" s="9">
        <v>1068</v>
      </c>
      <c r="B1069" s="10" t="s">
        <v>9</v>
      </c>
      <c r="C1069" s="10" t="s">
        <v>164</v>
      </c>
      <c r="D1069" s="10" t="s">
        <v>165</v>
      </c>
      <c r="E1069" s="11" t="str">
        <f>+HYPERLINK("http://trademark.i-assist.jp/data/china/image_1901th/78930740.pdf", "78930740")</f>
        <v>78930740</v>
      </c>
      <c r="F1069" s="10" t="s">
        <v>3162</v>
      </c>
      <c r="G1069" s="10" t="s">
        <v>3163</v>
      </c>
      <c r="H1069" s="10" t="s">
        <v>3164</v>
      </c>
      <c r="I1069" s="10" t="s">
        <v>3019</v>
      </c>
    </row>
    <row r="1070" spans="1:9" x14ac:dyDescent="0.15">
      <c r="A1070" s="9">
        <v>1069</v>
      </c>
      <c r="B1070" s="10" t="s">
        <v>9</v>
      </c>
      <c r="C1070" s="10" t="s">
        <v>164</v>
      </c>
      <c r="D1070" s="10" t="s">
        <v>165</v>
      </c>
      <c r="E1070" s="11" t="str">
        <f>+HYPERLINK("http://trademark.i-assist.jp/data/china/image_1901th/78930959.pdf", "78930959")</f>
        <v>78930959</v>
      </c>
      <c r="F1070" s="10" t="s">
        <v>3165</v>
      </c>
      <c r="G1070" s="10" t="s">
        <v>3166</v>
      </c>
      <c r="H1070" s="10" t="s">
        <v>3167</v>
      </c>
      <c r="I1070" s="10" t="s">
        <v>3019</v>
      </c>
    </row>
    <row r="1071" spans="1:9" x14ac:dyDescent="0.15">
      <c r="A1071" s="9">
        <v>1070</v>
      </c>
      <c r="B1071" s="10" t="s">
        <v>9</v>
      </c>
      <c r="C1071" s="10" t="s">
        <v>164</v>
      </c>
      <c r="D1071" s="10" t="s">
        <v>165</v>
      </c>
      <c r="E1071" s="11" t="str">
        <f>+HYPERLINK("http://trademark.i-assist.jp/data/china/image_1901th/78930989.pdf", "78930989")</f>
        <v>78930989</v>
      </c>
      <c r="F1071" s="10" t="s">
        <v>3168</v>
      </c>
      <c r="G1071" s="10" t="s">
        <v>3051</v>
      </c>
      <c r="H1071" s="10" t="s">
        <v>3169</v>
      </c>
      <c r="I1071" s="10" t="s">
        <v>3019</v>
      </c>
    </row>
    <row r="1072" spans="1:9" x14ac:dyDescent="0.15">
      <c r="A1072" s="9">
        <v>1071</v>
      </c>
      <c r="B1072" s="10" t="s">
        <v>9</v>
      </c>
      <c r="C1072" s="10" t="s">
        <v>164</v>
      </c>
      <c r="D1072" s="10" t="s">
        <v>165</v>
      </c>
      <c r="E1072" s="11" t="str">
        <f>+HYPERLINK("http://trademark.i-assist.jp/data/china/image_1901th/78930994.pdf", "78930994")</f>
        <v>78930994</v>
      </c>
      <c r="F1072" s="10" t="s">
        <v>3170</v>
      </c>
      <c r="G1072" s="10" t="s">
        <v>3051</v>
      </c>
      <c r="H1072" s="10" t="s">
        <v>3171</v>
      </c>
      <c r="I1072" s="10" t="s">
        <v>3019</v>
      </c>
    </row>
    <row r="1073" spans="1:9" x14ac:dyDescent="0.15">
      <c r="A1073" s="9">
        <v>1072</v>
      </c>
      <c r="B1073" s="10" t="s">
        <v>9</v>
      </c>
      <c r="C1073" s="10" t="s">
        <v>164</v>
      </c>
      <c r="D1073" s="10" t="s">
        <v>165</v>
      </c>
      <c r="E1073" s="11" t="str">
        <f>+HYPERLINK("http://trademark.i-assist.jp/data/china/image_1901th/78931250.pdf", "78931250")</f>
        <v>78931250</v>
      </c>
      <c r="F1073" s="10" t="s">
        <v>3172</v>
      </c>
      <c r="G1073" s="10" t="s">
        <v>3173</v>
      </c>
      <c r="H1073" s="10" t="s">
        <v>3174</v>
      </c>
      <c r="I1073" s="10" t="s">
        <v>3019</v>
      </c>
    </row>
    <row r="1074" spans="1:9" x14ac:dyDescent="0.15">
      <c r="A1074" s="9">
        <v>1073</v>
      </c>
      <c r="B1074" s="10" t="s">
        <v>9</v>
      </c>
      <c r="C1074" s="10" t="s">
        <v>164</v>
      </c>
      <c r="D1074" s="10" t="s">
        <v>165</v>
      </c>
      <c r="E1074" s="11" t="str">
        <f>+HYPERLINK("http://trademark.i-assist.jp/data/china/image_1901th/78931253.pdf", "78931253")</f>
        <v>78931253</v>
      </c>
      <c r="F1074" s="10" t="s">
        <v>3175</v>
      </c>
      <c r="G1074" s="10" t="s">
        <v>3051</v>
      </c>
      <c r="H1074" s="10" t="s">
        <v>3176</v>
      </c>
      <c r="I1074" s="10" t="s">
        <v>3019</v>
      </c>
    </row>
    <row r="1075" spans="1:9" x14ac:dyDescent="0.15">
      <c r="A1075" s="9">
        <v>1074</v>
      </c>
      <c r="B1075" s="10" t="s">
        <v>9</v>
      </c>
      <c r="C1075" s="10" t="s">
        <v>164</v>
      </c>
      <c r="D1075" s="10" t="s">
        <v>165</v>
      </c>
      <c r="E1075" s="11" t="str">
        <f>+HYPERLINK("http://trademark.i-assist.jp/data/china/image_1901th/78931516.pdf", "78931516")</f>
        <v>78931516</v>
      </c>
      <c r="F1075" s="10" t="s">
        <v>3177</v>
      </c>
      <c r="G1075" s="10" t="s">
        <v>3178</v>
      </c>
      <c r="H1075" s="10" t="s">
        <v>3179</v>
      </c>
      <c r="I1075" s="10" t="s">
        <v>3019</v>
      </c>
    </row>
    <row r="1076" spans="1:9" x14ac:dyDescent="0.15">
      <c r="A1076" s="9">
        <v>1075</v>
      </c>
      <c r="B1076" s="10" t="s">
        <v>9</v>
      </c>
      <c r="C1076" s="10" t="s">
        <v>164</v>
      </c>
      <c r="D1076" s="10" t="s">
        <v>165</v>
      </c>
      <c r="E1076" s="11" t="str">
        <f>+HYPERLINK("http://trademark.i-assist.jp/data/china/image_1901th/78931607.pdf", "78931607")</f>
        <v>78931607</v>
      </c>
      <c r="F1076" s="10" t="s">
        <v>3180</v>
      </c>
      <c r="G1076" s="10" t="s">
        <v>3181</v>
      </c>
      <c r="H1076" s="10" t="s">
        <v>3182</v>
      </c>
      <c r="I1076" s="10" t="s">
        <v>3019</v>
      </c>
    </row>
    <row r="1077" spans="1:9" x14ac:dyDescent="0.15">
      <c r="A1077" s="9">
        <v>1076</v>
      </c>
      <c r="B1077" s="10" t="s">
        <v>9</v>
      </c>
      <c r="C1077" s="10" t="s">
        <v>164</v>
      </c>
      <c r="D1077" s="10" t="s">
        <v>165</v>
      </c>
      <c r="E1077" s="11" t="str">
        <f>+HYPERLINK("http://trademark.i-assist.jp/data/china/image_1901th/78931722.pdf", "78931722")</f>
        <v>78931722</v>
      </c>
      <c r="F1077" s="10" t="s">
        <v>3183</v>
      </c>
      <c r="G1077" s="10" t="s">
        <v>3184</v>
      </c>
      <c r="H1077" s="10" t="s">
        <v>3185</v>
      </c>
      <c r="I1077" s="10" t="s">
        <v>3019</v>
      </c>
    </row>
    <row r="1078" spans="1:9" x14ac:dyDescent="0.15">
      <c r="A1078" s="9">
        <v>1077</v>
      </c>
      <c r="B1078" s="10" t="s">
        <v>9</v>
      </c>
      <c r="C1078" s="10" t="s">
        <v>164</v>
      </c>
      <c r="D1078" s="10" t="s">
        <v>165</v>
      </c>
      <c r="E1078" s="11" t="str">
        <f>+HYPERLINK("http://trademark.i-assist.jp/data/china/image_1901th/78931724.pdf", "78931724")</f>
        <v>78931724</v>
      </c>
      <c r="F1078" s="10" t="s">
        <v>3186</v>
      </c>
      <c r="G1078" s="10" t="s">
        <v>3187</v>
      </c>
      <c r="H1078" s="10" t="s">
        <v>3188</v>
      </c>
      <c r="I1078" s="10" t="s">
        <v>3019</v>
      </c>
    </row>
    <row r="1079" spans="1:9" x14ac:dyDescent="0.15">
      <c r="A1079" s="9">
        <v>1078</v>
      </c>
      <c r="B1079" s="10" t="s">
        <v>9</v>
      </c>
      <c r="C1079" s="10" t="s">
        <v>164</v>
      </c>
      <c r="D1079" s="10" t="s">
        <v>165</v>
      </c>
      <c r="E1079" s="11" t="str">
        <f>+HYPERLINK("http://trademark.i-assist.jp/data/china/image_1901th/78931734.pdf", "78931734")</f>
        <v>78931734</v>
      </c>
      <c r="F1079" s="10" t="s">
        <v>3189</v>
      </c>
      <c r="G1079" s="10" t="s">
        <v>3190</v>
      </c>
      <c r="H1079" s="10" t="s">
        <v>3191</v>
      </c>
      <c r="I1079" s="10" t="s">
        <v>3019</v>
      </c>
    </row>
    <row r="1080" spans="1:9" x14ac:dyDescent="0.15">
      <c r="A1080" s="9">
        <v>1079</v>
      </c>
      <c r="B1080" s="10" t="s">
        <v>9</v>
      </c>
      <c r="C1080" s="10" t="s">
        <v>164</v>
      </c>
      <c r="D1080" s="10" t="s">
        <v>165</v>
      </c>
      <c r="E1080" s="11" t="str">
        <f>+HYPERLINK("http://trademark.i-assist.jp/data/china/image_1901th/78931936.pdf", "78931936")</f>
        <v>78931936</v>
      </c>
      <c r="F1080" s="10" t="s">
        <v>3192</v>
      </c>
      <c r="G1080" s="10" t="s">
        <v>3193</v>
      </c>
      <c r="H1080" s="10" t="s">
        <v>3194</v>
      </c>
      <c r="I1080" s="10" t="s">
        <v>3019</v>
      </c>
    </row>
    <row r="1081" spans="1:9" x14ac:dyDescent="0.15">
      <c r="A1081" s="9">
        <v>1080</v>
      </c>
      <c r="B1081" s="10" t="s">
        <v>9</v>
      </c>
      <c r="C1081" s="10" t="s">
        <v>164</v>
      </c>
      <c r="D1081" s="10" t="s">
        <v>165</v>
      </c>
      <c r="E1081" s="11" t="str">
        <f>+HYPERLINK("http://trademark.i-assist.jp/data/china/image_1901th/78931956.pdf", "78931956")</f>
        <v>78931956</v>
      </c>
      <c r="F1081" s="10" t="s">
        <v>3195</v>
      </c>
      <c r="G1081" s="10" t="s">
        <v>3196</v>
      </c>
      <c r="H1081" s="10" t="s">
        <v>3197</v>
      </c>
      <c r="I1081" s="10" t="s">
        <v>3019</v>
      </c>
    </row>
    <row r="1082" spans="1:9" x14ac:dyDescent="0.15">
      <c r="A1082" s="9">
        <v>1081</v>
      </c>
      <c r="B1082" s="10" t="s">
        <v>9</v>
      </c>
      <c r="C1082" s="10" t="s">
        <v>164</v>
      </c>
      <c r="D1082" s="10" t="s">
        <v>165</v>
      </c>
      <c r="E1082" s="11" t="str">
        <f>+HYPERLINK("http://trademark.i-assist.jp/data/china/image_1901th/78932166.pdf", "78932166")</f>
        <v>78932166</v>
      </c>
      <c r="F1082" s="10" t="s">
        <v>3198</v>
      </c>
      <c r="G1082" s="10" t="s">
        <v>3199</v>
      </c>
      <c r="H1082" s="10" t="s">
        <v>3200</v>
      </c>
      <c r="I1082" s="10" t="s">
        <v>3019</v>
      </c>
    </row>
    <row r="1083" spans="1:9" x14ac:dyDescent="0.15">
      <c r="A1083" s="9">
        <v>1082</v>
      </c>
      <c r="B1083" s="10" t="s">
        <v>9</v>
      </c>
      <c r="C1083" s="10" t="s">
        <v>164</v>
      </c>
      <c r="D1083" s="10" t="s">
        <v>165</v>
      </c>
      <c r="E1083" s="11" t="str">
        <f>+HYPERLINK("http://trademark.i-assist.jp/data/china/image_1901th/78932355.pdf", "78932355")</f>
        <v>78932355</v>
      </c>
      <c r="F1083" s="10" t="s">
        <v>3201</v>
      </c>
      <c r="G1083" s="10" t="s">
        <v>3202</v>
      </c>
      <c r="H1083" s="10" t="s">
        <v>3203</v>
      </c>
      <c r="I1083" s="10" t="s">
        <v>3019</v>
      </c>
    </row>
    <row r="1084" spans="1:9" x14ac:dyDescent="0.15">
      <c r="A1084" s="9">
        <v>1083</v>
      </c>
      <c r="B1084" s="10" t="s">
        <v>9</v>
      </c>
      <c r="C1084" s="10" t="s">
        <v>164</v>
      </c>
      <c r="D1084" s="10" t="s">
        <v>165</v>
      </c>
      <c r="E1084" s="11" t="str">
        <f>+HYPERLINK("http://trademark.i-assist.jp/data/china/image_1901th/78932765.pdf", "78932765")</f>
        <v>78932765</v>
      </c>
      <c r="F1084" s="10" t="s">
        <v>3204</v>
      </c>
      <c r="G1084" s="10" t="s">
        <v>3051</v>
      </c>
      <c r="H1084" s="10" t="s">
        <v>3205</v>
      </c>
      <c r="I1084" s="10" t="s">
        <v>3019</v>
      </c>
    </row>
    <row r="1085" spans="1:9" x14ac:dyDescent="0.15">
      <c r="A1085" s="9">
        <v>1084</v>
      </c>
      <c r="B1085" s="10" t="s">
        <v>9</v>
      </c>
      <c r="C1085" s="10" t="s">
        <v>164</v>
      </c>
      <c r="D1085" s="10" t="s">
        <v>165</v>
      </c>
      <c r="E1085" s="11" t="str">
        <f>+HYPERLINK("http://trademark.i-assist.jp/data/china/image_1901th/78932940.pdf", "78932940")</f>
        <v>78932940</v>
      </c>
      <c r="F1085" s="10" t="s">
        <v>3206</v>
      </c>
      <c r="G1085" s="10" t="s">
        <v>3157</v>
      </c>
      <c r="H1085" s="10" t="s">
        <v>3207</v>
      </c>
      <c r="I1085" s="10" t="s">
        <v>3019</v>
      </c>
    </row>
    <row r="1086" spans="1:9" x14ac:dyDescent="0.15">
      <c r="A1086" s="9">
        <v>1085</v>
      </c>
      <c r="B1086" s="10" t="s">
        <v>9</v>
      </c>
      <c r="C1086" s="10" t="s">
        <v>164</v>
      </c>
      <c r="D1086" s="10" t="s">
        <v>165</v>
      </c>
      <c r="E1086" s="11" t="str">
        <f>+HYPERLINK("http://trademark.i-assist.jp/data/china/image_1901th/78933136.pdf", "78933136")</f>
        <v>78933136</v>
      </c>
      <c r="F1086" s="10" t="s">
        <v>3208</v>
      </c>
      <c r="G1086" s="10" t="s">
        <v>1446</v>
      </c>
      <c r="H1086" s="10" t="s">
        <v>3209</v>
      </c>
      <c r="I1086" s="10" t="s">
        <v>3019</v>
      </c>
    </row>
    <row r="1087" spans="1:9" x14ac:dyDescent="0.15">
      <c r="A1087" s="9">
        <v>1086</v>
      </c>
      <c r="B1087" s="10" t="s">
        <v>9</v>
      </c>
      <c r="C1087" s="10" t="s">
        <v>164</v>
      </c>
      <c r="D1087" s="10" t="s">
        <v>165</v>
      </c>
      <c r="E1087" s="11" t="str">
        <f>+HYPERLINK("http://trademark.i-assist.jp/data/china/image_1901th/78933437.pdf", "78933437")</f>
        <v>78933437</v>
      </c>
      <c r="F1087" s="10" t="s">
        <v>3210</v>
      </c>
      <c r="G1087" s="10" t="s">
        <v>3211</v>
      </c>
      <c r="H1087" s="10" t="s">
        <v>3212</v>
      </c>
      <c r="I1087" s="10" t="s">
        <v>3019</v>
      </c>
    </row>
    <row r="1088" spans="1:9" x14ac:dyDescent="0.15">
      <c r="A1088" s="9">
        <v>1087</v>
      </c>
      <c r="B1088" s="10" t="s">
        <v>9</v>
      </c>
      <c r="C1088" s="10" t="s">
        <v>164</v>
      </c>
      <c r="D1088" s="10" t="s">
        <v>165</v>
      </c>
      <c r="E1088" s="11" t="str">
        <f>+HYPERLINK("http://trademark.i-assist.jp/data/china/image_1901th/78933634.pdf", "78933634")</f>
        <v>78933634</v>
      </c>
      <c r="F1088" s="10" t="s">
        <v>3213</v>
      </c>
      <c r="G1088" s="10" t="s">
        <v>3214</v>
      </c>
      <c r="H1088" s="10" t="s">
        <v>3215</v>
      </c>
      <c r="I1088" s="10" t="s">
        <v>3019</v>
      </c>
    </row>
    <row r="1089" spans="1:9" x14ac:dyDescent="0.15">
      <c r="A1089" s="9">
        <v>1088</v>
      </c>
      <c r="B1089" s="10" t="s">
        <v>9</v>
      </c>
      <c r="C1089" s="10" t="s">
        <v>164</v>
      </c>
      <c r="D1089" s="10" t="s">
        <v>165</v>
      </c>
      <c r="E1089" s="11" t="str">
        <f>+HYPERLINK("http://trademark.i-assist.jp/data/china/image_1901th/78933786.pdf", "78933786")</f>
        <v>78933786</v>
      </c>
      <c r="F1089" s="10" t="s">
        <v>3216</v>
      </c>
      <c r="G1089" s="10" t="s">
        <v>3024</v>
      </c>
      <c r="H1089" s="10" t="s">
        <v>3217</v>
      </c>
      <c r="I1089" s="10" t="s">
        <v>3019</v>
      </c>
    </row>
    <row r="1090" spans="1:9" x14ac:dyDescent="0.15">
      <c r="A1090" s="9">
        <v>1089</v>
      </c>
      <c r="B1090" s="10" t="s">
        <v>9</v>
      </c>
      <c r="C1090" s="10" t="s">
        <v>164</v>
      </c>
      <c r="D1090" s="10" t="s">
        <v>165</v>
      </c>
      <c r="E1090" s="11" t="str">
        <f>+HYPERLINK("http://trademark.i-assist.jp/data/china/image_1901th/78933878.pdf", "78933878")</f>
        <v>78933878</v>
      </c>
      <c r="F1090" s="10" t="s">
        <v>3218</v>
      </c>
      <c r="G1090" s="10" t="s">
        <v>3219</v>
      </c>
      <c r="H1090" s="10" t="s">
        <v>3220</v>
      </c>
      <c r="I1090" s="10" t="s">
        <v>3019</v>
      </c>
    </row>
    <row r="1091" spans="1:9" x14ac:dyDescent="0.15">
      <c r="A1091" s="9">
        <v>1090</v>
      </c>
      <c r="B1091" s="10" t="s">
        <v>9</v>
      </c>
      <c r="C1091" s="10" t="s">
        <v>164</v>
      </c>
      <c r="D1091" s="10" t="s">
        <v>165</v>
      </c>
      <c r="E1091" s="11" t="str">
        <f>+HYPERLINK("http://trademark.i-assist.jp/data/china/image_1901th/78933891.pdf", "78933891")</f>
        <v>78933891</v>
      </c>
      <c r="F1091" s="10" t="s">
        <v>3221</v>
      </c>
      <c r="G1091" s="10" t="s">
        <v>3222</v>
      </c>
      <c r="H1091" s="10" t="s">
        <v>3223</v>
      </c>
      <c r="I1091" s="10" t="s">
        <v>3019</v>
      </c>
    </row>
    <row r="1092" spans="1:9" x14ac:dyDescent="0.15">
      <c r="A1092" s="9">
        <v>1091</v>
      </c>
      <c r="B1092" s="10" t="s">
        <v>9</v>
      </c>
      <c r="C1092" s="10" t="s">
        <v>164</v>
      </c>
      <c r="D1092" s="10" t="s">
        <v>165</v>
      </c>
      <c r="E1092" s="11" t="str">
        <f>+HYPERLINK("http://trademark.i-assist.jp/data/china/image_1901th/78933907.pdf", "78933907")</f>
        <v>78933907</v>
      </c>
      <c r="F1092" s="10" t="s">
        <v>3224</v>
      </c>
      <c r="G1092" s="10" t="s">
        <v>3225</v>
      </c>
      <c r="H1092" s="10" t="s">
        <v>3226</v>
      </c>
      <c r="I1092" s="10" t="s">
        <v>3019</v>
      </c>
    </row>
    <row r="1093" spans="1:9" x14ac:dyDescent="0.15">
      <c r="A1093" s="9">
        <v>1092</v>
      </c>
      <c r="B1093" s="10" t="s">
        <v>9</v>
      </c>
      <c r="C1093" s="10" t="s">
        <v>164</v>
      </c>
      <c r="D1093" s="10" t="s">
        <v>165</v>
      </c>
      <c r="E1093" s="11" t="str">
        <f>+HYPERLINK("http://trademark.i-assist.jp/data/china/image_1901th/78934134.pdf", "78934134")</f>
        <v>78934134</v>
      </c>
      <c r="F1093" s="10" t="s">
        <v>3227</v>
      </c>
      <c r="G1093" s="10" t="s">
        <v>3228</v>
      </c>
      <c r="H1093" s="10" t="s">
        <v>3229</v>
      </c>
      <c r="I1093" s="10" t="s">
        <v>3019</v>
      </c>
    </row>
    <row r="1094" spans="1:9" x14ac:dyDescent="0.15">
      <c r="A1094" s="9">
        <v>1093</v>
      </c>
      <c r="B1094" s="10" t="s">
        <v>9</v>
      </c>
      <c r="C1094" s="10" t="s">
        <v>164</v>
      </c>
      <c r="D1094" s="10" t="s">
        <v>165</v>
      </c>
      <c r="E1094" s="11" t="str">
        <f>+HYPERLINK("http://trademark.i-assist.jp/data/china/image_1901th/78934587.pdf", "78934587")</f>
        <v>78934587</v>
      </c>
      <c r="F1094" s="10" t="s">
        <v>3230</v>
      </c>
      <c r="G1094" s="10" t="s">
        <v>3129</v>
      </c>
      <c r="H1094" s="10" t="s">
        <v>3130</v>
      </c>
      <c r="I1094" s="10" t="s">
        <v>3019</v>
      </c>
    </row>
    <row r="1095" spans="1:9" x14ac:dyDescent="0.15">
      <c r="A1095" s="9">
        <v>1094</v>
      </c>
      <c r="B1095" s="10" t="s">
        <v>9</v>
      </c>
      <c r="C1095" s="10" t="s">
        <v>164</v>
      </c>
      <c r="D1095" s="10" t="s">
        <v>165</v>
      </c>
      <c r="E1095" s="11" t="str">
        <f>+HYPERLINK("http://trademark.i-assist.jp/data/china/image_1901th/78934709.pdf", "78934709")</f>
        <v>78934709</v>
      </c>
      <c r="F1095" s="10" t="s">
        <v>3231</v>
      </c>
      <c r="G1095" s="10" t="s">
        <v>117</v>
      </c>
      <c r="H1095" s="10" t="s">
        <v>3232</v>
      </c>
      <c r="I1095" s="10" t="s">
        <v>3019</v>
      </c>
    </row>
    <row r="1096" spans="1:9" x14ac:dyDescent="0.15">
      <c r="A1096" s="9">
        <v>1095</v>
      </c>
      <c r="B1096" s="10" t="s">
        <v>9</v>
      </c>
      <c r="C1096" s="10" t="s">
        <v>164</v>
      </c>
      <c r="D1096" s="10" t="s">
        <v>165</v>
      </c>
      <c r="E1096" s="11" t="str">
        <f>+HYPERLINK("http://trademark.i-assist.jp/data/china/image_1901th/78934993.pdf", "78934993")</f>
        <v>78934993</v>
      </c>
      <c r="F1096" s="10" t="s">
        <v>3233</v>
      </c>
      <c r="G1096" s="10" t="s">
        <v>3234</v>
      </c>
      <c r="H1096" s="10" t="s">
        <v>3235</v>
      </c>
      <c r="I1096" s="10" t="s">
        <v>3019</v>
      </c>
    </row>
    <row r="1097" spans="1:9" x14ac:dyDescent="0.15">
      <c r="A1097" s="9">
        <v>1096</v>
      </c>
      <c r="B1097" s="10" t="s">
        <v>9</v>
      </c>
      <c r="C1097" s="10" t="s">
        <v>164</v>
      </c>
      <c r="D1097" s="10" t="s">
        <v>165</v>
      </c>
      <c r="E1097" s="11" t="str">
        <f>+HYPERLINK("http://trademark.i-assist.jp/data/china/image_1901th/78935066.pdf", "78935066")</f>
        <v>78935066</v>
      </c>
      <c r="F1097" s="10" t="s">
        <v>3236</v>
      </c>
      <c r="G1097" s="10" t="s">
        <v>3237</v>
      </c>
      <c r="H1097" s="10" t="s">
        <v>3238</v>
      </c>
      <c r="I1097" s="10" t="s">
        <v>3019</v>
      </c>
    </row>
    <row r="1098" spans="1:9" x14ac:dyDescent="0.15">
      <c r="A1098" s="9">
        <v>1097</v>
      </c>
      <c r="B1098" s="10" t="s">
        <v>9</v>
      </c>
      <c r="C1098" s="10" t="s">
        <v>164</v>
      </c>
      <c r="D1098" s="10" t="s">
        <v>165</v>
      </c>
      <c r="E1098" s="11" t="str">
        <f>+HYPERLINK("http://trademark.i-assist.jp/data/china/image_1901th/78935107.pdf", "78935107")</f>
        <v>78935107</v>
      </c>
      <c r="F1098" s="10" t="s">
        <v>3239</v>
      </c>
      <c r="G1098" s="10" t="s">
        <v>3240</v>
      </c>
      <c r="H1098" s="10" t="s">
        <v>3241</v>
      </c>
      <c r="I1098" s="10" t="s">
        <v>3019</v>
      </c>
    </row>
    <row r="1099" spans="1:9" x14ac:dyDescent="0.15">
      <c r="A1099" s="9">
        <v>1098</v>
      </c>
      <c r="B1099" s="10" t="s">
        <v>9</v>
      </c>
      <c r="C1099" s="10" t="s">
        <v>164</v>
      </c>
      <c r="D1099" s="10" t="s">
        <v>165</v>
      </c>
      <c r="E1099" s="11" t="str">
        <f>+HYPERLINK("http://trademark.i-assist.jp/data/china/image_1901th/78935496.pdf", "78935496")</f>
        <v>78935496</v>
      </c>
      <c r="F1099" s="10" t="s">
        <v>3242</v>
      </c>
      <c r="G1099" s="10" t="s">
        <v>3243</v>
      </c>
      <c r="H1099" s="10" t="s">
        <v>3244</v>
      </c>
      <c r="I1099" s="10" t="s">
        <v>3019</v>
      </c>
    </row>
    <row r="1100" spans="1:9" x14ac:dyDescent="0.15">
      <c r="A1100" s="9">
        <v>1099</v>
      </c>
      <c r="B1100" s="10" t="s">
        <v>9</v>
      </c>
      <c r="C1100" s="10" t="s">
        <v>164</v>
      </c>
      <c r="D1100" s="10" t="s">
        <v>165</v>
      </c>
      <c r="E1100" s="11" t="str">
        <f>+HYPERLINK("http://trademark.i-assist.jp/data/china/image_1901th/78935811.pdf", "78935811")</f>
        <v>78935811</v>
      </c>
      <c r="F1100" s="10" t="s">
        <v>3245</v>
      </c>
      <c r="G1100" s="10" t="s">
        <v>3246</v>
      </c>
      <c r="H1100" s="10" t="s">
        <v>3247</v>
      </c>
      <c r="I1100" s="10" t="s">
        <v>3019</v>
      </c>
    </row>
    <row r="1101" spans="1:9" x14ac:dyDescent="0.15">
      <c r="A1101" s="9">
        <v>1100</v>
      </c>
      <c r="B1101" s="10" t="s">
        <v>9</v>
      </c>
      <c r="C1101" s="10" t="s">
        <v>164</v>
      </c>
      <c r="D1101" s="10" t="s">
        <v>165</v>
      </c>
      <c r="E1101" s="11" t="str">
        <f>+HYPERLINK("http://trademark.i-assist.jp/data/china/image_1901th/78936192.pdf", "78936192")</f>
        <v>78936192</v>
      </c>
      <c r="F1101" s="10" t="s">
        <v>3248</v>
      </c>
      <c r="G1101" s="10" t="s">
        <v>3249</v>
      </c>
      <c r="H1101" s="10" t="s">
        <v>3250</v>
      </c>
      <c r="I1101" s="10" t="s">
        <v>3019</v>
      </c>
    </row>
    <row r="1102" spans="1:9" x14ac:dyDescent="0.15">
      <c r="A1102" s="9">
        <v>1101</v>
      </c>
      <c r="B1102" s="10" t="s">
        <v>9</v>
      </c>
      <c r="C1102" s="10" t="s">
        <v>164</v>
      </c>
      <c r="D1102" s="10" t="s">
        <v>165</v>
      </c>
      <c r="E1102" s="11" t="str">
        <f>+HYPERLINK("http://trademark.i-assist.jp/data/china/image_1901th/78936254.pdf", "78936254")</f>
        <v>78936254</v>
      </c>
      <c r="F1102" s="10" t="s">
        <v>3251</v>
      </c>
      <c r="G1102" s="10" t="s">
        <v>3252</v>
      </c>
      <c r="H1102" s="10" t="s">
        <v>3253</v>
      </c>
      <c r="I1102" s="10" t="s">
        <v>3019</v>
      </c>
    </row>
    <row r="1103" spans="1:9" x14ac:dyDescent="0.15">
      <c r="A1103" s="9">
        <v>1102</v>
      </c>
      <c r="B1103" s="10" t="s">
        <v>9</v>
      </c>
      <c r="C1103" s="10" t="s">
        <v>164</v>
      </c>
      <c r="D1103" s="10" t="s">
        <v>165</v>
      </c>
      <c r="E1103" s="11" t="str">
        <f>+HYPERLINK("http://trademark.i-assist.jp/data/china/image_1901th/78936260.pdf", "78936260")</f>
        <v>78936260</v>
      </c>
      <c r="F1103" s="10" t="s">
        <v>3254</v>
      </c>
      <c r="G1103" s="10" t="s">
        <v>3024</v>
      </c>
      <c r="H1103" s="10" t="s">
        <v>3255</v>
      </c>
      <c r="I1103" s="10" t="s">
        <v>3019</v>
      </c>
    </row>
    <row r="1104" spans="1:9" x14ac:dyDescent="0.15">
      <c r="A1104" s="9">
        <v>1103</v>
      </c>
      <c r="B1104" s="10" t="s">
        <v>9</v>
      </c>
      <c r="C1104" s="10" t="s">
        <v>164</v>
      </c>
      <c r="D1104" s="10" t="s">
        <v>165</v>
      </c>
      <c r="E1104" s="11" t="str">
        <f>+HYPERLINK("http://trademark.i-assist.jp/data/china/image_1901th/78936267.pdf", "78936267")</f>
        <v>78936267</v>
      </c>
      <c r="F1104" s="10" t="s">
        <v>3256</v>
      </c>
      <c r="G1104" s="10" t="s">
        <v>3257</v>
      </c>
      <c r="H1104" s="10" t="s">
        <v>3258</v>
      </c>
      <c r="I1104" s="10" t="s">
        <v>3019</v>
      </c>
    </row>
    <row r="1105" spans="1:9" x14ac:dyDescent="0.15">
      <c r="A1105" s="9">
        <v>1104</v>
      </c>
      <c r="B1105" s="10" t="s">
        <v>9</v>
      </c>
      <c r="C1105" s="10" t="s">
        <v>164</v>
      </c>
      <c r="D1105" s="10" t="s">
        <v>165</v>
      </c>
      <c r="E1105" s="11" t="str">
        <f>+HYPERLINK("http://trademark.i-assist.jp/data/china/image_1901th/78936359.pdf", "78936359")</f>
        <v>78936359</v>
      </c>
      <c r="F1105" s="10" t="s">
        <v>3259</v>
      </c>
      <c r="G1105" s="10" t="s">
        <v>3260</v>
      </c>
      <c r="H1105" s="10" t="s">
        <v>3261</v>
      </c>
      <c r="I1105" s="10" t="s">
        <v>3019</v>
      </c>
    </row>
    <row r="1106" spans="1:9" x14ac:dyDescent="0.15">
      <c r="A1106" s="9">
        <v>1105</v>
      </c>
      <c r="B1106" s="10" t="s">
        <v>9</v>
      </c>
      <c r="C1106" s="10" t="s">
        <v>164</v>
      </c>
      <c r="D1106" s="10" t="s">
        <v>165</v>
      </c>
      <c r="E1106" s="11" t="str">
        <f>+HYPERLINK("http://trademark.i-assist.jp/data/china/image_1901th/78936553.pdf", "78936553")</f>
        <v>78936553</v>
      </c>
      <c r="F1106" s="10" t="s">
        <v>3262</v>
      </c>
      <c r="G1106" s="10" t="s">
        <v>3263</v>
      </c>
      <c r="H1106" s="10" t="s">
        <v>3264</v>
      </c>
      <c r="I1106" s="10" t="s">
        <v>3019</v>
      </c>
    </row>
    <row r="1107" spans="1:9" x14ac:dyDescent="0.15">
      <c r="A1107" s="9">
        <v>1106</v>
      </c>
      <c r="B1107" s="10" t="s">
        <v>9</v>
      </c>
      <c r="C1107" s="10" t="s">
        <v>164</v>
      </c>
      <c r="D1107" s="10" t="s">
        <v>165</v>
      </c>
      <c r="E1107" s="11" t="str">
        <f>+HYPERLINK("http://trademark.i-assist.jp/data/china/image_1901th/78936559.pdf", "78936559")</f>
        <v>78936559</v>
      </c>
      <c r="F1107" s="10" t="s">
        <v>3265</v>
      </c>
      <c r="G1107" s="10" t="s">
        <v>3266</v>
      </c>
      <c r="H1107" s="10" t="s">
        <v>3267</v>
      </c>
      <c r="I1107" s="10" t="s">
        <v>3019</v>
      </c>
    </row>
    <row r="1108" spans="1:9" x14ac:dyDescent="0.15">
      <c r="A1108" s="9">
        <v>1107</v>
      </c>
      <c r="B1108" s="10" t="s">
        <v>9</v>
      </c>
      <c r="C1108" s="10" t="s">
        <v>164</v>
      </c>
      <c r="D1108" s="10" t="s">
        <v>165</v>
      </c>
      <c r="E1108" s="11" t="str">
        <f>+HYPERLINK("http://trademark.i-assist.jp/data/china/image_1901th/78936562.pdf", "78936562")</f>
        <v>78936562</v>
      </c>
      <c r="F1108" s="10" t="s">
        <v>3268</v>
      </c>
      <c r="G1108" s="10" t="s">
        <v>3269</v>
      </c>
      <c r="H1108" s="10" t="s">
        <v>3270</v>
      </c>
      <c r="I1108" s="10" t="s">
        <v>3019</v>
      </c>
    </row>
    <row r="1109" spans="1:9" x14ac:dyDescent="0.15">
      <c r="A1109" s="9">
        <v>1108</v>
      </c>
      <c r="B1109" s="10" t="s">
        <v>9</v>
      </c>
      <c r="C1109" s="10" t="s">
        <v>164</v>
      </c>
      <c r="D1109" s="10" t="s">
        <v>165</v>
      </c>
      <c r="E1109" s="11" t="str">
        <f>+HYPERLINK("http://trademark.i-assist.jp/data/china/image_1901th/78936676.pdf", "78936676")</f>
        <v>78936676</v>
      </c>
      <c r="F1109" s="10" t="s">
        <v>3271</v>
      </c>
      <c r="G1109" s="10" t="s">
        <v>3129</v>
      </c>
      <c r="H1109" s="10" t="s">
        <v>3130</v>
      </c>
      <c r="I1109" s="10" t="s">
        <v>3019</v>
      </c>
    </row>
    <row r="1110" spans="1:9" x14ac:dyDescent="0.15">
      <c r="A1110" s="9">
        <v>1109</v>
      </c>
      <c r="B1110" s="10" t="s">
        <v>9</v>
      </c>
      <c r="C1110" s="10" t="s">
        <v>164</v>
      </c>
      <c r="D1110" s="10" t="s">
        <v>165</v>
      </c>
      <c r="E1110" s="11" t="str">
        <f>+HYPERLINK("http://trademark.i-assist.jp/data/china/image_1901th/78936788.pdf", "78936788")</f>
        <v>78936788</v>
      </c>
      <c r="F1110" s="10" t="s">
        <v>3272</v>
      </c>
      <c r="G1110" s="10" t="s">
        <v>3273</v>
      </c>
      <c r="H1110" s="10" t="s">
        <v>3274</v>
      </c>
      <c r="I1110" s="10" t="s">
        <v>3019</v>
      </c>
    </row>
    <row r="1111" spans="1:9" x14ac:dyDescent="0.15">
      <c r="A1111" s="9">
        <v>1110</v>
      </c>
      <c r="B1111" s="10" t="s">
        <v>9</v>
      </c>
      <c r="C1111" s="10" t="s">
        <v>164</v>
      </c>
      <c r="D1111" s="10" t="s">
        <v>165</v>
      </c>
      <c r="E1111" s="11" t="str">
        <f>+HYPERLINK("http://trademark.i-assist.jp/data/china/image_1901th/78937022.pdf", "78937022")</f>
        <v>78937022</v>
      </c>
      <c r="F1111" s="10" t="s">
        <v>3275</v>
      </c>
      <c r="G1111" s="10" t="s">
        <v>3276</v>
      </c>
      <c r="H1111" s="10" t="s">
        <v>3277</v>
      </c>
      <c r="I1111" s="10" t="s">
        <v>3019</v>
      </c>
    </row>
    <row r="1112" spans="1:9" x14ac:dyDescent="0.15">
      <c r="A1112" s="9">
        <v>1111</v>
      </c>
      <c r="B1112" s="10" t="s">
        <v>9</v>
      </c>
      <c r="C1112" s="10" t="s">
        <v>164</v>
      </c>
      <c r="D1112" s="10" t="s">
        <v>165</v>
      </c>
      <c r="E1112" s="11" t="str">
        <f>+HYPERLINK("http://trademark.i-assist.jp/data/china/image_1901th/78937170.pdf", "78937170")</f>
        <v>78937170</v>
      </c>
      <c r="F1112" s="10" t="s">
        <v>3278</v>
      </c>
      <c r="G1112" s="10" t="s">
        <v>3279</v>
      </c>
      <c r="H1112" s="10" t="s">
        <v>3280</v>
      </c>
      <c r="I1112" s="10" t="s">
        <v>3019</v>
      </c>
    </row>
    <row r="1113" spans="1:9" x14ac:dyDescent="0.15">
      <c r="A1113" s="9">
        <v>1112</v>
      </c>
      <c r="B1113" s="10" t="s">
        <v>9</v>
      </c>
      <c r="C1113" s="10" t="s">
        <v>164</v>
      </c>
      <c r="D1113" s="10" t="s">
        <v>165</v>
      </c>
      <c r="E1113" s="11" t="str">
        <f>+HYPERLINK("http://trademark.i-assist.jp/data/china/image_1901th/78937260.pdf", "78937260")</f>
        <v>78937260</v>
      </c>
      <c r="F1113" s="10" t="s">
        <v>3281</v>
      </c>
      <c r="G1113" s="10" t="s">
        <v>3282</v>
      </c>
      <c r="H1113" s="10" t="s">
        <v>3283</v>
      </c>
      <c r="I1113" s="10" t="s">
        <v>3019</v>
      </c>
    </row>
    <row r="1114" spans="1:9" x14ac:dyDescent="0.15">
      <c r="A1114" s="9">
        <v>1113</v>
      </c>
      <c r="B1114" s="10" t="s">
        <v>9</v>
      </c>
      <c r="C1114" s="10" t="s">
        <v>164</v>
      </c>
      <c r="D1114" s="10" t="s">
        <v>165</v>
      </c>
      <c r="E1114" s="11" t="str">
        <f>+HYPERLINK("http://trademark.i-assist.jp/data/china/image_1901th/78937356.pdf", "78937356")</f>
        <v>78937356</v>
      </c>
      <c r="F1114" s="10" t="s">
        <v>3284</v>
      </c>
      <c r="G1114" s="10" t="s">
        <v>3285</v>
      </c>
      <c r="H1114" s="10" t="s">
        <v>3286</v>
      </c>
      <c r="I1114" s="10" t="s">
        <v>3019</v>
      </c>
    </row>
    <row r="1115" spans="1:9" x14ac:dyDescent="0.15">
      <c r="A1115" s="9">
        <v>1114</v>
      </c>
      <c r="B1115" s="10" t="s">
        <v>9</v>
      </c>
      <c r="C1115" s="10" t="s">
        <v>164</v>
      </c>
      <c r="D1115" s="10" t="s">
        <v>165</v>
      </c>
      <c r="E1115" s="11" t="str">
        <f>+HYPERLINK("http://trademark.i-assist.jp/data/china/image_1901th/78937461.pdf", "78937461")</f>
        <v>78937461</v>
      </c>
      <c r="F1115" s="10" t="s">
        <v>3287</v>
      </c>
      <c r="G1115" s="10" t="s">
        <v>3288</v>
      </c>
      <c r="H1115" s="10" t="s">
        <v>3289</v>
      </c>
      <c r="I1115" s="10" t="s">
        <v>3019</v>
      </c>
    </row>
    <row r="1116" spans="1:9" x14ac:dyDescent="0.15">
      <c r="A1116" s="9">
        <v>1115</v>
      </c>
      <c r="B1116" s="10" t="s">
        <v>9</v>
      </c>
      <c r="C1116" s="10" t="s">
        <v>164</v>
      </c>
      <c r="D1116" s="10" t="s">
        <v>165</v>
      </c>
      <c r="E1116" s="11" t="str">
        <f>+HYPERLINK("http://trademark.i-assist.jp/data/china/image_1901th/78937587.pdf", "78937587")</f>
        <v>78937587</v>
      </c>
      <c r="F1116" s="10" t="s">
        <v>3290</v>
      </c>
      <c r="G1116" s="10" t="s">
        <v>3291</v>
      </c>
      <c r="H1116" s="10" t="s">
        <v>3292</v>
      </c>
      <c r="I1116" s="10" t="s">
        <v>3019</v>
      </c>
    </row>
    <row r="1117" spans="1:9" x14ac:dyDescent="0.15">
      <c r="A1117" s="9">
        <v>1116</v>
      </c>
      <c r="B1117" s="10" t="s">
        <v>9</v>
      </c>
      <c r="C1117" s="10" t="s">
        <v>164</v>
      </c>
      <c r="D1117" s="10" t="s">
        <v>165</v>
      </c>
      <c r="E1117" s="11" t="str">
        <f>+HYPERLINK("http://trademark.i-assist.jp/data/china/image_1901th/78937781.pdf", "78937781")</f>
        <v>78937781</v>
      </c>
      <c r="F1117" s="10" t="s">
        <v>3293</v>
      </c>
      <c r="G1117" s="10" t="s">
        <v>3294</v>
      </c>
      <c r="H1117" s="10" t="s">
        <v>3295</v>
      </c>
      <c r="I1117" s="10" t="s">
        <v>3019</v>
      </c>
    </row>
    <row r="1118" spans="1:9" x14ac:dyDescent="0.15">
      <c r="A1118" s="9">
        <v>1117</v>
      </c>
      <c r="B1118" s="10" t="s">
        <v>9</v>
      </c>
      <c r="C1118" s="10" t="s">
        <v>164</v>
      </c>
      <c r="D1118" s="10" t="s">
        <v>165</v>
      </c>
      <c r="E1118" s="11" t="str">
        <f>+HYPERLINK("http://trademark.i-assist.jp/data/china/image_1901th/78937835.pdf", "78937835")</f>
        <v>78937835</v>
      </c>
      <c r="F1118" s="10" t="s">
        <v>3296</v>
      </c>
      <c r="G1118" s="10" t="s">
        <v>3041</v>
      </c>
      <c r="H1118" s="10" t="s">
        <v>3297</v>
      </c>
      <c r="I1118" s="10" t="s">
        <v>3019</v>
      </c>
    </row>
    <row r="1119" spans="1:9" x14ac:dyDescent="0.15">
      <c r="A1119" s="9">
        <v>1118</v>
      </c>
      <c r="B1119" s="10" t="s">
        <v>9</v>
      </c>
      <c r="C1119" s="10" t="s">
        <v>164</v>
      </c>
      <c r="D1119" s="10" t="s">
        <v>165</v>
      </c>
      <c r="E1119" s="11" t="str">
        <f>+HYPERLINK("http://trademark.i-assist.jp/data/china/image_1901th/78937936.pdf", "78937936")</f>
        <v>78937936</v>
      </c>
      <c r="F1119" s="10" t="s">
        <v>3298</v>
      </c>
      <c r="G1119" s="10" t="s">
        <v>3299</v>
      </c>
      <c r="H1119" s="10" t="s">
        <v>3300</v>
      </c>
      <c r="I1119" s="10" t="s">
        <v>3019</v>
      </c>
    </row>
    <row r="1120" spans="1:9" x14ac:dyDescent="0.15">
      <c r="A1120" s="9">
        <v>1119</v>
      </c>
      <c r="B1120" s="10" t="s">
        <v>9</v>
      </c>
      <c r="C1120" s="10" t="s">
        <v>164</v>
      </c>
      <c r="D1120" s="10" t="s">
        <v>165</v>
      </c>
      <c r="E1120" s="11" t="str">
        <f>+HYPERLINK("http://trademark.i-assist.jp/data/china/image_1901th/78938043.pdf", "78938043")</f>
        <v>78938043</v>
      </c>
      <c r="F1120" s="10" t="s">
        <v>3301</v>
      </c>
      <c r="G1120" s="10" t="s">
        <v>3302</v>
      </c>
      <c r="H1120" s="10" t="s">
        <v>3303</v>
      </c>
      <c r="I1120" s="10" t="s">
        <v>3019</v>
      </c>
    </row>
    <row r="1121" spans="1:9" x14ac:dyDescent="0.15">
      <c r="A1121" s="9">
        <v>1120</v>
      </c>
      <c r="B1121" s="10" t="s">
        <v>9</v>
      </c>
      <c r="C1121" s="10" t="s">
        <v>164</v>
      </c>
      <c r="D1121" s="10" t="s">
        <v>165</v>
      </c>
      <c r="E1121" s="11" t="str">
        <f>+HYPERLINK("http://trademark.i-assist.jp/data/china/image_1901th/78938412.pdf", "78938412")</f>
        <v>78938412</v>
      </c>
      <c r="F1121" s="10" t="s">
        <v>3304</v>
      </c>
      <c r="G1121" s="10" t="s">
        <v>3305</v>
      </c>
      <c r="H1121" s="10" t="s">
        <v>3306</v>
      </c>
      <c r="I1121" s="10" t="s">
        <v>3019</v>
      </c>
    </row>
    <row r="1122" spans="1:9" x14ac:dyDescent="0.15">
      <c r="A1122" s="9">
        <v>1121</v>
      </c>
      <c r="B1122" s="10" t="s">
        <v>9</v>
      </c>
      <c r="C1122" s="10" t="s">
        <v>164</v>
      </c>
      <c r="D1122" s="10" t="s">
        <v>165</v>
      </c>
      <c r="E1122" s="11" t="str">
        <f>+HYPERLINK("http://trademark.i-assist.jp/data/china/image_1901th/78938531.pdf", "78938531")</f>
        <v>78938531</v>
      </c>
      <c r="F1122" s="10" t="s">
        <v>3307</v>
      </c>
      <c r="G1122" s="10" t="s">
        <v>3078</v>
      </c>
      <c r="H1122" s="10" t="s">
        <v>3308</v>
      </c>
      <c r="I1122" s="10" t="s">
        <v>3019</v>
      </c>
    </row>
    <row r="1123" spans="1:9" x14ac:dyDescent="0.15">
      <c r="A1123" s="9">
        <v>1122</v>
      </c>
      <c r="B1123" s="10" t="s">
        <v>9</v>
      </c>
      <c r="C1123" s="10" t="s">
        <v>164</v>
      </c>
      <c r="D1123" s="10" t="s">
        <v>165</v>
      </c>
      <c r="E1123" s="11" t="str">
        <f>+HYPERLINK("http://trademark.i-assist.jp/data/china/image_1901th/78938547.pdf", "78938547")</f>
        <v>78938547</v>
      </c>
      <c r="F1123" s="10" t="s">
        <v>3309</v>
      </c>
      <c r="G1123" s="10" t="s">
        <v>3078</v>
      </c>
      <c r="H1123" s="10" t="s">
        <v>3310</v>
      </c>
      <c r="I1123" s="10" t="s">
        <v>3019</v>
      </c>
    </row>
    <row r="1124" spans="1:9" x14ac:dyDescent="0.15">
      <c r="A1124" s="9">
        <v>1123</v>
      </c>
      <c r="B1124" s="10" t="s">
        <v>9</v>
      </c>
      <c r="C1124" s="10" t="s">
        <v>164</v>
      </c>
      <c r="D1124" s="10" t="s">
        <v>165</v>
      </c>
      <c r="E1124" s="11" t="str">
        <f>+HYPERLINK("http://trademark.i-assist.jp/data/china/image_1901th/78938749.pdf", "78938749")</f>
        <v>78938749</v>
      </c>
      <c r="F1124" s="10" t="s">
        <v>12</v>
      </c>
      <c r="G1124" s="10" t="s">
        <v>3311</v>
      </c>
      <c r="H1124" s="10" t="s">
        <v>3312</v>
      </c>
      <c r="I1124" s="10" t="s">
        <v>3019</v>
      </c>
    </row>
    <row r="1125" spans="1:9" x14ac:dyDescent="0.15">
      <c r="A1125" s="9">
        <v>1124</v>
      </c>
      <c r="B1125" s="10" t="s">
        <v>9</v>
      </c>
      <c r="C1125" s="10" t="s">
        <v>164</v>
      </c>
      <c r="D1125" s="10" t="s">
        <v>165</v>
      </c>
      <c r="E1125" s="11" t="str">
        <f>+HYPERLINK("http://trademark.i-assist.jp/data/china/image_1901th/78938768.pdf", "78938768")</f>
        <v>78938768</v>
      </c>
      <c r="F1125" s="10" t="s">
        <v>3313</v>
      </c>
      <c r="G1125" s="10" t="s">
        <v>3314</v>
      </c>
      <c r="H1125" s="10" t="s">
        <v>3315</v>
      </c>
      <c r="I1125" s="10" t="s">
        <v>3019</v>
      </c>
    </row>
    <row r="1126" spans="1:9" x14ac:dyDescent="0.15">
      <c r="A1126" s="9">
        <v>1125</v>
      </c>
      <c r="B1126" s="10" t="s">
        <v>9</v>
      </c>
      <c r="C1126" s="10" t="s">
        <v>164</v>
      </c>
      <c r="D1126" s="10" t="s">
        <v>165</v>
      </c>
      <c r="E1126" s="11" t="str">
        <f>+HYPERLINK("http://trademark.i-assist.jp/data/china/image_1901th/78938815.pdf", "78938815")</f>
        <v>78938815</v>
      </c>
      <c r="F1126" s="10" t="s">
        <v>3316</v>
      </c>
      <c r="G1126" s="10" t="s">
        <v>3317</v>
      </c>
      <c r="H1126" s="10" t="s">
        <v>3318</v>
      </c>
      <c r="I1126" s="10" t="s">
        <v>3019</v>
      </c>
    </row>
    <row r="1127" spans="1:9" x14ac:dyDescent="0.15">
      <c r="A1127" s="9">
        <v>1126</v>
      </c>
      <c r="B1127" s="10" t="s">
        <v>9</v>
      </c>
      <c r="C1127" s="10" t="s">
        <v>164</v>
      </c>
      <c r="D1127" s="10" t="s">
        <v>165</v>
      </c>
      <c r="E1127" s="11" t="str">
        <f>+HYPERLINK("http://trademark.i-assist.jp/data/china/image_1901th/78938821.pdf", "78938821")</f>
        <v>78938821</v>
      </c>
      <c r="F1127" s="10" t="s">
        <v>3319</v>
      </c>
      <c r="G1127" s="10" t="s">
        <v>3320</v>
      </c>
      <c r="H1127" s="10" t="s">
        <v>3321</v>
      </c>
      <c r="I1127" s="10" t="s">
        <v>3019</v>
      </c>
    </row>
    <row r="1128" spans="1:9" x14ac:dyDescent="0.15">
      <c r="A1128" s="9">
        <v>1127</v>
      </c>
      <c r="B1128" s="10" t="s">
        <v>9</v>
      </c>
      <c r="C1128" s="10" t="s">
        <v>164</v>
      </c>
      <c r="D1128" s="10" t="s">
        <v>165</v>
      </c>
      <c r="E1128" s="11" t="str">
        <f>+HYPERLINK("http://trademark.i-assist.jp/data/china/image_1901th/78939006.pdf", "78939006")</f>
        <v>78939006</v>
      </c>
      <c r="F1128" s="10" t="s">
        <v>3322</v>
      </c>
      <c r="G1128" s="10" t="s">
        <v>3323</v>
      </c>
      <c r="H1128" s="10" t="s">
        <v>3324</v>
      </c>
      <c r="I1128" s="10" t="s">
        <v>3019</v>
      </c>
    </row>
    <row r="1129" spans="1:9" x14ac:dyDescent="0.15">
      <c r="A1129" s="9">
        <v>1128</v>
      </c>
      <c r="B1129" s="10" t="s">
        <v>9</v>
      </c>
      <c r="C1129" s="10" t="s">
        <v>164</v>
      </c>
      <c r="D1129" s="10" t="s">
        <v>165</v>
      </c>
      <c r="E1129" s="11" t="str">
        <f>+HYPERLINK("http://trademark.i-assist.jp/data/china/image_1901th/78939069.pdf", "78939069")</f>
        <v>78939069</v>
      </c>
      <c r="F1129" s="10" t="s">
        <v>3325</v>
      </c>
      <c r="G1129" s="10" t="s">
        <v>3326</v>
      </c>
      <c r="H1129" s="10" t="s">
        <v>3327</v>
      </c>
      <c r="I1129" s="10" t="s">
        <v>3019</v>
      </c>
    </row>
    <row r="1130" spans="1:9" x14ac:dyDescent="0.15">
      <c r="A1130" s="9">
        <v>1129</v>
      </c>
      <c r="B1130" s="10" t="s">
        <v>9</v>
      </c>
      <c r="C1130" s="10" t="s">
        <v>164</v>
      </c>
      <c r="D1130" s="10" t="s">
        <v>165</v>
      </c>
      <c r="E1130" s="11" t="str">
        <f>+HYPERLINK("http://trademark.i-assist.jp/data/china/image_1901th/78939242.pdf", "78939242")</f>
        <v>78939242</v>
      </c>
      <c r="F1130" s="10" t="s">
        <v>3328</v>
      </c>
      <c r="G1130" s="10" t="s">
        <v>3329</v>
      </c>
      <c r="H1130" s="10" t="s">
        <v>3330</v>
      </c>
      <c r="I1130" s="10" t="s">
        <v>3019</v>
      </c>
    </row>
    <row r="1131" spans="1:9" x14ac:dyDescent="0.15">
      <c r="A1131" s="9">
        <v>1130</v>
      </c>
      <c r="B1131" s="10" t="s">
        <v>9</v>
      </c>
      <c r="C1131" s="10" t="s">
        <v>164</v>
      </c>
      <c r="D1131" s="10" t="s">
        <v>165</v>
      </c>
      <c r="E1131" s="11" t="str">
        <f>+HYPERLINK("http://trademark.i-assist.jp/data/china/image_1901th/78939509.pdf", "78939509")</f>
        <v>78939509</v>
      </c>
      <c r="F1131" s="10" t="s">
        <v>3331</v>
      </c>
      <c r="G1131" s="10" t="s">
        <v>3332</v>
      </c>
      <c r="H1131" s="10" t="s">
        <v>3333</v>
      </c>
      <c r="I1131" s="10" t="s">
        <v>3019</v>
      </c>
    </row>
    <row r="1132" spans="1:9" x14ac:dyDescent="0.15">
      <c r="A1132" s="9">
        <v>1131</v>
      </c>
      <c r="B1132" s="10" t="s">
        <v>9</v>
      </c>
      <c r="C1132" s="10" t="s">
        <v>164</v>
      </c>
      <c r="D1132" s="10" t="s">
        <v>165</v>
      </c>
      <c r="E1132" s="11" t="str">
        <f>+HYPERLINK("http://trademark.i-assist.jp/data/china/image_1901th/78939620.pdf", "78939620")</f>
        <v>78939620</v>
      </c>
      <c r="F1132" s="10" t="s">
        <v>3334</v>
      </c>
      <c r="G1132" s="10" t="s">
        <v>3335</v>
      </c>
      <c r="H1132" s="10" t="s">
        <v>3336</v>
      </c>
      <c r="I1132" s="10" t="s">
        <v>3019</v>
      </c>
    </row>
    <row r="1133" spans="1:9" x14ac:dyDescent="0.15">
      <c r="A1133" s="9">
        <v>1132</v>
      </c>
      <c r="B1133" s="10" t="s">
        <v>9</v>
      </c>
      <c r="C1133" s="10" t="s">
        <v>164</v>
      </c>
      <c r="D1133" s="10" t="s">
        <v>165</v>
      </c>
      <c r="E1133" s="11" t="str">
        <f>+HYPERLINK("http://trademark.i-assist.jp/data/china/image_1901th/78939635.pdf", "78939635")</f>
        <v>78939635</v>
      </c>
      <c r="F1133" s="10" t="s">
        <v>3337</v>
      </c>
      <c r="G1133" s="10" t="s">
        <v>3024</v>
      </c>
      <c r="H1133" s="10" t="s">
        <v>3338</v>
      </c>
      <c r="I1133" s="10" t="s">
        <v>3019</v>
      </c>
    </row>
    <row r="1134" spans="1:9" x14ac:dyDescent="0.15">
      <c r="A1134" s="9">
        <v>1133</v>
      </c>
      <c r="B1134" s="10" t="s">
        <v>9</v>
      </c>
      <c r="C1134" s="10" t="s">
        <v>164</v>
      </c>
      <c r="D1134" s="10" t="s">
        <v>165</v>
      </c>
      <c r="E1134" s="11" t="str">
        <f>+HYPERLINK("http://trademark.i-assist.jp/data/china/image_1901th/78940453.pdf", "78940453")</f>
        <v>78940453</v>
      </c>
      <c r="F1134" s="10" t="s">
        <v>3339</v>
      </c>
      <c r="G1134" s="10" t="s">
        <v>3340</v>
      </c>
      <c r="H1134" s="10" t="s">
        <v>3341</v>
      </c>
      <c r="I1134" s="10" t="s">
        <v>3019</v>
      </c>
    </row>
    <row r="1135" spans="1:9" x14ac:dyDescent="0.15">
      <c r="A1135" s="9">
        <v>1134</v>
      </c>
      <c r="B1135" s="10" t="s">
        <v>9</v>
      </c>
      <c r="C1135" s="10" t="s">
        <v>164</v>
      </c>
      <c r="D1135" s="10" t="s">
        <v>165</v>
      </c>
      <c r="E1135" s="11" t="str">
        <f>+HYPERLINK("http://trademark.i-assist.jp/data/china/image_1901th/78940537.pdf", "78940537")</f>
        <v>78940537</v>
      </c>
      <c r="F1135" s="10" t="s">
        <v>3342</v>
      </c>
      <c r="G1135" s="10" t="s">
        <v>3343</v>
      </c>
      <c r="H1135" s="10" t="s">
        <v>3344</v>
      </c>
      <c r="I1135" s="10" t="s">
        <v>3019</v>
      </c>
    </row>
    <row r="1136" spans="1:9" x14ac:dyDescent="0.15">
      <c r="A1136" s="9">
        <v>1135</v>
      </c>
      <c r="B1136" s="10" t="s">
        <v>9</v>
      </c>
      <c r="C1136" s="10" t="s">
        <v>164</v>
      </c>
      <c r="D1136" s="10" t="s">
        <v>165</v>
      </c>
      <c r="E1136" s="11" t="str">
        <f>+HYPERLINK("http://trademark.i-assist.jp/data/china/image_1901th/78940581.pdf", "78940581")</f>
        <v>78940581</v>
      </c>
      <c r="F1136" s="10" t="s">
        <v>3345</v>
      </c>
      <c r="G1136" s="10" t="s">
        <v>3346</v>
      </c>
      <c r="H1136" s="10" t="s">
        <v>3347</v>
      </c>
      <c r="I1136" s="10" t="s">
        <v>3019</v>
      </c>
    </row>
    <row r="1137" spans="1:9" x14ac:dyDescent="0.15">
      <c r="A1137" s="9">
        <v>1136</v>
      </c>
      <c r="B1137" s="10" t="s">
        <v>9</v>
      </c>
      <c r="C1137" s="10" t="s">
        <v>164</v>
      </c>
      <c r="D1137" s="10" t="s">
        <v>165</v>
      </c>
      <c r="E1137" s="11" t="str">
        <f>+HYPERLINK("http://trademark.i-assist.jp/data/china/image_1901th/78940588.pdf", "78940588")</f>
        <v>78940588</v>
      </c>
      <c r="F1137" s="10" t="s">
        <v>3348</v>
      </c>
      <c r="G1137" s="10" t="s">
        <v>3051</v>
      </c>
      <c r="H1137" s="10" t="s">
        <v>3349</v>
      </c>
      <c r="I1137" s="10" t="s">
        <v>3019</v>
      </c>
    </row>
    <row r="1138" spans="1:9" x14ac:dyDescent="0.15">
      <c r="A1138" s="9">
        <v>1137</v>
      </c>
      <c r="B1138" s="10" t="s">
        <v>9</v>
      </c>
      <c r="C1138" s="10" t="s">
        <v>164</v>
      </c>
      <c r="D1138" s="10" t="s">
        <v>165</v>
      </c>
      <c r="E1138" s="11" t="str">
        <f>+HYPERLINK("http://trademark.i-assist.jp/data/china/image_1901th/78940660.pdf", "78940660")</f>
        <v>78940660</v>
      </c>
      <c r="F1138" s="10" t="s">
        <v>3350</v>
      </c>
      <c r="G1138" s="10" t="s">
        <v>3351</v>
      </c>
      <c r="H1138" s="10" t="s">
        <v>3352</v>
      </c>
      <c r="I1138" s="10" t="s">
        <v>3019</v>
      </c>
    </row>
    <row r="1139" spans="1:9" x14ac:dyDescent="0.15">
      <c r="A1139" s="9">
        <v>1138</v>
      </c>
      <c r="B1139" s="10" t="s">
        <v>9</v>
      </c>
      <c r="C1139" s="10" t="s">
        <v>164</v>
      </c>
      <c r="D1139" s="10" t="s">
        <v>165</v>
      </c>
      <c r="E1139" s="11" t="str">
        <f>+HYPERLINK("http://trademark.i-assist.jp/data/china/image_1901th/78940689.pdf", "78940689")</f>
        <v>78940689</v>
      </c>
      <c r="F1139" s="10" t="s">
        <v>3353</v>
      </c>
      <c r="G1139" s="10" t="s">
        <v>527</v>
      </c>
      <c r="H1139" s="10" t="s">
        <v>3354</v>
      </c>
      <c r="I1139" s="10" t="s">
        <v>3019</v>
      </c>
    </row>
    <row r="1140" spans="1:9" x14ac:dyDescent="0.15">
      <c r="A1140" s="9">
        <v>1139</v>
      </c>
      <c r="B1140" s="10" t="s">
        <v>9</v>
      </c>
      <c r="C1140" s="10" t="s">
        <v>164</v>
      </c>
      <c r="D1140" s="10" t="s">
        <v>165</v>
      </c>
      <c r="E1140" s="11" t="str">
        <f>+HYPERLINK("http://trademark.i-assist.jp/data/china/image_1901th/78940827.pdf", "78940827")</f>
        <v>78940827</v>
      </c>
      <c r="F1140" s="10" t="s">
        <v>3355</v>
      </c>
      <c r="G1140" s="10" t="s">
        <v>3356</v>
      </c>
      <c r="H1140" s="10" t="s">
        <v>3357</v>
      </c>
      <c r="I1140" s="10" t="s">
        <v>3019</v>
      </c>
    </row>
    <row r="1141" spans="1:9" x14ac:dyDescent="0.15">
      <c r="A1141" s="9">
        <v>1140</v>
      </c>
      <c r="B1141" s="10" t="s">
        <v>9</v>
      </c>
      <c r="C1141" s="10" t="s">
        <v>164</v>
      </c>
      <c r="D1141" s="10" t="s">
        <v>165</v>
      </c>
      <c r="E1141" s="11" t="str">
        <f>+HYPERLINK("http://trademark.i-assist.jp/data/china/image_1901th/78940956.pdf", "78940956")</f>
        <v>78940956</v>
      </c>
      <c r="F1141" s="10" t="s">
        <v>3358</v>
      </c>
      <c r="G1141" s="10" t="s">
        <v>3051</v>
      </c>
      <c r="H1141" s="10" t="s">
        <v>3359</v>
      </c>
      <c r="I1141" s="10" t="s">
        <v>3019</v>
      </c>
    </row>
    <row r="1142" spans="1:9" x14ac:dyDescent="0.15">
      <c r="A1142" s="9">
        <v>1141</v>
      </c>
      <c r="B1142" s="10" t="s">
        <v>9</v>
      </c>
      <c r="C1142" s="10" t="s">
        <v>164</v>
      </c>
      <c r="D1142" s="10" t="s">
        <v>165</v>
      </c>
      <c r="E1142" s="11" t="str">
        <f>+HYPERLINK("http://trademark.i-assist.jp/data/china/image_1901th/78940983.pdf", "78940983")</f>
        <v>78940983</v>
      </c>
      <c r="F1142" s="10" t="s">
        <v>3360</v>
      </c>
      <c r="G1142" s="10" t="s">
        <v>3361</v>
      </c>
      <c r="H1142" s="10" t="s">
        <v>3362</v>
      </c>
      <c r="I1142" s="10" t="s">
        <v>3019</v>
      </c>
    </row>
    <row r="1143" spans="1:9" x14ac:dyDescent="0.15">
      <c r="A1143" s="9">
        <v>1142</v>
      </c>
      <c r="B1143" s="10" t="s">
        <v>9</v>
      </c>
      <c r="C1143" s="10" t="s">
        <v>164</v>
      </c>
      <c r="D1143" s="10" t="s">
        <v>165</v>
      </c>
      <c r="E1143" s="11" t="str">
        <f>+HYPERLINK("http://trademark.i-assist.jp/data/china/image_1901th/78941000.pdf", "78941000")</f>
        <v>78941000</v>
      </c>
      <c r="F1143" s="10" t="s">
        <v>3363</v>
      </c>
      <c r="G1143" s="10" t="s">
        <v>3364</v>
      </c>
      <c r="H1143" s="10" t="s">
        <v>3365</v>
      </c>
      <c r="I1143" s="10" t="s">
        <v>3019</v>
      </c>
    </row>
    <row r="1144" spans="1:9" x14ac:dyDescent="0.15">
      <c r="A1144" s="9">
        <v>1143</v>
      </c>
      <c r="B1144" s="10" t="s">
        <v>9</v>
      </c>
      <c r="C1144" s="10" t="s">
        <v>164</v>
      </c>
      <c r="D1144" s="10" t="s">
        <v>165</v>
      </c>
      <c r="E1144" s="11" t="str">
        <f>+HYPERLINK("http://trademark.i-assist.jp/data/china/image_1901th/78941022.pdf", "78941022")</f>
        <v>78941022</v>
      </c>
      <c r="F1144" s="10" t="s">
        <v>3366</v>
      </c>
      <c r="G1144" s="10" t="s">
        <v>3367</v>
      </c>
      <c r="H1144" s="10" t="s">
        <v>3368</v>
      </c>
      <c r="I1144" s="10" t="s">
        <v>3019</v>
      </c>
    </row>
    <row r="1145" spans="1:9" x14ac:dyDescent="0.15">
      <c r="A1145" s="9">
        <v>1144</v>
      </c>
      <c r="B1145" s="10" t="s">
        <v>9</v>
      </c>
      <c r="C1145" s="10" t="s">
        <v>164</v>
      </c>
      <c r="D1145" s="10" t="s">
        <v>165</v>
      </c>
      <c r="E1145" s="11" t="str">
        <f>+HYPERLINK("http://trademark.i-assist.jp/data/china/image_1901th/78941080.pdf", "78941080")</f>
        <v>78941080</v>
      </c>
      <c r="F1145" s="10" t="s">
        <v>3369</v>
      </c>
      <c r="G1145" s="10" t="s">
        <v>527</v>
      </c>
      <c r="H1145" s="10" t="s">
        <v>3370</v>
      </c>
      <c r="I1145" s="10" t="s">
        <v>3019</v>
      </c>
    </row>
    <row r="1146" spans="1:9" x14ac:dyDescent="0.15">
      <c r="A1146" s="9">
        <v>1145</v>
      </c>
      <c r="B1146" s="10" t="s">
        <v>9</v>
      </c>
      <c r="C1146" s="10" t="s">
        <v>164</v>
      </c>
      <c r="D1146" s="10" t="s">
        <v>165</v>
      </c>
      <c r="E1146" s="11" t="str">
        <f>+HYPERLINK("http://trademark.i-assist.jp/data/china/image_1901th/78941158.pdf", "78941158")</f>
        <v>78941158</v>
      </c>
      <c r="F1146" s="10" t="s">
        <v>3371</v>
      </c>
      <c r="G1146" s="10" t="s">
        <v>3024</v>
      </c>
      <c r="H1146" s="10" t="s">
        <v>3372</v>
      </c>
      <c r="I1146" s="10" t="s">
        <v>3019</v>
      </c>
    </row>
    <row r="1147" spans="1:9" x14ac:dyDescent="0.15">
      <c r="A1147" s="9">
        <v>1146</v>
      </c>
      <c r="B1147" s="10" t="s">
        <v>9</v>
      </c>
      <c r="C1147" s="10" t="s">
        <v>164</v>
      </c>
      <c r="D1147" s="10" t="s">
        <v>165</v>
      </c>
      <c r="E1147" s="11" t="str">
        <f>+HYPERLINK("http://trademark.i-assist.jp/data/china/image_1901th/78941275.pdf", "78941275")</f>
        <v>78941275</v>
      </c>
      <c r="F1147" s="10" t="s">
        <v>3373</v>
      </c>
      <c r="G1147" s="10" t="s">
        <v>3374</v>
      </c>
      <c r="H1147" s="10" t="s">
        <v>3375</v>
      </c>
      <c r="I1147" s="10" t="s">
        <v>3019</v>
      </c>
    </row>
    <row r="1148" spans="1:9" x14ac:dyDescent="0.15">
      <c r="A1148" s="9">
        <v>1147</v>
      </c>
      <c r="B1148" s="10" t="s">
        <v>9</v>
      </c>
      <c r="C1148" s="10" t="s">
        <v>164</v>
      </c>
      <c r="D1148" s="10" t="s">
        <v>165</v>
      </c>
      <c r="E1148" s="11" t="str">
        <f>+HYPERLINK("http://trademark.i-assist.jp/data/china/image_1901th/78941692.pdf", "78941692")</f>
        <v>78941692</v>
      </c>
      <c r="F1148" s="10" t="s">
        <v>3376</v>
      </c>
      <c r="G1148" s="10" t="s">
        <v>3377</v>
      </c>
      <c r="H1148" s="10" t="s">
        <v>3378</v>
      </c>
      <c r="I1148" s="10" t="s">
        <v>3019</v>
      </c>
    </row>
    <row r="1149" spans="1:9" x14ac:dyDescent="0.15">
      <c r="A1149" s="9">
        <v>1148</v>
      </c>
      <c r="B1149" s="10" t="s">
        <v>9</v>
      </c>
      <c r="C1149" s="10" t="s">
        <v>164</v>
      </c>
      <c r="D1149" s="10" t="s">
        <v>165</v>
      </c>
      <c r="E1149" s="11" t="str">
        <f>+HYPERLINK("http://trademark.i-assist.jp/data/china/image_1901th/78942514.pdf", "78942514")</f>
        <v>78942514</v>
      </c>
      <c r="F1149" s="10" t="s">
        <v>3379</v>
      </c>
      <c r="G1149" s="10" t="s">
        <v>3380</v>
      </c>
      <c r="H1149" s="10" t="s">
        <v>3381</v>
      </c>
      <c r="I1149" s="10" t="s">
        <v>3019</v>
      </c>
    </row>
    <row r="1150" spans="1:9" x14ac:dyDescent="0.15">
      <c r="A1150" s="9">
        <v>1149</v>
      </c>
      <c r="B1150" s="10" t="s">
        <v>9</v>
      </c>
      <c r="C1150" s="10" t="s">
        <v>164</v>
      </c>
      <c r="D1150" s="10" t="s">
        <v>165</v>
      </c>
      <c r="E1150" s="11" t="str">
        <f>+HYPERLINK("http://trademark.i-assist.jp/data/china/image_1901th/78942604.pdf", "78942604")</f>
        <v>78942604</v>
      </c>
      <c r="F1150" s="10" t="s">
        <v>3382</v>
      </c>
      <c r="G1150" s="10" t="s">
        <v>3383</v>
      </c>
      <c r="H1150" s="10" t="s">
        <v>3384</v>
      </c>
      <c r="I1150" s="10" t="s">
        <v>3019</v>
      </c>
    </row>
    <row r="1151" spans="1:9" x14ac:dyDescent="0.15">
      <c r="A1151" s="9">
        <v>1150</v>
      </c>
      <c r="B1151" s="10" t="s">
        <v>9</v>
      </c>
      <c r="C1151" s="10" t="s">
        <v>164</v>
      </c>
      <c r="D1151" s="10" t="s">
        <v>165</v>
      </c>
      <c r="E1151" s="11" t="str">
        <f>+HYPERLINK("http://trademark.i-assist.jp/data/china/image_1901th/78942669.pdf", "78942669")</f>
        <v>78942669</v>
      </c>
      <c r="F1151" s="10" t="s">
        <v>3385</v>
      </c>
      <c r="G1151" s="10" t="s">
        <v>3386</v>
      </c>
      <c r="H1151" s="10" t="s">
        <v>3387</v>
      </c>
      <c r="I1151" s="10" t="s">
        <v>3019</v>
      </c>
    </row>
    <row r="1152" spans="1:9" x14ac:dyDescent="0.15">
      <c r="A1152" s="9">
        <v>1151</v>
      </c>
      <c r="B1152" s="10" t="s">
        <v>9</v>
      </c>
      <c r="C1152" s="10" t="s">
        <v>164</v>
      </c>
      <c r="D1152" s="10" t="s">
        <v>165</v>
      </c>
      <c r="E1152" s="11" t="str">
        <f>+HYPERLINK("http://trademark.i-assist.jp/data/china/image_1901th/78942788.pdf", "78942788")</f>
        <v>78942788</v>
      </c>
      <c r="F1152" s="10" t="s">
        <v>3388</v>
      </c>
      <c r="G1152" s="10" t="s">
        <v>3389</v>
      </c>
      <c r="H1152" s="10" t="s">
        <v>3390</v>
      </c>
      <c r="I1152" s="10" t="s">
        <v>3019</v>
      </c>
    </row>
    <row r="1153" spans="1:9" x14ac:dyDescent="0.15">
      <c r="A1153" s="9">
        <v>1152</v>
      </c>
      <c r="B1153" s="10" t="s">
        <v>9</v>
      </c>
      <c r="C1153" s="10" t="s">
        <v>164</v>
      </c>
      <c r="D1153" s="10" t="s">
        <v>165</v>
      </c>
      <c r="E1153" s="11" t="str">
        <f>+HYPERLINK("http://trademark.i-assist.jp/data/china/image_1901th/78942901.pdf", "78942901")</f>
        <v>78942901</v>
      </c>
      <c r="F1153" s="10" t="s">
        <v>3391</v>
      </c>
      <c r="G1153" s="10" t="s">
        <v>3392</v>
      </c>
      <c r="H1153" s="10" t="s">
        <v>3393</v>
      </c>
      <c r="I1153" s="10" t="s">
        <v>3019</v>
      </c>
    </row>
    <row r="1154" spans="1:9" x14ac:dyDescent="0.15">
      <c r="A1154" s="9">
        <v>1153</v>
      </c>
      <c r="B1154" s="10" t="s">
        <v>9</v>
      </c>
      <c r="C1154" s="10" t="s">
        <v>164</v>
      </c>
      <c r="D1154" s="10" t="s">
        <v>165</v>
      </c>
      <c r="E1154" s="11" t="str">
        <f>+HYPERLINK("http://trademark.i-assist.jp/data/china/image_1901th/78942911.pdf", "78942911")</f>
        <v>78942911</v>
      </c>
      <c r="F1154" s="10" t="s">
        <v>3394</v>
      </c>
      <c r="G1154" s="10" t="s">
        <v>3395</v>
      </c>
      <c r="H1154" s="10" t="s">
        <v>3396</v>
      </c>
      <c r="I1154" s="10" t="s">
        <v>3019</v>
      </c>
    </row>
    <row r="1155" spans="1:9" x14ac:dyDescent="0.15">
      <c r="A1155" s="9">
        <v>1154</v>
      </c>
      <c r="B1155" s="10" t="s">
        <v>9</v>
      </c>
      <c r="C1155" s="10" t="s">
        <v>164</v>
      </c>
      <c r="D1155" s="10" t="s">
        <v>165</v>
      </c>
      <c r="E1155" s="11" t="str">
        <f>+HYPERLINK("http://trademark.i-assist.jp/data/china/image_1901th/78942921.pdf", "78942921")</f>
        <v>78942921</v>
      </c>
      <c r="F1155" s="10" t="s">
        <v>3397</v>
      </c>
      <c r="G1155" s="10" t="s">
        <v>3157</v>
      </c>
      <c r="H1155" s="10" t="s">
        <v>3398</v>
      </c>
      <c r="I1155" s="10" t="s">
        <v>3019</v>
      </c>
    </row>
    <row r="1156" spans="1:9" x14ac:dyDescent="0.15">
      <c r="A1156" s="9">
        <v>1155</v>
      </c>
      <c r="B1156" s="10" t="s">
        <v>9</v>
      </c>
      <c r="C1156" s="10" t="s">
        <v>164</v>
      </c>
      <c r="D1156" s="10" t="s">
        <v>165</v>
      </c>
      <c r="E1156" s="11" t="str">
        <f>+HYPERLINK("http://trademark.i-assist.jp/data/china/image_1901th/78943091.pdf", "78943091")</f>
        <v>78943091</v>
      </c>
      <c r="F1156" s="10" t="s">
        <v>3399</v>
      </c>
      <c r="G1156" s="10" t="s">
        <v>3400</v>
      </c>
      <c r="H1156" s="10" t="s">
        <v>3401</v>
      </c>
      <c r="I1156" s="10" t="s">
        <v>3019</v>
      </c>
    </row>
    <row r="1157" spans="1:9" x14ac:dyDescent="0.15">
      <c r="A1157" s="9">
        <v>1156</v>
      </c>
      <c r="B1157" s="10" t="s">
        <v>9</v>
      </c>
      <c r="C1157" s="10" t="s">
        <v>164</v>
      </c>
      <c r="D1157" s="10" t="s">
        <v>165</v>
      </c>
      <c r="E1157" s="11" t="str">
        <f>+HYPERLINK("http://trademark.i-assist.jp/data/china/image_1901th/78943200.pdf", "78943200")</f>
        <v>78943200</v>
      </c>
      <c r="F1157" s="10" t="s">
        <v>3402</v>
      </c>
      <c r="G1157" s="10" t="s">
        <v>3403</v>
      </c>
      <c r="H1157" s="10" t="s">
        <v>3404</v>
      </c>
      <c r="I1157" s="10" t="s">
        <v>3019</v>
      </c>
    </row>
    <row r="1158" spans="1:9" x14ac:dyDescent="0.15">
      <c r="A1158" s="9">
        <v>1157</v>
      </c>
      <c r="B1158" s="10" t="s">
        <v>9</v>
      </c>
      <c r="C1158" s="10" t="s">
        <v>164</v>
      </c>
      <c r="D1158" s="10" t="s">
        <v>165</v>
      </c>
      <c r="E1158" s="11" t="str">
        <f>+HYPERLINK("http://trademark.i-assist.jp/data/china/image_1901th/78943312.pdf", "78943312")</f>
        <v>78943312</v>
      </c>
      <c r="F1158" s="10" t="s">
        <v>3405</v>
      </c>
      <c r="G1158" s="10" t="s">
        <v>3163</v>
      </c>
      <c r="H1158" s="10" t="s">
        <v>3406</v>
      </c>
      <c r="I1158" s="10" t="s">
        <v>3019</v>
      </c>
    </row>
    <row r="1159" spans="1:9" x14ac:dyDescent="0.15">
      <c r="A1159" s="9">
        <v>1158</v>
      </c>
      <c r="B1159" s="10" t="s">
        <v>9</v>
      </c>
      <c r="C1159" s="10" t="s">
        <v>164</v>
      </c>
      <c r="D1159" s="10" t="s">
        <v>165</v>
      </c>
      <c r="E1159" s="11" t="str">
        <f>+HYPERLINK("http://trademark.i-assist.jp/data/china/image_1901th/78943580.pdf", "78943580")</f>
        <v>78943580</v>
      </c>
      <c r="F1159" s="10" t="s">
        <v>3407</v>
      </c>
      <c r="G1159" s="10" t="s">
        <v>3408</v>
      </c>
      <c r="H1159" s="10" t="s">
        <v>3409</v>
      </c>
      <c r="I1159" s="10" t="s">
        <v>3019</v>
      </c>
    </row>
    <row r="1160" spans="1:9" x14ac:dyDescent="0.15">
      <c r="A1160" s="9">
        <v>1159</v>
      </c>
      <c r="B1160" s="10" t="s">
        <v>9</v>
      </c>
      <c r="C1160" s="10" t="s">
        <v>164</v>
      </c>
      <c r="D1160" s="10" t="s">
        <v>165</v>
      </c>
      <c r="E1160" s="11" t="str">
        <f>+HYPERLINK("http://trademark.i-assist.jp/data/china/image_1901th/78943605.pdf", "78943605")</f>
        <v>78943605</v>
      </c>
      <c r="F1160" s="10" t="s">
        <v>3410</v>
      </c>
      <c r="G1160" s="10" t="s">
        <v>3411</v>
      </c>
      <c r="H1160" s="10" t="s">
        <v>3412</v>
      </c>
      <c r="I1160" s="10" t="s">
        <v>3019</v>
      </c>
    </row>
    <row r="1161" spans="1:9" x14ac:dyDescent="0.15">
      <c r="A1161" s="9">
        <v>1160</v>
      </c>
      <c r="B1161" s="10" t="s">
        <v>9</v>
      </c>
      <c r="C1161" s="10" t="s">
        <v>164</v>
      </c>
      <c r="D1161" s="10" t="s">
        <v>165</v>
      </c>
      <c r="E1161" s="11" t="str">
        <f>+HYPERLINK("http://trademark.i-assist.jp/data/china/image_1901th/78943637.pdf", "78943637")</f>
        <v>78943637</v>
      </c>
      <c r="F1161" s="10" t="s">
        <v>3413</v>
      </c>
      <c r="G1161" s="10" t="s">
        <v>3051</v>
      </c>
      <c r="H1161" s="10" t="s">
        <v>3414</v>
      </c>
      <c r="I1161" s="10" t="s">
        <v>3019</v>
      </c>
    </row>
    <row r="1162" spans="1:9" x14ac:dyDescent="0.15">
      <c r="A1162" s="9">
        <v>1161</v>
      </c>
      <c r="B1162" s="10" t="s">
        <v>9</v>
      </c>
      <c r="C1162" s="10" t="s">
        <v>164</v>
      </c>
      <c r="D1162" s="10" t="s">
        <v>165</v>
      </c>
      <c r="E1162" s="11" t="str">
        <f>+HYPERLINK("http://trademark.i-assist.jp/data/china/image_1901th/78943702.pdf", "78943702")</f>
        <v>78943702</v>
      </c>
      <c r="F1162" s="10" t="s">
        <v>3415</v>
      </c>
      <c r="G1162" s="10" t="s">
        <v>3416</v>
      </c>
      <c r="H1162" s="10" t="s">
        <v>3417</v>
      </c>
      <c r="I1162" s="10" t="s">
        <v>3019</v>
      </c>
    </row>
    <row r="1163" spans="1:9" x14ac:dyDescent="0.15">
      <c r="A1163" s="9">
        <v>1162</v>
      </c>
      <c r="B1163" s="10" t="s">
        <v>9</v>
      </c>
      <c r="C1163" s="10" t="s">
        <v>164</v>
      </c>
      <c r="D1163" s="10" t="s">
        <v>165</v>
      </c>
      <c r="E1163" s="11" t="str">
        <f>+HYPERLINK("http://trademark.i-assist.jp/data/china/image_1901th/78943790.pdf", "78943790")</f>
        <v>78943790</v>
      </c>
      <c r="F1163" s="10" t="s">
        <v>3418</v>
      </c>
      <c r="G1163" s="10" t="s">
        <v>3419</v>
      </c>
      <c r="H1163" s="10" t="s">
        <v>3420</v>
      </c>
      <c r="I1163" s="10" t="s">
        <v>3019</v>
      </c>
    </row>
    <row r="1164" spans="1:9" x14ac:dyDescent="0.15">
      <c r="A1164" s="9">
        <v>1163</v>
      </c>
      <c r="B1164" s="10" t="s">
        <v>9</v>
      </c>
      <c r="C1164" s="10" t="s">
        <v>164</v>
      </c>
      <c r="D1164" s="10" t="s">
        <v>165</v>
      </c>
      <c r="E1164" s="11" t="str">
        <f>+HYPERLINK("http://trademark.i-assist.jp/data/china/image_1901th/78943819.pdf", "78943819")</f>
        <v>78943819</v>
      </c>
      <c r="F1164" s="10" t="s">
        <v>3421</v>
      </c>
      <c r="G1164" s="10" t="s">
        <v>3422</v>
      </c>
      <c r="H1164" s="10" t="s">
        <v>3423</v>
      </c>
      <c r="I1164" s="10" t="s">
        <v>3019</v>
      </c>
    </row>
    <row r="1165" spans="1:9" x14ac:dyDescent="0.15">
      <c r="A1165" s="9">
        <v>1164</v>
      </c>
      <c r="B1165" s="10" t="s">
        <v>9</v>
      </c>
      <c r="C1165" s="10" t="s">
        <v>164</v>
      </c>
      <c r="D1165" s="10" t="s">
        <v>165</v>
      </c>
      <c r="E1165" s="11" t="str">
        <f>+HYPERLINK("http://trademark.i-assist.jp/data/china/image_1901th/78943870.pdf", "78943870")</f>
        <v>78943870</v>
      </c>
      <c r="F1165" s="10" t="s">
        <v>3424</v>
      </c>
      <c r="G1165" s="10" t="s">
        <v>3425</v>
      </c>
      <c r="H1165" s="10" t="s">
        <v>3426</v>
      </c>
      <c r="I1165" s="10" t="s">
        <v>3019</v>
      </c>
    </row>
    <row r="1166" spans="1:9" x14ac:dyDescent="0.15">
      <c r="A1166" s="9">
        <v>1165</v>
      </c>
      <c r="B1166" s="10" t="s">
        <v>9</v>
      </c>
      <c r="C1166" s="10" t="s">
        <v>164</v>
      </c>
      <c r="D1166" s="10" t="s">
        <v>165</v>
      </c>
      <c r="E1166" s="11" t="str">
        <f>+HYPERLINK("http://trademark.i-assist.jp/data/china/image_1901th/78944218.pdf", "78944218")</f>
        <v>78944218</v>
      </c>
      <c r="F1166" s="10" t="s">
        <v>3427</v>
      </c>
      <c r="G1166" s="10" t="s">
        <v>3428</v>
      </c>
      <c r="H1166" s="10" t="s">
        <v>3429</v>
      </c>
      <c r="I1166" s="10" t="s">
        <v>3019</v>
      </c>
    </row>
    <row r="1167" spans="1:9" x14ac:dyDescent="0.15">
      <c r="A1167" s="9">
        <v>1166</v>
      </c>
      <c r="B1167" s="10" t="s">
        <v>9</v>
      </c>
      <c r="C1167" s="10" t="s">
        <v>164</v>
      </c>
      <c r="D1167" s="10" t="s">
        <v>165</v>
      </c>
      <c r="E1167" s="11" t="str">
        <f>+HYPERLINK("http://trademark.i-assist.jp/data/china/image_1901th/78944264.pdf", "78944264")</f>
        <v>78944264</v>
      </c>
      <c r="F1167" s="10" t="s">
        <v>3430</v>
      </c>
      <c r="G1167" s="10" t="s">
        <v>3431</v>
      </c>
      <c r="H1167" s="10" t="s">
        <v>3432</v>
      </c>
      <c r="I1167" s="10" t="s">
        <v>3019</v>
      </c>
    </row>
    <row r="1168" spans="1:9" x14ac:dyDescent="0.15">
      <c r="A1168" s="9">
        <v>1167</v>
      </c>
      <c r="B1168" s="10" t="s">
        <v>9</v>
      </c>
      <c r="C1168" s="10" t="s">
        <v>164</v>
      </c>
      <c r="D1168" s="10" t="s">
        <v>165</v>
      </c>
      <c r="E1168" s="11" t="str">
        <f>+HYPERLINK("http://trademark.i-assist.jp/data/china/image_1901th/78944277.pdf", "78944277")</f>
        <v>78944277</v>
      </c>
      <c r="F1168" s="10" t="s">
        <v>3433</v>
      </c>
      <c r="G1168" s="10" t="s">
        <v>3434</v>
      </c>
      <c r="H1168" s="10" t="s">
        <v>3435</v>
      </c>
      <c r="I1168" s="10" t="s">
        <v>3019</v>
      </c>
    </row>
    <row r="1169" spans="1:9" x14ac:dyDescent="0.15">
      <c r="A1169" s="9">
        <v>1168</v>
      </c>
      <c r="B1169" s="10" t="s">
        <v>9</v>
      </c>
      <c r="C1169" s="10" t="s">
        <v>164</v>
      </c>
      <c r="D1169" s="10" t="s">
        <v>165</v>
      </c>
      <c r="E1169" s="11" t="str">
        <f>+HYPERLINK("http://trademark.i-assist.jp/data/china/image_1901th/78944424.pdf", "78944424")</f>
        <v>78944424</v>
      </c>
      <c r="F1169" s="10" t="s">
        <v>3436</v>
      </c>
      <c r="G1169" s="10" t="s">
        <v>3437</v>
      </c>
      <c r="H1169" s="10" t="s">
        <v>3438</v>
      </c>
      <c r="I1169" s="10" t="s">
        <v>3019</v>
      </c>
    </row>
    <row r="1170" spans="1:9" x14ac:dyDescent="0.15">
      <c r="A1170" s="9">
        <v>1169</v>
      </c>
      <c r="B1170" s="10" t="s">
        <v>9</v>
      </c>
      <c r="C1170" s="10" t="s">
        <v>164</v>
      </c>
      <c r="D1170" s="10" t="s">
        <v>165</v>
      </c>
      <c r="E1170" s="11" t="str">
        <f>+HYPERLINK("http://trademark.i-assist.jp/data/china/image_1901th/78945005.pdf", "78945005")</f>
        <v>78945005</v>
      </c>
      <c r="F1170" s="10" t="s">
        <v>3439</v>
      </c>
      <c r="G1170" s="10" t="s">
        <v>3440</v>
      </c>
      <c r="H1170" s="10" t="s">
        <v>3441</v>
      </c>
      <c r="I1170" s="10" t="s">
        <v>3019</v>
      </c>
    </row>
    <row r="1171" spans="1:9" x14ac:dyDescent="0.15">
      <c r="A1171" s="9">
        <v>1170</v>
      </c>
      <c r="B1171" s="10" t="s">
        <v>9</v>
      </c>
      <c r="C1171" s="10" t="s">
        <v>164</v>
      </c>
      <c r="D1171" s="10" t="s">
        <v>165</v>
      </c>
      <c r="E1171" s="11" t="str">
        <f>+HYPERLINK("http://trademark.i-assist.jp/data/china/image_1901th/78945363.pdf", "78945363")</f>
        <v>78945363</v>
      </c>
      <c r="F1171" s="10" t="s">
        <v>3442</v>
      </c>
      <c r="G1171" s="10" t="s">
        <v>3443</v>
      </c>
      <c r="H1171" s="10" t="s">
        <v>3444</v>
      </c>
      <c r="I1171" s="10" t="s">
        <v>3019</v>
      </c>
    </row>
    <row r="1172" spans="1:9" x14ac:dyDescent="0.15">
      <c r="A1172" s="9">
        <v>1171</v>
      </c>
      <c r="B1172" s="10" t="s">
        <v>9</v>
      </c>
      <c r="C1172" s="10" t="s">
        <v>164</v>
      </c>
      <c r="D1172" s="10" t="s">
        <v>165</v>
      </c>
      <c r="E1172" s="11" t="str">
        <f>+HYPERLINK("http://trademark.i-assist.jp/data/china/image_1901th/78945378.pdf", "78945378")</f>
        <v>78945378</v>
      </c>
      <c r="F1172" s="10" t="s">
        <v>3445</v>
      </c>
      <c r="G1172" s="10" t="s">
        <v>3443</v>
      </c>
      <c r="H1172" s="10" t="s">
        <v>3446</v>
      </c>
      <c r="I1172" s="10" t="s">
        <v>3019</v>
      </c>
    </row>
    <row r="1173" spans="1:9" x14ac:dyDescent="0.15">
      <c r="A1173" s="9">
        <v>1172</v>
      </c>
      <c r="B1173" s="10" t="s">
        <v>9</v>
      </c>
      <c r="C1173" s="10" t="s">
        <v>164</v>
      </c>
      <c r="D1173" s="10" t="s">
        <v>165</v>
      </c>
      <c r="E1173" s="11" t="str">
        <f>+HYPERLINK("http://trademark.i-assist.jp/data/china/image_1901th/78945429.pdf", "78945429")</f>
        <v>78945429</v>
      </c>
      <c r="F1173" s="10" t="s">
        <v>3447</v>
      </c>
      <c r="G1173" s="10" t="s">
        <v>1355</v>
      </c>
      <c r="H1173" s="10" t="s">
        <v>3448</v>
      </c>
      <c r="I1173" s="10" t="s">
        <v>3019</v>
      </c>
    </row>
    <row r="1174" spans="1:9" x14ac:dyDescent="0.15">
      <c r="A1174" s="9">
        <v>1173</v>
      </c>
      <c r="B1174" s="10" t="s">
        <v>9</v>
      </c>
      <c r="C1174" s="10" t="s">
        <v>164</v>
      </c>
      <c r="D1174" s="10" t="s">
        <v>165</v>
      </c>
      <c r="E1174" s="11" t="str">
        <f>+HYPERLINK("http://trademark.i-assist.jp/data/china/image_1901th/78945481.pdf", "78945481")</f>
        <v>78945481</v>
      </c>
      <c r="F1174" s="10" t="s">
        <v>3449</v>
      </c>
      <c r="G1174" s="10" t="s">
        <v>3291</v>
      </c>
      <c r="H1174" s="10" t="s">
        <v>3450</v>
      </c>
      <c r="I1174" s="10" t="s">
        <v>3019</v>
      </c>
    </row>
    <row r="1175" spans="1:9" x14ac:dyDescent="0.15">
      <c r="A1175" s="9">
        <v>1174</v>
      </c>
      <c r="B1175" s="10" t="s">
        <v>9</v>
      </c>
      <c r="C1175" s="10" t="s">
        <v>164</v>
      </c>
      <c r="D1175" s="10" t="s">
        <v>165</v>
      </c>
      <c r="E1175" s="11" t="str">
        <f>+HYPERLINK("http://trademark.i-assist.jp/data/china/image_1901th/78945505.pdf", "78945505")</f>
        <v>78945505</v>
      </c>
      <c r="F1175" s="10" t="s">
        <v>3451</v>
      </c>
      <c r="G1175" s="10" t="s">
        <v>1446</v>
      </c>
      <c r="H1175" s="10" t="s">
        <v>3452</v>
      </c>
      <c r="I1175" s="10" t="s">
        <v>3019</v>
      </c>
    </row>
    <row r="1176" spans="1:9" x14ac:dyDescent="0.15">
      <c r="A1176" s="9">
        <v>1175</v>
      </c>
      <c r="B1176" s="10" t="s">
        <v>9</v>
      </c>
      <c r="C1176" s="10" t="s">
        <v>164</v>
      </c>
      <c r="D1176" s="10" t="s">
        <v>165</v>
      </c>
      <c r="E1176" s="11" t="str">
        <f>+HYPERLINK("http://trademark.i-assist.jp/data/china/image_1901th/78946050.pdf", "78946050")</f>
        <v>78946050</v>
      </c>
      <c r="F1176" s="10" t="s">
        <v>3453</v>
      </c>
      <c r="G1176" s="10" t="s">
        <v>3017</v>
      </c>
      <c r="H1176" s="10" t="s">
        <v>3454</v>
      </c>
      <c r="I1176" s="10" t="s">
        <v>3019</v>
      </c>
    </row>
    <row r="1177" spans="1:9" x14ac:dyDescent="0.15">
      <c r="A1177" s="9">
        <v>1176</v>
      </c>
      <c r="B1177" s="10" t="s">
        <v>9</v>
      </c>
      <c r="C1177" s="10" t="s">
        <v>164</v>
      </c>
      <c r="D1177" s="10" t="s">
        <v>165</v>
      </c>
      <c r="E1177" s="11" t="str">
        <f>+HYPERLINK("http://trademark.i-assist.jp/data/china/image_1901th/78946176.pdf", "78946176")</f>
        <v>78946176</v>
      </c>
      <c r="F1177" s="10" t="s">
        <v>3455</v>
      </c>
      <c r="G1177" s="10" t="s">
        <v>3260</v>
      </c>
      <c r="H1177" s="10" t="s">
        <v>3456</v>
      </c>
      <c r="I1177" s="10" t="s">
        <v>3019</v>
      </c>
    </row>
    <row r="1178" spans="1:9" x14ac:dyDescent="0.15">
      <c r="A1178" s="9">
        <v>1177</v>
      </c>
      <c r="B1178" s="10" t="s">
        <v>9</v>
      </c>
      <c r="C1178" s="10" t="s">
        <v>164</v>
      </c>
      <c r="D1178" s="10" t="s">
        <v>165</v>
      </c>
      <c r="E1178" s="11" t="str">
        <f>+HYPERLINK("http://trademark.i-assist.jp/data/china/image_1901th/78946361.pdf", "78946361")</f>
        <v>78946361</v>
      </c>
      <c r="F1178" s="10" t="s">
        <v>3457</v>
      </c>
      <c r="G1178" s="10" t="s">
        <v>3458</v>
      </c>
      <c r="H1178" s="10" t="s">
        <v>3459</v>
      </c>
      <c r="I1178" s="10" t="s">
        <v>3019</v>
      </c>
    </row>
    <row r="1179" spans="1:9" x14ac:dyDescent="0.15">
      <c r="A1179" s="9">
        <v>1178</v>
      </c>
      <c r="B1179" s="10" t="s">
        <v>9</v>
      </c>
      <c r="C1179" s="10" t="s">
        <v>164</v>
      </c>
      <c r="D1179" s="10" t="s">
        <v>165</v>
      </c>
      <c r="E1179" s="11" t="str">
        <f>+HYPERLINK("http://trademark.i-assist.jp/data/china/image_1901th/78946538.pdf", "78946538")</f>
        <v>78946538</v>
      </c>
      <c r="F1179" s="10" t="s">
        <v>3460</v>
      </c>
      <c r="G1179" s="10" t="s">
        <v>3087</v>
      </c>
      <c r="H1179" s="10" t="s">
        <v>3461</v>
      </c>
      <c r="I1179" s="10" t="s">
        <v>3019</v>
      </c>
    </row>
    <row r="1180" spans="1:9" x14ac:dyDescent="0.15">
      <c r="A1180" s="9">
        <v>1179</v>
      </c>
      <c r="B1180" s="10" t="s">
        <v>9</v>
      </c>
      <c r="C1180" s="10" t="s">
        <v>164</v>
      </c>
      <c r="D1180" s="10" t="s">
        <v>165</v>
      </c>
      <c r="E1180" s="11" t="str">
        <f>+HYPERLINK("http://trademark.i-assist.jp/data/china/image_1901th/78947225.pdf", "78947225")</f>
        <v>78947225</v>
      </c>
      <c r="F1180" s="10" t="s">
        <v>3462</v>
      </c>
      <c r="G1180" s="10" t="s">
        <v>3463</v>
      </c>
      <c r="H1180" s="10" t="s">
        <v>3464</v>
      </c>
      <c r="I1180" s="10" t="s">
        <v>3019</v>
      </c>
    </row>
    <row r="1181" spans="1:9" x14ac:dyDescent="0.15">
      <c r="A1181" s="9">
        <v>1180</v>
      </c>
      <c r="B1181" s="10" t="s">
        <v>9</v>
      </c>
      <c r="C1181" s="10" t="s">
        <v>164</v>
      </c>
      <c r="D1181" s="10" t="s">
        <v>165</v>
      </c>
      <c r="E1181" s="11" t="str">
        <f>+HYPERLINK("http://trademark.i-assist.jp/data/china/image_1901th/78947372.pdf", "78947372")</f>
        <v>78947372</v>
      </c>
      <c r="F1181" s="10" t="s">
        <v>3465</v>
      </c>
      <c r="G1181" s="10" t="s">
        <v>3466</v>
      </c>
      <c r="H1181" s="10" t="s">
        <v>3467</v>
      </c>
      <c r="I1181" s="10" t="s">
        <v>3019</v>
      </c>
    </row>
    <row r="1182" spans="1:9" x14ac:dyDescent="0.15">
      <c r="A1182" s="9">
        <v>1181</v>
      </c>
      <c r="B1182" s="10" t="s">
        <v>9</v>
      </c>
      <c r="C1182" s="10" t="s">
        <v>164</v>
      </c>
      <c r="D1182" s="10" t="s">
        <v>165</v>
      </c>
      <c r="E1182" s="11" t="str">
        <f>+HYPERLINK("http://trademark.i-assist.jp/data/china/image_1901th/78947597.pdf", "78947597")</f>
        <v>78947597</v>
      </c>
      <c r="F1182" s="10" t="s">
        <v>3468</v>
      </c>
      <c r="G1182" s="10" t="s">
        <v>3389</v>
      </c>
      <c r="H1182" s="10" t="s">
        <v>3469</v>
      </c>
      <c r="I1182" s="10" t="s">
        <v>3019</v>
      </c>
    </row>
    <row r="1183" spans="1:9" x14ac:dyDescent="0.15">
      <c r="A1183" s="9">
        <v>1182</v>
      </c>
      <c r="B1183" s="10" t="s">
        <v>9</v>
      </c>
      <c r="C1183" s="10" t="s">
        <v>164</v>
      </c>
      <c r="D1183" s="10" t="s">
        <v>165</v>
      </c>
      <c r="E1183" s="11" t="str">
        <f>+HYPERLINK("http://trademark.i-assist.jp/data/china/image_1901th/78947958.pdf", "78947958")</f>
        <v>78947958</v>
      </c>
      <c r="F1183" s="10" t="s">
        <v>3470</v>
      </c>
      <c r="G1183" s="10" t="s">
        <v>3129</v>
      </c>
      <c r="H1183" s="10" t="s">
        <v>3130</v>
      </c>
      <c r="I1183" s="10" t="s">
        <v>3019</v>
      </c>
    </row>
    <row r="1184" spans="1:9" x14ac:dyDescent="0.15">
      <c r="A1184" s="9">
        <v>1183</v>
      </c>
      <c r="B1184" s="10" t="s">
        <v>9</v>
      </c>
      <c r="C1184" s="10" t="s">
        <v>164</v>
      </c>
      <c r="D1184" s="10" t="s">
        <v>165</v>
      </c>
      <c r="E1184" s="11" t="str">
        <f>+HYPERLINK("http://trademark.i-assist.jp/data/china/image_1901th/78948091.pdf", "78948091")</f>
        <v>78948091</v>
      </c>
      <c r="F1184" s="10" t="s">
        <v>3471</v>
      </c>
      <c r="G1184" s="10" t="s">
        <v>3472</v>
      </c>
      <c r="H1184" s="10" t="s">
        <v>3473</v>
      </c>
      <c r="I1184" s="10" t="s">
        <v>3019</v>
      </c>
    </row>
    <row r="1185" spans="1:9" x14ac:dyDescent="0.15">
      <c r="A1185" s="9">
        <v>1184</v>
      </c>
      <c r="B1185" s="10" t="s">
        <v>9</v>
      </c>
      <c r="C1185" s="10" t="s">
        <v>164</v>
      </c>
      <c r="D1185" s="10" t="s">
        <v>165</v>
      </c>
      <c r="E1185" s="11" t="str">
        <f>+HYPERLINK("http://trademark.i-assist.jp/data/china/image_1901th/78948275.pdf", "78948275")</f>
        <v>78948275</v>
      </c>
      <c r="F1185" s="10" t="s">
        <v>3474</v>
      </c>
      <c r="G1185" s="10" t="s">
        <v>3285</v>
      </c>
      <c r="H1185" s="10" t="s">
        <v>3475</v>
      </c>
      <c r="I1185" s="10" t="s">
        <v>3019</v>
      </c>
    </row>
    <row r="1186" spans="1:9" x14ac:dyDescent="0.15">
      <c r="A1186" s="9">
        <v>1185</v>
      </c>
      <c r="B1186" s="10" t="s">
        <v>9</v>
      </c>
      <c r="C1186" s="10" t="s">
        <v>164</v>
      </c>
      <c r="D1186" s="10" t="s">
        <v>165</v>
      </c>
      <c r="E1186" s="11" t="str">
        <f>+HYPERLINK("http://trademark.i-assist.jp/data/china/image_1901th/78948515.pdf", "78948515")</f>
        <v>78948515</v>
      </c>
      <c r="F1186" s="10" t="s">
        <v>3476</v>
      </c>
      <c r="G1186" s="10" t="s">
        <v>3477</v>
      </c>
      <c r="H1186" s="10" t="s">
        <v>3478</v>
      </c>
      <c r="I1186" s="10" t="s">
        <v>3479</v>
      </c>
    </row>
    <row r="1187" spans="1:9" x14ac:dyDescent="0.15">
      <c r="A1187" s="9">
        <v>1186</v>
      </c>
      <c r="B1187" s="10" t="s">
        <v>9</v>
      </c>
      <c r="C1187" s="10" t="s">
        <v>164</v>
      </c>
      <c r="D1187" s="10" t="s">
        <v>165</v>
      </c>
      <c r="E1187" s="11" t="str">
        <f>+HYPERLINK("http://trademark.i-assist.jp/data/china/image_1901th/78948940.pdf", "78948940")</f>
        <v>78948940</v>
      </c>
      <c r="F1187" s="10" t="s">
        <v>3480</v>
      </c>
      <c r="G1187" s="10" t="s">
        <v>3481</v>
      </c>
      <c r="H1187" s="10" t="s">
        <v>3482</v>
      </c>
      <c r="I1187" s="10" t="s">
        <v>3479</v>
      </c>
    </row>
    <row r="1188" spans="1:9" x14ac:dyDescent="0.15">
      <c r="A1188" s="9">
        <v>1187</v>
      </c>
      <c r="B1188" s="10" t="s">
        <v>9</v>
      </c>
      <c r="C1188" s="10" t="s">
        <v>164</v>
      </c>
      <c r="D1188" s="10" t="s">
        <v>165</v>
      </c>
      <c r="E1188" s="11" t="str">
        <f>+HYPERLINK("http://trademark.i-assist.jp/data/china/image_1901th/78948984.pdf", "78948984")</f>
        <v>78948984</v>
      </c>
      <c r="F1188" s="10" t="s">
        <v>3483</v>
      </c>
      <c r="G1188" s="10" t="s">
        <v>3484</v>
      </c>
      <c r="H1188" s="10" t="s">
        <v>3485</v>
      </c>
      <c r="I1188" s="10" t="s">
        <v>3479</v>
      </c>
    </row>
    <row r="1189" spans="1:9" x14ac:dyDescent="0.15">
      <c r="A1189" s="9">
        <v>1188</v>
      </c>
      <c r="B1189" s="10" t="s">
        <v>9</v>
      </c>
      <c r="C1189" s="10" t="s">
        <v>164</v>
      </c>
      <c r="D1189" s="10" t="s">
        <v>165</v>
      </c>
      <c r="E1189" s="11" t="str">
        <f>+HYPERLINK("http://trademark.i-assist.jp/data/china/image_1901th/78949312.pdf", "78949312")</f>
        <v>78949312</v>
      </c>
      <c r="F1189" s="10" t="s">
        <v>3486</v>
      </c>
      <c r="G1189" s="10" t="s">
        <v>70</v>
      </c>
      <c r="H1189" s="10" t="s">
        <v>3487</v>
      </c>
      <c r="I1189" s="10" t="s">
        <v>3479</v>
      </c>
    </row>
    <row r="1190" spans="1:9" x14ac:dyDescent="0.15">
      <c r="A1190" s="9">
        <v>1189</v>
      </c>
      <c r="B1190" s="10" t="s">
        <v>9</v>
      </c>
      <c r="C1190" s="10" t="s">
        <v>164</v>
      </c>
      <c r="D1190" s="10" t="s">
        <v>165</v>
      </c>
      <c r="E1190" s="11" t="str">
        <f>+HYPERLINK("http://trademark.i-assist.jp/data/china/image_1901th/78949496.pdf", "78949496")</f>
        <v>78949496</v>
      </c>
      <c r="F1190" s="10" t="s">
        <v>3488</v>
      </c>
      <c r="G1190" s="10" t="s">
        <v>3489</v>
      </c>
      <c r="H1190" s="10" t="s">
        <v>3490</v>
      </c>
      <c r="I1190" s="10" t="s">
        <v>3479</v>
      </c>
    </row>
    <row r="1191" spans="1:9" x14ac:dyDescent="0.15">
      <c r="A1191" s="9">
        <v>1190</v>
      </c>
      <c r="B1191" s="10" t="s">
        <v>9</v>
      </c>
      <c r="C1191" s="10" t="s">
        <v>164</v>
      </c>
      <c r="D1191" s="10" t="s">
        <v>165</v>
      </c>
      <c r="E1191" s="11" t="str">
        <f>+HYPERLINK("http://trademark.i-assist.jp/data/china/image_1901th/78949912.pdf", "78949912")</f>
        <v>78949912</v>
      </c>
      <c r="F1191" s="10" t="s">
        <v>3491</v>
      </c>
      <c r="G1191" s="10" t="s">
        <v>3492</v>
      </c>
      <c r="H1191" s="10" t="s">
        <v>3493</v>
      </c>
      <c r="I1191" s="10" t="s">
        <v>3479</v>
      </c>
    </row>
    <row r="1192" spans="1:9" x14ac:dyDescent="0.15">
      <c r="A1192" s="9">
        <v>1191</v>
      </c>
      <c r="B1192" s="10" t="s">
        <v>9</v>
      </c>
      <c r="C1192" s="10" t="s">
        <v>164</v>
      </c>
      <c r="D1192" s="10" t="s">
        <v>165</v>
      </c>
      <c r="E1192" s="11" t="str">
        <f>+HYPERLINK("http://trademark.i-assist.jp/data/china/image_1901th/78950258.pdf", "78950258")</f>
        <v>78950258</v>
      </c>
      <c r="F1192" s="10" t="s">
        <v>3494</v>
      </c>
      <c r="G1192" s="10" t="s">
        <v>3495</v>
      </c>
      <c r="H1192" s="10" t="s">
        <v>3496</v>
      </c>
      <c r="I1192" s="10" t="s">
        <v>3479</v>
      </c>
    </row>
    <row r="1193" spans="1:9" x14ac:dyDescent="0.15">
      <c r="A1193" s="9">
        <v>1192</v>
      </c>
      <c r="B1193" s="10" t="s">
        <v>9</v>
      </c>
      <c r="C1193" s="10" t="s">
        <v>164</v>
      </c>
      <c r="D1193" s="10" t="s">
        <v>165</v>
      </c>
      <c r="E1193" s="11" t="str">
        <f>+HYPERLINK("http://trademark.i-assist.jp/data/china/image_1901th/78950623.pdf", "78950623")</f>
        <v>78950623</v>
      </c>
      <c r="F1193" s="10" t="s">
        <v>3497</v>
      </c>
      <c r="G1193" s="10" t="s">
        <v>3498</v>
      </c>
      <c r="H1193" s="10" t="s">
        <v>3499</v>
      </c>
      <c r="I1193" s="10" t="s">
        <v>3479</v>
      </c>
    </row>
    <row r="1194" spans="1:9" x14ac:dyDescent="0.15">
      <c r="A1194" s="9">
        <v>1193</v>
      </c>
      <c r="B1194" s="10" t="s">
        <v>9</v>
      </c>
      <c r="C1194" s="10" t="s">
        <v>164</v>
      </c>
      <c r="D1194" s="10" t="s">
        <v>165</v>
      </c>
      <c r="E1194" s="11" t="str">
        <f>+HYPERLINK("http://trademark.i-assist.jp/data/china/image_1901th/78950855.pdf", "78950855")</f>
        <v>78950855</v>
      </c>
      <c r="F1194" s="10" t="s">
        <v>3500</v>
      </c>
      <c r="G1194" s="10" t="s">
        <v>3501</v>
      </c>
      <c r="H1194" s="10" t="s">
        <v>3502</v>
      </c>
      <c r="I1194" s="10" t="s">
        <v>3479</v>
      </c>
    </row>
    <row r="1195" spans="1:9" x14ac:dyDescent="0.15">
      <c r="A1195" s="9">
        <v>1194</v>
      </c>
      <c r="B1195" s="10" t="s">
        <v>9</v>
      </c>
      <c r="C1195" s="10" t="s">
        <v>164</v>
      </c>
      <c r="D1195" s="10" t="s">
        <v>165</v>
      </c>
      <c r="E1195" s="11" t="str">
        <f>+HYPERLINK("http://trademark.i-assist.jp/data/china/image_1901th/78950886.pdf", "78950886")</f>
        <v>78950886</v>
      </c>
      <c r="F1195" s="10" t="s">
        <v>3503</v>
      </c>
      <c r="G1195" s="10" t="s">
        <v>3504</v>
      </c>
      <c r="H1195" s="10" t="s">
        <v>3505</v>
      </c>
      <c r="I1195" s="10" t="s">
        <v>3479</v>
      </c>
    </row>
    <row r="1196" spans="1:9" x14ac:dyDescent="0.15">
      <c r="A1196" s="9">
        <v>1195</v>
      </c>
      <c r="B1196" s="10" t="s">
        <v>9</v>
      </c>
      <c r="C1196" s="10" t="s">
        <v>164</v>
      </c>
      <c r="D1196" s="10" t="s">
        <v>165</v>
      </c>
      <c r="E1196" s="11" t="str">
        <f>+HYPERLINK("http://trademark.i-assist.jp/data/china/image_1901th/78951022.pdf", "78951022")</f>
        <v>78951022</v>
      </c>
      <c r="F1196" s="10" t="s">
        <v>3506</v>
      </c>
      <c r="G1196" s="10" t="s">
        <v>3507</v>
      </c>
      <c r="H1196" s="10" t="s">
        <v>3508</v>
      </c>
      <c r="I1196" s="10" t="s">
        <v>3479</v>
      </c>
    </row>
    <row r="1197" spans="1:9" x14ac:dyDescent="0.15">
      <c r="A1197" s="9">
        <v>1196</v>
      </c>
      <c r="B1197" s="10" t="s">
        <v>9</v>
      </c>
      <c r="C1197" s="10" t="s">
        <v>164</v>
      </c>
      <c r="D1197" s="10" t="s">
        <v>165</v>
      </c>
      <c r="E1197" s="11" t="str">
        <f>+HYPERLINK("http://trademark.i-assist.jp/data/china/image_1901th/78951226.pdf", "78951226")</f>
        <v>78951226</v>
      </c>
      <c r="F1197" s="10" t="s">
        <v>3509</v>
      </c>
      <c r="G1197" s="10" t="s">
        <v>3510</v>
      </c>
      <c r="H1197" s="10" t="s">
        <v>3511</v>
      </c>
      <c r="I1197" s="10" t="s">
        <v>3479</v>
      </c>
    </row>
    <row r="1198" spans="1:9" x14ac:dyDescent="0.15">
      <c r="A1198" s="9">
        <v>1197</v>
      </c>
      <c r="B1198" s="10" t="s">
        <v>9</v>
      </c>
      <c r="C1198" s="10" t="s">
        <v>164</v>
      </c>
      <c r="D1198" s="10" t="s">
        <v>165</v>
      </c>
      <c r="E1198" s="11" t="str">
        <f>+HYPERLINK("http://trademark.i-assist.jp/data/china/image_1901th/78951816.pdf", "78951816")</f>
        <v>78951816</v>
      </c>
      <c r="F1198" s="10" t="s">
        <v>3512</v>
      </c>
      <c r="G1198" s="10" t="s">
        <v>3513</v>
      </c>
      <c r="H1198" s="10" t="s">
        <v>3514</v>
      </c>
      <c r="I1198" s="10" t="s">
        <v>3479</v>
      </c>
    </row>
    <row r="1199" spans="1:9" x14ac:dyDescent="0.15">
      <c r="A1199" s="9">
        <v>1198</v>
      </c>
      <c r="B1199" s="10" t="s">
        <v>9</v>
      </c>
      <c r="C1199" s="10" t="s">
        <v>164</v>
      </c>
      <c r="D1199" s="10" t="s">
        <v>165</v>
      </c>
      <c r="E1199" s="11" t="str">
        <f>+HYPERLINK("http://trademark.i-assist.jp/data/china/image_1901th/78952055.pdf", "78952055")</f>
        <v>78952055</v>
      </c>
      <c r="F1199" s="10" t="s">
        <v>3515</v>
      </c>
      <c r="G1199" s="10" t="s">
        <v>1510</v>
      </c>
      <c r="H1199" s="10" t="s">
        <v>3516</v>
      </c>
      <c r="I1199" s="10" t="s">
        <v>3479</v>
      </c>
    </row>
    <row r="1200" spans="1:9" x14ac:dyDescent="0.15">
      <c r="A1200" s="9">
        <v>1199</v>
      </c>
      <c r="B1200" s="10" t="s">
        <v>9</v>
      </c>
      <c r="C1200" s="10" t="s">
        <v>164</v>
      </c>
      <c r="D1200" s="10" t="s">
        <v>165</v>
      </c>
      <c r="E1200" s="11" t="str">
        <f>+HYPERLINK("http://trademark.i-assist.jp/data/china/image_1901th/78952098.pdf", "78952098")</f>
        <v>78952098</v>
      </c>
      <c r="F1200" s="10" t="s">
        <v>3517</v>
      </c>
      <c r="G1200" s="10" t="s">
        <v>3518</v>
      </c>
      <c r="H1200" s="10" t="s">
        <v>3519</v>
      </c>
      <c r="I1200" s="10" t="s">
        <v>3479</v>
      </c>
    </row>
    <row r="1201" spans="1:9" x14ac:dyDescent="0.15">
      <c r="A1201" s="9">
        <v>1200</v>
      </c>
      <c r="B1201" s="10" t="s">
        <v>9</v>
      </c>
      <c r="C1201" s="10" t="s">
        <v>164</v>
      </c>
      <c r="D1201" s="10" t="s">
        <v>165</v>
      </c>
      <c r="E1201" s="11" t="str">
        <f>+HYPERLINK("http://trademark.i-assist.jp/data/china/image_1901th/78953118.pdf", "78953118")</f>
        <v>78953118</v>
      </c>
      <c r="F1201" s="10" t="s">
        <v>3520</v>
      </c>
      <c r="G1201" s="10" t="s">
        <v>3521</v>
      </c>
      <c r="H1201" s="10" t="s">
        <v>3522</v>
      </c>
      <c r="I1201" s="10" t="s">
        <v>3479</v>
      </c>
    </row>
    <row r="1202" spans="1:9" x14ac:dyDescent="0.15">
      <c r="A1202" s="9">
        <v>1201</v>
      </c>
      <c r="B1202" s="10" t="s">
        <v>9</v>
      </c>
      <c r="C1202" s="10" t="s">
        <v>164</v>
      </c>
      <c r="D1202" s="10" t="s">
        <v>165</v>
      </c>
      <c r="E1202" s="11" t="str">
        <f>+HYPERLINK("http://trademark.i-assist.jp/data/china/image_1901th/78953138.pdf", "78953138")</f>
        <v>78953138</v>
      </c>
      <c r="F1202" s="10" t="s">
        <v>3523</v>
      </c>
      <c r="G1202" s="10" t="s">
        <v>3524</v>
      </c>
      <c r="H1202" s="10" t="s">
        <v>3525</v>
      </c>
      <c r="I1202" s="10" t="s">
        <v>3479</v>
      </c>
    </row>
    <row r="1203" spans="1:9" x14ac:dyDescent="0.15">
      <c r="A1203" s="9">
        <v>1202</v>
      </c>
      <c r="B1203" s="10" t="s">
        <v>9</v>
      </c>
      <c r="C1203" s="10" t="s">
        <v>164</v>
      </c>
      <c r="D1203" s="10" t="s">
        <v>165</v>
      </c>
      <c r="E1203" s="11" t="str">
        <f>+HYPERLINK("http://trademark.i-assist.jp/data/china/image_1901th/78953582.pdf", "78953582")</f>
        <v>78953582</v>
      </c>
      <c r="F1203" s="10" t="s">
        <v>3526</v>
      </c>
      <c r="G1203" s="10" t="s">
        <v>3527</v>
      </c>
      <c r="H1203" s="10" t="s">
        <v>3528</v>
      </c>
      <c r="I1203" s="10" t="s">
        <v>3479</v>
      </c>
    </row>
    <row r="1204" spans="1:9" x14ac:dyDescent="0.15">
      <c r="A1204" s="9">
        <v>1203</v>
      </c>
      <c r="B1204" s="10" t="s">
        <v>9</v>
      </c>
      <c r="C1204" s="10" t="s">
        <v>164</v>
      </c>
      <c r="D1204" s="10" t="s">
        <v>165</v>
      </c>
      <c r="E1204" s="11" t="str">
        <f>+HYPERLINK("http://trademark.i-assist.jp/data/china/image_1901th/78953583.pdf", "78953583")</f>
        <v>78953583</v>
      </c>
      <c r="F1204" s="10" t="s">
        <v>3529</v>
      </c>
      <c r="G1204" s="10" t="s">
        <v>3530</v>
      </c>
      <c r="H1204" s="10" t="s">
        <v>3531</v>
      </c>
      <c r="I1204" s="10" t="s">
        <v>3479</v>
      </c>
    </row>
    <row r="1205" spans="1:9" x14ac:dyDescent="0.15">
      <c r="A1205" s="9">
        <v>1204</v>
      </c>
      <c r="B1205" s="10" t="s">
        <v>9</v>
      </c>
      <c r="C1205" s="10" t="s">
        <v>164</v>
      </c>
      <c r="D1205" s="10" t="s">
        <v>165</v>
      </c>
      <c r="E1205" s="11" t="str">
        <f>+HYPERLINK("http://trademark.i-assist.jp/data/china/image_1901th/78954328.pdf", "78954328")</f>
        <v>78954328</v>
      </c>
      <c r="F1205" s="10" t="s">
        <v>12</v>
      </c>
      <c r="G1205" s="10" t="s">
        <v>3532</v>
      </c>
      <c r="H1205" s="10" t="s">
        <v>3533</v>
      </c>
      <c r="I1205" s="10" t="s">
        <v>3479</v>
      </c>
    </row>
    <row r="1206" spans="1:9" x14ac:dyDescent="0.15">
      <c r="A1206" s="9">
        <v>1205</v>
      </c>
      <c r="B1206" s="10" t="s">
        <v>9</v>
      </c>
      <c r="C1206" s="10" t="s">
        <v>164</v>
      </c>
      <c r="D1206" s="10" t="s">
        <v>165</v>
      </c>
      <c r="E1206" s="11" t="str">
        <f>+HYPERLINK("http://trademark.i-assist.jp/data/china/image_1901th/78954635.pdf", "78954635")</f>
        <v>78954635</v>
      </c>
      <c r="F1206" s="10" t="s">
        <v>3534</v>
      </c>
      <c r="G1206" s="10" t="s">
        <v>3535</v>
      </c>
      <c r="H1206" s="10" t="s">
        <v>3536</v>
      </c>
      <c r="I1206" s="10" t="s">
        <v>3479</v>
      </c>
    </row>
    <row r="1207" spans="1:9" x14ac:dyDescent="0.15">
      <c r="A1207" s="9">
        <v>1206</v>
      </c>
      <c r="B1207" s="10" t="s">
        <v>9</v>
      </c>
      <c r="C1207" s="10" t="s">
        <v>164</v>
      </c>
      <c r="D1207" s="10" t="s">
        <v>165</v>
      </c>
      <c r="E1207" s="11" t="str">
        <f>+HYPERLINK("http://trademark.i-assist.jp/data/china/image_1901th/78954679.pdf", "78954679")</f>
        <v>78954679</v>
      </c>
      <c r="F1207" s="10" t="s">
        <v>3537</v>
      </c>
      <c r="G1207" s="10" t="s">
        <v>3538</v>
      </c>
      <c r="H1207" s="10" t="s">
        <v>3539</v>
      </c>
      <c r="I1207" s="10" t="s">
        <v>3479</v>
      </c>
    </row>
    <row r="1208" spans="1:9" x14ac:dyDescent="0.15">
      <c r="A1208" s="9">
        <v>1207</v>
      </c>
      <c r="B1208" s="10" t="s">
        <v>9</v>
      </c>
      <c r="C1208" s="10" t="s">
        <v>164</v>
      </c>
      <c r="D1208" s="10" t="s">
        <v>165</v>
      </c>
      <c r="E1208" s="11" t="str">
        <f>+HYPERLINK("http://trademark.i-assist.jp/data/china/image_1901th/78954801.pdf", "78954801")</f>
        <v>78954801</v>
      </c>
      <c r="F1208" s="10" t="s">
        <v>3540</v>
      </c>
      <c r="G1208" s="10" t="s">
        <v>3541</v>
      </c>
      <c r="H1208" s="10" t="s">
        <v>3542</v>
      </c>
      <c r="I1208" s="10" t="s">
        <v>3479</v>
      </c>
    </row>
    <row r="1209" spans="1:9" x14ac:dyDescent="0.15">
      <c r="A1209" s="9">
        <v>1208</v>
      </c>
      <c r="B1209" s="10" t="s">
        <v>9</v>
      </c>
      <c r="C1209" s="10" t="s">
        <v>164</v>
      </c>
      <c r="D1209" s="10" t="s">
        <v>165</v>
      </c>
      <c r="E1209" s="11" t="str">
        <f>+HYPERLINK("http://trademark.i-assist.jp/data/china/image_1901th/78954832.pdf", "78954832")</f>
        <v>78954832</v>
      </c>
      <c r="F1209" s="10" t="s">
        <v>3543</v>
      </c>
      <c r="G1209" s="10" t="s">
        <v>3544</v>
      </c>
      <c r="H1209" s="10" t="s">
        <v>3545</v>
      </c>
      <c r="I1209" s="10" t="s">
        <v>3479</v>
      </c>
    </row>
    <row r="1210" spans="1:9" x14ac:dyDescent="0.15">
      <c r="A1210" s="9">
        <v>1209</v>
      </c>
      <c r="B1210" s="10" t="s">
        <v>9</v>
      </c>
      <c r="C1210" s="10" t="s">
        <v>164</v>
      </c>
      <c r="D1210" s="10" t="s">
        <v>165</v>
      </c>
      <c r="E1210" s="11" t="str">
        <f>+HYPERLINK("http://trademark.i-assist.jp/data/china/image_1901th/78955101.pdf", "78955101")</f>
        <v>78955101</v>
      </c>
      <c r="F1210" s="10" t="s">
        <v>3546</v>
      </c>
      <c r="G1210" s="10" t="s">
        <v>3547</v>
      </c>
      <c r="H1210" s="10" t="s">
        <v>3548</v>
      </c>
      <c r="I1210" s="10" t="s">
        <v>3479</v>
      </c>
    </row>
    <row r="1211" spans="1:9" x14ac:dyDescent="0.15">
      <c r="A1211" s="9">
        <v>1210</v>
      </c>
      <c r="B1211" s="10" t="s">
        <v>9</v>
      </c>
      <c r="C1211" s="10" t="s">
        <v>164</v>
      </c>
      <c r="D1211" s="10" t="s">
        <v>165</v>
      </c>
      <c r="E1211" s="11" t="str">
        <f>+HYPERLINK("http://trademark.i-assist.jp/data/china/image_1901th/78956145.pdf", "78956145")</f>
        <v>78956145</v>
      </c>
      <c r="F1211" s="10" t="s">
        <v>3549</v>
      </c>
      <c r="G1211" s="10" t="s">
        <v>3550</v>
      </c>
      <c r="H1211" s="10" t="s">
        <v>3551</v>
      </c>
      <c r="I1211" s="10" t="s">
        <v>3479</v>
      </c>
    </row>
    <row r="1212" spans="1:9" x14ac:dyDescent="0.15">
      <c r="A1212" s="9">
        <v>1211</v>
      </c>
      <c r="B1212" s="10" t="s">
        <v>9</v>
      </c>
      <c r="C1212" s="10" t="s">
        <v>164</v>
      </c>
      <c r="D1212" s="10" t="s">
        <v>165</v>
      </c>
      <c r="E1212" s="11" t="str">
        <f>+HYPERLINK("http://trademark.i-assist.jp/data/china/image_1901th/78956734.pdf", "78956734")</f>
        <v>78956734</v>
      </c>
      <c r="F1212" s="10" t="s">
        <v>3552</v>
      </c>
      <c r="G1212" s="10" t="s">
        <v>3521</v>
      </c>
      <c r="H1212" s="10" t="s">
        <v>3553</v>
      </c>
      <c r="I1212" s="10" t="s">
        <v>3479</v>
      </c>
    </row>
    <row r="1213" spans="1:9" x14ac:dyDescent="0.15">
      <c r="A1213" s="9">
        <v>1212</v>
      </c>
      <c r="B1213" s="10" t="s">
        <v>9</v>
      </c>
      <c r="C1213" s="10" t="s">
        <v>164</v>
      </c>
      <c r="D1213" s="10" t="s">
        <v>165</v>
      </c>
      <c r="E1213" s="11" t="str">
        <f>+HYPERLINK("http://trademark.i-assist.jp/data/china/image_1901th/78957021.pdf", "78957021")</f>
        <v>78957021</v>
      </c>
      <c r="F1213" s="10" t="s">
        <v>3554</v>
      </c>
      <c r="G1213" s="10" t="s">
        <v>3501</v>
      </c>
      <c r="H1213" s="10" t="s">
        <v>3555</v>
      </c>
      <c r="I1213" s="10" t="s">
        <v>3479</v>
      </c>
    </row>
    <row r="1214" spans="1:9" x14ac:dyDescent="0.15">
      <c r="A1214" s="9">
        <v>1213</v>
      </c>
      <c r="B1214" s="10" t="s">
        <v>9</v>
      </c>
      <c r="C1214" s="10" t="s">
        <v>164</v>
      </c>
      <c r="D1214" s="10" t="s">
        <v>165</v>
      </c>
      <c r="E1214" s="11" t="str">
        <f>+HYPERLINK("http://trademark.i-assist.jp/data/china/image_1901th/78957639.pdf", "78957639")</f>
        <v>78957639</v>
      </c>
      <c r="F1214" s="10" t="s">
        <v>3556</v>
      </c>
      <c r="G1214" s="10" t="s">
        <v>3557</v>
      </c>
      <c r="H1214" s="10" t="s">
        <v>3558</v>
      </c>
      <c r="I1214" s="10" t="s">
        <v>3479</v>
      </c>
    </row>
    <row r="1215" spans="1:9" x14ac:dyDescent="0.15">
      <c r="A1215" s="9">
        <v>1214</v>
      </c>
      <c r="B1215" s="10" t="s">
        <v>9</v>
      </c>
      <c r="C1215" s="10" t="s">
        <v>164</v>
      </c>
      <c r="D1215" s="10" t="s">
        <v>165</v>
      </c>
      <c r="E1215" s="11" t="str">
        <f>+HYPERLINK("http://trademark.i-assist.jp/data/china/image_1901th/78957751.pdf", "78957751")</f>
        <v>78957751</v>
      </c>
      <c r="F1215" s="10" t="s">
        <v>3559</v>
      </c>
      <c r="G1215" s="10" t="s">
        <v>3560</v>
      </c>
      <c r="H1215" s="10" t="s">
        <v>3561</v>
      </c>
      <c r="I1215" s="10" t="s">
        <v>3479</v>
      </c>
    </row>
    <row r="1216" spans="1:9" x14ac:dyDescent="0.15">
      <c r="A1216" s="9">
        <v>1215</v>
      </c>
      <c r="B1216" s="10" t="s">
        <v>9</v>
      </c>
      <c r="C1216" s="10" t="s">
        <v>164</v>
      </c>
      <c r="D1216" s="10" t="s">
        <v>165</v>
      </c>
      <c r="E1216" s="11" t="str">
        <f>+HYPERLINK("http://trademark.i-assist.jp/data/china/image_1901th/78957786.pdf", "78957786")</f>
        <v>78957786</v>
      </c>
      <c r="F1216" s="10" t="s">
        <v>3562</v>
      </c>
      <c r="G1216" s="10" t="s">
        <v>152</v>
      </c>
      <c r="H1216" s="10" t="s">
        <v>3563</v>
      </c>
      <c r="I1216" s="10" t="s">
        <v>3479</v>
      </c>
    </row>
    <row r="1217" spans="1:9" x14ac:dyDescent="0.15">
      <c r="A1217" s="9">
        <v>1216</v>
      </c>
      <c r="B1217" s="10" t="s">
        <v>9</v>
      </c>
      <c r="C1217" s="10" t="s">
        <v>164</v>
      </c>
      <c r="D1217" s="10" t="s">
        <v>165</v>
      </c>
      <c r="E1217" s="11" t="str">
        <f>+HYPERLINK("http://trademark.i-assist.jp/data/china/image_1901th/78957941.pdf", "78957941")</f>
        <v>78957941</v>
      </c>
      <c r="F1217" s="10" t="s">
        <v>3564</v>
      </c>
      <c r="G1217" s="10" t="s">
        <v>3565</v>
      </c>
      <c r="H1217" s="10" t="s">
        <v>3566</v>
      </c>
      <c r="I1217" s="10" t="s">
        <v>3479</v>
      </c>
    </row>
    <row r="1218" spans="1:9" x14ac:dyDescent="0.15">
      <c r="A1218" s="9">
        <v>1217</v>
      </c>
      <c r="B1218" s="10" t="s">
        <v>9</v>
      </c>
      <c r="C1218" s="10" t="s">
        <v>164</v>
      </c>
      <c r="D1218" s="10" t="s">
        <v>165</v>
      </c>
      <c r="E1218" s="11" t="str">
        <f>+HYPERLINK("http://trademark.i-assist.jp/data/china/image_1901th/78958004.pdf", "78958004")</f>
        <v>78958004</v>
      </c>
      <c r="F1218" s="10" t="s">
        <v>3567</v>
      </c>
      <c r="G1218" s="10" t="s">
        <v>3568</v>
      </c>
      <c r="H1218" s="10" t="s">
        <v>3569</v>
      </c>
      <c r="I1218" s="10" t="s">
        <v>3479</v>
      </c>
    </row>
    <row r="1219" spans="1:9" x14ac:dyDescent="0.15">
      <c r="A1219" s="9">
        <v>1218</v>
      </c>
      <c r="B1219" s="10" t="s">
        <v>9</v>
      </c>
      <c r="C1219" s="10" t="s">
        <v>164</v>
      </c>
      <c r="D1219" s="10" t="s">
        <v>165</v>
      </c>
      <c r="E1219" s="11" t="str">
        <f>+HYPERLINK("http://trademark.i-assist.jp/data/china/image_1901th/78958587.pdf", "78958587")</f>
        <v>78958587</v>
      </c>
      <c r="F1219" s="10" t="s">
        <v>3570</v>
      </c>
      <c r="G1219" s="10" t="s">
        <v>3571</v>
      </c>
      <c r="H1219" s="10" t="s">
        <v>3572</v>
      </c>
      <c r="I1219" s="10" t="s">
        <v>3479</v>
      </c>
    </row>
    <row r="1220" spans="1:9" x14ac:dyDescent="0.15">
      <c r="A1220" s="9">
        <v>1219</v>
      </c>
      <c r="B1220" s="10" t="s">
        <v>9</v>
      </c>
      <c r="C1220" s="10" t="s">
        <v>164</v>
      </c>
      <c r="D1220" s="10" t="s">
        <v>165</v>
      </c>
      <c r="E1220" s="11" t="str">
        <f>+HYPERLINK("http://trademark.i-assist.jp/data/china/image_1901th/78959931.pdf", "78959931")</f>
        <v>78959931</v>
      </c>
      <c r="F1220" s="10" t="s">
        <v>3573</v>
      </c>
      <c r="G1220" s="10" t="s">
        <v>3574</v>
      </c>
      <c r="H1220" s="10" t="s">
        <v>3575</v>
      </c>
      <c r="I1220" s="10" t="s">
        <v>3479</v>
      </c>
    </row>
    <row r="1221" spans="1:9" x14ac:dyDescent="0.15">
      <c r="A1221" s="9">
        <v>1220</v>
      </c>
      <c r="B1221" s="10" t="s">
        <v>9</v>
      </c>
      <c r="C1221" s="10" t="s">
        <v>164</v>
      </c>
      <c r="D1221" s="10" t="s">
        <v>165</v>
      </c>
      <c r="E1221" s="11" t="str">
        <f>+HYPERLINK("http://trademark.i-assist.jp/data/china/image_1901th/78960199.pdf", "78960199")</f>
        <v>78960199</v>
      </c>
      <c r="F1221" s="10" t="s">
        <v>3576</v>
      </c>
      <c r="G1221" s="10" t="s">
        <v>3577</v>
      </c>
      <c r="H1221" s="10" t="s">
        <v>3578</v>
      </c>
      <c r="I1221" s="10" t="s">
        <v>3479</v>
      </c>
    </row>
    <row r="1222" spans="1:9" x14ac:dyDescent="0.15">
      <c r="A1222" s="9">
        <v>1221</v>
      </c>
      <c r="B1222" s="10" t="s">
        <v>9</v>
      </c>
      <c r="C1222" s="10" t="s">
        <v>164</v>
      </c>
      <c r="D1222" s="10" t="s">
        <v>165</v>
      </c>
      <c r="E1222" s="11" t="str">
        <f>+HYPERLINK("http://trademark.i-assist.jp/data/china/image_1901th/78960253.pdf", "78960253")</f>
        <v>78960253</v>
      </c>
      <c r="F1222" s="10" t="s">
        <v>3579</v>
      </c>
      <c r="G1222" s="10" t="s">
        <v>149</v>
      </c>
      <c r="H1222" s="10" t="s">
        <v>3580</v>
      </c>
      <c r="I1222" s="10" t="s">
        <v>3479</v>
      </c>
    </row>
    <row r="1223" spans="1:9" x14ac:dyDescent="0.15">
      <c r="A1223" s="9">
        <v>1222</v>
      </c>
      <c r="B1223" s="10" t="s">
        <v>9</v>
      </c>
      <c r="C1223" s="10" t="s">
        <v>164</v>
      </c>
      <c r="D1223" s="10" t="s">
        <v>165</v>
      </c>
      <c r="E1223" s="11" t="str">
        <f>+HYPERLINK("http://trademark.i-assist.jp/data/china/image_1901th/78960369.pdf", "78960369")</f>
        <v>78960369</v>
      </c>
      <c r="F1223" s="10" t="s">
        <v>3581</v>
      </c>
      <c r="G1223" s="10" t="s">
        <v>3582</v>
      </c>
      <c r="H1223" s="10" t="s">
        <v>3583</v>
      </c>
      <c r="I1223" s="10" t="s">
        <v>3479</v>
      </c>
    </row>
    <row r="1224" spans="1:9" x14ac:dyDescent="0.15">
      <c r="A1224" s="9">
        <v>1223</v>
      </c>
      <c r="B1224" s="10" t="s">
        <v>9</v>
      </c>
      <c r="C1224" s="10" t="s">
        <v>164</v>
      </c>
      <c r="D1224" s="10" t="s">
        <v>165</v>
      </c>
      <c r="E1224" s="11" t="str">
        <f>+HYPERLINK("http://trademark.i-assist.jp/data/china/image_1901th/78960423.pdf", "78960423")</f>
        <v>78960423</v>
      </c>
      <c r="F1224" s="10" t="s">
        <v>3584</v>
      </c>
      <c r="G1224" s="10" t="s">
        <v>3585</v>
      </c>
      <c r="H1224" s="10" t="s">
        <v>3586</v>
      </c>
      <c r="I1224" s="10" t="s">
        <v>3479</v>
      </c>
    </row>
    <row r="1225" spans="1:9" x14ac:dyDescent="0.15">
      <c r="A1225" s="9">
        <v>1224</v>
      </c>
      <c r="B1225" s="10" t="s">
        <v>9</v>
      </c>
      <c r="C1225" s="10" t="s">
        <v>164</v>
      </c>
      <c r="D1225" s="10" t="s">
        <v>165</v>
      </c>
      <c r="E1225" s="11" t="str">
        <f>+HYPERLINK("http://trademark.i-assist.jp/data/china/image_1901th/78960634.pdf", "78960634")</f>
        <v>78960634</v>
      </c>
      <c r="F1225" s="10" t="s">
        <v>12</v>
      </c>
      <c r="G1225" s="10" t="s">
        <v>3587</v>
      </c>
      <c r="H1225" s="10" t="s">
        <v>3588</v>
      </c>
      <c r="I1225" s="10" t="s">
        <v>3479</v>
      </c>
    </row>
    <row r="1226" spans="1:9" x14ac:dyDescent="0.15">
      <c r="A1226" s="9">
        <v>1225</v>
      </c>
      <c r="B1226" s="10" t="s">
        <v>9</v>
      </c>
      <c r="C1226" s="10" t="s">
        <v>164</v>
      </c>
      <c r="D1226" s="10" t="s">
        <v>165</v>
      </c>
      <c r="E1226" s="11" t="str">
        <f>+HYPERLINK("http://trademark.i-assist.jp/data/china/image_1901th/78960688.pdf", "78960688")</f>
        <v>78960688</v>
      </c>
      <c r="F1226" s="10" t="s">
        <v>3589</v>
      </c>
      <c r="G1226" s="10" t="s">
        <v>2151</v>
      </c>
      <c r="H1226" s="10" t="s">
        <v>3590</v>
      </c>
      <c r="I1226" s="10" t="s">
        <v>3479</v>
      </c>
    </row>
    <row r="1227" spans="1:9" x14ac:dyDescent="0.15">
      <c r="A1227" s="9">
        <v>1226</v>
      </c>
      <c r="B1227" s="10" t="s">
        <v>9</v>
      </c>
      <c r="C1227" s="10" t="s">
        <v>164</v>
      </c>
      <c r="D1227" s="10" t="s">
        <v>165</v>
      </c>
      <c r="E1227" s="11" t="str">
        <f>+HYPERLINK("http://trademark.i-assist.jp/data/china/image_1901th/78960832.pdf", "78960832")</f>
        <v>78960832</v>
      </c>
      <c r="F1227" s="10" t="s">
        <v>3591</v>
      </c>
      <c r="G1227" s="10" t="s">
        <v>3592</v>
      </c>
      <c r="H1227" s="10" t="s">
        <v>3593</v>
      </c>
      <c r="I1227" s="10" t="s">
        <v>3479</v>
      </c>
    </row>
    <row r="1228" spans="1:9" x14ac:dyDescent="0.15">
      <c r="A1228" s="9">
        <v>1227</v>
      </c>
      <c r="B1228" s="10" t="s">
        <v>9</v>
      </c>
      <c r="C1228" s="10" t="s">
        <v>164</v>
      </c>
      <c r="D1228" s="10" t="s">
        <v>165</v>
      </c>
      <c r="E1228" s="11" t="str">
        <f>+HYPERLINK("http://trademark.i-assist.jp/data/china/image_1901th/78961425.pdf", "78961425")</f>
        <v>78961425</v>
      </c>
      <c r="F1228" s="10" t="s">
        <v>3594</v>
      </c>
      <c r="G1228" s="10" t="s">
        <v>3595</v>
      </c>
      <c r="H1228" s="10" t="s">
        <v>3596</v>
      </c>
      <c r="I1228" s="10" t="s">
        <v>3479</v>
      </c>
    </row>
    <row r="1229" spans="1:9" x14ac:dyDescent="0.15">
      <c r="A1229" s="9">
        <v>1228</v>
      </c>
      <c r="B1229" s="10" t="s">
        <v>9</v>
      </c>
      <c r="C1229" s="10" t="s">
        <v>164</v>
      </c>
      <c r="D1229" s="10" t="s">
        <v>165</v>
      </c>
      <c r="E1229" s="11" t="str">
        <f>+HYPERLINK("http://trademark.i-assist.jp/data/china/image_1901th/78961646.pdf", "78961646")</f>
        <v>78961646</v>
      </c>
      <c r="F1229" s="10" t="s">
        <v>3597</v>
      </c>
      <c r="G1229" s="10" t="s">
        <v>3585</v>
      </c>
      <c r="H1229" s="10" t="s">
        <v>3598</v>
      </c>
      <c r="I1229" s="10" t="s">
        <v>3479</v>
      </c>
    </row>
    <row r="1230" spans="1:9" x14ac:dyDescent="0.15">
      <c r="A1230" s="9">
        <v>1229</v>
      </c>
      <c r="B1230" s="10" t="s">
        <v>9</v>
      </c>
      <c r="C1230" s="10" t="s">
        <v>164</v>
      </c>
      <c r="D1230" s="10" t="s">
        <v>165</v>
      </c>
      <c r="E1230" s="11" t="str">
        <f>+HYPERLINK("http://trademark.i-assist.jp/data/china/image_1901th/78962179.pdf", "78962179")</f>
        <v>78962179</v>
      </c>
      <c r="F1230" s="10" t="s">
        <v>3599</v>
      </c>
      <c r="G1230" s="10" t="s">
        <v>3600</v>
      </c>
      <c r="H1230" s="10" t="s">
        <v>3601</v>
      </c>
      <c r="I1230" s="10" t="s">
        <v>3479</v>
      </c>
    </row>
    <row r="1231" spans="1:9" x14ac:dyDescent="0.15">
      <c r="A1231" s="9">
        <v>1230</v>
      </c>
      <c r="B1231" s="10" t="s">
        <v>9</v>
      </c>
      <c r="C1231" s="10" t="s">
        <v>164</v>
      </c>
      <c r="D1231" s="10" t="s">
        <v>165</v>
      </c>
      <c r="E1231" s="11" t="str">
        <f>+HYPERLINK("http://trademark.i-assist.jp/data/china/image_1901th/78962456.pdf", "78962456")</f>
        <v>78962456</v>
      </c>
      <c r="F1231" s="10" t="s">
        <v>3602</v>
      </c>
      <c r="G1231" s="10" t="s">
        <v>3521</v>
      </c>
      <c r="H1231" s="10" t="s">
        <v>3603</v>
      </c>
      <c r="I1231" s="10" t="s">
        <v>3479</v>
      </c>
    </row>
    <row r="1232" spans="1:9" x14ac:dyDescent="0.15">
      <c r="A1232" s="9">
        <v>1231</v>
      </c>
      <c r="B1232" s="10" t="s">
        <v>9</v>
      </c>
      <c r="C1232" s="10" t="s">
        <v>164</v>
      </c>
      <c r="D1232" s="10" t="s">
        <v>165</v>
      </c>
      <c r="E1232" s="11" t="str">
        <f>+HYPERLINK("http://trademark.i-assist.jp/data/china/image_1901th/78962562.pdf", "78962562")</f>
        <v>78962562</v>
      </c>
      <c r="F1232" s="10" t="s">
        <v>3604</v>
      </c>
      <c r="G1232" s="10" t="s">
        <v>3605</v>
      </c>
      <c r="H1232" s="10" t="s">
        <v>3606</v>
      </c>
      <c r="I1232" s="10" t="s">
        <v>3479</v>
      </c>
    </row>
    <row r="1233" spans="1:9" x14ac:dyDescent="0.15">
      <c r="A1233" s="9">
        <v>1232</v>
      </c>
      <c r="B1233" s="10" t="s">
        <v>9</v>
      </c>
      <c r="C1233" s="10" t="s">
        <v>164</v>
      </c>
      <c r="D1233" s="10" t="s">
        <v>165</v>
      </c>
      <c r="E1233" s="11" t="str">
        <f>+HYPERLINK("http://trademark.i-assist.jp/data/china/image_1901th/78962619.pdf", "78962619")</f>
        <v>78962619</v>
      </c>
      <c r="F1233" s="10" t="s">
        <v>3607</v>
      </c>
      <c r="G1233" s="10" t="s">
        <v>3608</v>
      </c>
      <c r="H1233" s="10" t="s">
        <v>3609</v>
      </c>
      <c r="I1233" s="10" t="s">
        <v>3479</v>
      </c>
    </row>
    <row r="1234" spans="1:9" x14ac:dyDescent="0.15">
      <c r="A1234" s="9">
        <v>1233</v>
      </c>
      <c r="B1234" s="10" t="s">
        <v>9</v>
      </c>
      <c r="C1234" s="10" t="s">
        <v>164</v>
      </c>
      <c r="D1234" s="10" t="s">
        <v>165</v>
      </c>
      <c r="E1234" s="11" t="str">
        <f>+HYPERLINK("http://trademark.i-assist.jp/data/china/image_1901th/78963013.pdf", "78963013")</f>
        <v>78963013</v>
      </c>
      <c r="F1234" s="10" t="s">
        <v>3610</v>
      </c>
      <c r="G1234" s="10" t="s">
        <v>3611</v>
      </c>
      <c r="H1234" s="10" t="s">
        <v>3612</v>
      </c>
      <c r="I1234" s="10" t="s">
        <v>3479</v>
      </c>
    </row>
    <row r="1235" spans="1:9" x14ac:dyDescent="0.15">
      <c r="A1235" s="9">
        <v>1234</v>
      </c>
      <c r="B1235" s="10" t="s">
        <v>9</v>
      </c>
      <c r="C1235" s="10" t="s">
        <v>164</v>
      </c>
      <c r="D1235" s="10" t="s">
        <v>165</v>
      </c>
      <c r="E1235" s="11" t="str">
        <f>+HYPERLINK("http://trademark.i-assist.jp/data/china/image_1901th/78963312.pdf", "78963312")</f>
        <v>78963312</v>
      </c>
      <c r="F1235" s="10" t="s">
        <v>3613</v>
      </c>
      <c r="G1235" s="10" t="s">
        <v>3614</v>
      </c>
      <c r="H1235" s="10" t="s">
        <v>3615</v>
      </c>
      <c r="I1235" s="10" t="s">
        <v>3479</v>
      </c>
    </row>
    <row r="1236" spans="1:9" x14ac:dyDescent="0.15">
      <c r="A1236" s="9">
        <v>1235</v>
      </c>
      <c r="B1236" s="10" t="s">
        <v>9</v>
      </c>
      <c r="C1236" s="10" t="s">
        <v>164</v>
      </c>
      <c r="D1236" s="10" t="s">
        <v>165</v>
      </c>
      <c r="E1236" s="11" t="str">
        <f>+HYPERLINK("http://trademark.i-assist.jp/data/china/image_1901th/78963483.pdf", "78963483")</f>
        <v>78963483</v>
      </c>
      <c r="F1236" s="10" t="s">
        <v>3616</v>
      </c>
      <c r="G1236" s="10" t="s">
        <v>3617</v>
      </c>
      <c r="H1236" s="10" t="s">
        <v>3618</v>
      </c>
      <c r="I1236" s="10" t="s">
        <v>3479</v>
      </c>
    </row>
    <row r="1237" spans="1:9" x14ac:dyDescent="0.15">
      <c r="A1237" s="9">
        <v>1236</v>
      </c>
      <c r="B1237" s="10" t="s">
        <v>9</v>
      </c>
      <c r="C1237" s="10" t="s">
        <v>164</v>
      </c>
      <c r="D1237" s="10" t="s">
        <v>165</v>
      </c>
      <c r="E1237" s="11" t="str">
        <f>+HYPERLINK("http://trademark.i-assist.jp/data/china/image_1901th/78963522.pdf", "78963522")</f>
        <v>78963522</v>
      </c>
      <c r="F1237" s="10" t="s">
        <v>3619</v>
      </c>
      <c r="G1237" s="10" t="s">
        <v>3620</v>
      </c>
      <c r="H1237" s="10" t="s">
        <v>3621</v>
      </c>
      <c r="I1237" s="10" t="s">
        <v>3479</v>
      </c>
    </row>
    <row r="1238" spans="1:9" x14ac:dyDescent="0.15">
      <c r="A1238" s="9">
        <v>1237</v>
      </c>
      <c r="B1238" s="10" t="s">
        <v>9</v>
      </c>
      <c r="C1238" s="10" t="s">
        <v>164</v>
      </c>
      <c r="D1238" s="10" t="s">
        <v>165</v>
      </c>
      <c r="E1238" s="11" t="str">
        <f>+HYPERLINK("http://trademark.i-assist.jp/data/china/image_1901th/78963627.pdf", "78963627")</f>
        <v>78963627</v>
      </c>
      <c r="F1238" s="10" t="s">
        <v>3622</v>
      </c>
      <c r="G1238" s="10" t="s">
        <v>3623</v>
      </c>
      <c r="H1238" s="10" t="s">
        <v>3624</v>
      </c>
      <c r="I1238" s="10" t="s">
        <v>3479</v>
      </c>
    </row>
    <row r="1239" spans="1:9" x14ac:dyDescent="0.15">
      <c r="A1239" s="9">
        <v>1238</v>
      </c>
      <c r="B1239" s="10" t="s">
        <v>9</v>
      </c>
      <c r="C1239" s="10" t="s">
        <v>164</v>
      </c>
      <c r="D1239" s="10" t="s">
        <v>165</v>
      </c>
      <c r="E1239" s="11" t="str">
        <f>+HYPERLINK("http://trademark.i-assist.jp/data/china/image_1901th/78963908.pdf", "78963908")</f>
        <v>78963908</v>
      </c>
      <c r="F1239" s="10" t="s">
        <v>3625</v>
      </c>
      <c r="G1239" s="10" t="s">
        <v>3521</v>
      </c>
      <c r="H1239" s="10" t="s">
        <v>3626</v>
      </c>
      <c r="I1239" s="10" t="s">
        <v>3479</v>
      </c>
    </row>
    <row r="1240" spans="1:9" x14ac:dyDescent="0.15">
      <c r="A1240" s="9">
        <v>1239</v>
      </c>
      <c r="B1240" s="10" t="s">
        <v>9</v>
      </c>
      <c r="C1240" s="10" t="s">
        <v>164</v>
      </c>
      <c r="D1240" s="10" t="s">
        <v>165</v>
      </c>
      <c r="E1240" s="11" t="str">
        <f>+HYPERLINK("http://trademark.i-assist.jp/data/china/image_1901th/78964209.pdf", "78964209")</f>
        <v>78964209</v>
      </c>
      <c r="F1240" s="10" t="s">
        <v>3627</v>
      </c>
      <c r="G1240" s="10" t="s">
        <v>3628</v>
      </c>
      <c r="H1240" s="10" t="s">
        <v>3629</v>
      </c>
      <c r="I1240" s="10" t="s">
        <v>3479</v>
      </c>
    </row>
    <row r="1241" spans="1:9" x14ac:dyDescent="0.15">
      <c r="A1241" s="9">
        <v>1240</v>
      </c>
      <c r="B1241" s="10" t="s">
        <v>9</v>
      </c>
      <c r="C1241" s="10" t="s">
        <v>164</v>
      </c>
      <c r="D1241" s="10" t="s">
        <v>165</v>
      </c>
      <c r="E1241" s="11" t="str">
        <f>+HYPERLINK("http://trademark.i-assist.jp/data/china/image_1901th/78964949.pdf", "78964949")</f>
        <v>78964949</v>
      </c>
      <c r="F1241" s="10" t="s">
        <v>3630</v>
      </c>
      <c r="G1241" s="10" t="s">
        <v>3631</v>
      </c>
      <c r="H1241" s="10" t="s">
        <v>3629</v>
      </c>
      <c r="I1241" s="10" t="s">
        <v>3479</v>
      </c>
    </row>
    <row r="1242" spans="1:9" x14ac:dyDescent="0.15">
      <c r="A1242" s="9">
        <v>1241</v>
      </c>
      <c r="B1242" s="10" t="s">
        <v>9</v>
      </c>
      <c r="C1242" s="10" t="s">
        <v>164</v>
      </c>
      <c r="D1242" s="10" t="s">
        <v>165</v>
      </c>
      <c r="E1242" s="11" t="str">
        <f>+HYPERLINK("http://trademark.i-assist.jp/data/china/image_1901th/78965143.pdf", "78965143")</f>
        <v>78965143</v>
      </c>
      <c r="F1242" s="10" t="s">
        <v>3632</v>
      </c>
      <c r="G1242" s="10" t="s">
        <v>3633</v>
      </c>
      <c r="H1242" s="10" t="s">
        <v>3634</v>
      </c>
      <c r="I1242" s="10" t="s">
        <v>3479</v>
      </c>
    </row>
    <row r="1243" spans="1:9" x14ac:dyDescent="0.15">
      <c r="A1243" s="9">
        <v>1242</v>
      </c>
      <c r="B1243" s="10" t="s">
        <v>9</v>
      </c>
      <c r="C1243" s="10" t="s">
        <v>164</v>
      </c>
      <c r="D1243" s="10" t="s">
        <v>165</v>
      </c>
      <c r="E1243" s="11" t="str">
        <f>+HYPERLINK("http://trademark.i-assist.jp/data/china/image_1901th/78965264.pdf", "78965264")</f>
        <v>78965264</v>
      </c>
      <c r="F1243" s="10" t="s">
        <v>3635</v>
      </c>
      <c r="G1243" s="10" t="s">
        <v>3636</v>
      </c>
      <c r="H1243" s="10" t="s">
        <v>3637</v>
      </c>
      <c r="I1243" s="10" t="s">
        <v>3479</v>
      </c>
    </row>
    <row r="1244" spans="1:9" x14ac:dyDescent="0.15">
      <c r="A1244" s="9">
        <v>1243</v>
      </c>
      <c r="B1244" s="10" t="s">
        <v>9</v>
      </c>
      <c r="C1244" s="10" t="s">
        <v>164</v>
      </c>
      <c r="D1244" s="10" t="s">
        <v>165</v>
      </c>
      <c r="E1244" s="11" t="str">
        <f>+HYPERLINK("http://trademark.i-assist.jp/data/china/image_1901th/78965277.pdf", "78965277")</f>
        <v>78965277</v>
      </c>
      <c r="F1244" s="10" t="s">
        <v>3638</v>
      </c>
      <c r="G1244" s="10" t="s">
        <v>3639</v>
      </c>
      <c r="H1244" s="10" t="s">
        <v>3640</v>
      </c>
      <c r="I1244" s="10" t="s">
        <v>3479</v>
      </c>
    </row>
    <row r="1245" spans="1:9" x14ac:dyDescent="0.15">
      <c r="A1245" s="9">
        <v>1244</v>
      </c>
      <c r="B1245" s="10" t="s">
        <v>9</v>
      </c>
      <c r="C1245" s="10" t="s">
        <v>164</v>
      </c>
      <c r="D1245" s="10" t="s">
        <v>165</v>
      </c>
      <c r="E1245" s="11" t="str">
        <f>+HYPERLINK("http://trademark.i-assist.jp/data/china/image_1901th/78965854.pdf", "78965854")</f>
        <v>78965854</v>
      </c>
      <c r="F1245" s="10" t="s">
        <v>3641</v>
      </c>
      <c r="G1245" s="10" t="s">
        <v>3521</v>
      </c>
      <c r="H1245" s="10" t="s">
        <v>3642</v>
      </c>
      <c r="I1245" s="10" t="s">
        <v>3479</v>
      </c>
    </row>
    <row r="1246" spans="1:9" x14ac:dyDescent="0.15">
      <c r="A1246" s="9">
        <v>1245</v>
      </c>
      <c r="B1246" s="10" t="s">
        <v>9</v>
      </c>
      <c r="C1246" s="10" t="s">
        <v>164</v>
      </c>
      <c r="D1246" s="10" t="s">
        <v>165</v>
      </c>
      <c r="E1246" s="11" t="str">
        <f>+HYPERLINK("http://trademark.i-assist.jp/data/china/image_1901th/78965955.pdf", "78965955")</f>
        <v>78965955</v>
      </c>
      <c r="F1246" s="10" t="s">
        <v>3643</v>
      </c>
      <c r="G1246" s="10" t="s">
        <v>3644</v>
      </c>
      <c r="H1246" s="10" t="s">
        <v>3645</v>
      </c>
      <c r="I1246" s="10" t="s">
        <v>3479</v>
      </c>
    </row>
    <row r="1247" spans="1:9" x14ac:dyDescent="0.15">
      <c r="A1247" s="9">
        <v>1246</v>
      </c>
      <c r="B1247" s="10" t="s">
        <v>9</v>
      </c>
      <c r="C1247" s="10" t="s">
        <v>164</v>
      </c>
      <c r="D1247" s="10" t="s">
        <v>165</v>
      </c>
      <c r="E1247" s="11" t="str">
        <f>+HYPERLINK("http://trademark.i-assist.jp/data/china/image_1901th/78966354.pdf", "78966354")</f>
        <v>78966354</v>
      </c>
      <c r="F1247" s="10" t="s">
        <v>3646</v>
      </c>
      <c r="G1247" s="10" t="s">
        <v>3647</v>
      </c>
      <c r="H1247" s="10" t="s">
        <v>3648</v>
      </c>
      <c r="I1247" s="10" t="s">
        <v>3479</v>
      </c>
    </row>
    <row r="1248" spans="1:9" x14ac:dyDescent="0.15">
      <c r="A1248" s="9">
        <v>1247</v>
      </c>
      <c r="B1248" s="10" t="s">
        <v>9</v>
      </c>
      <c r="C1248" s="10" t="s">
        <v>164</v>
      </c>
      <c r="D1248" s="10" t="s">
        <v>165</v>
      </c>
      <c r="E1248" s="11" t="str">
        <f>+HYPERLINK("http://trademark.i-assist.jp/data/china/image_1901th/78966420.pdf", "78966420")</f>
        <v>78966420</v>
      </c>
      <c r="F1248" s="10" t="s">
        <v>3649</v>
      </c>
      <c r="G1248" s="10" t="s">
        <v>3078</v>
      </c>
      <c r="H1248" s="10" t="s">
        <v>3650</v>
      </c>
      <c r="I1248" s="10" t="s">
        <v>3479</v>
      </c>
    </row>
    <row r="1249" spans="1:9" x14ac:dyDescent="0.15">
      <c r="A1249" s="9">
        <v>1248</v>
      </c>
      <c r="B1249" s="10" t="s">
        <v>9</v>
      </c>
      <c r="C1249" s="10" t="s">
        <v>164</v>
      </c>
      <c r="D1249" s="10" t="s">
        <v>165</v>
      </c>
      <c r="E1249" s="11" t="str">
        <f>+HYPERLINK("http://trademark.i-assist.jp/data/china/image_1901th/78966556.pdf", "78966556")</f>
        <v>78966556</v>
      </c>
      <c r="F1249" s="10" t="s">
        <v>3651</v>
      </c>
      <c r="G1249" s="10" t="s">
        <v>3652</v>
      </c>
      <c r="H1249" s="10" t="s">
        <v>3653</v>
      </c>
      <c r="I1249" s="10" t="s">
        <v>3479</v>
      </c>
    </row>
    <row r="1250" spans="1:9" x14ac:dyDescent="0.15">
      <c r="A1250" s="9">
        <v>1249</v>
      </c>
      <c r="B1250" s="10" t="s">
        <v>9</v>
      </c>
      <c r="C1250" s="10" t="s">
        <v>164</v>
      </c>
      <c r="D1250" s="10" t="s">
        <v>165</v>
      </c>
      <c r="E1250" s="11" t="str">
        <f>+HYPERLINK("http://trademark.i-assist.jp/data/china/image_1901th/78966565.pdf", "78966565")</f>
        <v>78966565</v>
      </c>
      <c r="F1250" s="10" t="s">
        <v>3654</v>
      </c>
      <c r="G1250" s="10" t="s">
        <v>3655</v>
      </c>
      <c r="H1250" s="10" t="s">
        <v>3656</v>
      </c>
      <c r="I1250" s="10" t="s">
        <v>3479</v>
      </c>
    </row>
    <row r="1251" spans="1:9" x14ac:dyDescent="0.15">
      <c r="A1251" s="9">
        <v>1250</v>
      </c>
      <c r="B1251" s="10" t="s">
        <v>9</v>
      </c>
      <c r="C1251" s="10" t="s">
        <v>164</v>
      </c>
      <c r="D1251" s="10" t="s">
        <v>165</v>
      </c>
      <c r="E1251" s="11" t="str">
        <f>+HYPERLINK("http://trademark.i-assist.jp/data/china/image_1901th/78966651.pdf", "78966651")</f>
        <v>78966651</v>
      </c>
      <c r="F1251" s="10" t="s">
        <v>3657</v>
      </c>
      <c r="G1251" s="10" t="s">
        <v>3658</v>
      </c>
      <c r="H1251" s="10" t="s">
        <v>3659</v>
      </c>
      <c r="I1251" s="10" t="s">
        <v>3479</v>
      </c>
    </row>
    <row r="1252" spans="1:9" x14ac:dyDescent="0.15">
      <c r="A1252" s="9">
        <v>1251</v>
      </c>
      <c r="B1252" s="10" t="s">
        <v>9</v>
      </c>
      <c r="C1252" s="10" t="s">
        <v>164</v>
      </c>
      <c r="D1252" s="10" t="s">
        <v>165</v>
      </c>
      <c r="E1252" s="11" t="str">
        <f>+HYPERLINK("http://trademark.i-assist.jp/data/china/image_1901th/78966710.pdf", "78966710")</f>
        <v>78966710</v>
      </c>
      <c r="F1252" s="10" t="s">
        <v>3660</v>
      </c>
      <c r="G1252" s="10" t="s">
        <v>3661</v>
      </c>
      <c r="H1252" s="10" t="s">
        <v>3662</v>
      </c>
      <c r="I1252" s="10" t="s">
        <v>3479</v>
      </c>
    </row>
    <row r="1253" spans="1:9" x14ac:dyDescent="0.15">
      <c r="A1253" s="9">
        <v>1252</v>
      </c>
      <c r="B1253" s="10" t="s">
        <v>9</v>
      </c>
      <c r="C1253" s="10" t="s">
        <v>164</v>
      </c>
      <c r="D1253" s="10" t="s">
        <v>165</v>
      </c>
      <c r="E1253" s="11" t="str">
        <f>+HYPERLINK("http://trademark.i-assist.jp/data/china/image_1901th/78966924.pdf", "78966924")</f>
        <v>78966924</v>
      </c>
      <c r="F1253" s="10" t="s">
        <v>3663</v>
      </c>
      <c r="G1253" s="10" t="s">
        <v>3664</v>
      </c>
      <c r="H1253" s="10" t="s">
        <v>3665</v>
      </c>
      <c r="I1253" s="10" t="s">
        <v>3479</v>
      </c>
    </row>
    <row r="1254" spans="1:9" x14ac:dyDescent="0.15">
      <c r="A1254" s="9">
        <v>1253</v>
      </c>
      <c r="B1254" s="10" t="s">
        <v>9</v>
      </c>
      <c r="C1254" s="10" t="s">
        <v>164</v>
      </c>
      <c r="D1254" s="10" t="s">
        <v>165</v>
      </c>
      <c r="E1254" s="11" t="str">
        <f>+HYPERLINK("http://trademark.i-assist.jp/data/china/image_1901th/78967218.pdf", "78967218")</f>
        <v>78967218</v>
      </c>
      <c r="F1254" s="10" t="s">
        <v>3666</v>
      </c>
      <c r="G1254" s="10" t="s">
        <v>3667</v>
      </c>
      <c r="H1254" s="10" t="s">
        <v>3668</v>
      </c>
      <c r="I1254" s="10" t="s">
        <v>3479</v>
      </c>
    </row>
    <row r="1255" spans="1:9" x14ac:dyDescent="0.15">
      <c r="A1255" s="9">
        <v>1254</v>
      </c>
      <c r="B1255" s="10" t="s">
        <v>9</v>
      </c>
      <c r="C1255" s="10" t="s">
        <v>164</v>
      </c>
      <c r="D1255" s="10" t="s">
        <v>165</v>
      </c>
      <c r="E1255" s="11" t="str">
        <f>+HYPERLINK("http://trademark.i-assist.jp/data/china/image_1901th/78967376.pdf", "78967376")</f>
        <v>78967376</v>
      </c>
      <c r="F1255" s="10" t="s">
        <v>3669</v>
      </c>
      <c r="G1255" s="10" t="s">
        <v>3670</v>
      </c>
      <c r="H1255" s="10" t="s">
        <v>3671</v>
      </c>
      <c r="I1255" s="10" t="s">
        <v>3479</v>
      </c>
    </row>
    <row r="1256" spans="1:9" x14ac:dyDescent="0.15">
      <c r="A1256" s="9">
        <v>1255</v>
      </c>
      <c r="B1256" s="10" t="s">
        <v>9</v>
      </c>
      <c r="C1256" s="10" t="s">
        <v>164</v>
      </c>
      <c r="D1256" s="10" t="s">
        <v>165</v>
      </c>
      <c r="E1256" s="11" t="str">
        <f>+HYPERLINK("http://trademark.i-assist.jp/data/china/image_1901th/78967912.pdf", "78967912")</f>
        <v>78967912</v>
      </c>
      <c r="F1256" s="10" t="s">
        <v>3672</v>
      </c>
      <c r="G1256" s="10" t="s">
        <v>3623</v>
      </c>
      <c r="H1256" s="10" t="s">
        <v>3673</v>
      </c>
      <c r="I1256" s="10" t="s">
        <v>3479</v>
      </c>
    </row>
    <row r="1257" spans="1:9" x14ac:dyDescent="0.15">
      <c r="A1257" s="9">
        <v>1256</v>
      </c>
      <c r="B1257" s="10" t="s">
        <v>9</v>
      </c>
      <c r="C1257" s="10" t="s">
        <v>164</v>
      </c>
      <c r="D1257" s="10" t="s">
        <v>165</v>
      </c>
      <c r="E1257" s="11" t="str">
        <f>+HYPERLINK("http://trademark.i-assist.jp/data/china/image_1901th/78968845.pdf", "78968845")</f>
        <v>78968845</v>
      </c>
      <c r="F1257" s="10" t="s">
        <v>3674</v>
      </c>
      <c r="G1257" s="10" t="s">
        <v>3585</v>
      </c>
      <c r="H1257" s="10" t="s">
        <v>3675</v>
      </c>
      <c r="I1257" s="10" t="s">
        <v>3479</v>
      </c>
    </row>
    <row r="1258" spans="1:9" x14ac:dyDescent="0.15">
      <c r="A1258" s="9">
        <v>1257</v>
      </c>
      <c r="B1258" s="10" t="s">
        <v>9</v>
      </c>
      <c r="C1258" s="10" t="s">
        <v>164</v>
      </c>
      <c r="D1258" s="10" t="s">
        <v>165</v>
      </c>
      <c r="E1258" s="11" t="str">
        <f>+HYPERLINK("http://trademark.i-assist.jp/data/china/image_1901th/78968911.pdf", "78968911")</f>
        <v>78968911</v>
      </c>
      <c r="F1258" s="10" t="s">
        <v>3676</v>
      </c>
      <c r="G1258" s="10" t="s">
        <v>3677</v>
      </c>
      <c r="H1258" s="10" t="s">
        <v>3678</v>
      </c>
      <c r="I1258" s="10" t="s">
        <v>3479</v>
      </c>
    </row>
    <row r="1259" spans="1:9" x14ac:dyDescent="0.15">
      <c r="A1259" s="9">
        <v>1258</v>
      </c>
      <c r="B1259" s="10" t="s">
        <v>9</v>
      </c>
      <c r="C1259" s="10" t="s">
        <v>164</v>
      </c>
      <c r="D1259" s="10" t="s">
        <v>165</v>
      </c>
      <c r="E1259" s="11" t="str">
        <f>+HYPERLINK("http://trademark.i-assist.jp/data/china/image_1901th/78968940.pdf", "78968940")</f>
        <v>78968940</v>
      </c>
      <c r="F1259" s="10" t="s">
        <v>3679</v>
      </c>
      <c r="G1259" s="10" t="s">
        <v>3680</v>
      </c>
      <c r="H1259" s="10" t="s">
        <v>3681</v>
      </c>
      <c r="I1259" s="10" t="s">
        <v>3479</v>
      </c>
    </row>
    <row r="1260" spans="1:9" x14ac:dyDescent="0.15">
      <c r="A1260" s="9">
        <v>1259</v>
      </c>
      <c r="B1260" s="10" t="s">
        <v>9</v>
      </c>
      <c r="C1260" s="10" t="s">
        <v>164</v>
      </c>
      <c r="D1260" s="10" t="s">
        <v>165</v>
      </c>
      <c r="E1260" s="11" t="str">
        <f>+HYPERLINK("http://trademark.i-assist.jp/data/china/image_1901th/78969906.pdf", "78969906")</f>
        <v>78969906</v>
      </c>
      <c r="F1260" s="10" t="s">
        <v>3682</v>
      </c>
      <c r="G1260" s="10" t="s">
        <v>3683</v>
      </c>
      <c r="H1260" s="10" t="s">
        <v>3684</v>
      </c>
      <c r="I1260" s="10" t="s">
        <v>3479</v>
      </c>
    </row>
    <row r="1261" spans="1:9" x14ac:dyDescent="0.15">
      <c r="A1261" s="9">
        <v>1260</v>
      </c>
      <c r="B1261" s="10" t="s">
        <v>9</v>
      </c>
      <c r="C1261" s="10" t="s">
        <v>164</v>
      </c>
      <c r="D1261" s="10" t="s">
        <v>165</v>
      </c>
      <c r="E1261" s="11" t="str">
        <f>+HYPERLINK("http://trademark.i-assist.jp/data/china/image_1901th/78969915.pdf", "78969915")</f>
        <v>78969915</v>
      </c>
      <c r="F1261" s="10" t="s">
        <v>3685</v>
      </c>
      <c r="G1261" s="10" t="s">
        <v>3686</v>
      </c>
      <c r="H1261" s="10" t="s">
        <v>3687</v>
      </c>
      <c r="I1261" s="10" t="s">
        <v>3479</v>
      </c>
    </row>
    <row r="1262" spans="1:9" x14ac:dyDescent="0.15">
      <c r="A1262" s="9">
        <v>1261</v>
      </c>
      <c r="B1262" s="10" t="s">
        <v>9</v>
      </c>
      <c r="C1262" s="10" t="s">
        <v>164</v>
      </c>
      <c r="D1262" s="10" t="s">
        <v>165</v>
      </c>
      <c r="E1262" s="11" t="str">
        <f>+HYPERLINK("http://trademark.i-assist.jp/data/china/image_1901th/78969954.pdf", "78969954")</f>
        <v>78969954</v>
      </c>
      <c r="F1262" s="10" t="s">
        <v>3688</v>
      </c>
      <c r="G1262" s="10" t="s">
        <v>3689</v>
      </c>
      <c r="H1262" s="10" t="s">
        <v>3690</v>
      </c>
      <c r="I1262" s="10" t="s">
        <v>3479</v>
      </c>
    </row>
    <row r="1263" spans="1:9" x14ac:dyDescent="0.15">
      <c r="A1263" s="9">
        <v>1262</v>
      </c>
      <c r="B1263" s="10" t="s">
        <v>9</v>
      </c>
      <c r="C1263" s="10" t="s">
        <v>164</v>
      </c>
      <c r="D1263" s="10" t="s">
        <v>165</v>
      </c>
      <c r="E1263" s="11" t="str">
        <f>+HYPERLINK("http://trademark.i-assist.jp/data/china/image_1901th/78969982.pdf", "78969982")</f>
        <v>78969982</v>
      </c>
      <c r="F1263" s="10" t="s">
        <v>3691</v>
      </c>
      <c r="G1263" s="10" t="s">
        <v>3521</v>
      </c>
      <c r="H1263" s="10" t="s">
        <v>3692</v>
      </c>
      <c r="I1263" s="10" t="s">
        <v>3479</v>
      </c>
    </row>
    <row r="1264" spans="1:9" x14ac:dyDescent="0.15">
      <c r="A1264" s="9">
        <v>1263</v>
      </c>
      <c r="B1264" s="10" t="s">
        <v>9</v>
      </c>
      <c r="C1264" s="10" t="s">
        <v>164</v>
      </c>
      <c r="D1264" s="10" t="s">
        <v>165</v>
      </c>
      <c r="E1264" s="11" t="str">
        <f>+HYPERLINK("http://trademark.i-assist.jp/data/china/image_1901th/78970144.pdf", "78970144")</f>
        <v>78970144</v>
      </c>
      <c r="F1264" s="10" t="s">
        <v>3693</v>
      </c>
      <c r="G1264" s="10" t="s">
        <v>3694</v>
      </c>
      <c r="H1264" s="10" t="s">
        <v>3695</v>
      </c>
      <c r="I1264" s="10" t="s">
        <v>3479</v>
      </c>
    </row>
    <row r="1265" spans="1:9" x14ac:dyDescent="0.15">
      <c r="A1265" s="9">
        <v>1264</v>
      </c>
      <c r="B1265" s="10" t="s">
        <v>9</v>
      </c>
      <c r="C1265" s="10" t="s">
        <v>164</v>
      </c>
      <c r="D1265" s="10" t="s">
        <v>165</v>
      </c>
      <c r="E1265" s="11" t="str">
        <f>+HYPERLINK("http://trademark.i-assist.jp/data/china/image_1901th/78970175.pdf", "78970175")</f>
        <v>78970175</v>
      </c>
      <c r="F1265" s="10" t="s">
        <v>3696</v>
      </c>
      <c r="G1265" s="10" t="s">
        <v>3697</v>
      </c>
      <c r="H1265" s="10" t="s">
        <v>3698</v>
      </c>
      <c r="I1265" s="10" t="s">
        <v>3479</v>
      </c>
    </row>
    <row r="1266" spans="1:9" x14ac:dyDescent="0.15">
      <c r="A1266" s="9">
        <v>1265</v>
      </c>
      <c r="B1266" s="10" t="s">
        <v>9</v>
      </c>
      <c r="C1266" s="10" t="s">
        <v>164</v>
      </c>
      <c r="D1266" s="10" t="s">
        <v>165</v>
      </c>
      <c r="E1266" s="11" t="str">
        <f>+HYPERLINK("http://trademark.i-assist.jp/data/china/image_1901th/78970180.pdf", "78970180")</f>
        <v>78970180</v>
      </c>
      <c r="F1266" s="10" t="s">
        <v>12</v>
      </c>
      <c r="G1266" s="10" t="s">
        <v>3697</v>
      </c>
      <c r="H1266" s="10" t="s">
        <v>3699</v>
      </c>
      <c r="I1266" s="10" t="s">
        <v>3479</v>
      </c>
    </row>
    <row r="1267" spans="1:9" x14ac:dyDescent="0.15">
      <c r="A1267" s="9">
        <v>1266</v>
      </c>
      <c r="B1267" s="10" t="s">
        <v>9</v>
      </c>
      <c r="C1267" s="10" t="s">
        <v>164</v>
      </c>
      <c r="D1267" s="10" t="s">
        <v>165</v>
      </c>
      <c r="E1267" s="11" t="str">
        <f>+HYPERLINK("http://trademark.i-assist.jp/data/china/image_1901th/78970341.pdf", "78970341")</f>
        <v>78970341</v>
      </c>
      <c r="F1267" s="10" t="s">
        <v>3700</v>
      </c>
      <c r="G1267" s="10" t="s">
        <v>3701</v>
      </c>
      <c r="H1267" s="10" t="s">
        <v>3702</v>
      </c>
      <c r="I1267" s="10" t="s">
        <v>3479</v>
      </c>
    </row>
    <row r="1268" spans="1:9" x14ac:dyDescent="0.15">
      <c r="A1268" s="9">
        <v>1267</v>
      </c>
      <c r="B1268" s="10" t="s">
        <v>9</v>
      </c>
      <c r="C1268" s="10" t="s">
        <v>164</v>
      </c>
      <c r="D1268" s="10" t="s">
        <v>165</v>
      </c>
      <c r="E1268" s="11" t="str">
        <f>+HYPERLINK("http://trademark.i-assist.jp/data/china/image_1901th/78970467.pdf", "78970467")</f>
        <v>78970467</v>
      </c>
      <c r="F1268" s="10" t="s">
        <v>3703</v>
      </c>
      <c r="G1268" s="10" t="s">
        <v>3704</v>
      </c>
      <c r="H1268" s="10" t="s">
        <v>3705</v>
      </c>
      <c r="I1268" s="10" t="s">
        <v>3479</v>
      </c>
    </row>
    <row r="1269" spans="1:9" x14ac:dyDescent="0.15">
      <c r="A1269" s="9">
        <v>1268</v>
      </c>
      <c r="B1269" s="10" t="s">
        <v>9</v>
      </c>
      <c r="C1269" s="10" t="s">
        <v>164</v>
      </c>
      <c r="D1269" s="10" t="s">
        <v>165</v>
      </c>
      <c r="E1269" s="11" t="str">
        <f>+HYPERLINK("http://trademark.i-assist.jp/data/china/image_1901th/78970479.pdf", "78970479")</f>
        <v>78970479</v>
      </c>
      <c r="F1269" s="10" t="s">
        <v>3706</v>
      </c>
      <c r="G1269" s="10" t="s">
        <v>3707</v>
      </c>
      <c r="H1269" s="10" t="s">
        <v>3708</v>
      </c>
      <c r="I1269" s="10" t="s">
        <v>3479</v>
      </c>
    </row>
    <row r="1270" spans="1:9" x14ac:dyDescent="0.15">
      <c r="A1270" s="9">
        <v>1269</v>
      </c>
      <c r="B1270" s="10" t="s">
        <v>9</v>
      </c>
      <c r="C1270" s="10" t="s">
        <v>164</v>
      </c>
      <c r="D1270" s="10" t="s">
        <v>165</v>
      </c>
      <c r="E1270" s="11" t="str">
        <f>+HYPERLINK("http://trademark.i-assist.jp/data/china/image_1901th/78970873.pdf", "78970873")</f>
        <v>78970873</v>
      </c>
      <c r="F1270" s="10" t="s">
        <v>3709</v>
      </c>
      <c r="G1270" s="10" t="s">
        <v>3611</v>
      </c>
      <c r="H1270" s="10" t="s">
        <v>3710</v>
      </c>
      <c r="I1270" s="10" t="s">
        <v>3479</v>
      </c>
    </row>
    <row r="1271" spans="1:9" x14ac:dyDescent="0.15">
      <c r="A1271" s="9">
        <v>1270</v>
      </c>
      <c r="B1271" s="10" t="s">
        <v>9</v>
      </c>
      <c r="C1271" s="10" t="s">
        <v>164</v>
      </c>
      <c r="D1271" s="10" t="s">
        <v>165</v>
      </c>
      <c r="E1271" s="11" t="str">
        <f>+HYPERLINK("http://trademark.i-assist.jp/data/china/image_1901th/78971613.pdf", "78971613")</f>
        <v>78971613</v>
      </c>
      <c r="F1271" s="10" t="s">
        <v>3711</v>
      </c>
      <c r="G1271" s="10" t="s">
        <v>3712</v>
      </c>
      <c r="H1271" s="10" t="s">
        <v>3713</v>
      </c>
      <c r="I1271" s="10" t="s">
        <v>3479</v>
      </c>
    </row>
    <row r="1272" spans="1:9" x14ac:dyDescent="0.15">
      <c r="A1272" s="9">
        <v>1271</v>
      </c>
      <c r="B1272" s="10" t="s">
        <v>9</v>
      </c>
      <c r="C1272" s="10" t="s">
        <v>164</v>
      </c>
      <c r="D1272" s="10" t="s">
        <v>165</v>
      </c>
      <c r="E1272" s="11" t="str">
        <f>+HYPERLINK("http://trademark.i-assist.jp/data/china/image_1901th/78971692.pdf", "78971692")</f>
        <v>78971692</v>
      </c>
      <c r="F1272" s="10" t="s">
        <v>3714</v>
      </c>
      <c r="G1272" s="10" t="s">
        <v>3715</v>
      </c>
      <c r="H1272" s="10" t="s">
        <v>3716</v>
      </c>
      <c r="I1272" s="10" t="s">
        <v>3479</v>
      </c>
    </row>
    <row r="1273" spans="1:9" x14ac:dyDescent="0.15">
      <c r="A1273" s="9">
        <v>1272</v>
      </c>
      <c r="B1273" s="10" t="s">
        <v>9</v>
      </c>
      <c r="C1273" s="10" t="s">
        <v>164</v>
      </c>
      <c r="D1273" s="10" t="s">
        <v>165</v>
      </c>
      <c r="E1273" s="11" t="str">
        <f>+HYPERLINK("http://trademark.i-assist.jp/data/china/image_1901th/78971741.pdf", "78971741")</f>
        <v>78971741</v>
      </c>
      <c r="F1273" s="10" t="s">
        <v>3717</v>
      </c>
      <c r="G1273" s="10" t="s">
        <v>3527</v>
      </c>
      <c r="H1273" s="10" t="s">
        <v>3718</v>
      </c>
      <c r="I1273" s="10" t="s">
        <v>3479</v>
      </c>
    </row>
    <row r="1274" spans="1:9" x14ac:dyDescent="0.15">
      <c r="A1274" s="9">
        <v>1273</v>
      </c>
      <c r="B1274" s="10" t="s">
        <v>9</v>
      </c>
      <c r="C1274" s="10" t="s">
        <v>164</v>
      </c>
      <c r="D1274" s="10" t="s">
        <v>165</v>
      </c>
      <c r="E1274" s="11" t="str">
        <f>+HYPERLINK("http://trademark.i-assist.jp/data/china/image_1901th/78971757.pdf", "78971757")</f>
        <v>78971757</v>
      </c>
      <c r="F1274" s="10" t="s">
        <v>3719</v>
      </c>
      <c r="G1274" s="10" t="s">
        <v>3720</v>
      </c>
      <c r="H1274" s="10" t="s">
        <v>3721</v>
      </c>
      <c r="I1274" s="10" t="s">
        <v>3479</v>
      </c>
    </row>
    <row r="1275" spans="1:9" x14ac:dyDescent="0.15">
      <c r="A1275" s="9">
        <v>1274</v>
      </c>
      <c r="B1275" s="10" t="s">
        <v>9</v>
      </c>
      <c r="C1275" s="10" t="s">
        <v>164</v>
      </c>
      <c r="D1275" s="10" t="s">
        <v>165</v>
      </c>
      <c r="E1275" s="11" t="str">
        <f>+HYPERLINK("http://trademark.i-assist.jp/data/china/image_1901th/78971787.pdf", "78971787")</f>
        <v>78971787</v>
      </c>
      <c r="F1275" s="10" t="s">
        <v>3722</v>
      </c>
      <c r="G1275" s="10" t="s">
        <v>3723</v>
      </c>
      <c r="H1275" s="10" t="s">
        <v>3724</v>
      </c>
      <c r="I1275" s="10" t="s">
        <v>3479</v>
      </c>
    </row>
    <row r="1276" spans="1:9" x14ac:dyDescent="0.15">
      <c r="A1276" s="9">
        <v>1275</v>
      </c>
      <c r="B1276" s="10" t="s">
        <v>9</v>
      </c>
      <c r="C1276" s="10" t="s">
        <v>164</v>
      </c>
      <c r="D1276" s="10" t="s">
        <v>165</v>
      </c>
      <c r="E1276" s="11" t="str">
        <f>+HYPERLINK("http://trademark.i-assist.jp/data/china/image_1901th/78971960.pdf", "78971960")</f>
        <v>78971960</v>
      </c>
      <c r="F1276" s="10" t="s">
        <v>3725</v>
      </c>
      <c r="G1276" s="10" t="s">
        <v>3726</v>
      </c>
      <c r="H1276" s="10" t="s">
        <v>3727</v>
      </c>
      <c r="I1276" s="10" t="s">
        <v>3479</v>
      </c>
    </row>
    <row r="1277" spans="1:9" x14ac:dyDescent="0.15">
      <c r="A1277" s="9">
        <v>1276</v>
      </c>
      <c r="B1277" s="10" t="s">
        <v>9</v>
      </c>
      <c r="C1277" s="10" t="s">
        <v>164</v>
      </c>
      <c r="D1277" s="10" t="s">
        <v>165</v>
      </c>
      <c r="E1277" s="11" t="str">
        <f>+HYPERLINK("http://trademark.i-assist.jp/data/china/image_1901th/78972010.pdf", "78972010")</f>
        <v>78972010</v>
      </c>
      <c r="F1277" s="10" t="s">
        <v>3728</v>
      </c>
      <c r="G1277" s="10" t="s">
        <v>3729</v>
      </c>
      <c r="H1277" s="10" t="s">
        <v>3730</v>
      </c>
      <c r="I1277" s="10" t="s">
        <v>3479</v>
      </c>
    </row>
    <row r="1278" spans="1:9" x14ac:dyDescent="0.15">
      <c r="A1278" s="9">
        <v>1277</v>
      </c>
      <c r="B1278" s="10" t="s">
        <v>9</v>
      </c>
      <c r="C1278" s="10" t="s">
        <v>164</v>
      </c>
      <c r="D1278" s="10" t="s">
        <v>165</v>
      </c>
      <c r="E1278" s="11" t="str">
        <f>+HYPERLINK("http://trademark.i-assist.jp/data/china/image_1901th/78972505.pdf", "78972505")</f>
        <v>78972505</v>
      </c>
      <c r="F1278" s="10" t="s">
        <v>3731</v>
      </c>
      <c r="G1278" s="10" t="s">
        <v>3574</v>
      </c>
      <c r="H1278" s="10" t="s">
        <v>3732</v>
      </c>
      <c r="I1278" s="10" t="s">
        <v>3479</v>
      </c>
    </row>
    <row r="1279" spans="1:9" x14ac:dyDescent="0.15">
      <c r="A1279" s="9">
        <v>1278</v>
      </c>
      <c r="B1279" s="10" t="s">
        <v>9</v>
      </c>
      <c r="C1279" s="10" t="s">
        <v>164</v>
      </c>
      <c r="D1279" s="10" t="s">
        <v>165</v>
      </c>
      <c r="E1279" s="11" t="str">
        <f>+HYPERLINK("http://trademark.i-assist.jp/data/china/image_1901th/78972692.pdf", "78972692")</f>
        <v>78972692</v>
      </c>
      <c r="F1279" s="10" t="s">
        <v>3733</v>
      </c>
      <c r="G1279" s="10" t="s">
        <v>3734</v>
      </c>
      <c r="H1279" s="10" t="s">
        <v>3735</v>
      </c>
      <c r="I1279" s="10" t="s">
        <v>3479</v>
      </c>
    </row>
    <row r="1280" spans="1:9" x14ac:dyDescent="0.15">
      <c r="A1280" s="9">
        <v>1279</v>
      </c>
      <c r="B1280" s="10" t="s">
        <v>9</v>
      </c>
      <c r="C1280" s="10" t="s">
        <v>164</v>
      </c>
      <c r="D1280" s="10" t="s">
        <v>165</v>
      </c>
      <c r="E1280" s="11" t="str">
        <f>+HYPERLINK("http://trademark.i-assist.jp/data/china/image_1901th/78972713.pdf", "78972713")</f>
        <v>78972713</v>
      </c>
      <c r="F1280" s="10" t="s">
        <v>3736</v>
      </c>
      <c r="G1280" s="10" t="s">
        <v>3565</v>
      </c>
      <c r="H1280" s="10" t="s">
        <v>3737</v>
      </c>
      <c r="I1280" s="10" t="s">
        <v>3479</v>
      </c>
    </row>
    <row r="1281" spans="1:9" x14ac:dyDescent="0.15">
      <c r="A1281" s="9">
        <v>1280</v>
      </c>
      <c r="B1281" s="10" t="s">
        <v>9</v>
      </c>
      <c r="C1281" s="10" t="s">
        <v>164</v>
      </c>
      <c r="D1281" s="10" t="s">
        <v>165</v>
      </c>
      <c r="E1281" s="11" t="str">
        <f>+HYPERLINK("http://trademark.i-assist.jp/data/china/image_1901th/78972733.pdf", "78972733")</f>
        <v>78972733</v>
      </c>
      <c r="F1281" s="10" t="s">
        <v>3738</v>
      </c>
      <c r="G1281" s="10" t="s">
        <v>3739</v>
      </c>
      <c r="H1281" s="10" t="s">
        <v>3740</v>
      </c>
      <c r="I1281" s="10" t="s">
        <v>3479</v>
      </c>
    </row>
    <row r="1282" spans="1:9" x14ac:dyDescent="0.15">
      <c r="A1282" s="9">
        <v>1281</v>
      </c>
      <c r="B1282" s="10" t="s">
        <v>9</v>
      </c>
      <c r="C1282" s="10" t="s">
        <v>164</v>
      </c>
      <c r="D1282" s="10" t="s">
        <v>165</v>
      </c>
      <c r="E1282" s="11" t="str">
        <f>+HYPERLINK("http://trademark.i-assist.jp/data/china/image_1901th/78972880.pdf", "78972880")</f>
        <v>78972880</v>
      </c>
      <c r="F1282" s="10" t="s">
        <v>3741</v>
      </c>
      <c r="G1282" s="10" t="s">
        <v>3742</v>
      </c>
      <c r="H1282" s="10" t="s">
        <v>3743</v>
      </c>
      <c r="I1282" s="10" t="s">
        <v>3479</v>
      </c>
    </row>
    <row r="1283" spans="1:9" x14ac:dyDescent="0.15">
      <c r="A1283" s="9">
        <v>1282</v>
      </c>
      <c r="B1283" s="10" t="s">
        <v>9</v>
      </c>
      <c r="C1283" s="10" t="s">
        <v>164</v>
      </c>
      <c r="D1283" s="10" t="s">
        <v>165</v>
      </c>
      <c r="E1283" s="11" t="str">
        <f>+HYPERLINK("http://trademark.i-assist.jp/data/china/image_1901th/78972983.pdf", "78972983")</f>
        <v>78972983</v>
      </c>
      <c r="F1283" s="10" t="s">
        <v>3744</v>
      </c>
      <c r="G1283" s="10" t="s">
        <v>3745</v>
      </c>
      <c r="H1283" s="10" t="s">
        <v>3746</v>
      </c>
      <c r="I1283" s="10" t="s">
        <v>3479</v>
      </c>
    </row>
    <row r="1284" spans="1:9" x14ac:dyDescent="0.15">
      <c r="A1284" s="9">
        <v>1283</v>
      </c>
      <c r="B1284" s="10" t="s">
        <v>9</v>
      </c>
      <c r="C1284" s="10" t="s">
        <v>164</v>
      </c>
      <c r="D1284" s="10" t="s">
        <v>165</v>
      </c>
      <c r="E1284" s="11" t="str">
        <f>+HYPERLINK("http://trademark.i-assist.jp/data/china/image_1901th/78973227.pdf", "78973227")</f>
        <v>78973227</v>
      </c>
      <c r="F1284" s="10" t="s">
        <v>3747</v>
      </c>
      <c r="G1284" s="10" t="s">
        <v>3608</v>
      </c>
      <c r="H1284" s="10" t="s">
        <v>3748</v>
      </c>
      <c r="I1284" s="10" t="s">
        <v>3479</v>
      </c>
    </row>
    <row r="1285" spans="1:9" x14ac:dyDescent="0.15">
      <c r="A1285" s="9">
        <v>1284</v>
      </c>
      <c r="B1285" s="10" t="s">
        <v>9</v>
      </c>
      <c r="C1285" s="10" t="s">
        <v>164</v>
      </c>
      <c r="D1285" s="10" t="s">
        <v>165</v>
      </c>
      <c r="E1285" s="11" t="str">
        <f>+HYPERLINK("http://trademark.i-assist.jp/data/china/image_1901th/78973703.pdf", "78973703")</f>
        <v>78973703</v>
      </c>
      <c r="F1285" s="10" t="s">
        <v>3749</v>
      </c>
      <c r="G1285" s="10" t="s">
        <v>3750</v>
      </c>
      <c r="H1285" s="10" t="s">
        <v>3751</v>
      </c>
      <c r="I1285" s="10" t="s">
        <v>3479</v>
      </c>
    </row>
    <row r="1286" spans="1:9" x14ac:dyDescent="0.15">
      <c r="A1286" s="9">
        <v>1285</v>
      </c>
      <c r="B1286" s="10" t="s">
        <v>9</v>
      </c>
      <c r="C1286" s="10" t="s">
        <v>164</v>
      </c>
      <c r="D1286" s="10" t="s">
        <v>165</v>
      </c>
      <c r="E1286" s="11" t="str">
        <f>+HYPERLINK("http://trademark.i-assist.jp/data/china/image_1901th/78973798.pdf", "78973798")</f>
        <v>78973798</v>
      </c>
      <c r="F1286" s="10" t="s">
        <v>3752</v>
      </c>
      <c r="G1286" s="10" t="s">
        <v>3753</v>
      </c>
      <c r="H1286" s="10" t="s">
        <v>3754</v>
      </c>
      <c r="I1286" s="10" t="s">
        <v>3479</v>
      </c>
    </row>
    <row r="1287" spans="1:9" x14ac:dyDescent="0.15">
      <c r="A1287" s="9">
        <v>1286</v>
      </c>
      <c r="B1287" s="10" t="s">
        <v>9</v>
      </c>
      <c r="C1287" s="10" t="s">
        <v>164</v>
      </c>
      <c r="D1287" s="10" t="s">
        <v>165</v>
      </c>
      <c r="E1287" s="11" t="str">
        <f>+HYPERLINK("http://trademark.i-assist.jp/data/china/image_1901th/78973802.pdf", "78973802")</f>
        <v>78973802</v>
      </c>
      <c r="F1287" s="10" t="s">
        <v>3755</v>
      </c>
      <c r="G1287" s="10" t="s">
        <v>3756</v>
      </c>
      <c r="H1287" s="10" t="s">
        <v>19</v>
      </c>
      <c r="I1287" s="10" t="s">
        <v>3479</v>
      </c>
    </row>
    <row r="1288" spans="1:9" x14ac:dyDescent="0.15">
      <c r="A1288" s="9">
        <v>1287</v>
      </c>
      <c r="B1288" s="10" t="s">
        <v>9</v>
      </c>
      <c r="C1288" s="10" t="s">
        <v>164</v>
      </c>
      <c r="D1288" s="10" t="s">
        <v>165</v>
      </c>
      <c r="E1288" s="11" t="str">
        <f>+HYPERLINK("http://trademark.i-assist.jp/data/china/image_1901th/78974081.pdf", "78974081")</f>
        <v>78974081</v>
      </c>
      <c r="F1288" s="10" t="s">
        <v>3757</v>
      </c>
      <c r="G1288" s="10" t="s">
        <v>3758</v>
      </c>
      <c r="H1288" s="10" t="s">
        <v>3759</v>
      </c>
      <c r="I1288" s="10" t="s">
        <v>3479</v>
      </c>
    </row>
    <row r="1289" spans="1:9" x14ac:dyDescent="0.15">
      <c r="A1289" s="9">
        <v>1288</v>
      </c>
      <c r="B1289" s="10" t="s">
        <v>9</v>
      </c>
      <c r="C1289" s="10" t="s">
        <v>164</v>
      </c>
      <c r="D1289" s="10" t="s">
        <v>165</v>
      </c>
      <c r="E1289" s="11" t="str">
        <f>+HYPERLINK("http://trademark.i-assist.jp/data/china/image_1901th/78974269.pdf", "78974269")</f>
        <v>78974269</v>
      </c>
      <c r="F1289" s="10" t="s">
        <v>3760</v>
      </c>
      <c r="G1289" s="10" t="s">
        <v>3623</v>
      </c>
      <c r="H1289" s="10" t="s">
        <v>3761</v>
      </c>
      <c r="I1289" s="10" t="s">
        <v>3479</v>
      </c>
    </row>
    <row r="1290" spans="1:9" x14ac:dyDescent="0.15">
      <c r="A1290" s="9">
        <v>1289</v>
      </c>
      <c r="B1290" s="10" t="s">
        <v>9</v>
      </c>
      <c r="C1290" s="10" t="s">
        <v>164</v>
      </c>
      <c r="D1290" s="10" t="s">
        <v>165</v>
      </c>
      <c r="E1290" s="11" t="str">
        <f>+HYPERLINK("http://trademark.i-assist.jp/data/china/image_1901th/78974275.pdf", "78974275")</f>
        <v>78974275</v>
      </c>
      <c r="F1290" s="10" t="s">
        <v>3762</v>
      </c>
      <c r="G1290" s="10" t="s">
        <v>3763</v>
      </c>
      <c r="H1290" s="10" t="s">
        <v>3764</v>
      </c>
      <c r="I1290" s="10" t="s">
        <v>3479</v>
      </c>
    </row>
    <row r="1291" spans="1:9" x14ac:dyDescent="0.15">
      <c r="A1291" s="9">
        <v>1290</v>
      </c>
      <c r="B1291" s="10" t="s">
        <v>9</v>
      </c>
      <c r="C1291" s="10" t="s">
        <v>164</v>
      </c>
      <c r="D1291" s="10" t="s">
        <v>165</v>
      </c>
      <c r="E1291" s="11" t="str">
        <f>+HYPERLINK("http://trademark.i-assist.jp/data/china/image_1901th/78974306.pdf", "78974306")</f>
        <v>78974306</v>
      </c>
      <c r="F1291" s="10" t="s">
        <v>3765</v>
      </c>
      <c r="G1291" s="10" t="s">
        <v>75</v>
      </c>
      <c r="H1291" s="10" t="s">
        <v>3766</v>
      </c>
      <c r="I1291" s="10" t="s">
        <v>3479</v>
      </c>
    </row>
    <row r="1292" spans="1:9" x14ac:dyDescent="0.15">
      <c r="A1292" s="9">
        <v>1291</v>
      </c>
      <c r="B1292" s="10" t="s">
        <v>9</v>
      </c>
      <c r="C1292" s="10" t="s">
        <v>164</v>
      </c>
      <c r="D1292" s="10" t="s">
        <v>165</v>
      </c>
      <c r="E1292" s="11" t="str">
        <f>+HYPERLINK("http://trademark.i-assist.jp/data/china/image_1901th/78974624.pdf", "78974624")</f>
        <v>78974624</v>
      </c>
      <c r="F1292" s="10" t="s">
        <v>3767</v>
      </c>
      <c r="G1292" s="10" t="s">
        <v>3768</v>
      </c>
      <c r="H1292" s="10" t="s">
        <v>3769</v>
      </c>
      <c r="I1292" s="10" t="s">
        <v>3479</v>
      </c>
    </row>
    <row r="1293" spans="1:9" x14ac:dyDescent="0.15">
      <c r="A1293" s="9">
        <v>1292</v>
      </c>
      <c r="B1293" s="10" t="s">
        <v>9</v>
      </c>
      <c r="C1293" s="10" t="s">
        <v>164</v>
      </c>
      <c r="D1293" s="10" t="s">
        <v>165</v>
      </c>
      <c r="E1293" s="11" t="str">
        <f>+HYPERLINK("http://trademark.i-assist.jp/data/china/image_1901th/78974737.pdf", "78974737")</f>
        <v>78974737</v>
      </c>
      <c r="F1293" s="10" t="s">
        <v>3770</v>
      </c>
      <c r="G1293" s="10" t="s">
        <v>124</v>
      </c>
      <c r="H1293" s="10" t="s">
        <v>3771</v>
      </c>
      <c r="I1293" s="10" t="s">
        <v>3479</v>
      </c>
    </row>
    <row r="1294" spans="1:9" x14ac:dyDescent="0.15">
      <c r="A1294" s="9">
        <v>1293</v>
      </c>
      <c r="B1294" s="10" t="s">
        <v>9</v>
      </c>
      <c r="C1294" s="10" t="s">
        <v>164</v>
      </c>
      <c r="D1294" s="10" t="s">
        <v>165</v>
      </c>
      <c r="E1294" s="11" t="str">
        <f>+HYPERLINK("http://trademark.i-assist.jp/data/china/image_1901th/78974756.pdf", "78974756")</f>
        <v>78974756</v>
      </c>
      <c r="F1294" s="10" t="s">
        <v>3772</v>
      </c>
      <c r="G1294" s="10" t="s">
        <v>3773</v>
      </c>
      <c r="H1294" s="10" t="s">
        <v>3774</v>
      </c>
      <c r="I1294" s="10" t="s">
        <v>3479</v>
      </c>
    </row>
    <row r="1295" spans="1:9" x14ac:dyDescent="0.15">
      <c r="A1295" s="9">
        <v>1294</v>
      </c>
      <c r="B1295" s="10" t="s">
        <v>9</v>
      </c>
      <c r="C1295" s="10" t="s">
        <v>164</v>
      </c>
      <c r="D1295" s="10" t="s">
        <v>165</v>
      </c>
      <c r="E1295" s="11" t="str">
        <f>+HYPERLINK("http://trademark.i-assist.jp/data/china/image_1901th/78975281.pdf", "78975281")</f>
        <v>78975281</v>
      </c>
      <c r="F1295" s="10" t="s">
        <v>3775</v>
      </c>
      <c r="G1295" s="10" t="s">
        <v>3734</v>
      </c>
      <c r="H1295" s="10" t="s">
        <v>3776</v>
      </c>
      <c r="I1295" s="10" t="s">
        <v>3479</v>
      </c>
    </row>
    <row r="1296" spans="1:9" x14ac:dyDescent="0.15">
      <c r="A1296" s="9">
        <v>1295</v>
      </c>
      <c r="B1296" s="10" t="s">
        <v>9</v>
      </c>
      <c r="C1296" s="10" t="s">
        <v>164</v>
      </c>
      <c r="D1296" s="10" t="s">
        <v>165</v>
      </c>
      <c r="E1296" s="11" t="str">
        <f>+HYPERLINK("http://trademark.i-assist.jp/data/china/image_1901th/78975540.pdf", "78975540")</f>
        <v>78975540</v>
      </c>
      <c r="F1296" s="10" t="s">
        <v>12</v>
      </c>
      <c r="G1296" s="10" t="s">
        <v>3777</v>
      </c>
      <c r="H1296" s="10" t="s">
        <v>3778</v>
      </c>
      <c r="I1296" s="10" t="s">
        <v>3479</v>
      </c>
    </row>
    <row r="1297" spans="1:9" x14ac:dyDescent="0.15">
      <c r="A1297" s="9">
        <v>1296</v>
      </c>
      <c r="B1297" s="10" t="s">
        <v>9</v>
      </c>
      <c r="C1297" s="10" t="s">
        <v>164</v>
      </c>
      <c r="D1297" s="10" t="s">
        <v>165</v>
      </c>
      <c r="E1297" s="11" t="str">
        <f>+HYPERLINK("http://trademark.i-assist.jp/data/china/image_1901th/78976013.pdf", "78976013")</f>
        <v>78976013</v>
      </c>
      <c r="F1297" s="10" t="s">
        <v>3779</v>
      </c>
      <c r="G1297" s="10" t="s">
        <v>3780</v>
      </c>
      <c r="H1297" s="10" t="s">
        <v>3781</v>
      </c>
      <c r="I1297" s="10" t="s">
        <v>3479</v>
      </c>
    </row>
    <row r="1298" spans="1:9" x14ac:dyDescent="0.15">
      <c r="A1298" s="9">
        <v>1297</v>
      </c>
      <c r="B1298" s="10" t="s">
        <v>9</v>
      </c>
      <c r="C1298" s="10" t="s">
        <v>164</v>
      </c>
      <c r="D1298" s="10" t="s">
        <v>165</v>
      </c>
      <c r="E1298" s="11" t="str">
        <f>+HYPERLINK("http://trademark.i-assist.jp/data/china/image_1901th/78976073.pdf", "78976073")</f>
        <v>78976073</v>
      </c>
      <c r="F1298" s="10" t="s">
        <v>3782</v>
      </c>
      <c r="G1298" s="10" t="s">
        <v>3783</v>
      </c>
      <c r="H1298" s="10" t="s">
        <v>3784</v>
      </c>
      <c r="I1298" s="10" t="s">
        <v>3479</v>
      </c>
    </row>
    <row r="1299" spans="1:9" x14ac:dyDescent="0.15">
      <c r="A1299" s="9">
        <v>1298</v>
      </c>
      <c r="B1299" s="10" t="s">
        <v>9</v>
      </c>
      <c r="C1299" s="10" t="s">
        <v>164</v>
      </c>
      <c r="D1299" s="10" t="s">
        <v>165</v>
      </c>
      <c r="E1299" s="11" t="str">
        <f>+HYPERLINK("http://trademark.i-assist.jp/data/china/image_1901th/78976382.pdf", "78976382")</f>
        <v>78976382</v>
      </c>
      <c r="F1299" s="10" t="s">
        <v>3785</v>
      </c>
      <c r="G1299" s="10" t="s">
        <v>3786</v>
      </c>
      <c r="H1299" s="10" t="s">
        <v>3787</v>
      </c>
      <c r="I1299" s="10" t="s">
        <v>3479</v>
      </c>
    </row>
    <row r="1300" spans="1:9" x14ac:dyDescent="0.15">
      <c r="A1300" s="9">
        <v>1299</v>
      </c>
      <c r="B1300" s="10" t="s">
        <v>9</v>
      </c>
      <c r="C1300" s="10" t="s">
        <v>164</v>
      </c>
      <c r="D1300" s="10" t="s">
        <v>165</v>
      </c>
      <c r="E1300" s="11" t="str">
        <f>+HYPERLINK("http://trademark.i-assist.jp/data/china/image_1901th/78976431.pdf", "78976431")</f>
        <v>78976431</v>
      </c>
      <c r="F1300" s="10" t="s">
        <v>3788</v>
      </c>
      <c r="G1300" s="10" t="s">
        <v>3786</v>
      </c>
      <c r="H1300" s="10" t="s">
        <v>3789</v>
      </c>
      <c r="I1300" s="10" t="s">
        <v>3479</v>
      </c>
    </row>
    <row r="1301" spans="1:9" x14ac:dyDescent="0.15">
      <c r="A1301" s="9">
        <v>1300</v>
      </c>
      <c r="B1301" s="10" t="s">
        <v>9</v>
      </c>
      <c r="C1301" s="10" t="s">
        <v>164</v>
      </c>
      <c r="D1301" s="10" t="s">
        <v>165</v>
      </c>
      <c r="E1301" s="11" t="str">
        <f>+HYPERLINK("http://trademark.i-assist.jp/data/china/image_1901th/78976661.pdf", "78976661")</f>
        <v>78976661</v>
      </c>
      <c r="F1301" s="10" t="s">
        <v>3790</v>
      </c>
      <c r="G1301" s="10" t="s">
        <v>3791</v>
      </c>
      <c r="H1301" s="10" t="s">
        <v>3792</v>
      </c>
      <c r="I1301" s="10" t="s">
        <v>3479</v>
      </c>
    </row>
    <row r="1302" spans="1:9" x14ac:dyDescent="0.15">
      <c r="A1302" s="9">
        <v>1301</v>
      </c>
      <c r="B1302" s="10" t="s">
        <v>9</v>
      </c>
      <c r="C1302" s="10" t="s">
        <v>164</v>
      </c>
      <c r="D1302" s="10" t="s">
        <v>165</v>
      </c>
      <c r="E1302" s="11" t="str">
        <f>+HYPERLINK("http://trademark.i-assist.jp/data/china/image_1901th/78976818.pdf", "78976818")</f>
        <v>78976818</v>
      </c>
      <c r="F1302" s="10" t="s">
        <v>3793</v>
      </c>
      <c r="G1302" s="10" t="s">
        <v>3794</v>
      </c>
      <c r="H1302" s="10" t="s">
        <v>3795</v>
      </c>
      <c r="I1302" s="10" t="s">
        <v>3479</v>
      </c>
    </row>
    <row r="1303" spans="1:9" x14ac:dyDescent="0.15">
      <c r="A1303" s="9">
        <v>1302</v>
      </c>
      <c r="B1303" s="10" t="s">
        <v>9</v>
      </c>
      <c r="C1303" s="10" t="s">
        <v>164</v>
      </c>
      <c r="D1303" s="10" t="s">
        <v>165</v>
      </c>
      <c r="E1303" s="11" t="str">
        <f>+HYPERLINK("http://trademark.i-assist.jp/data/china/image_1901th/78976885.pdf", "78976885")</f>
        <v>78976885</v>
      </c>
      <c r="F1303" s="10" t="s">
        <v>3796</v>
      </c>
      <c r="G1303" s="10" t="s">
        <v>3797</v>
      </c>
      <c r="H1303" s="10" t="s">
        <v>3798</v>
      </c>
      <c r="I1303" s="10" t="s">
        <v>3479</v>
      </c>
    </row>
    <row r="1304" spans="1:9" x14ac:dyDescent="0.15">
      <c r="A1304" s="9">
        <v>1303</v>
      </c>
      <c r="B1304" s="10" t="s">
        <v>9</v>
      </c>
      <c r="C1304" s="10" t="s">
        <v>164</v>
      </c>
      <c r="D1304" s="10" t="s">
        <v>165</v>
      </c>
      <c r="E1304" s="11" t="str">
        <f>+HYPERLINK("http://trademark.i-assist.jp/data/china/image_1901th/78976932.pdf", "78976932")</f>
        <v>78976932</v>
      </c>
      <c r="F1304" s="10" t="s">
        <v>3799</v>
      </c>
      <c r="G1304" s="10" t="s">
        <v>3800</v>
      </c>
      <c r="H1304" s="10" t="s">
        <v>3801</v>
      </c>
      <c r="I1304" s="10" t="s">
        <v>3479</v>
      </c>
    </row>
    <row r="1305" spans="1:9" x14ac:dyDescent="0.15">
      <c r="A1305" s="9">
        <v>1304</v>
      </c>
      <c r="B1305" s="10" t="s">
        <v>9</v>
      </c>
      <c r="C1305" s="10" t="s">
        <v>164</v>
      </c>
      <c r="D1305" s="10" t="s">
        <v>165</v>
      </c>
      <c r="E1305" s="11" t="str">
        <f>+HYPERLINK("http://trademark.i-assist.jp/data/china/image_1901th/78977660.pdf", "78977660")</f>
        <v>78977660</v>
      </c>
      <c r="F1305" s="10" t="s">
        <v>3802</v>
      </c>
      <c r="G1305" s="10" t="s">
        <v>3803</v>
      </c>
      <c r="H1305" s="10" t="s">
        <v>3804</v>
      </c>
      <c r="I1305" s="10" t="s">
        <v>3805</v>
      </c>
    </row>
    <row r="1306" spans="1:9" x14ac:dyDescent="0.15">
      <c r="A1306" s="9">
        <v>1305</v>
      </c>
      <c r="B1306" s="10" t="s">
        <v>9</v>
      </c>
      <c r="C1306" s="10" t="s">
        <v>164</v>
      </c>
      <c r="D1306" s="10" t="s">
        <v>165</v>
      </c>
      <c r="E1306" s="11" t="str">
        <f>+HYPERLINK("http://trademark.i-assist.jp/data/china/image_1901th/78977684.pdf", "78977684")</f>
        <v>78977684</v>
      </c>
      <c r="F1306" s="10" t="s">
        <v>3806</v>
      </c>
      <c r="G1306" s="10" t="s">
        <v>3807</v>
      </c>
      <c r="H1306" s="10" t="s">
        <v>3808</v>
      </c>
      <c r="I1306" s="10" t="s">
        <v>3805</v>
      </c>
    </row>
    <row r="1307" spans="1:9" x14ac:dyDescent="0.15">
      <c r="A1307" s="9">
        <v>1306</v>
      </c>
      <c r="B1307" s="10" t="s">
        <v>9</v>
      </c>
      <c r="C1307" s="10" t="s">
        <v>164</v>
      </c>
      <c r="D1307" s="10" t="s">
        <v>165</v>
      </c>
      <c r="E1307" s="11" t="str">
        <f>+HYPERLINK("http://trademark.i-assist.jp/data/china/image_1901th/78977734.pdf", "78977734")</f>
        <v>78977734</v>
      </c>
      <c r="F1307" s="10" t="s">
        <v>3809</v>
      </c>
      <c r="G1307" s="10" t="s">
        <v>2678</v>
      </c>
      <c r="H1307" s="10" t="s">
        <v>3810</v>
      </c>
      <c r="I1307" s="10" t="s">
        <v>3805</v>
      </c>
    </row>
    <row r="1308" spans="1:9" x14ac:dyDescent="0.15">
      <c r="A1308" s="9">
        <v>1307</v>
      </c>
      <c r="B1308" s="10" t="s">
        <v>9</v>
      </c>
      <c r="C1308" s="10" t="s">
        <v>164</v>
      </c>
      <c r="D1308" s="10" t="s">
        <v>165</v>
      </c>
      <c r="E1308" s="11" t="str">
        <f>+HYPERLINK("http://trademark.i-assist.jp/data/china/image_1901th/78977946.pdf", "78977946")</f>
        <v>78977946</v>
      </c>
      <c r="F1308" s="10" t="s">
        <v>3811</v>
      </c>
      <c r="G1308" s="10" t="s">
        <v>3812</v>
      </c>
      <c r="H1308" s="10" t="s">
        <v>3813</v>
      </c>
      <c r="I1308" s="10" t="s">
        <v>3805</v>
      </c>
    </row>
    <row r="1309" spans="1:9" x14ac:dyDescent="0.15">
      <c r="A1309" s="9">
        <v>1308</v>
      </c>
      <c r="B1309" s="10" t="s">
        <v>9</v>
      </c>
      <c r="C1309" s="10" t="s">
        <v>164</v>
      </c>
      <c r="D1309" s="10" t="s">
        <v>165</v>
      </c>
      <c r="E1309" s="11" t="str">
        <f>+HYPERLINK("http://trademark.i-assist.jp/data/china/image_1901th/78978346.pdf", "78978346")</f>
        <v>78978346</v>
      </c>
      <c r="F1309" s="10" t="s">
        <v>3814</v>
      </c>
      <c r="G1309" s="10" t="s">
        <v>3815</v>
      </c>
      <c r="H1309" s="10" t="s">
        <v>3816</v>
      </c>
      <c r="I1309" s="10" t="s">
        <v>3805</v>
      </c>
    </row>
    <row r="1310" spans="1:9" x14ac:dyDescent="0.15">
      <c r="A1310" s="9">
        <v>1309</v>
      </c>
      <c r="B1310" s="10" t="s">
        <v>9</v>
      </c>
      <c r="C1310" s="10" t="s">
        <v>164</v>
      </c>
      <c r="D1310" s="10" t="s">
        <v>165</v>
      </c>
      <c r="E1310" s="11" t="str">
        <f>+HYPERLINK("http://trademark.i-assist.jp/data/china/image_1901th/78978357.pdf", "78978357")</f>
        <v>78978357</v>
      </c>
      <c r="F1310" s="10" t="s">
        <v>3817</v>
      </c>
      <c r="G1310" s="10" t="s">
        <v>3818</v>
      </c>
      <c r="H1310" s="10" t="s">
        <v>3819</v>
      </c>
      <c r="I1310" s="10" t="s">
        <v>3805</v>
      </c>
    </row>
    <row r="1311" spans="1:9" x14ac:dyDescent="0.15">
      <c r="A1311" s="9">
        <v>1310</v>
      </c>
      <c r="B1311" s="10" t="s">
        <v>9</v>
      </c>
      <c r="C1311" s="10" t="s">
        <v>164</v>
      </c>
      <c r="D1311" s="10" t="s">
        <v>165</v>
      </c>
      <c r="E1311" s="11" t="str">
        <f>+HYPERLINK("http://trademark.i-assist.jp/data/china/image_1901th/78978723.pdf", "78978723")</f>
        <v>78978723</v>
      </c>
      <c r="F1311" s="10" t="s">
        <v>3820</v>
      </c>
      <c r="G1311" s="10" t="s">
        <v>3821</v>
      </c>
      <c r="H1311" s="10" t="s">
        <v>3822</v>
      </c>
      <c r="I1311" s="10" t="s">
        <v>3805</v>
      </c>
    </row>
    <row r="1312" spans="1:9" x14ac:dyDescent="0.15">
      <c r="A1312" s="9">
        <v>1311</v>
      </c>
      <c r="B1312" s="10" t="s">
        <v>9</v>
      </c>
      <c r="C1312" s="10" t="s">
        <v>164</v>
      </c>
      <c r="D1312" s="10" t="s">
        <v>165</v>
      </c>
      <c r="E1312" s="11" t="str">
        <f>+HYPERLINK("http://trademark.i-assist.jp/data/china/image_1901th/78979138.pdf", "78979138")</f>
        <v>78979138</v>
      </c>
      <c r="F1312" s="10" t="s">
        <v>12</v>
      </c>
      <c r="G1312" s="10" t="s">
        <v>3823</v>
      </c>
      <c r="H1312" s="10" t="s">
        <v>3824</v>
      </c>
      <c r="I1312" s="10" t="s">
        <v>3805</v>
      </c>
    </row>
    <row r="1313" spans="1:9" x14ac:dyDescent="0.15">
      <c r="A1313" s="9">
        <v>1312</v>
      </c>
      <c r="B1313" s="10" t="s">
        <v>9</v>
      </c>
      <c r="C1313" s="10" t="s">
        <v>164</v>
      </c>
      <c r="D1313" s="10" t="s">
        <v>165</v>
      </c>
      <c r="E1313" s="11" t="str">
        <f>+HYPERLINK("http://trademark.i-assist.jp/data/china/image_1901th/78979234.pdf", "78979234")</f>
        <v>78979234</v>
      </c>
      <c r="F1313" s="10" t="s">
        <v>3825</v>
      </c>
      <c r="G1313" s="10" t="s">
        <v>3826</v>
      </c>
      <c r="H1313" s="10" t="s">
        <v>3827</v>
      </c>
      <c r="I1313" s="10" t="s">
        <v>3805</v>
      </c>
    </row>
    <row r="1314" spans="1:9" x14ac:dyDescent="0.15">
      <c r="A1314" s="9">
        <v>1313</v>
      </c>
      <c r="B1314" s="10" t="s">
        <v>9</v>
      </c>
      <c r="C1314" s="10" t="s">
        <v>164</v>
      </c>
      <c r="D1314" s="10" t="s">
        <v>165</v>
      </c>
      <c r="E1314" s="11" t="str">
        <f>+HYPERLINK("http://trademark.i-assist.jp/data/china/image_1901th/78979693.pdf", "78979693")</f>
        <v>78979693</v>
      </c>
      <c r="F1314" s="10" t="s">
        <v>3828</v>
      </c>
      <c r="G1314" s="10" t="s">
        <v>3803</v>
      </c>
      <c r="H1314" s="10" t="s">
        <v>3829</v>
      </c>
      <c r="I1314" s="10" t="s">
        <v>3805</v>
      </c>
    </row>
    <row r="1315" spans="1:9" x14ac:dyDescent="0.15">
      <c r="A1315" s="9">
        <v>1314</v>
      </c>
      <c r="B1315" s="10" t="s">
        <v>9</v>
      </c>
      <c r="C1315" s="10" t="s">
        <v>164</v>
      </c>
      <c r="D1315" s="10" t="s">
        <v>165</v>
      </c>
      <c r="E1315" s="11" t="str">
        <f>+HYPERLINK("http://trademark.i-assist.jp/data/china/image_1901th/78979852.pdf", "78979852")</f>
        <v>78979852</v>
      </c>
      <c r="F1315" s="10" t="s">
        <v>3830</v>
      </c>
      <c r="G1315" s="10" t="s">
        <v>3803</v>
      </c>
      <c r="H1315" s="10" t="s">
        <v>3831</v>
      </c>
      <c r="I1315" s="10" t="s">
        <v>3805</v>
      </c>
    </row>
    <row r="1316" spans="1:9" x14ac:dyDescent="0.15">
      <c r="A1316" s="9">
        <v>1315</v>
      </c>
      <c r="B1316" s="10" t="s">
        <v>9</v>
      </c>
      <c r="C1316" s="10" t="s">
        <v>164</v>
      </c>
      <c r="D1316" s="10" t="s">
        <v>165</v>
      </c>
      <c r="E1316" s="11" t="str">
        <f>+HYPERLINK("http://trademark.i-assist.jp/data/china/image_1901th/78979898.pdf", "78979898")</f>
        <v>78979898</v>
      </c>
      <c r="F1316" s="10" t="s">
        <v>3832</v>
      </c>
      <c r="G1316" s="10" t="s">
        <v>3833</v>
      </c>
      <c r="H1316" s="10" t="s">
        <v>3834</v>
      </c>
      <c r="I1316" s="10" t="s">
        <v>3805</v>
      </c>
    </row>
    <row r="1317" spans="1:9" x14ac:dyDescent="0.15">
      <c r="A1317" s="9">
        <v>1316</v>
      </c>
      <c r="B1317" s="10" t="s">
        <v>9</v>
      </c>
      <c r="C1317" s="10" t="s">
        <v>164</v>
      </c>
      <c r="D1317" s="10" t="s">
        <v>165</v>
      </c>
      <c r="E1317" s="11" t="str">
        <f>+HYPERLINK("http://trademark.i-assist.jp/data/china/image_1901th/78980265.pdf", "78980265")</f>
        <v>78980265</v>
      </c>
      <c r="F1317" s="10" t="s">
        <v>3835</v>
      </c>
      <c r="G1317" s="10" t="s">
        <v>3836</v>
      </c>
      <c r="H1317" s="10" t="s">
        <v>3837</v>
      </c>
      <c r="I1317" s="10" t="s">
        <v>3805</v>
      </c>
    </row>
    <row r="1318" spans="1:9" x14ac:dyDescent="0.15">
      <c r="A1318" s="9">
        <v>1317</v>
      </c>
      <c r="B1318" s="10" t="s">
        <v>9</v>
      </c>
      <c r="C1318" s="10" t="s">
        <v>164</v>
      </c>
      <c r="D1318" s="10" t="s">
        <v>165</v>
      </c>
      <c r="E1318" s="11" t="str">
        <f>+HYPERLINK("http://trademark.i-assist.jp/data/china/image_1901th/78980515.pdf", "78980515")</f>
        <v>78980515</v>
      </c>
      <c r="F1318" s="10" t="s">
        <v>3838</v>
      </c>
      <c r="G1318" s="10" t="s">
        <v>3803</v>
      </c>
      <c r="H1318" s="10" t="s">
        <v>3839</v>
      </c>
      <c r="I1318" s="10" t="s">
        <v>3805</v>
      </c>
    </row>
    <row r="1319" spans="1:9" x14ac:dyDescent="0.15">
      <c r="A1319" s="9">
        <v>1318</v>
      </c>
      <c r="B1319" s="10" t="s">
        <v>9</v>
      </c>
      <c r="C1319" s="10" t="s">
        <v>164</v>
      </c>
      <c r="D1319" s="10" t="s">
        <v>165</v>
      </c>
      <c r="E1319" s="11" t="str">
        <f>+HYPERLINK("http://trademark.i-assist.jp/data/china/image_1901th/78980560.pdf", "78980560")</f>
        <v>78980560</v>
      </c>
      <c r="F1319" s="10" t="s">
        <v>3840</v>
      </c>
      <c r="G1319" s="10" t="s">
        <v>3841</v>
      </c>
      <c r="H1319" s="10" t="s">
        <v>3842</v>
      </c>
      <c r="I1319" s="10" t="s">
        <v>3805</v>
      </c>
    </row>
    <row r="1320" spans="1:9" x14ac:dyDescent="0.15">
      <c r="A1320" s="9">
        <v>1319</v>
      </c>
      <c r="B1320" s="10" t="s">
        <v>9</v>
      </c>
      <c r="C1320" s="10" t="s">
        <v>164</v>
      </c>
      <c r="D1320" s="10" t="s">
        <v>165</v>
      </c>
      <c r="E1320" s="11" t="str">
        <f>+HYPERLINK("http://trademark.i-assist.jp/data/china/image_1901th/78980900.pdf", "78980900")</f>
        <v>78980900</v>
      </c>
      <c r="F1320" s="10" t="s">
        <v>3843</v>
      </c>
      <c r="G1320" s="10" t="s">
        <v>3844</v>
      </c>
      <c r="H1320" s="10" t="s">
        <v>3845</v>
      </c>
      <c r="I1320" s="10" t="s">
        <v>3805</v>
      </c>
    </row>
    <row r="1321" spans="1:9" x14ac:dyDescent="0.15">
      <c r="A1321" s="9">
        <v>1320</v>
      </c>
      <c r="B1321" s="10" t="s">
        <v>9</v>
      </c>
      <c r="C1321" s="10" t="s">
        <v>164</v>
      </c>
      <c r="D1321" s="10" t="s">
        <v>165</v>
      </c>
      <c r="E1321" s="11" t="str">
        <f>+HYPERLINK("http://trademark.i-assist.jp/data/china/image_1901th/78980906.pdf", "78980906")</f>
        <v>78980906</v>
      </c>
      <c r="F1321" s="10" t="s">
        <v>3846</v>
      </c>
      <c r="G1321" s="10" t="s">
        <v>3847</v>
      </c>
      <c r="H1321" s="10" t="s">
        <v>3848</v>
      </c>
      <c r="I1321" s="10" t="s">
        <v>3805</v>
      </c>
    </row>
    <row r="1322" spans="1:9" x14ac:dyDescent="0.15">
      <c r="A1322" s="9">
        <v>1321</v>
      </c>
      <c r="B1322" s="10" t="s">
        <v>9</v>
      </c>
      <c r="C1322" s="10" t="s">
        <v>164</v>
      </c>
      <c r="D1322" s="10" t="s">
        <v>165</v>
      </c>
      <c r="E1322" s="11" t="str">
        <f>+HYPERLINK("http://trademark.i-assist.jp/data/china/image_1901th/78980967.pdf", "78980967")</f>
        <v>78980967</v>
      </c>
      <c r="F1322" s="10" t="s">
        <v>3849</v>
      </c>
      <c r="G1322" s="10" t="s">
        <v>3850</v>
      </c>
      <c r="H1322" s="10" t="s">
        <v>3851</v>
      </c>
      <c r="I1322" s="10" t="s">
        <v>3805</v>
      </c>
    </row>
    <row r="1323" spans="1:9" x14ac:dyDescent="0.15">
      <c r="A1323" s="9">
        <v>1322</v>
      </c>
      <c r="B1323" s="10" t="s">
        <v>9</v>
      </c>
      <c r="C1323" s="10" t="s">
        <v>164</v>
      </c>
      <c r="D1323" s="10" t="s">
        <v>165</v>
      </c>
      <c r="E1323" s="11" t="str">
        <f>+HYPERLINK("http://trademark.i-assist.jp/data/china/image_1901th/78981286.pdf", "78981286")</f>
        <v>78981286</v>
      </c>
      <c r="F1323" s="10" t="s">
        <v>3852</v>
      </c>
      <c r="G1323" s="10" t="s">
        <v>3853</v>
      </c>
      <c r="H1323" s="10" t="s">
        <v>3854</v>
      </c>
      <c r="I1323" s="10" t="s">
        <v>3805</v>
      </c>
    </row>
    <row r="1324" spans="1:9" x14ac:dyDescent="0.15">
      <c r="A1324" s="9">
        <v>1323</v>
      </c>
      <c r="B1324" s="10" t="s">
        <v>9</v>
      </c>
      <c r="C1324" s="10" t="s">
        <v>164</v>
      </c>
      <c r="D1324" s="10" t="s">
        <v>165</v>
      </c>
      <c r="E1324" s="11" t="str">
        <f>+HYPERLINK("http://trademark.i-assist.jp/data/china/image_1901th/78981601.pdf", "78981601")</f>
        <v>78981601</v>
      </c>
      <c r="F1324" s="10" t="s">
        <v>3855</v>
      </c>
      <c r="G1324" s="10" t="s">
        <v>3850</v>
      </c>
      <c r="H1324" s="10" t="s">
        <v>3856</v>
      </c>
      <c r="I1324" s="10" t="s">
        <v>3805</v>
      </c>
    </row>
    <row r="1325" spans="1:9" x14ac:dyDescent="0.15">
      <c r="A1325" s="9">
        <v>1324</v>
      </c>
      <c r="B1325" s="10" t="s">
        <v>9</v>
      </c>
      <c r="C1325" s="10" t="s">
        <v>164</v>
      </c>
      <c r="D1325" s="10" t="s">
        <v>165</v>
      </c>
      <c r="E1325" s="11" t="str">
        <f>+HYPERLINK("http://trademark.i-assist.jp/data/china/image_1901th/78981743.pdf", "78981743")</f>
        <v>78981743</v>
      </c>
      <c r="F1325" s="10" t="s">
        <v>3857</v>
      </c>
      <c r="G1325" s="10" t="s">
        <v>3858</v>
      </c>
      <c r="H1325" s="10" t="s">
        <v>3859</v>
      </c>
      <c r="I1325" s="10" t="s">
        <v>3805</v>
      </c>
    </row>
    <row r="1326" spans="1:9" x14ac:dyDescent="0.15">
      <c r="A1326" s="9">
        <v>1325</v>
      </c>
      <c r="B1326" s="10" t="s">
        <v>9</v>
      </c>
      <c r="C1326" s="10" t="s">
        <v>164</v>
      </c>
      <c r="D1326" s="10" t="s">
        <v>165</v>
      </c>
      <c r="E1326" s="11" t="str">
        <f>+HYPERLINK("http://trademark.i-assist.jp/data/china/image_1901th/78981977.pdf", "78981977")</f>
        <v>78981977</v>
      </c>
      <c r="F1326" s="10" t="s">
        <v>3860</v>
      </c>
      <c r="G1326" s="10" t="s">
        <v>3861</v>
      </c>
      <c r="H1326" s="10" t="s">
        <v>3862</v>
      </c>
      <c r="I1326" s="10" t="s">
        <v>3805</v>
      </c>
    </row>
    <row r="1327" spans="1:9" x14ac:dyDescent="0.15">
      <c r="A1327" s="9">
        <v>1326</v>
      </c>
      <c r="B1327" s="10" t="s">
        <v>9</v>
      </c>
      <c r="C1327" s="10" t="s">
        <v>164</v>
      </c>
      <c r="D1327" s="10" t="s">
        <v>165</v>
      </c>
      <c r="E1327" s="11" t="str">
        <f>+HYPERLINK("http://trademark.i-assist.jp/data/china/image_1901th/78982017.pdf", "78982017")</f>
        <v>78982017</v>
      </c>
      <c r="F1327" s="10" t="s">
        <v>3863</v>
      </c>
      <c r="G1327" s="10" t="s">
        <v>3864</v>
      </c>
      <c r="H1327" s="10" t="s">
        <v>3865</v>
      </c>
      <c r="I1327" s="10" t="s">
        <v>3805</v>
      </c>
    </row>
    <row r="1328" spans="1:9" x14ac:dyDescent="0.15">
      <c r="A1328" s="9">
        <v>1327</v>
      </c>
      <c r="B1328" s="10" t="s">
        <v>9</v>
      </c>
      <c r="C1328" s="10" t="s">
        <v>164</v>
      </c>
      <c r="D1328" s="10" t="s">
        <v>165</v>
      </c>
      <c r="E1328" s="11" t="str">
        <f>+HYPERLINK("http://trademark.i-assist.jp/data/china/image_1901th/78982177.pdf", "78982177")</f>
        <v>78982177</v>
      </c>
      <c r="F1328" s="10" t="s">
        <v>3866</v>
      </c>
      <c r="G1328" s="10" t="s">
        <v>3867</v>
      </c>
      <c r="H1328" s="10" t="s">
        <v>3868</v>
      </c>
      <c r="I1328" s="10" t="s">
        <v>3805</v>
      </c>
    </row>
    <row r="1329" spans="1:9" x14ac:dyDescent="0.15">
      <c r="A1329" s="9">
        <v>1328</v>
      </c>
      <c r="B1329" s="10" t="s">
        <v>9</v>
      </c>
      <c r="C1329" s="10" t="s">
        <v>164</v>
      </c>
      <c r="D1329" s="10" t="s">
        <v>165</v>
      </c>
      <c r="E1329" s="11" t="str">
        <f>+HYPERLINK("http://trademark.i-assist.jp/data/china/image_1901th/78982310.pdf", "78982310")</f>
        <v>78982310</v>
      </c>
      <c r="F1329" s="10" t="s">
        <v>3869</v>
      </c>
      <c r="G1329" s="10" t="s">
        <v>3870</v>
      </c>
      <c r="H1329" s="10" t="s">
        <v>3871</v>
      </c>
      <c r="I1329" s="10" t="s">
        <v>3805</v>
      </c>
    </row>
    <row r="1330" spans="1:9" x14ac:dyDescent="0.15">
      <c r="A1330" s="9">
        <v>1329</v>
      </c>
      <c r="B1330" s="10" t="s">
        <v>9</v>
      </c>
      <c r="C1330" s="10" t="s">
        <v>164</v>
      </c>
      <c r="D1330" s="10" t="s">
        <v>165</v>
      </c>
      <c r="E1330" s="11" t="str">
        <f>+HYPERLINK("http://trademark.i-assist.jp/data/china/image_1901th/78983077.pdf", "78983077")</f>
        <v>78983077</v>
      </c>
      <c r="F1330" s="10" t="s">
        <v>3872</v>
      </c>
      <c r="G1330" s="10" t="s">
        <v>3873</v>
      </c>
      <c r="H1330" s="10" t="s">
        <v>3874</v>
      </c>
      <c r="I1330" s="10" t="s">
        <v>3875</v>
      </c>
    </row>
    <row r="1331" spans="1:9" x14ac:dyDescent="0.15">
      <c r="A1331" s="9">
        <v>1330</v>
      </c>
      <c r="B1331" s="10" t="s">
        <v>9</v>
      </c>
      <c r="C1331" s="10" t="s">
        <v>164</v>
      </c>
      <c r="D1331" s="10" t="s">
        <v>165</v>
      </c>
      <c r="E1331" s="11" t="str">
        <f>+HYPERLINK("http://trademark.i-assist.jp/data/china/image_1901th/78983171.pdf", "78983171")</f>
        <v>78983171</v>
      </c>
      <c r="F1331" s="10" t="s">
        <v>3876</v>
      </c>
      <c r="G1331" s="10" t="s">
        <v>3877</v>
      </c>
      <c r="H1331" s="10" t="s">
        <v>3878</v>
      </c>
      <c r="I1331" s="10" t="s">
        <v>3875</v>
      </c>
    </row>
    <row r="1332" spans="1:9" x14ac:dyDescent="0.15">
      <c r="A1332" s="9">
        <v>1331</v>
      </c>
      <c r="B1332" s="10" t="s">
        <v>9</v>
      </c>
      <c r="C1332" s="10" t="s">
        <v>164</v>
      </c>
      <c r="D1332" s="10" t="s">
        <v>165</v>
      </c>
      <c r="E1332" s="11" t="str">
        <f>+HYPERLINK("http://trademark.i-assist.jp/data/china/image_1901th/78983277.pdf", "78983277")</f>
        <v>78983277</v>
      </c>
      <c r="F1332" s="10" t="s">
        <v>3879</v>
      </c>
      <c r="G1332" s="10" t="s">
        <v>3880</v>
      </c>
      <c r="H1332" s="10" t="s">
        <v>3881</v>
      </c>
      <c r="I1332" s="10" t="s">
        <v>3875</v>
      </c>
    </row>
    <row r="1333" spans="1:9" x14ac:dyDescent="0.15">
      <c r="A1333" s="9">
        <v>1332</v>
      </c>
      <c r="B1333" s="10" t="s">
        <v>9</v>
      </c>
      <c r="C1333" s="10" t="s">
        <v>164</v>
      </c>
      <c r="D1333" s="10" t="s">
        <v>165</v>
      </c>
      <c r="E1333" s="11" t="str">
        <f>+HYPERLINK("http://trademark.i-assist.jp/data/china/image_1901th/78983768.pdf", "78983768")</f>
        <v>78983768</v>
      </c>
      <c r="F1333" s="10" t="s">
        <v>12</v>
      </c>
      <c r="G1333" s="10" t="s">
        <v>3882</v>
      </c>
      <c r="H1333" s="10" t="s">
        <v>3883</v>
      </c>
      <c r="I1333" s="10" t="s">
        <v>3875</v>
      </c>
    </row>
    <row r="1334" spans="1:9" x14ac:dyDescent="0.15">
      <c r="A1334" s="9">
        <v>1333</v>
      </c>
      <c r="B1334" s="10" t="s">
        <v>9</v>
      </c>
      <c r="C1334" s="10" t="s">
        <v>164</v>
      </c>
      <c r="D1334" s="10" t="s">
        <v>165</v>
      </c>
      <c r="E1334" s="11" t="str">
        <f>+HYPERLINK("http://trademark.i-assist.jp/data/china/image_1901th/78983871.pdf", "78983871")</f>
        <v>78983871</v>
      </c>
      <c r="F1334" s="10" t="s">
        <v>3884</v>
      </c>
      <c r="G1334" s="10" t="s">
        <v>3885</v>
      </c>
      <c r="H1334" s="10" t="s">
        <v>3886</v>
      </c>
      <c r="I1334" s="10" t="s">
        <v>3875</v>
      </c>
    </row>
    <row r="1335" spans="1:9" x14ac:dyDescent="0.15">
      <c r="A1335" s="9">
        <v>1334</v>
      </c>
      <c r="B1335" s="10" t="s">
        <v>9</v>
      </c>
      <c r="C1335" s="10" t="s">
        <v>164</v>
      </c>
      <c r="D1335" s="10" t="s">
        <v>165</v>
      </c>
      <c r="E1335" s="11" t="str">
        <f>+HYPERLINK("http://trademark.i-assist.jp/data/china/image_1901th/78984100.pdf", "78984100")</f>
        <v>78984100</v>
      </c>
      <c r="F1335" s="10" t="s">
        <v>3887</v>
      </c>
      <c r="G1335" s="10" t="s">
        <v>3873</v>
      </c>
      <c r="H1335" s="10" t="s">
        <v>3888</v>
      </c>
      <c r="I1335" s="10" t="s">
        <v>3875</v>
      </c>
    </row>
    <row r="1336" spans="1:9" x14ac:dyDescent="0.15">
      <c r="A1336" s="9">
        <v>1335</v>
      </c>
      <c r="B1336" s="10" t="s">
        <v>9</v>
      </c>
      <c r="C1336" s="10" t="s">
        <v>164</v>
      </c>
      <c r="D1336" s="10" t="s">
        <v>165</v>
      </c>
      <c r="E1336" s="11" t="str">
        <f>+HYPERLINK("http://trademark.i-assist.jp/data/china/image_1901th/78984126.pdf", "78984126")</f>
        <v>78984126</v>
      </c>
      <c r="F1336" s="10" t="s">
        <v>3889</v>
      </c>
      <c r="G1336" s="10" t="s">
        <v>3885</v>
      </c>
      <c r="H1336" s="10" t="s">
        <v>3890</v>
      </c>
      <c r="I1336" s="10" t="s">
        <v>3875</v>
      </c>
    </row>
    <row r="1337" spans="1:9" x14ac:dyDescent="0.15">
      <c r="A1337" s="9">
        <v>1336</v>
      </c>
      <c r="B1337" s="10" t="s">
        <v>9</v>
      </c>
      <c r="C1337" s="10" t="s">
        <v>164</v>
      </c>
      <c r="D1337" s="10" t="s">
        <v>165</v>
      </c>
      <c r="E1337" s="11" t="str">
        <f>+HYPERLINK("http://trademark.i-assist.jp/data/china/image_1901th/78984657.pdf", "78984657")</f>
        <v>78984657</v>
      </c>
      <c r="F1337" s="10" t="s">
        <v>3891</v>
      </c>
      <c r="G1337" s="10" t="s">
        <v>3892</v>
      </c>
      <c r="H1337" s="10" t="s">
        <v>3893</v>
      </c>
      <c r="I1337" s="10" t="s">
        <v>3875</v>
      </c>
    </row>
    <row r="1338" spans="1:9" x14ac:dyDescent="0.15">
      <c r="A1338" s="9">
        <v>1337</v>
      </c>
      <c r="B1338" s="10" t="s">
        <v>9</v>
      </c>
      <c r="C1338" s="10" t="s">
        <v>164</v>
      </c>
      <c r="D1338" s="10" t="s">
        <v>165</v>
      </c>
      <c r="E1338" s="11" t="str">
        <f>+HYPERLINK("http://trademark.i-assist.jp/data/china/image_1901th/78984717.pdf", "78984717")</f>
        <v>78984717</v>
      </c>
      <c r="F1338" s="10" t="s">
        <v>3894</v>
      </c>
      <c r="G1338" s="10" t="s">
        <v>3895</v>
      </c>
      <c r="H1338" s="10" t="s">
        <v>3896</v>
      </c>
      <c r="I1338" s="10" t="s">
        <v>3875</v>
      </c>
    </row>
    <row r="1339" spans="1:9" x14ac:dyDescent="0.15">
      <c r="A1339" s="9">
        <v>1338</v>
      </c>
      <c r="B1339" s="10" t="s">
        <v>9</v>
      </c>
      <c r="C1339" s="10" t="s">
        <v>164</v>
      </c>
      <c r="D1339" s="10" t="s">
        <v>165</v>
      </c>
      <c r="E1339" s="11" t="str">
        <f>+HYPERLINK("http://trademark.i-assist.jp/data/china/image_1901th/78984881.pdf", "78984881")</f>
        <v>78984881</v>
      </c>
      <c r="F1339" s="10" t="s">
        <v>3897</v>
      </c>
      <c r="G1339" s="10" t="s">
        <v>3898</v>
      </c>
      <c r="H1339" s="10" t="s">
        <v>3899</v>
      </c>
      <c r="I1339" s="10" t="s">
        <v>3875</v>
      </c>
    </row>
    <row r="1340" spans="1:9" x14ac:dyDescent="0.15">
      <c r="A1340" s="9">
        <v>1339</v>
      </c>
      <c r="B1340" s="10" t="s">
        <v>9</v>
      </c>
      <c r="C1340" s="10" t="s">
        <v>164</v>
      </c>
      <c r="D1340" s="10" t="s">
        <v>165</v>
      </c>
      <c r="E1340" s="11" t="str">
        <f>+HYPERLINK("http://trademark.i-assist.jp/data/china/image_1901th/78984940.pdf", "78984940")</f>
        <v>78984940</v>
      </c>
      <c r="F1340" s="10" t="s">
        <v>3900</v>
      </c>
      <c r="G1340" s="10" t="s">
        <v>3901</v>
      </c>
      <c r="H1340" s="10" t="s">
        <v>19</v>
      </c>
      <c r="I1340" s="10" t="s">
        <v>3902</v>
      </c>
    </row>
    <row r="1341" spans="1:9" x14ac:dyDescent="0.15">
      <c r="A1341" s="9">
        <v>1340</v>
      </c>
      <c r="B1341" s="10" t="s">
        <v>9</v>
      </c>
      <c r="C1341" s="10" t="s">
        <v>164</v>
      </c>
      <c r="D1341" s="10" t="s">
        <v>165</v>
      </c>
      <c r="E1341" s="11" t="str">
        <f>+HYPERLINK("http://trademark.i-assist.jp/data/china/image_1901th/78984996.pdf", "78984996")</f>
        <v>78984996</v>
      </c>
      <c r="F1341" s="10" t="s">
        <v>3903</v>
      </c>
      <c r="G1341" s="10" t="s">
        <v>3904</v>
      </c>
      <c r="H1341" s="10" t="s">
        <v>3905</v>
      </c>
      <c r="I1341" s="10" t="s">
        <v>3902</v>
      </c>
    </row>
    <row r="1342" spans="1:9" x14ac:dyDescent="0.15">
      <c r="A1342" s="9">
        <v>1341</v>
      </c>
      <c r="B1342" s="10" t="s">
        <v>9</v>
      </c>
      <c r="C1342" s="10" t="s">
        <v>164</v>
      </c>
      <c r="D1342" s="10" t="s">
        <v>165</v>
      </c>
      <c r="E1342" s="11" t="str">
        <f>+HYPERLINK("http://trademark.i-assist.jp/data/china/image_1901th/78985653.pdf", "78985653")</f>
        <v>78985653</v>
      </c>
      <c r="F1342" s="10" t="s">
        <v>3906</v>
      </c>
      <c r="G1342" s="10" t="s">
        <v>3907</v>
      </c>
      <c r="H1342" s="10" t="s">
        <v>3908</v>
      </c>
      <c r="I1342" s="10" t="s">
        <v>3902</v>
      </c>
    </row>
    <row r="1343" spans="1:9" x14ac:dyDescent="0.15">
      <c r="A1343" s="9">
        <v>1342</v>
      </c>
      <c r="B1343" s="10" t="s">
        <v>9</v>
      </c>
      <c r="C1343" s="10" t="s">
        <v>164</v>
      </c>
      <c r="D1343" s="10" t="s">
        <v>165</v>
      </c>
      <c r="E1343" s="11" t="str">
        <f>+HYPERLINK("http://trademark.i-assist.jp/data/china/image_1901th/78985663.pdf", "78985663")</f>
        <v>78985663</v>
      </c>
      <c r="F1343" s="10" t="s">
        <v>3909</v>
      </c>
      <c r="G1343" s="10" t="s">
        <v>3910</v>
      </c>
      <c r="H1343" s="10" t="s">
        <v>3911</v>
      </c>
      <c r="I1343" s="10" t="s">
        <v>3902</v>
      </c>
    </row>
    <row r="1344" spans="1:9" x14ac:dyDescent="0.15">
      <c r="A1344" s="9">
        <v>1343</v>
      </c>
      <c r="B1344" s="10" t="s">
        <v>9</v>
      </c>
      <c r="C1344" s="10" t="s">
        <v>164</v>
      </c>
      <c r="D1344" s="10" t="s">
        <v>165</v>
      </c>
      <c r="E1344" s="11" t="str">
        <f>+HYPERLINK("http://trademark.i-assist.jp/data/china/image_1901th/78985944.pdf", "78985944")</f>
        <v>78985944</v>
      </c>
      <c r="F1344" s="10" t="s">
        <v>3912</v>
      </c>
      <c r="G1344" s="10" t="s">
        <v>3913</v>
      </c>
      <c r="H1344" s="10" t="s">
        <v>3914</v>
      </c>
      <c r="I1344" s="10" t="s">
        <v>3902</v>
      </c>
    </row>
    <row r="1345" spans="1:9" x14ac:dyDescent="0.15">
      <c r="A1345" s="9">
        <v>1344</v>
      </c>
      <c r="B1345" s="10" t="s">
        <v>9</v>
      </c>
      <c r="C1345" s="10" t="s">
        <v>164</v>
      </c>
      <c r="D1345" s="10" t="s">
        <v>165</v>
      </c>
      <c r="E1345" s="11" t="str">
        <f>+HYPERLINK("http://trademark.i-assist.jp/data/china/image_1901th/78987022.pdf", "78987022")</f>
        <v>78987022</v>
      </c>
      <c r="F1345" s="10" t="s">
        <v>3915</v>
      </c>
      <c r="G1345" s="10" t="s">
        <v>3916</v>
      </c>
      <c r="H1345" s="10" t="s">
        <v>3917</v>
      </c>
      <c r="I1345" s="10" t="s">
        <v>3902</v>
      </c>
    </row>
    <row r="1346" spans="1:9" x14ac:dyDescent="0.15">
      <c r="A1346" s="9">
        <v>1345</v>
      </c>
      <c r="B1346" s="10" t="s">
        <v>9</v>
      </c>
      <c r="C1346" s="10" t="s">
        <v>164</v>
      </c>
      <c r="D1346" s="10" t="s">
        <v>165</v>
      </c>
      <c r="E1346" s="11" t="str">
        <f>+HYPERLINK("http://trademark.i-assist.jp/data/china/image_1901th/78987087.pdf", "78987087")</f>
        <v>78987087</v>
      </c>
      <c r="F1346" s="10" t="s">
        <v>3918</v>
      </c>
      <c r="G1346" s="10" t="s">
        <v>3919</v>
      </c>
      <c r="H1346" s="10" t="s">
        <v>3920</v>
      </c>
      <c r="I1346" s="10" t="s">
        <v>3902</v>
      </c>
    </row>
    <row r="1347" spans="1:9" x14ac:dyDescent="0.15">
      <c r="A1347" s="9">
        <v>1346</v>
      </c>
      <c r="B1347" s="10" t="s">
        <v>9</v>
      </c>
      <c r="C1347" s="10" t="s">
        <v>164</v>
      </c>
      <c r="D1347" s="10" t="s">
        <v>165</v>
      </c>
      <c r="E1347" s="11" t="str">
        <f>+HYPERLINK("http://trademark.i-assist.jp/data/china/image_1901th/78987367.pdf", "78987367")</f>
        <v>78987367</v>
      </c>
      <c r="F1347" s="10" t="s">
        <v>3921</v>
      </c>
      <c r="G1347" s="10" t="s">
        <v>3922</v>
      </c>
      <c r="H1347" s="10" t="s">
        <v>3923</v>
      </c>
      <c r="I1347" s="10" t="s">
        <v>3902</v>
      </c>
    </row>
    <row r="1348" spans="1:9" x14ac:dyDescent="0.15">
      <c r="A1348" s="9">
        <v>1347</v>
      </c>
      <c r="B1348" s="10" t="s">
        <v>9</v>
      </c>
      <c r="C1348" s="10" t="s">
        <v>164</v>
      </c>
      <c r="D1348" s="10" t="s">
        <v>165</v>
      </c>
      <c r="E1348" s="11" t="str">
        <f>+HYPERLINK("http://trademark.i-assist.jp/data/china/image_1901th/78987724.pdf", "78987724")</f>
        <v>78987724</v>
      </c>
      <c r="F1348" s="10" t="s">
        <v>3924</v>
      </c>
      <c r="G1348" s="10" t="s">
        <v>3925</v>
      </c>
      <c r="H1348" s="10" t="s">
        <v>3926</v>
      </c>
      <c r="I1348" s="10" t="s">
        <v>3902</v>
      </c>
    </row>
    <row r="1349" spans="1:9" x14ac:dyDescent="0.15">
      <c r="A1349" s="9">
        <v>1348</v>
      </c>
      <c r="B1349" s="10" t="s">
        <v>9</v>
      </c>
      <c r="C1349" s="10" t="s">
        <v>164</v>
      </c>
      <c r="D1349" s="10" t="s">
        <v>165</v>
      </c>
      <c r="E1349" s="11" t="str">
        <f>+HYPERLINK("http://trademark.i-assist.jp/data/china/image_1901th/78988049.pdf", "78988049")</f>
        <v>78988049</v>
      </c>
      <c r="F1349" s="10" t="s">
        <v>3927</v>
      </c>
      <c r="G1349" s="10" t="s">
        <v>3928</v>
      </c>
      <c r="H1349" s="10" t="s">
        <v>3929</v>
      </c>
      <c r="I1349" s="10" t="s">
        <v>3902</v>
      </c>
    </row>
    <row r="1350" spans="1:9" x14ac:dyDescent="0.15">
      <c r="A1350" s="9">
        <v>1349</v>
      </c>
      <c r="B1350" s="10" t="s">
        <v>9</v>
      </c>
      <c r="C1350" s="10" t="s">
        <v>164</v>
      </c>
      <c r="D1350" s="10" t="s">
        <v>165</v>
      </c>
      <c r="E1350" s="11" t="str">
        <f>+HYPERLINK("http://trademark.i-assist.jp/data/china/image_1901th/78989451.pdf", "78989451")</f>
        <v>78989451</v>
      </c>
      <c r="F1350" s="10" t="s">
        <v>3930</v>
      </c>
      <c r="G1350" s="10" t="s">
        <v>3931</v>
      </c>
      <c r="H1350" s="10" t="s">
        <v>3932</v>
      </c>
      <c r="I1350" s="10" t="s">
        <v>3902</v>
      </c>
    </row>
    <row r="1351" spans="1:9" x14ac:dyDescent="0.15">
      <c r="A1351" s="9">
        <v>1350</v>
      </c>
      <c r="B1351" s="10" t="s">
        <v>9</v>
      </c>
      <c r="C1351" s="10" t="s">
        <v>164</v>
      </c>
      <c r="D1351" s="10" t="s">
        <v>165</v>
      </c>
      <c r="E1351" s="11" t="str">
        <f>+HYPERLINK("http://trademark.i-assist.jp/data/china/image_1901th/78989558.pdf", "78989558")</f>
        <v>78989558</v>
      </c>
      <c r="F1351" s="10" t="s">
        <v>3933</v>
      </c>
      <c r="G1351" s="10" t="s">
        <v>3934</v>
      </c>
      <c r="H1351" s="10" t="s">
        <v>3935</v>
      </c>
      <c r="I1351" s="10" t="s">
        <v>3902</v>
      </c>
    </row>
    <row r="1352" spans="1:9" x14ac:dyDescent="0.15">
      <c r="A1352" s="9">
        <v>1351</v>
      </c>
      <c r="B1352" s="10" t="s">
        <v>9</v>
      </c>
      <c r="C1352" s="10" t="s">
        <v>164</v>
      </c>
      <c r="D1352" s="10" t="s">
        <v>165</v>
      </c>
      <c r="E1352" s="11" t="str">
        <f>+HYPERLINK("http://trademark.i-assist.jp/data/china/image_1901th/78989585.pdf", "78989585")</f>
        <v>78989585</v>
      </c>
      <c r="F1352" s="10" t="s">
        <v>3936</v>
      </c>
      <c r="G1352" s="10" t="s">
        <v>3937</v>
      </c>
      <c r="H1352" s="10" t="s">
        <v>3938</v>
      </c>
      <c r="I1352" s="10" t="s">
        <v>3902</v>
      </c>
    </row>
    <row r="1353" spans="1:9" x14ac:dyDescent="0.15">
      <c r="A1353" s="9">
        <v>1352</v>
      </c>
      <c r="B1353" s="10" t="s">
        <v>9</v>
      </c>
      <c r="C1353" s="10" t="s">
        <v>164</v>
      </c>
      <c r="D1353" s="10" t="s">
        <v>165</v>
      </c>
      <c r="E1353" s="11" t="str">
        <f>+HYPERLINK("http://trademark.i-assist.jp/data/china/image_1901th/78990112.pdf", "78990112")</f>
        <v>78990112</v>
      </c>
      <c r="F1353" s="10" t="s">
        <v>3939</v>
      </c>
      <c r="G1353" s="10" t="s">
        <v>3940</v>
      </c>
      <c r="H1353" s="10" t="s">
        <v>3941</v>
      </c>
      <c r="I1353" s="10" t="s">
        <v>3902</v>
      </c>
    </row>
    <row r="1354" spans="1:9" x14ac:dyDescent="0.15">
      <c r="A1354" s="9">
        <v>1353</v>
      </c>
      <c r="B1354" s="10" t="s">
        <v>9</v>
      </c>
      <c r="C1354" s="10" t="s">
        <v>164</v>
      </c>
      <c r="D1354" s="10" t="s">
        <v>165</v>
      </c>
      <c r="E1354" s="11" t="str">
        <f>+HYPERLINK("http://trademark.i-assist.jp/data/china/image_1901th/78990123.pdf", "78990123")</f>
        <v>78990123</v>
      </c>
      <c r="F1354" s="10" t="s">
        <v>3942</v>
      </c>
      <c r="G1354" s="10" t="s">
        <v>3943</v>
      </c>
      <c r="H1354" s="10" t="s">
        <v>3944</v>
      </c>
      <c r="I1354" s="10" t="s">
        <v>3902</v>
      </c>
    </row>
    <row r="1355" spans="1:9" x14ac:dyDescent="0.15">
      <c r="A1355" s="9">
        <v>1354</v>
      </c>
      <c r="B1355" s="10" t="s">
        <v>9</v>
      </c>
      <c r="C1355" s="10" t="s">
        <v>164</v>
      </c>
      <c r="D1355" s="10" t="s">
        <v>165</v>
      </c>
      <c r="E1355" s="11" t="str">
        <f>+HYPERLINK("http://trademark.i-assist.jp/data/china/image_1901th/78990171.pdf", "78990171")</f>
        <v>78990171</v>
      </c>
      <c r="F1355" s="10" t="s">
        <v>3945</v>
      </c>
      <c r="G1355" s="10" t="s">
        <v>3946</v>
      </c>
      <c r="H1355" s="10" t="s">
        <v>3947</v>
      </c>
      <c r="I1355" s="10" t="s">
        <v>3902</v>
      </c>
    </row>
    <row r="1356" spans="1:9" x14ac:dyDescent="0.15">
      <c r="A1356" s="9">
        <v>1355</v>
      </c>
      <c r="B1356" s="10" t="s">
        <v>9</v>
      </c>
      <c r="C1356" s="10" t="s">
        <v>164</v>
      </c>
      <c r="D1356" s="10" t="s">
        <v>165</v>
      </c>
      <c r="E1356" s="11" t="str">
        <f>+HYPERLINK("http://trademark.i-assist.jp/data/china/image_1901th/78990367.pdf", "78990367")</f>
        <v>78990367</v>
      </c>
      <c r="F1356" s="10" t="s">
        <v>3948</v>
      </c>
      <c r="G1356" s="10" t="s">
        <v>3949</v>
      </c>
      <c r="H1356" s="10" t="s">
        <v>3950</v>
      </c>
      <c r="I1356" s="10" t="s">
        <v>3902</v>
      </c>
    </row>
    <row r="1357" spans="1:9" x14ac:dyDescent="0.15">
      <c r="A1357" s="9">
        <v>1356</v>
      </c>
      <c r="B1357" s="10" t="s">
        <v>9</v>
      </c>
      <c r="C1357" s="10" t="s">
        <v>164</v>
      </c>
      <c r="D1357" s="10" t="s">
        <v>165</v>
      </c>
      <c r="E1357" s="11" t="str">
        <f>+HYPERLINK("http://trademark.i-assist.jp/data/china/image_1901th/78990531.pdf", "78990531")</f>
        <v>78990531</v>
      </c>
      <c r="F1357" s="10" t="s">
        <v>3951</v>
      </c>
      <c r="G1357" s="10" t="s">
        <v>3952</v>
      </c>
      <c r="H1357" s="10" t="s">
        <v>3953</v>
      </c>
      <c r="I1357" s="10" t="s">
        <v>3902</v>
      </c>
    </row>
    <row r="1358" spans="1:9" x14ac:dyDescent="0.15">
      <c r="A1358" s="9">
        <v>1357</v>
      </c>
      <c r="B1358" s="10" t="s">
        <v>9</v>
      </c>
      <c r="C1358" s="10" t="s">
        <v>164</v>
      </c>
      <c r="D1358" s="10" t="s">
        <v>165</v>
      </c>
      <c r="E1358" s="11" t="str">
        <f>+HYPERLINK("http://trademark.i-assist.jp/data/china/image_1901th/78990795.pdf", "78990795")</f>
        <v>78990795</v>
      </c>
      <c r="F1358" s="10" t="s">
        <v>3954</v>
      </c>
      <c r="G1358" s="10" t="s">
        <v>3955</v>
      </c>
      <c r="H1358" s="10" t="s">
        <v>3956</v>
      </c>
      <c r="I1358" s="10" t="s">
        <v>3902</v>
      </c>
    </row>
    <row r="1359" spans="1:9" x14ac:dyDescent="0.15">
      <c r="A1359" s="9">
        <v>1358</v>
      </c>
      <c r="B1359" s="10" t="s">
        <v>9</v>
      </c>
      <c r="C1359" s="10" t="s">
        <v>164</v>
      </c>
      <c r="D1359" s="10" t="s">
        <v>165</v>
      </c>
      <c r="E1359" s="11" t="str">
        <f>+HYPERLINK("http://trademark.i-assist.jp/data/china/image_1901th/78990901.pdf", "78990901")</f>
        <v>78990901</v>
      </c>
      <c r="F1359" s="10" t="s">
        <v>3957</v>
      </c>
      <c r="G1359" s="10" t="s">
        <v>3904</v>
      </c>
      <c r="H1359" s="10" t="s">
        <v>3958</v>
      </c>
      <c r="I1359" s="10" t="s">
        <v>3902</v>
      </c>
    </row>
    <row r="1360" spans="1:9" x14ac:dyDescent="0.15">
      <c r="A1360" s="9">
        <v>1359</v>
      </c>
      <c r="B1360" s="10" t="s">
        <v>9</v>
      </c>
      <c r="C1360" s="10" t="s">
        <v>164</v>
      </c>
      <c r="D1360" s="10" t="s">
        <v>165</v>
      </c>
      <c r="E1360" s="11" t="str">
        <f>+HYPERLINK("http://trademark.i-assist.jp/data/china/image_1901th/78991125.pdf", "78991125")</f>
        <v>78991125</v>
      </c>
      <c r="F1360" s="10" t="s">
        <v>3959</v>
      </c>
      <c r="G1360" s="10" t="s">
        <v>3960</v>
      </c>
      <c r="H1360" s="10" t="s">
        <v>3961</v>
      </c>
      <c r="I1360" s="10" t="s">
        <v>3902</v>
      </c>
    </row>
    <row r="1361" spans="1:9" x14ac:dyDescent="0.15">
      <c r="A1361" s="9">
        <v>1360</v>
      </c>
      <c r="B1361" s="10" t="s">
        <v>9</v>
      </c>
      <c r="C1361" s="10" t="s">
        <v>164</v>
      </c>
      <c r="D1361" s="10" t="s">
        <v>165</v>
      </c>
      <c r="E1361" s="11" t="str">
        <f>+HYPERLINK("http://trademark.i-assist.jp/data/china/image_1901th/78991179.pdf", "78991179")</f>
        <v>78991179</v>
      </c>
      <c r="F1361" s="10" t="s">
        <v>3962</v>
      </c>
      <c r="G1361" s="10" t="s">
        <v>3963</v>
      </c>
      <c r="H1361" s="10" t="s">
        <v>3964</v>
      </c>
      <c r="I1361" s="10" t="s">
        <v>3902</v>
      </c>
    </row>
    <row r="1362" spans="1:9" x14ac:dyDescent="0.15">
      <c r="A1362" s="9">
        <v>1361</v>
      </c>
      <c r="B1362" s="10" t="s">
        <v>9</v>
      </c>
      <c r="C1362" s="10" t="s">
        <v>164</v>
      </c>
      <c r="D1362" s="10" t="s">
        <v>165</v>
      </c>
      <c r="E1362" s="11" t="str">
        <f>+HYPERLINK("http://trademark.i-assist.jp/data/china/image_1901th/78991323.pdf", "78991323")</f>
        <v>78991323</v>
      </c>
      <c r="F1362" s="10" t="s">
        <v>3965</v>
      </c>
      <c r="G1362" s="10" t="s">
        <v>3966</v>
      </c>
      <c r="H1362" s="10" t="s">
        <v>3967</v>
      </c>
      <c r="I1362" s="10" t="s">
        <v>3902</v>
      </c>
    </row>
    <row r="1363" spans="1:9" x14ac:dyDescent="0.15">
      <c r="A1363" s="9">
        <v>1362</v>
      </c>
      <c r="B1363" s="10" t="s">
        <v>9</v>
      </c>
      <c r="C1363" s="10" t="s">
        <v>164</v>
      </c>
      <c r="D1363" s="10" t="s">
        <v>165</v>
      </c>
      <c r="E1363" s="11" t="str">
        <f>+HYPERLINK("http://trademark.i-assist.jp/data/china/image_1901th/78992178.pdf", "78992178")</f>
        <v>78992178</v>
      </c>
      <c r="F1363" s="10" t="s">
        <v>3968</v>
      </c>
      <c r="G1363" s="10" t="s">
        <v>3969</v>
      </c>
      <c r="H1363" s="10" t="s">
        <v>3970</v>
      </c>
      <c r="I1363" s="10" t="s">
        <v>3902</v>
      </c>
    </row>
    <row r="1364" spans="1:9" x14ac:dyDescent="0.15">
      <c r="A1364" s="9">
        <v>1363</v>
      </c>
      <c r="B1364" s="10" t="s">
        <v>9</v>
      </c>
      <c r="C1364" s="10" t="s">
        <v>164</v>
      </c>
      <c r="D1364" s="10" t="s">
        <v>165</v>
      </c>
      <c r="E1364" s="11" t="str">
        <f>+HYPERLINK("http://trademark.i-assist.jp/data/china/image_1901th/78992252.pdf", "78992252")</f>
        <v>78992252</v>
      </c>
      <c r="F1364" s="10" t="s">
        <v>3971</v>
      </c>
      <c r="G1364" s="10" t="s">
        <v>3972</v>
      </c>
      <c r="H1364" s="10" t="s">
        <v>3973</v>
      </c>
      <c r="I1364" s="10" t="s">
        <v>3902</v>
      </c>
    </row>
    <row r="1365" spans="1:9" x14ac:dyDescent="0.15">
      <c r="A1365" s="9">
        <v>1364</v>
      </c>
      <c r="B1365" s="10" t="s">
        <v>9</v>
      </c>
      <c r="C1365" s="10" t="s">
        <v>164</v>
      </c>
      <c r="D1365" s="10" t="s">
        <v>165</v>
      </c>
      <c r="E1365" s="11" t="str">
        <f>+HYPERLINK("http://trademark.i-assist.jp/data/china/image_1901th/78992265.pdf", "78992265")</f>
        <v>78992265</v>
      </c>
      <c r="F1365" s="10" t="s">
        <v>3974</v>
      </c>
      <c r="G1365" s="10" t="s">
        <v>81</v>
      </c>
      <c r="H1365" s="10" t="s">
        <v>3975</v>
      </c>
      <c r="I1365" s="10" t="s">
        <v>3902</v>
      </c>
    </row>
    <row r="1366" spans="1:9" x14ac:dyDescent="0.15">
      <c r="A1366" s="9">
        <v>1365</v>
      </c>
      <c r="B1366" s="10" t="s">
        <v>9</v>
      </c>
      <c r="C1366" s="10" t="s">
        <v>164</v>
      </c>
      <c r="D1366" s="10" t="s">
        <v>165</v>
      </c>
      <c r="E1366" s="11" t="str">
        <f>+HYPERLINK("http://trademark.i-assist.jp/data/china/image_1901th/78992324.pdf", "78992324")</f>
        <v>78992324</v>
      </c>
      <c r="F1366" s="10" t="s">
        <v>3976</v>
      </c>
      <c r="G1366" s="10" t="s">
        <v>3977</v>
      </c>
      <c r="H1366" s="10" t="s">
        <v>3978</v>
      </c>
      <c r="I1366" s="10" t="s">
        <v>3902</v>
      </c>
    </row>
    <row r="1367" spans="1:9" x14ac:dyDescent="0.15">
      <c r="A1367" s="9">
        <v>1366</v>
      </c>
      <c r="B1367" s="10" t="s">
        <v>9</v>
      </c>
      <c r="C1367" s="10" t="s">
        <v>164</v>
      </c>
      <c r="D1367" s="10" t="s">
        <v>165</v>
      </c>
      <c r="E1367" s="11" t="str">
        <f>+HYPERLINK("http://trademark.i-assist.jp/data/china/image_1901th/78992893.pdf", "78992893")</f>
        <v>78992893</v>
      </c>
      <c r="F1367" s="10" t="s">
        <v>3979</v>
      </c>
      <c r="G1367" s="10" t="s">
        <v>3980</v>
      </c>
      <c r="H1367" s="10" t="s">
        <v>3981</v>
      </c>
      <c r="I1367" s="10" t="s">
        <v>3902</v>
      </c>
    </row>
    <row r="1368" spans="1:9" x14ac:dyDescent="0.15">
      <c r="A1368" s="9">
        <v>1367</v>
      </c>
      <c r="B1368" s="10" t="s">
        <v>9</v>
      </c>
      <c r="C1368" s="10" t="s">
        <v>164</v>
      </c>
      <c r="D1368" s="10" t="s">
        <v>165</v>
      </c>
      <c r="E1368" s="11" t="str">
        <f>+HYPERLINK("http://trademark.i-assist.jp/data/china/image_1901th/78993307.pdf", "78993307")</f>
        <v>78993307</v>
      </c>
      <c r="F1368" s="10" t="s">
        <v>3982</v>
      </c>
      <c r="G1368" s="10" t="s">
        <v>3983</v>
      </c>
      <c r="H1368" s="10" t="s">
        <v>3984</v>
      </c>
      <c r="I1368" s="10" t="s">
        <v>3902</v>
      </c>
    </row>
    <row r="1369" spans="1:9" x14ac:dyDescent="0.15">
      <c r="A1369" s="9">
        <v>1368</v>
      </c>
      <c r="B1369" s="10" t="s">
        <v>9</v>
      </c>
      <c r="C1369" s="10" t="s">
        <v>164</v>
      </c>
      <c r="D1369" s="10" t="s">
        <v>165</v>
      </c>
      <c r="E1369" s="11" t="str">
        <f>+HYPERLINK("http://trademark.i-assist.jp/data/china/image_1901th/78993317.pdf", "78993317")</f>
        <v>78993317</v>
      </c>
      <c r="F1369" s="10" t="s">
        <v>3957</v>
      </c>
      <c r="G1369" s="10" t="s">
        <v>3904</v>
      </c>
      <c r="H1369" s="10" t="s">
        <v>3985</v>
      </c>
      <c r="I1369" s="10" t="s">
        <v>3902</v>
      </c>
    </row>
    <row r="1370" spans="1:9" x14ac:dyDescent="0.15">
      <c r="A1370" s="9">
        <v>1369</v>
      </c>
      <c r="B1370" s="10" t="s">
        <v>9</v>
      </c>
      <c r="C1370" s="10" t="s">
        <v>164</v>
      </c>
      <c r="D1370" s="10" t="s">
        <v>165</v>
      </c>
      <c r="E1370" s="11" t="str">
        <f>+HYPERLINK("http://trademark.i-assist.jp/data/china/image_1901th/78993466.pdf", "78993466")</f>
        <v>78993466</v>
      </c>
      <c r="F1370" s="10" t="s">
        <v>3986</v>
      </c>
      <c r="G1370" s="10" t="s">
        <v>3987</v>
      </c>
      <c r="H1370" s="10" t="s">
        <v>3988</v>
      </c>
      <c r="I1370" s="10" t="s">
        <v>3902</v>
      </c>
    </row>
    <row r="1371" spans="1:9" x14ac:dyDescent="0.15">
      <c r="A1371" s="9">
        <v>1370</v>
      </c>
      <c r="B1371" s="10" t="s">
        <v>9</v>
      </c>
      <c r="C1371" s="10" t="s">
        <v>164</v>
      </c>
      <c r="D1371" s="10" t="s">
        <v>165</v>
      </c>
      <c r="E1371" s="11" t="str">
        <f>+HYPERLINK("http://trademark.i-assist.jp/data/china/image_1901th/78993688.pdf", "78993688")</f>
        <v>78993688</v>
      </c>
      <c r="F1371" s="10" t="s">
        <v>3989</v>
      </c>
      <c r="G1371" s="10" t="s">
        <v>3940</v>
      </c>
      <c r="H1371" s="10" t="s">
        <v>3990</v>
      </c>
      <c r="I1371" s="10" t="s">
        <v>3902</v>
      </c>
    </row>
    <row r="1372" spans="1:9" x14ac:dyDescent="0.15">
      <c r="A1372" s="9">
        <v>1371</v>
      </c>
      <c r="B1372" s="10" t="s">
        <v>9</v>
      </c>
      <c r="C1372" s="10" t="s">
        <v>164</v>
      </c>
      <c r="D1372" s="10" t="s">
        <v>165</v>
      </c>
      <c r="E1372" s="11" t="str">
        <f>+HYPERLINK("http://trademark.i-assist.jp/data/china/image_1901th/78994044.pdf", "78994044")</f>
        <v>78994044</v>
      </c>
      <c r="F1372" s="10" t="s">
        <v>3991</v>
      </c>
      <c r="G1372" s="10" t="s">
        <v>3992</v>
      </c>
      <c r="H1372" s="10" t="s">
        <v>3993</v>
      </c>
      <c r="I1372" s="10" t="s">
        <v>3902</v>
      </c>
    </row>
    <row r="1373" spans="1:9" x14ac:dyDescent="0.15">
      <c r="A1373" s="9">
        <v>1372</v>
      </c>
      <c r="B1373" s="10" t="s">
        <v>9</v>
      </c>
      <c r="C1373" s="10" t="s">
        <v>164</v>
      </c>
      <c r="D1373" s="10" t="s">
        <v>165</v>
      </c>
      <c r="E1373" s="11" t="str">
        <f>+HYPERLINK("http://trademark.i-assist.jp/data/china/image_1901th/78994432.pdf", "78994432")</f>
        <v>78994432</v>
      </c>
      <c r="F1373" s="10" t="s">
        <v>3994</v>
      </c>
      <c r="G1373" s="10" t="s">
        <v>3995</v>
      </c>
      <c r="H1373" s="10" t="s">
        <v>3996</v>
      </c>
      <c r="I1373" s="10" t="s">
        <v>3902</v>
      </c>
    </row>
    <row r="1374" spans="1:9" x14ac:dyDescent="0.15">
      <c r="A1374" s="9">
        <v>1373</v>
      </c>
      <c r="B1374" s="10" t="s">
        <v>9</v>
      </c>
      <c r="C1374" s="10" t="s">
        <v>164</v>
      </c>
      <c r="D1374" s="10" t="s">
        <v>165</v>
      </c>
      <c r="E1374" s="11" t="str">
        <f>+HYPERLINK("http://trademark.i-assist.jp/data/china/image_1901th/78994738.pdf", "78994738")</f>
        <v>78994738</v>
      </c>
      <c r="F1374" s="10" t="s">
        <v>3997</v>
      </c>
      <c r="G1374" s="10" t="s">
        <v>3998</v>
      </c>
      <c r="H1374" s="10" t="s">
        <v>3999</v>
      </c>
      <c r="I1374" s="10" t="s">
        <v>3902</v>
      </c>
    </row>
    <row r="1375" spans="1:9" x14ac:dyDescent="0.15">
      <c r="A1375" s="9">
        <v>1374</v>
      </c>
      <c r="B1375" s="10" t="s">
        <v>9</v>
      </c>
      <c r="C1375" s="10" t="s">
        <v>164</v>
      </c>
      <c r="D1375" s="10" t="s">
        <v>165</v>
      </c>
      <c r="E1375" s="11" t="str">
        <f>+HYPERLINK("http://trademark.i-assist.jp/data/china/image_1901th/78994910.pdf", "78994910")</f>
        <v>78994910</v>
      </c>
      <c r="F1375" s="10" t="s">
        <v>4000</v>
      </c>
      <c r="G1375" s="10" t="s">
        <v>4001</v>
      </c>
      <c r="H1375" s="10" t="s">
        <v>4002</v>
      </c>
      <c r="I1375" s="10" t="s">
        <v>3902</v>
      </c>
    </row>
    <row r="1376" spans="1:9" x14ac:dyDescent="0.15">
      <c r="A1376" s="9">
        <v>1375</v>
      </c>
      <c r="B1376" s="10" t="s">
        <v>9</v>
      </c>
      <c r="C1376" s="10" t="s">
        <v>164</v>
      </c>
      <c r="D1376" s="10" t="s">
        <v>165</v>
      </c>
      <c r="E1376" s="11" t="str">
        <f>+HYPERLINK("http://trademark.i-assist.jp/data/china/image_1901th/78995072.pdf", "78995072")</f>
        <v>78995072</v>
      </c>
      <c r="F1376" s="10" t="s">
        <v>4003</v>
      </c>
      <c r="G1376" s="10" t="s">
        <v>4004</v>
      </c>
      <c r="H1376" s="10" t="s">
        <v>4005</v>
      </c>
      <c r="I1376" s="10" t="s">
        <v>3902</v>
      </c>
    </row>
    <row r="1377" spans="1:9" x14ac:dyDescent="0.15">
      <c r="A1377" s="9">
        <v>1376</v>
      </c>
      <c r="B1377" s="10" t="s">
        <v>9</v>
      </c>
      <c r="C1377" s="10" t="s">
        <v>164</v>
      </c>
      <c r="D1377" s="10" t="s">
        <v>165</v>
      </c>
      <c r="E1377" s="11" t="str">
        <f>+HYPERLINK("http://trademark.i-assist.jp/data/china/image_1901th/78995285.pdf", "78995285")</f>
        <v>78995285</v>
      </c>
      <c r="F1377" s="10" t="s">
        <v>4006</v>
      </c>
      <c r="G1377" s="10" t="s">
        <v>4007</v>
      </c>
      <c r="H1377" s="10" t="s">
        <v>4008</v>
      </c>
      <c r="I1377" s="10" t="s">
        <v>3902</v>
      </c>
    </row>
    <row r="1378" spans="1:9" x14ac:dyDescent="0.15">
      <c r="A1378" s="9">
        <v>1377</v>
      </c>
      <c r="B1378" s="10" t="s">
        <v>9</v>
      </c>
      <c r="C1378" s="10" t="s">
        <v>164</v>
      </c>
      <c r="D1378" s="10" t="s">
        <v>165</v>
      </c>
      <c r="E1378" s="11" t="str">
        <f>+HYPERLINK("http://trademark.i-assist.jp/data/china/image_1901th/78995333.pdf", "78995333")</f>
        <v>78995333</v>
      </c>
      <c r="F1378" s="10" t="s">
        <v>4009</v>
      </c>
      <c r="G1378" s="10" t="s">
        <v>4010</v>
      </c>
      <c r="H1378" s="10" t="s">
        <v>4011</v>
      </c>
      <c r="I1378" s="10" t="s">
        <v>3902</v>
      </c>
    </row>
    <row r="1379" spans="1:9" x14ac:dyDescent="0.15">
      <c r="A1379" s="9">
        <v>1378</v>
      </c>
      <c r="B1379" s="10" t="s">
        <v>9</v>
      </c>
      <c r="C1379" s="10" t="s">
        <v>164</v>
      </c>
      <c r="D1379" s="10" t="s">
        <v>165</v>
      </c>
      <c r="E1379" s="11" t="str">
        <f>+HYPERLINK("http://trademark.i-assist.jp/data/china/image_1901th/78995404.pdf", "78995404")</f>
        <v>78995404</v>
      </c>
      <c r="F1379" s="10" t="s">
        <v>4012</v>
      </c>
      <c r="G1379" s="10" t="s">
        <v>4013</v>
      </c>
      <c r="H1379" s="10" t="s">
        <v>4014</v>
      </c>
      <c r="I1379" s="10" t="s">
        <v>3902</v>
      </c>
    </row>
    <row r="1380" spans="1:9" x14ac:dyDescent="0.15">
      <c r="A1380" s="9">
        <v>1379</v>
      </c>
      <c r="B1380" s="10" t="s">
        <v>9</v>
      </c>
      <c r="C1380" s="10" t="s">
        <v>164</v>
      </c>
      <c r="D1380" s="10" t="s">
        <v>165</v>
      </c>
      <c r="E1380" s="11" t="str">
        <f>+HYPERLINK("http://trademark.i-assist.jp/data/china/image_1901th/78995572.pdf", "78995572")</f>
        <v>78995572</v>
      </c>
      <c r="F1380" s="10" t="s">
        <v>4015</v>
      </c>
      <c r="G1380" s="10" t="s">
        <v>4016</v>
      </c>
      <c r="H1380" s="10" t="s">
        <v>4017</v>
      </c>
      <c r="I1380" s="10" t="s">
        <v>3902</v>
      </c>
    </row>
    <row r="1381" spans="1:9" x14ac:dyDescent="0.15">
      <c r="A1381" s="9">
        <v>1380</v>
      </c>
      <c r="B1381" s="10" t="s">
        <v>9</v>
      </c>
      <c r="C1381" s="10" t="s">
        <v>164</v>
      </c>
      <c r="D1381" s="10" t="s">
        <v>165</v>
      </c>
      <c r="E1381" s="11" t="str">
        <f>+HYPERLINK("http://trademark.i-assist.jp/data/china/image_1901th/78995670.pdf", "78995670")</f>
        <v>78995670</v>
      </c>
      <c r="F1381" s="10" t="s">
        <v>4018</v>
      </c>
      <c r="G1381" s="10" t="s">
        <v>4019</v>
      </c>
      <c r="H1381" s="10" t="s">
        <v>4020</v>
      </c>
      <c r="I1381" s="10" t="s">
        <v>3902</v>
      </c>
    </row>
    <row r="1382" spans="1:9" x14ac:dyDescent="0.15">
      <c r="A1382" s="9">
        <v>1381</v>
      </c>
      <c r="B1382" s="10" t="s">
        <v>9</v>
      </c>
      <c r="C1382" s="10" t="s">
        <v>164</v>
      </c>
      <c r="D1382" s="10" t="s">
        <v>165</v>
      </c>
      <c r="E1382" s="11" t="str">
        <f>+HYPERLINK("http://trademark.i-assist.jp/data/china/image_1901th/78995851.pdf", "78995851")</f>
        <v>78995851</v>
      </c>
      <c r="F1382" s="10" t="s">
        <v>4021</v>
      </c>
      <c r="G1382" s="10" t="s">
        <v>4022</v>
      </c>
      <c r="H1382" s="10" t="s">
        <v>4023</v>
      </c>
      <c r="I1382" s="10" t="s">
        <v>3902</v>
      </c>
    </row>
    <row r="1383" spans="1:9" x14ac:dyDescent="0.15">
      <c r="A1383" s="9">
        <v>1382</v>
      </c>
      <c r="B1383" s="10" t="s">
        <v>9</v>
      </c>
      <c r="C1383" s="10" t="s">
        <v>164</v>
      </c>
      <c r="D1383" s="10" t="s">
        <v>165</v>
      </c>
      <c r="E1383" s="11" t="str">
        <f>+HYPERLINK("http://trademark.i-assist.jp/data/china/image_1901th/78995872.pdf", "78995872")</f>
        <v>78995872</v>
      </c>
      <c r="F1383" s="10" t="s">
        <v>4024</v>
      </c>
      <c r="G1383" s="10" t="s">
        <v>4025</v>
      </c>
      <c r="H1383" s="10" t="s">
        <v>4026</v>
      </c>
      <c r="I1383" s="10" t="s">
        <v>3902</v>
      </c>
    </row>
    <row r="1384" spans="1:9" x14ac:dyDescent="0.15">
      <c r="A1384" s="9">
        <v>1383</v>
      </c>
      <c r="B1384" s="10" t="s">
        <v>9</v>
      </c>
      <c r="C1384" s="10" t="s">
        <v>164</v>
      </c>
      <c r="D1384" s="10" t="s">
        <v>165</v>
      </c>
      <c r="E1384" s="11" t="str">
        <f>+HYPERLINK("http://trademark.i-assist.jp/data/china/image_1901th/78996122.pdf", "78996122")</f>
        <v>78996122</v>
      </c>
      <c r="F1384" s="10" t="s">
        <v>4027</v>
      </c>
      <c r="G1384" s="10" t="s">
        <v>4028</v>
      </c>
      <c r="H1384" s="10" t="s">
        <v>4029</v>
      </c>
      <c r="I1384" s="10" t="s">
        <v>3902</v>
      </c>
    </row>
    <row r="1385" spans="1:9" x14ac:dyDescent="0.15">
      <c r="A1385" s="9">
        <v>1384</v>
      </c>
      <c r="B1385" s="10" t="s">
        <v>9</v>
      </c>
      <c r="C1385" s="10" t="s">
        <v>164</v>
      </c>
      <c r="D1385" s="10" t="s">
        <v>165</v>
      </c>
      <c r="E1385" s="11" t="str">
        <f>+HYPERLINK("http://trademark.i-assist.jp/data/china/image_1901th/78996179.pdf", "78996179")</f>
        <v>78996179</v>
      </c>
      <c r="F1385" s="10" t="s">
        <v>4030</v>
      </c>
      <c r="G1385" s="10" t="s">
        <v>4031</v>
      </c>
      <c r="H1385" s="10" t="s">
        <v>4032</v>
      </c>
      <c r="I1385" s="10" t="s">
        <v>3902</v>
      </c>
    </row>
    <row r="1386" spans="1:9" x14ac:dyDescent="0.15">
      <c r="A1386" s="9">
        <v>1385</v>
      </c>
      <c r="B1386" s="10" t="s">
        <v>9</v>
      </c>
      <c r="C1386" s="10" t="s">
        <v>164</v>
      </c>
      <c r="D1386" s="10" t="s">
        <v>165</v>
      </c>
      <c r="E1386" s="11" t="str">
        <f>+HYPERLINK("http://trademark.i-assist.jp/data/china/image_1901th/78997367.pdf", "78997367")</f>
        <v>78997367</v>
      </c>
      <c r="F1386" s="10" t="s">
        <v>4033</v>
      </c>
      <c r="G1386" s="10" t="s">
        <v>4034</v>
      </c>
      <c r="H1386" s="10" t="s">
        <v>4035</v>
      </c>
      <c r="I1386" s="10" t="s">
        <v>3902</v>
      </c>
    </row>
    <row r="1387" spans="1:9" x14ac:dyDescent="0.15">
      <c r="A1387" s="9">
        <v>1386</v>
      </c>
      <c r="B1387" s="10" t="s">
        <v>9</v>
      </c>
      <c r="C1387" s="10" t="s">
        <v>164</v>
      </c>
      <c r="D1387" s="10" t="s">
        <v>165</v>
      </c>
      <c r="E1387" s="11" t="str">
        <f>+HYPERLINK("http://trademark.i-assist.jp/data/china/image_1901th/78998397.pdf", "78998397")</f>
        <v>78998397</v>
      </c>
      <c r="F1387" s="10" t="s">
        <v>4036</v>
      </c>
      <c r="G1387" s="10" t="s">
        <v>4037</v>
      </c>
      <c r="H1387" s="10" t="s">
        <v>4038</v>
      </c>
      <c r="I1387" s="10" t="s">
        <v>3902</v>
      </c>
    </row>
    <row r="1388" spans="1:9" x14ac:dyDescent="0.15">
      <c r="A1388" s="9">
        <v>1387</v>
      </c>
      <c r="B1388" s="10" t="s">
        <v>9</v>
      </c>
      <c r="C1388" s="10" t="s">
        <v>164</v>
      </c>
      <c r="D1388" s="10" t="s">
        <v>165</v>
      </c>
      <c r="E1388" s="11" t="str">
        <f>+HYPERLINK("http://trademark.i-assist.jp/data/china/image_1901th/78998595.pdf", "78998595")</f>
        <v>78998595</v>
      </c>
      <c r="F1388" s="10" t="s">
        <v>4039</v>
      </c>
      <c r="G1388" s="10" t="s">
        <v>3949</v>
      </c>
      <c r="H1388" s="10" t="s">
        <v>4040</v>
      </c>
      <c r="I1388" s="10" t="s">
        <v>3902</v>
      </c>
    </row>
    <row r="1389" spans="1:9" x14ac:dyDescent="0.15">
      <c r="A1389" s="9">
        <v>1388</v>
      </c>
      <c r="B1389" s="10" t="s">
        <v>9</v>
      </c>
      <c r="C1389" s="10" t="s">
        <v>164</v>
      </c>
      <c r="D1389" s="10" t="s">
        <v>165</v>
      </c>
      <c r="E1389" s="11" t="str">
        <f>+HYPERLINK("http://trademark.i-assist.jp/data/china/image_1901th/78998628.pdf", "78998628")</f>
        <v>78998628</v>
      </c>
      <c r="F1389" s="10" t="s">
        <v>4041</v>
      </c>
      <c r="G1389" s="10" t="s">
        <v>3910</v>
      </c>
      <c r="H1389" s="10" t="s">
        <v>4042</v>
      </c>
      <c r="I1389" s="10" t="s">
        <v>3902</v>
      </c>
    </row>
    <row r="1390" spans="1:9" x14ac:dyDescent="0.15">
      <c r="A1390" s="9">
        <v>1389</v>
      </c>
      <c r="B1390" s="10" t="s">
        <v>9</v>
      </c>
      <c r="C1390" s="10" t="s">
        <v>164</v>
      </c>
      <c r="D1390" s="10" t="s">
        <v>165</v>
      </c>
      <c r="E1390" s="11" t="str">
        <f>+HYPERLINK("http://trademark.i-assist.jp/data/china/image_1901th/78998883.pdf", "78998883")</f>
        <v>78998883</v>
      </c>
      <c r="F1390" s="10" t="s">
        <v>4043</v>
      </c>
      <c r="G1390" s="10" t="s">
        <v>4044</v>
      </c>
      <c r="H1390" s="10" t="s">
        <v>4045</v>
      </c>
      <c r="I1390" s="10" t="s">
        <v>3902</v>
      </c>
    </row>
    <row r="1391" spans="1:9" x14ac:dyDescent="0.15">
      <c r="A1391" s="9">
        <v>1390</v>
      </c>
      <c r="B1391" s="10" t="s">
        <v>9</v>
      </c>
      <c r="C1391" s="10" t="s">
        <v>164</v>
      </c>
      <c r="D1391" s="10" t="s">
        <v>165</v>
      </c>
      <c r="E1391" s="11" t="str">
        <f>+HYPERLINK("http://trademark.i-assist.jp/data/china/image_1901th/78998930.pdf", "78998930")</f>
        <v>78998930</v>
      </c>
      <c r="F1391" s="10" t="s">
        <v>4046</v>
      </c>
      <c r="G1391" s="10" t="s">
        <v>4047</v>
      </c>
      <c r="H1391" s="10" t="s">
        <v>4048</v>
      </c>
      <c r="I1391" s="10" t="s">
        <v>3902</v>
      </c>
    </row>
    <row r="1392" spans="1:9" x14ac:dyDescent="0.15">
      <c r="A1392" s="9">
        <v>1391</v>
      </c>
      <c r="B1392" s="10" t="s">
        <v>9</v>
      </c>
      <c r="C1392" s="10" t="s">
        <v>164</v>
      </c>
      <c r="D1392" s="10" t="s">
        <v>165</v>
      </c>
      <c r="E1392" s="11" t="str">
        <f>+HYPERLINK("http://trademark.i-assist.jp/data/china/image_1901th/78999240.pdf", "78999240")</f>
        <v>78999240</v>
      </c>
      <c r="F1392" s="10" t="s">
        <v>4049</v>
      </c>
      <c r="G1392" s="10" t="s">
        <v>4050</v>
      </c>
      <c r="H1392" s="10" t="s">
        <v>4051</v>
      </c>
      <c r="I1392" s="10" t="s">
        <v>3902</v>
      </c>
    </row>
    <row r="1393" spans="1:9" x14ac:dyDescent="0.15">
      <c r="A1393" s="9">
        <v>1392</v>
      </c>
      <c r="B1393" s="10" t="s">
        <v>9</v>
      </c>
      <c r="C1393" s="10" t="s">
        <v>164</v>
      </c>
      <c r="D1393" s="10" t="s">
        <v>165</v>
      </c>
      <c r="E1393" s="11" t="str">
        <f>+HYPERLINK("http://trademark.i-assist.jp/data/china/image_1901th/78999329.pdf", "78999329")</f>
        <v>78999329</v>
      </c>
      <c r="F1393" s="10" t="s">
        <v>4052</v>
      </c>
      <c r="G1393" s="10" t="s">
        <v>4019</v>
      </c>
      <c r="H1393" s="10" t="s">
        <v>4053</v>
      </c>
      <c r="I1393" s="10" t="s">
        <v>3902</v>
      </c>
    </row>
    <row r="1394" spans="1:9" x14ac:dyDescent="0.15">
      <c r="A1394" s="9">
        <v>1393</v>
      </c>
      <c r="B1394" s="10" t="s">
        <v>9</v>
      </c>
      <c r="C1394" s="10" t="s">
        <v>164</v>
      </c>
      <c r="D1394" s="10" t="s">
        <v>165</v>
      </c>
      <c r="E1394" s="11" t="str">
        <f>+HYPERLINK("http://trademark.i-assist.jp/data/china/image_1901th/78999675.pdf", "78999675")</f>
        <v>78999675</v>
      </c>
      <c r="F1394" s="10" t="s">
        <v>4054</v>
      </c>
      <c r="G1394" s="10" t="s">
        <v>4055</v>
      </c>
      <c r="H1394" s="10" t="s">
        <v>4056</v>
      </c>
      <c r="I1394" s="10" t="s">
        <v>3902</v>
      </c>
    </row>
    <row r="1395" spans="1:9" x14ac:dyDescent="0.15">
      <c r="A1395" s="9">
        <v>1394</v>
      </c>
      <c r="B1395" s="10" t="s">
        <v>9</v>
      </c>
      <c r="C1395" s="10" t="s">
        <v>164</v>
      </c>
      <c r="D1395" s="10" t="s">
        <v>165</v>
      </c>
      <c r="E1395" s="11" t="str">
        <f>+HYPERLINK("http://trademark.i-assist.jp/data/china/image_1901th/79000012.pdf", "79000012")</f>
        <v>79000012</v>
      </c>
      <c r="F1395" s="10" t="s">
        <v>12</v>
      </c>
      <c r="G1395" s="10" t="s">
        <v>4057</v>
      </c>
      <c r="H1395" s="10" t="s">
        <v>4058</v>
      </c>
      <c r="I1395" s="10" t="s">
        <v>3902</v>
      </c>
    </row>
    <row r="1396" spans="1:9" x14ac:dyDescent="0.15">
      <c r="A1396" s="9">
        <v>1395</v>
      </c>
      <c r="B1396" s="10" t="s">
        <v>9</v>
      </c>
      <c r="C1396" s="10" t="s">
        <v>164</v>
      </c>
      <c r="D1396" s="10" t="s">
        <v>165</v>
      </c>
      <c r="E1396" s="11" t="str">
        <f>+HYPERLINK("http://trademark.i-assist.jp/data/china/image_1901th/79000018.pdf", "79000018")</f>
        <v>79000018</v>
      </c>
      <c r="F1396" s="10" t="s">
        <v>4059</v>
      </c>
      <c r="G1396" s="10" t="s">
        <v>3949</v>
      </c>
      <c r="H1396" s="10" t="s">
        <v>4060</v>
      </c>
      <c r="I1396" s="10" t="s">
        <v>3902</v>
      </c>
    </row>
    <row r="1397" spans="1:9" x14ac:dyDescent="0.15">
      <c r="A1397" s="9">
        <v>1396</v>
      </c>
      <c r="B1397" s="10" t="s">
        <v>9</v>
      </c>
      <c r="C1397" s="10" t="s">
        <v>164</v>
      </c>
      <c r="D1397" s="10" t="s">
        <v>165</v>
      </c>
      <c r="E1397" s="11" t="str">
        <f>+HYPERLINK("http://trademark.i-assist.jp/data/china/image_1901th/79000395.pdf", "79000395")</f>
        <v>79000395</v>
      </c>
      <c r="F1397" s="10" t="s">
        <v>4061</v>
      </c>
      <c r="G1397" s="10" t="s">
        <v>4062</v>
      </c>
      <c r="H1397" s="10" t="s">
        <v>4063</v>
      </c>
      <c r="I1397" s="10" t="s">
        <v>3902</v>
      </c>
    </row>
    <row r="1398" spans="1:9" x14ac:dyDescent="0.15">
      <c r="A1398" s="9">
        <v>1397</v>
      </c>
      <c r="B1398" s="10" t="s">
        <v>9</v>
      </c>
      <c r="C1398" s="10" t="s">
        <v>164</v>
      </c>
      <c r="D1398" s="10" t="s">
        <v>165</v>
      </c>
      <c r="E1398" s="11" t="str">
        <f>+HYPERLINK("http://trademark.i-assist.jp/data/china/image_1901th/79000596.pdf", "79000596")</f>
        <v>79000596</v>
      </c>
      <c r="F1398" s="10" t="s">
        <v>4064</v>
      </c>
      <c r="G1398" s="10" t="s">
        <v>4065</v>
      </c>
      <c r="H1398" s="10" t="s">
        <v>4066</v>
      </c>
      <c r="I1398" s="10" t="s">
        <v>3902</v>
      </c>
    </row>
    <row r="1399" spans="1:9" x14ac:dyDescent="0.15">
      <c r="A1399" s="9">
        <v>1398</v>
      </c>
      <c r="B1399" s="10" t="s">
        <v>9</v>
      </c>
      <c r="C1399" s="10" t="s">
        <v>164</v>
      </c>
      <c r="D1399" s="10" t="s">
        <v>165</v>
      </c>
      <c r="E1399" s="11" t="str">
        <f>+HYPERLINK("http://trademark.i-assist.jp/data/china/image_1901th/79000893.pdf", "79000893")</f>
        <v>79000893</v>
      </c>
      <c r="F1399" s="10" t="s">
        <v>4067</v>
      </c>
      <c r="G1399" s="10" t="s">
        <v>4068</v>
      </c>
      <c r="H1399" s="10" t="s">
        <v>4069</v>
      </c>
      <c r="I1399" s="10" t="s">
        <v>3902</v>
      </c>
    </row>
    <row r="1400" spans="1:9" x14ac:dyDescent="0.15">
      <c r="A1400" s="9">
        <v>1399</v>
      </c>
      <c r="B1400" s="10" t="s">
        <v>9</v>
      </c>
      <c r="C1400" s="10" t="s">
        <v>164</v>
      </c>
      <c r="D1400" s="10" t="s">
        <v>165</v>
      </c>
      <c r="E1400" s="11" t="str">
        <f>+HYPERLINK("http://trademark.i-assist.jp/data/china/image_1901th/79000971.pdf", "79000971")</f>
        <v>79000971</v>
      </c>
      <c r="F1400" s="10" t="s">
        <v>4070</v>
      </c>
      <c r="G1400" s="10" t="s">
        <v>4071</v>
      </c>
      <c r="H1400" s="10" t="s">
        <v>4072</v>
      </c>
      <c r="I1400" s="10" t="s">
        <v>3902</v>
      </c>
    </row>
    <row r="1401" spans="1:9" x14ac:dyDescent="0.15">
      <c r="A1401" s="9">
        <v>1400</v>
      </c>
      <c r="B1401" s="10" t="s">
        <v>9</v>
      </c>
      <c r="C1401" s="10" t="s">
        <v>164</v>
      </c>
      <c r="D1401" s="10" t="s">
        <v>165</v>
      </c>
      <c r="E1401" s="11" t="str">
        <f>+HYPERLINK("http://trademark.i-assist.jp/data/china/image_1901th/79001035.pdf", "79001035")</f>
        <v>79001035</v>
      </c>
      <c r="F1401" s="10" t="s">
        <v>4073</v>
      </c>
      <c r="G1401" s="10" t="s">
        <v>4074</v>
      </c>
      <c r="H1401" s="10" t="s">
        <v>4075</v>
      </c>
      <c r="I1401" s="10" t="s">
        <v>3902</v>
      </c>
    </row>
    <row r="1402" spans="1:9" x14ac:dyDescent="0.15">
      <c r="A1402" s="9">
        <v>1401</v>
      </c>
      <c r="B1402" s="10" t="s">
        <v>9</v>
      </c>
      <c r="C1402" s="10" t="s">
        <v>164</v>
      </c>
      <c r="D1402" s="10" t="s">
        <v>165</v>
      </c>
      <c r="E1402" s="11" t="str">
        <f>+HYPERLINK("http://trademark.i-assist.jp/data/china/image_1901th/79001057.pdf", "79001057")</f>
        <v>79001057</v>
      </c>
      <c r="F1402" s="10" t="s">
        <v>4076</v>
      </c>
      <c r="G1402" s="10" t="s">
        <v>4074</v>
      </c>
      <c r="H1402" s="10" t="s">
        <v>4077</v>
      </c>
      <c r="I1402" s="10" t="s">
        <v>3902</v>
      </c>
    </row>
    <row r="1403" spans="1:9" x14ac:dyDescent="0.15">
      <c r="A1403" s="9">
        <v>1402</v>
      </c>
      <c r="B1403" s="10" t="s">
        <v>9</v>
      </c>
      <c r="C1403" s="10" t="s">
        <v>164</v>
      </c>
      <c r="D1403" s="10" t="s">
        <v>165</v>
      </c>
      <c r="E1403" s="11" t="str">
        <f>+HYPERLINK("http://trademark.i-assist.jp/data/china/image_1901th/79001188.pdf", "79001188")</f>
        <v>79001188</v>
      </c>
      <c r="F1403" s="10" t="s">
        <v>4078</v>
      </c>
      <c r="G1403" s="10" t="s">
        <v>123</v>
      </c>
      <c r="H1403" s="10" t="s">
        <v>4079</v>
      </c>
      <c r="I1403" s="10" t="s">
        <v>3902</v>
      </c>
    </row>
    <row r="1404" spans="1:9" x14ac:dyDescent="0.15">
      <c r="A1404" s="9">
        <v>1403</v>
      </c>
      <c r="B1404" s="10" t="s">
        <v>9</v>
      </c>
      <c r="C1404" s="10" t="s">
        <v>164</v>
      </c>
      <c r="D1404" s="10" t="s">
        <v>165</v>
      </c>
      <c r="E1404" s="11" t="str">
        <f>+HYPERLINK("http://trademark.i-assist.jp/data/china/image_1901th/79001678.pdf", "79001678")</f>
        <v>79001678</v>
      </c>
      <c r="F1404" s="10" t="s">
        <v>4080</v>
      </c>
      <c r="G1404" s="10" t="s">
        <v>4081</v>
      </c>
      <c r="H1404" s="10" t="s">
        <v>4082</v>
      </c>
      <c r="I1404" s="10" t="s">
        <v>3902</v>
      </c>
    </row>
    <row r="1405" spans="1:9" x14ac:dyDescent="0.15">
      <c r="A1405" s="9">
        <v>1404</v>
      </c>
      <c r="B1405" s="10" t="s">
        <v>9</v>
      </c>
      <c r="C1405" s="10" t="s">
        <v>164</v>
      </c>
      <c r="D1405" s="10" t="s">
        <v>165</v>
      </c>
      <c r="E1405" s="11" t="str">
        <f>+HYPERLINK("http://trademark.i-assist.jp/data/china/image_1901th/79002008.pdf", "79002008")</f>
        <v>79002008</v>
      </c>
      <c r="F1405" s="10" t="s">
        <v>4083</v>
      </c>
      <c r="G1405" s="10" t="s">
        <v>4044</v>
      </c>
      <c r="H1405" s="10" t="s">
        <v>4084</v>
      </c>
      <c r="I1405" s="10" t="s">
        <v>3902</v>
      </c>
    </row>
    <row r="1406" spans="1:9" x14ac:dyDescent="0.15">
      <c r="A1406" s="9">
        <v>1405</v>
      </c>
      <c r="B1406" s="10" t="s">
        <v>9</v>
      </c>
      <c r="C1406" s="10" t="s">
        <v>164</v>
      </c>
      <c r="D1406" s="10" t="s">
        <v>165</v>
      </c>
      <c r="E1406" s="11" t="str">
        <f>+HYPERLINK("http://trademark.i-assist.jp/data/china/image_1901th/79002047.pdf", "79002047")</f>
        <v>79002047</v>
      </c>
      <c r="F1406" s="10" t="s">
        <v>4085</v>
      </c>
      <c r="G1406" s="10" t="s">
        <v>4086</v>
      </c>
      <c r="H1406" s="10" t="s">
        <v>4087</v>
      </c>
      <c r="I1406" s="10" t="s">
        <v>3902</v>
      </c>
    </row>
    <row r="1407" spans="1:9" x14ac:dyDescent="0.15">
      <c r="A1407" s="9">
        <v>1406</v>
      </c>
      <c r="B1407" s="10" t="s">
        <v>9</v>
      </c>
      <c r="C1407" s="10" t="s">
        <v>164</v>
      </c>
      <c r="D1407" s="10" t="s">
        <v>165</v>
      </c>
      <c r="E1407" s="11" t="str">
        <f>+HYPERLINK("http://trademark.i-assist.jp/data/china/image_1901th/79002052.pdf", "79002052")</f>
        <v>79002052</v>
      </c>
      <c r="F1407" s="10" t="s">
        <v>4088</v>
      </c>
      <c r="G1407" s="10" t="s">
        <v>4086</v>
      </c>
      <c r="H1407" s="10" t="s">
        <v>4089</v>
      </c>
      <c r="I1407" s="10" t="s">
        <v>3902</v>
      </c>
    </row>
    <row r="1408" spans="1:9" x14ac:dyDescent="0.15">
      <c r="A1408" s="9">
        <v>1407</v>
      </c>
      <c r="B1408" s="10" t="s">
        <v>9</v>
      </c>
      <c r="C1408" s="10" t="s">
        <v>164</v>
      </c>
      <c r="D1408" s="10" t="s">
        <v>165</v>
      </c>
      <c r="E1408" s="11" t="str">
        <f>+HYPERLINK("http://trademark.i-assist.jp/data/china/image_1901th/79002075.pdf", "79002075")</f>
        <v>79002075</v>
      </c>
      <c r="F1408" s="10" t="s">
        <v>4090</v>
      </c>
      <c r="G1408" s="10" t="s">
        <v>4091</v>
      </c>
      <c r="H1408" s="10" t="s">
        <v>4092</v>
      </c>
      <c r="I1408" s="10" t="s">
        <v>3902</v>
      </c>
    </row>
    <row r="1409" spans="1:9" x14ac:dyDescent="0.15">
      <c r="A1409" s="9">
        <v>1408</v>
      </c>
      <c r="B1409" s="10" t="s">
        <v>9</v>
      </c>
      <c r="C1409" s="10" t="s">
        <v>164</v>
      </c>
      <c r="D1409" s="10" t="s">
        <v>165</v>
      </c>
      <c r="E1409" s="11" t="str">
        <f>+HYPERLINK("http://trademark.i-assist.jp/data/china/image_1901th/79002224.pdf", "79002224")</f>
        <v>79002224</v>
      </c>
      <c r="F1409" s="10" t="s">
        <v>4093</v>
      </c>
      <c r="G1409" s="10" t="s">
        <v>96</v>
      </c>
      <c r="H1409" s="10" t="s">
        <v>4094</v>
      </c>
      <c r="I1409" s="10" t="s">
        <v>3902</v>
      </c>
    </row>
    <row r="1410" spans="1:9" x14ac:dyDescent="0.15">
      <c r="A1410" s="9">
        <v>1409</v>
      </c>
      <c r="B1410" s="10" t="s">
        <v>9</v>
      </c>
      <c r="C1410" s="10" t="s">
        <v>164</v>
      </c>
      <c r="D1410" s="10" t="s">
        <v>165</v>
      </c>
      <c r="E1410" s="11" t="str">
        <f>+HYPERLINK("http://trademark.i-assist.jp/data/china/image_1901th/79002514.pdf", "79002514")</f>
        <v>79002514</v>
      </c>
      <c r="F1410" s="10" t="s">
        <v>4095</v>
      </c>
      <c r="G1410" s="10" t="s">
        <v>4096</v>
      </c>
      <c r="H1410" s="10" t="s">
        <v>4097</v>
      </c>
      <c r="I1410" s="10" t="s">
        <v>3902</v>
      </c>
    </row>
    <row r="1411" spans="1:9" x14ac:dyDescent="0.15">
      <c r="A1411" s="9">
        <v>1410</v>
      </c>
      <c r="B1411" s="10" t="s">
        <v>9</v>
      </c>
      <c r="C1411" s="10" t="s">
        <v>164</v>
      </c>
      <c r="D1411" s="10" t="s">
        <v>165</v>
      </c>
      <c r="E1411" s="11" t="str">
        <f>+HYPERLINK("http://trademark.i-assist.jp/data/china/image_1901th/79002696.pdf", "79002696")</f>
        <v>79002696</v>
      </c>
      <c r="F1411" s="10" t="s">
        <v>12</v>
      </c>
      <c r="G1411" s="10" t="s">
        <v>4098</v>
      </c>
      <c r="H1411" s="10" t="s">
        <v>4099</v>
      </c>
      <c r="I1411" s="10" t="s">
        <v>3902</v>
      </c>
    </row>
    <row r="1412" spans="1:9" x14ac:dyDescent="0.15">
      <c r="A1412" s="9">
        <v>1411</v>
      </c>
      <c r="B1412" s="10" t="s">
        <v>9</v>
      </c>
      <c r="C1412" s="10" t="s">
        <v>164</v>
      </c>
      <c r="D1412" s="10" t="s">
        <v>165</v>
      </c>
      <c r="E1412" s="11" t="str">
        <f>+HYPERLINK("http://trademark.i-assist.jp/data/china/image_1901th/79002699.pdf", "79002699")</f>
        <v>79002699</v>
      </c>
      <c r="F1412" s="10" t="s">
        <v>4100</v>
      </c>
      <c r="G1412" s="10" t="s">
        <v>4101</v>
      </c>
      <c r="H1412" s="10" t="s">
        <v>4102</v>
      </c>
      <c r="I1412" s="10" t="s">
        <v>3902</v>
      </c>
    </row>
    <row r="1413" spans="1:9" x14ac:dyDescent="0.15">
      <c r="A1413" s="9">
        <v>1412</v>
      </c>
      <c r="B1413" s="10" t="s">
        <v>9</v>
      </c>
      <c r="C1413" s="10" t="s">
        <v>164</v>
      </c>
      <c r="D1413" s="10" t="s">
        <v>165</v>
      </c>
      <c r="E1413" s="11" t="str">
        <f>+HYPERLINK("http://trademark.i-assist.jp/data/china/image_1901th/79003108.pdf", "79003108")</f>
        <v>79003108</v>
      </c>
      <c r="F1413" s="10" t="s">
        <v>4103</v>
      </c>
      <c r="G1413" s="10" t="s">
        <v>4104</v>
      </c>
      <c r="H1413" s="10" t="s">
        <v>4105</v>
      </c>
      <c r="I1413" s="10" t="s">
        <v>3902</v>
      </c>
    </row>
    <row r="1414" spans="1:9" x14ac:dyDescent="0.15">
      <c r="A1414" s="9">
        <v>1413</v>
      </c>
      <c r="B1414" s="10" t="s">
        <v>9</v>
      </c>
      <c r="C1414" s="10" t="s">
        <v>164</v>
      </c>
      <c r="D1414" s="10" t="s">
        <v>165</v>
      </c>
      <c r="E1414" s="11" t="str">
        <f>+HYPERLINK("http://trademark.i-assist.jp/data/china/image_1901th/79003172.pdf", "79003172")</f>
        <v>79003172</v>
      </c>
      <c r="F1414" s="10" t="s">
        <v>4106</v>
      </c>
      <c r="G1414" s="10" t="s">
        <v>4107</v>
      </c>
      <c r="H1414" s="10" t="s">
        <v>4108</v>
      </c>
      <c r="I1414" s="10" t="s">
        <v>3902</v>
      </c>
    </row>
    <row r="1415" spans="1:9" x14ac:dyDescent="0.15">
      <c r="A1415" s="9">
        <v>1414</v>
      </c>
      <c r="B1415" s="10" t="s">
        <v>9</v>
      </c>
      <c r="C1415" s="10" t="s">
        <v>164</v>
      </c>
      <c r="D1415" s="10" t="s">
        <v>165</v>
      </c>
      <c r="E1415" s="11" t="str">
        <f>+HYPERLINK("http://trademark.i-assist.jp/data/china/image_1901th/79003569.pdf", "79003569")</f>
        <v>79003569</v>
      </c>
      <c r="F1415" s="10" t="s">
        <v>4109</v>
      </c>
      <c r="G1415" s="10" t="s">
        <v>4110</v>
      </c>
      <c r="H1415" s="10" t="s">
        <v>4111</v>
      </c>
      <c r="I1415" s="10" t="s">
        <v>3902</v>
      </c>
    </row>
    <row r="1416" spans="1:9" x14ac:dyDescent="0.15">
      <c r="A1416" s="9">
        <v>1415</v>
      </c>
      <c r="B1416" s="10" t="s">
        <v>9</v>
      </c>
      <c r="C1416" s="10" t="s">
        <v>164</v>
      </c>
      <c r="D1416" s="10" t="s">
        <v>165</v>
      </c>
      <c r="E1416" s="11" t="str">
        <f>+HYPERLINK("http://trademark.i-assist.jp/data/china/image_1901th/79004186.pdf", "79004186")</f>
        <v>79004186</v>
      </c>
      <c r="F1416" s="10" t="s">
        <v>4112</v>
      </c>
      <c r="G1416" s="10" t="s">
        <v>4113</v>
      </c>
      <c r="H1416" s="10" t="s">
        <v>4114</v>
      </c>
      <c r="I1416" s="10" t="s">
        <v>3902</v>
      </c>
    </row>
    <row r="1417" spans="1:9" x14ac:dyDescent="0.15">
      <c r="A1417" s="9">
        <v>1416</v>
      </c>
      <c r="B1417" s="10" t="s">
        <v>9</v>
      </c>
      <c r="C1417" s="10" t="s">
        <v>164</v>
      </c>
      <c r="D1417" s="10" t="s">
        <v>165</v>
      </c>
      <c r="E1417" s="11" t="str">
        <f>+HYPERLINK("http://trademark.i-assist.jp/data/china/image_1901th/79004531.pdf", "79004531")</f>
        <v>79004531</v>
      </c>
      <c r="F1417" s="10" t="s">
        <v>3997</v>
      </c>
      <c r="G1417" s="10" t="s">
        <v>3998</v>
      </c>
      <c r="H1417" s="10" t="s">
        <v>4115</v>
      </c>
      <c r="I1417" s="10" t="s">
        <v>3902</v>
      </c>
    </row>
    <row r="1418" spans="1:9" x14ac:dyDescent="0.15">
      <c r="A1418" s="9">
        <v>1417</v>
      </c>
      <c r="B1418" s="10" t="s">
        <v>9</v>
      </c>
      <c r="C1418" s="10" t="s">
        <v>164</v>
      </c>
      <c r="D1418" s="10" t="s">
        <v>165</v>
      </c>
      <c r="E1418" s="11" t="str">
        <f>+HYPERLINK("http://trademark.i-assist.jp/data/china/image_1901th/79004735.pdf", "79004735")</f>
        <v>79004735</v>
      </c>
      <c r="F1418" s="10" t="s">
        <v>4116</v>
      </c>
      <c r="G1418" s="10" t="s">
        <v>4117</v>
      </c>
      <c r="H1418" s="10" t="s">
        <v>4118</v>
      </c>
      <c r="I1418" s="10" t="s">
        <v>3902</v>
      </c>
    </row>
    <row r="1419" spans="1:9" x14ac:dyDescent="0.15">
      <c r="A1419" s="9">
        <v>1418</v>
      </c>
      <c r="B1419" s="10" t="s">
        <v>9</v>
      </c>
      <c r="C1419" s="10" t="s">
        <v>164</v>
      </c>
      <c r="D1419" s="10" t="s">
        <v>165</v>
      </c>
      <c r="E1419" s="11" t="str">
        <f>+HYPERLINK("http://trademark.i-assist.jp/data/china/image_1901th/79004933.pdf", "79004933")</f>
        <v>79004933</v>
      </c>
      <c r="F1419" s="10" t="s">
        <v>4119</v>
      </c>
      <c r="G1419" s="10" t="s">
        <v>4120</v>
      </c>
      <c r="H1419" s="10" t="s">
        <v>4121</v>
      </c>
      <c r="I1419" s="10" t="s">
        <v>3902</v>
      </c>
    </row>
    <row r="1420" spans="1:9" x14ac:dyDescent="0.15">
      <c r="A1420" s="9">
        <v>1419</v>
      </c>
      <c r="B1420" s="10" t="s">
        <v>9</v>
      </c>
      <c r="C1420" s="10" t="s">
        <v>164</v>
      </c>
      <c r="D1420" s="10" t="s">
        <v>165</v>
      </c>
      <c r="E1420" s="11" t="str">
        <f>+HYPERLINK("http://trademark.i-assist.jp/data/china/image_1901th/79005097.pdf", "79005097")</f>
        <v>79005097</v>
      </c>
      <c r="F1420" s="10" t="s">
        <v>4122</v>
      </c>
      <c r="G1420" s="10" t="s">
        <v>4123</v>
      </c>
      <c r="H1420" s="10" t="s">
        <v>4124</v>
      </c>
      <c r="I1420" s="10" t="s">
        <v>3902</v>
      </c>
    </row>
    <row r="1421" spans="1:9" x14ac:dyDescent="0.15">
      <c r="A1421" s="9">
        <v>1420</v>
      </c>
      <c r="B1421" s="10" t="s">
        <v>9</v>
      </c>
      <c r="C1421" s="10" t="s">
        <v>164</v>
      </c>
      <c r="D1421" s="10" t="s">
        <v>165</v>
      </c>
      <c r="E1421" s="11" t="str">
        <f>+HYPERLINK("http://trademark.i-assist.jp/data/china/image_1901th/79005162.pdf", "79005162")</f>
        <v>79005162</v>
      </c>
      <c r="F1421" s="10" t="s">
        <v>4125</v>
      </c>
      <c r="G1421" s="10" t="s">
        <v>4126</v>
      </c>
      <c r="H1421" s="10" t="s">
        <v>4127</v>
      </c>
      <c r="I1421" s="10" t="s">
        <v>3902</v>
      </c>
    </row>
    <row r="1422" spans="1:9" x14ac:dyDescent="0.15">
      <c r="A1422" s="9">
        <v>1421</v>
      </c>
      <c r="B1422" s="10" t="s">
        <v>9</v>
      </c>
      <c r="C1422" s="10" t="s">
        <v>164</v>
      </c>
      <c r="D1422" s="10" t="s">
        <v>165</v>
      </c>
      <c r="E1422" s="11" t="str">
        <f>+HYPERLINK("http://trademark.i-assist.jp/data/china/image_1901th/79005264.pdf", "79005264")</f>
        <v>79005264</v>
      </c>
      <c r="F1422" s="10" t="s">
        <v>4128</v>
      </c>
      <c r="G1422" s="10" t="s">
        <v>4129</v>
      </c>
      <c r="H1422" s="10" t="s">
        <v>4130</v>
      </c>
      <c r="I1422" s="10" t="s">
        <v>3902</v>
      </c>
    </row>
    <row r="1423" spans="1:9" x14ac:dyDescent="0.15">
      <c r="A1423" s="9">
        <v>1422</v>
      </c>
      <c r="B1423" s="10" t="s">
        <v>9</v>
      </c>
      <c r="C1423" s="10" t="s">
        <v>164</v>
      </c>
      <c r="D1423" s="10" t="s">
        <v>165</v>
      </c>
      <c r="E1423" s="11" t="str">
        <f>+HYPERLINK("http://trademark.i-assist.jp/data/china/image_1901th/79005314.pdf", "79005314")</f>
        <v>79005314</v>
      </c>
      <c r="F1423" s="10" t="s">
        <v>4131</v>
      </c>
      <c r="G1423" s="10" t="s">
        <v>4132</v>
      </c>
      <c r="H1423" s="10" t="s">
        <v>4133</v>
      </c>
      <c r="I1423" s="10" t="s">
        <v>3902</v>
      </c>
    </row>
    <row r="1424" spans="1:9" x14ac:dyDescent="0.15">
      <c r="A1424" s="9">
        <v>1423</v>
      </c>
      <c r="B1424" s="10" t="s">
        <v>9</v>
      </c>
      <c r="C1424" s="10" t="s">
        <v>164</v>
      </c>
      <c r="D1424" s="10" t="s">
        <v>165</v>
      </c>
      <c r="E1424" s="11" t="str">
        <f>+HYPERLINK("http://trademark.i-assist.jp/data/china/image_1901th/79005320.pdf", "79005320")</f>
        <v>79005320</v>
      </c>
      <c r="F1424" s="10" t="s">
        <v>4134</v>
      </c>
      <c r="G1424" s="10" t="s">
        <v>4132</v>
      </c>
      <c r="H1424" s="10" t="s">
        <v>4135</v>
      </c>
      <c r="I1424" s="10" t="s">
        <v>3902</v>
      </c>
    </row>
    <row r="1425" spans="1:9" x14ac:dyDescent="0.15">
      <c r="A1425" s="9">
        <v>1424</v>
      </c>
      <c r="B1425" s="10" t="s">
        <v>9</v>
      </c>
      <c r="C1425" s="10" t="s">
        <v>164</v>
      </c>
      <c r="D1425" s="10" t="s">
        <v>165</v>
      </c>
      <c r="E1425" s="11" t="str">
        <f>+HYPERLINK("http://trademark.i-assist.jp/data/china/image_1901th/79005523.pdf", "79005523")</f>
        <v>79005523</v>
      </c>
      <c r="F1425" s="10" t="s">
        <v>4136</v>
      </c>
      <c r="G1425" s="10" t="s">
        <v>3904</v>
      </c>
      <c r="H1425" s="10" t="s">
        <v>4137</v>
      </c>
      <c r="I1425" s="10" t="s">
        <v>3902</v>
      </c>
    </row>
    <row r="1426" spans="1:9" x14ac:dyDescent="0.15">
      <c r="A1426" s="9">
        <v>1425</v>
      </c>
      <c r="B1426" s="10" t="s">
        <v>9</v>
      </c>
      <c r="C1426" s="10" t="s">
        <v>164</v>
      </c>
      <c r="D1426" s="10" t="s">
        <v>165</v>
      </c>
      <c r="E1426" s="11" t="str">
        <f>+HYPERLINK("http://trademark.i-assist.jp/data/china/image_1901th/79005602.pdf", "79005602")</f>
        <v>79005602</v>
      </c>
      <c r="F1426" s="10" t="s">
        <v>4138</v>
      </c>
      <c r="G1426" s="10" t="s">
        <v>4139</v>
      </c>
      <c r="H1426" s="10" t="s">
        <v>4140</v>
      </c>
      <c r="I1426" s="10" t="s">
        <v>3902</v>
      </c>
    </row>
    <row r="1427" spans="1:9" x14ac:dyDescent="0.15">
      <c r="A1427" s="9">
        <v>1426</v>
      </c>
      <c r="B1427" s="10" t="s">
        <v>9</v>
      </c>
      <c r="C1427" s="10" t="s">
        <v>164</v>
      </c>
      <c r="D1427" s="10" t="s">
        <v>165</v>
      </c>
      <c r="E1427" s="11" t="str">
        <f>+HYPERLINK("http://trademark.i-assist.jp/data/china/image_1901th/79005751.pdf", "79005751")</f>
        <v>79005751</v>
      </c>
      <c r="F1427" s="10" t="s">
        <v>4141</v>
      </c>
      <c r="G1427" s="10" t="s">
        <v>4142</v>
      </c>
      <c r="H1427" s="10" t="s">
        <v>4143</v>
      </c>
      <c r="I1427" s="10" t="s">
        <v>3902</v>
      </c>
    </row>
    <row r="1428" spans="1:9" x14ac:dyDescent="0.15">
      <c r="A1428" s="9">
        <v>1427</v>
      </c>
      <c r="B1428" s="10" t="s">
        <v>9</v>
      </c>
      <c r="C1428" s="10" t="s">
        <v>164</v>
      </c>
      <c r="D1428" s="10" t="s">
        <v>165</v>
      </c>
      <c r="E1428" s="11" t="str">
        <f>+HYPERLINK("http://trademark.i-assist.jp/data/china/image_1901th/79005841.pdf", "79005841")</f>
        <v>79005841</v>
      </c>
      <c r="F1428" s="10" t="s">
        <v>12</v>
      </c>
      <c r="G1428" s="10" t="s">
        <v>4144</v>
      </c>
      <c r="H1428" s="10" t="s">
        <v>4145</v>
      </c>
      <c r="I1428" s="10" t="s">
        <v>3902</v>
      </c>
    </row>
    <row r="1429" spans="1:9" x14ac:dyDescent="0.15">
      <c r="A1429" s="9">
        <v>1428</v>
      </c>
      <c r="B1429" s="10" t="s">
        <v>9</v>
      </c>
      <c r="C1429" s="10" t="s">
        <v>164</v>
      </c>
      <c r="D1429" s="10" t="s">
        <v>165</v>
      </c>
      <c r="E1429" s="11" t="str">
        <f>+HYPERLINK("http://trademark.i-assist.jp/data/china/image_1901th/79006093.pdf", "79006093")</f>
        <v>79006093</v>
      </c>
      <c r="F1429" s="10" t="s">
        <v>4146</v>
      </c>
      <c r="G1429" s="10" t="s">
        <v>4147</v>
      </c>
      <c r="H1429" s="10" t="s">
        <v>4148</v>
      </c>
      <c r="I1429" s="10" t="s">
        <v>3902</v>
      </c>
    </row>
    <row r="1430" spans="1:9" x14ac:dyDescent="0.15">
      <c r="A1430" s="9">
        <v>1429</v>
      </c>
      <c r="B1430" s="10" t="s">
        <v>9</v>
      </c>
      <c r="C1430" s="10" t="s">
        <v>164</v>
      </c>
      <c r="D1430" s="10" t="s">
        <v>165</v>
      </c>
      <c r="E1430" s="11" t="str">
        <f>+HYPERLINK("http://trademark.i-assist.jp/data/china/image_1901th/79006115.pdf", "79006115")</f>
        <v>79006115</v>
      </c>
      <c r="F1430" s="10" t="s">
        <v>4149</v>
      </c>
      <c r="G1430" s="10" t="s">
        <v>4150</v>
      </c>
      <c r="H1430" s="10" t="s">
        <v>4151</v>
      </c>
      <c r="I1430" s="10" t="s">
        <v>3902</v>
      </c>
    </row>
    <row r="1431" spans="1:9" x14ac:dyDescent="0.15">
      <c r="A1431" s="9">
        <v>1430</v>
      </c>
      <c r="B1431" s="10" t="s">
        <v>9</v>
      </c>
      <c r="C1431" s="10" t="s">
        <v>164</v>
      </c>
      <c r="D1431" s="10" t="s">
        <v>165</v>
      </c>
      <c r="E1431" s="11" t="str">
        <f>+HYPERLINK("http://trademark.i-assist.jp/data/china/image_1901th/79006268.pdf", "79006268")</f>
        <v>79006268</v>
      </c>
      <c r="F1431" s="10" t="s">
        <v>4152</v>
      </c>
      <c r="G1431" s="10" t="s">
        <v>4153</v>
      </c>
      <c r="H1431" s="10" t="s">
        <v>4154</v>
      </c>
      <c r="I1431" s="10" t="s">
        <v>3902</v>
      </c>
    </row>
    <row r="1432" spans="1:9" x14ac:dyDescent="0.15">
      <c r="A1432" s="9">
        <v>1431</v>
      </c>
      <c r="B1432" s="10" t="s">
        <v>9</v>
      </c>
      <c r="C1432" s="10" t="s">
        <v>164</v>
      </c>
      <c r="D1432" s="10" t="s">
        <v>165</v>
      </c>
      <c r="E1432" s="11" t="str">
        <f>+HYPERLINK("http://trademark.i-assist.jp/data/china/image_1901th/79006511.pdf", "79006511")</f>
        <v>79006511</v>
      </c>
      <c r="F1432" s="10" t="s">
        <v>4155</v>
      </c>
      <c r="G1432" s="10" t="s">
        <v>4156</v>
      </c>
      <c r="H1432" s="10" t="s">
        <v>4157</v>
      </c>
      <c r="I1432" s="10" t="s">
        <v>3902</v>
      </c>
    </row>
    <row r="1433" spans="1:9" x14ac:dyDescent="0.15">
      <c r="A1433" s="9">
        <v>1432</v>
      </c>
      <c r="B1433" s="10" t="s">
        <v>9</v>
      </c>
      <c r="C1433" s="10" t="s">
        <v>164</v>
      </c>
      <c r="D1433" s="10" t="s">
        <v>165</v>
      </c>
      <c r="E1433" s="11" t="str">
        <f>+HYPERLINK("http://trademark.i-assist.jp/data/china/image_1901th/79006707.pdf", "79006707")</f>
        <v>79006707</v>
      </c>
      <c r="F1433" s="10" t="s">
        <v>4158</v>
      </c>
      <c r="G1433" s="10" t="s">
        <v>84</v>
      </c>
      <c r="H1433" s="10" t="s">
        <v>4159</v>
      </c>
      <c r="I1433" s="10" t="s">
        <v>3902</v>
      </c>
    </row>
    <row r="1434" spans="1:9" x14ac:dyDescent="0.15">
      <c r="A1434" s="9">
        <v>1433</v>
      </c>
      <c r="B1434" s="10" t="s">
        <v>9</v>
      </c>
      <c r="C1434" s="10" t="s">
        <v>164</v>
      </c>
      <c r="D1434" s="10" t="s">
        <v>165</v>
      </c>
      <c r="E1434" s="11" t="str">
        <f>+HYPERLINK("http://trademark.i-assist.jp/data/china/image_1901th/79007662.pdf", "79007662")</f>
        <v>79007662</v>
      </c>
      <c r="F1434" s="10" t="s">
        <v>4160</v>
      </c>
      <c r="G1434" s="10" t="s">
        <v>4161</v>
      </c>
      <c r="H1434" s="10" t="s">
        <v>4162</v>
      </c>
      <c r="I1434" s="10" t="s">
        <v>3902</v>
      </c>
    </row>
    <row r="1435" spans="1:9" x14ac:dyDescent="0.15">
      <c r="A1435" s="9">
        <v>1434</v>
      </c>
      <c r="B1435" s="10" t="s">
        <v>9</v>
      </c>
      <c r="C1435" s="10" t="s">
        <v>164</v>
      </c>
      <c r="D1435" s="10" t="s">
        <v>165</v>
      </c>
      <c r="E1435" s="11" t="str">
        <f>+HYPERLINK("http://trademark.i-assist.jp/data/china/image_1901th/79008733.pdf", "79008733")</f>
        <v>79008733</v>
      </c>
      <c r="F1435" s="10" t="s">
        <v>4163</v>
      </c>
      <c r="G1435" s="10" t="s">
        <v>4164</v>
      </c>
      <c r="H1435" s="10" t="s">
        <v>4165</v>
      </c>
      <c r="I1435" s="10" t="s">
        <v>3902</v>
      </c>
    </row>
    <row r="1436" spans="1:9" x14ac:dyDescent="0.15">
      <c r="A1436" s="9">
        <v>1435</v>
      </c>
      <c r="B1436" s="10" t="s">
        <v>9</v>
      </c>
      <c r="C1436" s="10" t="s">
        <v>164</v>
      </c>
      <c r="D1436" s="10" t="s">
        <v>165</v>
      </c>
      <c r="E1436" s="11" t="str">
        <f>+HYPERLINK("http://trademark.i-assist.jp/data/china/image_1901th/79008946.pdf", "79008946")</f>
        <v>79008946</v>
      </c>
      <c r="F1436" s="10" t="s">
        <v>4166</v>
      </c>
      <c r="G1436" s="10" t="s">
        <v>4167</v>
      </c>
      <c r="H1436" s="10" t="s">
        <v>4168</v>
      </c>
      <c r="I1436" s="10" t="s">
        <v>3902</v>
      </c>
    </row>
    <row r="1437" spans="1:9" x14ac:dyDescent="0.15">
      <c r="A1437" s="9">
        <v>1436</v>
      </c>
      <c r="B1437" s="10" t="s">
        <v>9</v>
      </c>
      <c r="C1437" s="10" t="s">
        <v>164</v>
      </c>
      <c r="D1437" s="10" t="s">
        <v>165</v>
      </c>
      <c r="E1437" s="11" t="str">
        <f>+HYPERLINK("http://trademark.i-assist.jp/data/china/image_1901th/79009039.pdf", "79009039")</f>
        <v>79009039</v>
      </c>
      <c r="F1437" s="10" t="s">
        <v>4169</v>
      </c>
      <c r="G1437" s="10" t="s">
        <v>3904</v>
      </c>
      <c r="H1437" s="10" t="s">
        <v>4170</v>
      </c>
      <c r="I1437" s="10" t="s">
        <v>3902</v>
      </c>
    </row>
    <row r="1438" spans="1:9" x14ac:dyDescent="0.15">
      <c r="A1438" s="9">
        <v>1437</v>
      </c>
      <c r="B1438" s="10" t="s">
        <v>9</v>
      </c>
      <c r="C1438" s="10" t="s">
        <v>164</v>
      </c>
      <c r="D1438" s="10" t="s">
        <v>165</v>
      </c>
      <c r="E1438" s="11" t="str">
        <f>+HYPERLINK("http://trademark.i-assist.jp/data/china/image_1901th/79009060.pdf", "79009060")</f>
        <v>79009060</v>
      </c>
      <c r="F1438" s="10" t="s">
        <v>4171</v>
      </c>
      <c r="G1438" s="10" t="s">
        <v>4172</v>
      </c>
      <c r="H1438" s="10" t="s">
        <v>4173</v>
      </c>
      <c r="I1438" s="10" t="s">
        <v>3902</v>
      </c>
    </row>
    <row r="1439" spans="1:9" x14ac:dyDescent="0.15">
      <c r="A1439" s="9">
        <v>1438</v>
      </c>
      <c r="B1439" s="10" t="s">
        <v>9</v>
      </c>
      <c r="C1439" s="10" t="s">
        <v>164</v>
      </c>
      <c r="D1439" s="10" t="s">
        <v>165</v>
      </c>
      <c r="E1439" s="11" t="str">
        <f>+HYPERLINK("http://trademark.i-assist.jp/data/china/image_1901th/79009436.pdf", "79009436")</f>
        <v>79009436</v>
      </c>
      <c r="F1439" s="10" t="s">
        <v>4174</v>
      </c>
      <c r="G1439" s="10" t="s">
        <v>4175</v>
      </c>
      <c r="H1439" s="10" t="s">
        <v>4176</v>
      </c>
      <c r="I1439" s="10" t="s">
        <v>3902</v>
      </c>
    </row>
    <row r="1440" spans="1:9" x14ac:dyDescent="0.15">
      <c r="A1440" s="9">
        <v>1439</v>
      </c>
      <c r="B1440" s="10" t="s">
        <v>9</v>
      </c>
      <c r="C1440" s="10" t="s">
        <v>164</v>
      </c>
      <c r="D1440" s="10" t="s">
        <v>165</v>
      </c>
      <c r="E1440" s="11" t="str">
        <f>+HYPERLINK("http://trademark.i-assist.jp/data/china/image_1901th/79009561.pdf", "79009561")</f>
        <v>79009561</v>
      </c>
      <c r="F1440" s="10" t="s">
        <v>4177</v>
      </c>
      <c r="G1440" s="10" t="s">
        <v>4178</v>
      </c>
      <c r="H1440" s="10" t="s">
        <v>4179</v>
      </c>
      <c r="I1440" s="10" t="s">
        <v>3902</v>
      </c>
    </row>
    <row r="1441" spans="1:9" x14ac:dyDescent="0.15">
      <c r="A1441" s="9">
        <v>1440</v>
      </c>
      <c r="B1441" s="10" t="s">
        <v>9</v>
      </c>
      <c r="C1441" s="10" t="s">
        <v>164</v>
      </c>
      <c r="D1441" s="10" t="s">
        <v>165</v>
      </c>
      <c r="E1441" s="11" t="str">
        <f>+HYPERLINK("http://trademark.i-assist.jp/data/china/image_1901th/79009833.pdf", "79009833")</f>
        <v>79009833</v>
      </c>
      <c r="F1441" s="10" t="s">
        <v>4180</v>
      </c>
      <c r="G1441" s="10" t="s">
        <v>4181</v>
      </c>
      <c r="H1441" s="10" t="s">
        <v>4182</v>
      </c>
      <c r="I1441" s="10" t="s">
        <v>3902</v>
      </c>
    </row>
    <row r="1442" spans="1:9" x14ac:dyDescent="0.15">
      <c r="A1442" s="9">
        <v>1441</v>
      </c>
      <c r="B1442" s="10" t="s">
        <v>9</v>
      </c>
      <c r="C1442" s="10" t="s">
        <v>164</v>
      </c>
      <c r="D1442" s="10" t="s">
        <v>165</v>
      </c>
      <c r="E1442" s="11" t="str">
        <f>+HYPERLINK("http://trademark.i-assist.jp/data/china/image_1901th/79010075.pdf", "79010075")</f>
        <v>79010075</v>
      </c>
      <c r="F1442" s="10" t="s">
        <v>4183</v>
      </c>
      <c r="G1442" s="10" t="s">
        <v>3458</v>
      </c>
      <c r="H1442" s="10" t="s">
        <v>4184</v>
      </c>
      <c r="I1442" s="10" t="s">
        <v>3902</v>
      </c>
    </row>
    <row r="1443" spans="1:9" x14ac:dyDescent="0.15">
      <c r="A1443" s="9">
        <v>1442</v>
      </c>
      <c r="B1443" s="10" t="s">
        <v>9</v>
      </c>
      <c r="C1443" s="10" t="s">
        <v>164</v>
      </c>
      <c r="D1443" s="10" t="s">
        <v>165</v>
      </c>
      <c r="E1443" s="11" t="str">
        <f>+HYPERLINK("http://trademark.i-assist.jp/data/china/image_1901th/79010139.pdf", "79010139")</f>
        <v>79010139</v>
      </c>
      <c r="F1443" s="10" t="s">
        <v>4185</v>
      </c>
      <c r="G1443" s="10" t="s">
        <v>4186</v>
      </c>
      <c r="H1443" s="10" t="s">
        <v>4187</v>
      </c>
      <c r="I1443" s="10" t="s">
        <v>3902</v>
      </c>
    </row>
    <row r="1444" spans="1:9" x14ac:dyDescent="0.15">
      <c r="A1444" s="9">
        <v>1443</v>
      </c>
      <c r="B1444" s="10" t="s">
        <v>9</v>
      </c>
      <c r="C1444" s="10" t="s">
        <v>164</v>
      </c>
      <c r="D1444" s="10" t="s">
        <v>165</v>
      </c>
      <c r="E1444" s="11" t="str">
        <f>+HYPERLINK("http://trademark.i-assist.jp/data/china/image_1901th/79010229.pdf", "79010229")</f>
        <v>79010229</v>
      </c>
      <c r="F1444" s="10" t="s">
        <v>12</v>
      </c>
      <c r="G1444" s="10" t="s">
        <v>4188</v>
      </c>
      <c r="H1444" s="10" t="s">
        <v>4189</v>
      </c>
      <c r="I1444" s="10" t="s">
        <v>3902</v>
      </c>
    </row>
    <row r="1445" spans="1:9" x14ac:dyDescent="0.15">
      <c r="A1445" s="9">
        <v>1444</v>
      </c>
      <c r="B1445" s="10" t="s">
        <v>9</v>
      </c>
      <c r="C1445" s="10" t="s">
        <v>164</v>
      </c>
      <c r="D1445" s="10" t="s">
        <v>165</v>
      </c>
      <c r="E1445" s="11" t="str">
        <f>+HYPERLINK("http://trademark.i-assist.jp/data/china/image_1901th/79010653.pdf", "79010653")</f>
        <v>79010653</v>
      </c>
      <c r="F1445" s="10" t="s">
        <v>4190</v>
      </c>
      <c r="G1445" s="10" t="s">
        <v>4191</v>
      </c>
      <c r="H1445" s="10" t="s">
        <v>4192</v>
      </c>
      <c r="I1445" s="10" t="s">
        <v>3902</v>
      </c>
    </row>
    <row r="1446" spans="1:9" x14ac:dyDescent="0.15">
      <c r="A1446" s="9">
        <v>1445</v>
      </c>
      <c r="B1446" s="10" t="s">
        <v>9</v>
      </c>
      <c r="C1446" s="10" t="s">
        <v>164</v>
      </c>
      <c r="D1446" s="10" t="s">
        <v>165</v>
      </c>
      <c r="E1446" s="11" t="str">
        <f>+HYPERLINK("http://trademark.i-assist.jp/data/china/image_1901th/79011571.pdf", "79011571")</f>
        <v>79011571</v>
      </c>
      <c r="F1446" s="10" t="s">
        <v>4193</v>
      </c>
      <c r="G1446" s="10" t="s">
        <v>4194</v>
      </c>
      <c r="H1446" s="10" t="s">
        <v>4195</v>
      </c>
      <c r="I1446" s="10" t="s">
        <v>4196</v>
      </c>
    </row>
    <row r="1447" spans="1:9" x14ac:dyDescent="0.15">
      <c r="A1447" s="9">
        <v>1446</v>
      </c>
      <c r="B1447" s="10" t="s">
        <v>9</v>
      </c>
      <c r="C1447" s="10" t="s">
        <v>164</v>
      </c>
      <c r="D1447" s="10" t="s">
        <v>165</v>
      </c>
      <c r="E1447" s="11" t="str">
        <f>+HYPERLINK("http://trademark.i-assist.jp/data/china/image_1901th/79012240.pdf", "79012240")</f>
        <v>79012240</v>
      </c>
      <c r="F1447" s="10" t="s">
        <v>4197</v>
      </c>
      <c r="G1447" s="10" t="s">
        <v>4198</v>
      </c>
      <c r="H1447" s="10" t="s">
        <v>4199</v>
      </c>
      <c r="I1447" s="10" t="s">
        <v>4196</v>
      </c>
    </row>
    <row r="1448" spans="1:9" x14ac:dyDescent="0.15">
      <c r="A1448" s="9">
        <v>1447</v>
      </c>
      <c r="B1448" s="10" t="s">
        <v>9</v>
      </c>
      <c r="C1448" s="10" t="s">
        <v>164</v>
      </c>
      <c r="D1448" s="10" t="s">
        <v>165</v>
      </c>
      <c r="E1448" s="11" t="str">
        <f>+HYPERLINK("http://trademark.i-assist.jp/data/china/image_1901th/79012297.pdf", "79012297")</f>
        <v>79012297</v>
      </c>
      <c r="F1448" s="10" t="s">
        <v>4200</v>
      </c>
      <c r="G1448" s="10" t="s">
        <v>4201</v>
      </c>
      <c r="H1448" s="10" t="s">
        <v>4202</v>
      </c>
      <c r="I1448" s="10" t="s">
        <v>4196</v>
      </c>
    </row>
    <row r="1449" spans="1:9" x14ac:dyDescent="0.15">
      <c r="A1449" s="9">
        <v>1448</v>
      </c>
      <c r="B1449" s="10" t="s">
        <v>9</v>
      </c>
      <c r="C1449" s="10" t="s">
        <v>164</v>
      </c>
      <c r="D1449" s="10" t="s">
        <v>165</v>
      </c>
      <c r="E1449" s="11" t="str">
        <f>+HYPERLINK("http://trademark.i-assist.jp/data/china/image_1901th/79012582.pdf", "79012582")</f>
        <v>79012582</v>
      </c>
      <c r="F1449" s="10" t="s">
        <v>4203</v>
      </c>
      <c r="G1449" s="10" t="s">
        <v>4204</v>
      </c>
      <c r="H1449" s="10" t="s">
        <v>4205</v>
      </c>
      <c r="I1449" s="10" t="s">
        <v>4196</v>
      </c>
    </row>
    <row r="1450" spans="1:9" x14ac:dyDescent="0.15">
      <c r="A1450" s="9">
        <v>1449</v>
      </c>
      <c r="B1450" s="10" t="s">
        <v>9</v>
      </c>
      <c r="C1450" s="10" t="s">
        <v>164</v>
      </c>
      <c r="D1450" s="10" t="s">
        <v>165</v>
      </c>
      <c r="E1450" s="11" t="str">
        <f>+HYPERLINK("http://trademark.i-assist.jp/data/china/image_1901th/79012589.pdf", "79012589")</f>
        <v>79012589</v>
      </c>
      <c r="F1450" s="10" t="s">
        <v>4206</v>
      </c>
      <c r="G1450" s="10" t="s">
        <v>4207</v>
      </c>
      <c r="H1450" s="10" t="s">
        <v>4208</v>
      </c>
      <c r="I1450" s="10" t="s">
        <v>4196</v>
      </c>
    </row>
    <row r="1451" spans="1:9" x14ac:dyDescent="0.15">
      <c r="A1451" s="9">
        <v>1450</v>
      </c>
      <c r="B1451" s="10" t="s">
        <v>9</v>
      </c>
      <c r="C1451" s="10" t="s">
        <v>164</v>
      </c>
      <c r="D1451" s="10" t="s">
        <v>165</v>
      </c>
      <c r="E1451" s="11" t="str">
        <f>+HYPERLINK("http://trademark.i-assist.jp/data/china/image_1901th/79012593.pdf", "79012593")</f>
        <v>79012593</v>
      </c>
      <c r="F1451" s="10" t="s">
        <v>4209</v>
      </c>
      <c r="G1451" s="10" t="s">
        <v>4210</v>
      </c>
      <c r="H1451" s="10" t="s">
        <v>4211</v>
      </c>
      <c r="I1451" s="10" t="s">
        <v>4196</v>
      </c>
    </row>
    <row r="1452" spans="1:9" x14ac:dyDescent="0.15">
      <c r="A1452" s="9">
        <v>1451</v>
      </c>
      <c r="B1452" s="10" t="s">
        <v>9</v>
      </c>
      <c r="C1452" s="10" t="s">
        <v>164</v>
      </c>
      <c r="D1452" s="10" t="s">
        <v>165</v>
      </c>
      <c r="E1452" s="11" t="str">
        <f>+HYPERLINK("http://trademark.i-assist.jp/data/china/image_1901th/79012606.pdf", "79012606")</f>
        <v>79012606</v>
      </c>
      <c r="F1452" s="10" t="s">
        <v>4212</v>
      </c>
      <c r="G1452" s="10" t="s">
        <v>4213</v>
      </c>
      <c r="H1452" s="10" t="s">
        <v>4214</v>
      </c>
      <c r="I1452" s="10" t="s">
        <v>4196</v>
      </c>
    </row>
    <row r="1453" spans="1:9" x14ac:dyDescent="0.15">
      <c r="A1453" s="9">
        <v>1452</v>
      </c>
      <c r="B1453" s="10" t="s">
        <v>9</v>
      </c>
      <c r="C1453" s="10" t="s">
        <v>164</v>
      </c>
      <c r="D1453" s="10" t="s">
        <v>165</v>
      </c>
      <c r="E1453" s="11" t="str">
        <f>+HYPERLINK("http://trademark.i-assist.jp/data/china/image_1901th/79012686.pdf", "79012686")</f>
        <v>79012686</v>
      </c>
      <c r="F1453" s="10" t="s">
        <v>4215</v>
      </c>
      <c r="G1453" s="10" t="s">
        <v>4216</v>
      </c>
      <c r="H1453" s="10" t="s">
        <v>4217</v>
      </c>
      <c r="I1453" s="10" t="s">
        <v>4196</v>
      </c>
    </row>
    <row r="1454" spans="1:9" x14ac:dyDescent="0.15">
      <c r="A1454" s="9">
        <v>1453</v>
      </c>
      <c r="B1454" s="10" t="s">
        <v>9</v>
      </c>
      <c r="C1454" s="10" t="s">
        <v>164</v>
      </c>
      <c r="D1454" s="10" t="s">
        <v>165</v>
      </c>
      <c r="E1454" s="11" t="str">
        <f>+HYPERLINK("http://trademark.i-assist.jp/data/china/image_1901th/79013368.pdf", "79013368")</f>
        <v>79013368</v>
      </c>
      <c r="F1454" s="10" t="s">
        <v>4218</v>
      </c>
      <c r="G1454" s="10" t="s">
        <v>4219</v>
      </c>
      <c r="H1454" s="10" t="s">
        <v>4220</v>
      </c>
      <c r="I1454" s="10" t="s">
        <v>4196</v>
      </c>
    </row>
    <row r="1455" spans="1:9" x14ac:dyDescent="0.15">
      <c r="A1455" s="9">
        <v>1454</v>
      </c>
      <c r="B1455" s="10" t="s">
        <v>9</v>
      </c>
      <c r="C1455" s="10" t="s">
        <v>164</v>
      </c>
      <c r="D1455" s="10" t="s">
        <v>165</v>
      </c>
      <c r="E1455" s="11" t="str">
        <f>+HYPERLINK("http://trademark.i-assist.jp/data/china/image_1901th/79013507.pdf", "79013507")</f>
        <v>79013507</v>
      </c>
      <c r="F1455" s="10" t="s">
        <v>4221</v>
      </c>
      <c r="G1455" s="10" t="s">
        <v>4222</v>
      </c>
      <c r="H1455" s="10" t="s">
        <v>4223</v>
      </c>
      <c r="I1455" s="10" t="s">
        <v>4196</v>
      </c>
    </row>
    <row r="1456" spans="1:9" x14ac:dyDescent="0.15">
      <c r="A1456" s="9">
        <v>1455</v>
      </c>
      <c r="B1456" s="10" t="s">
        <v>9</v>
      </c>
      <c r="C1456" s="10" t="s">
        <v>164</v>
      </c>
      <c r="D1456" s="10" t="s">
        <v>165</v>
      </c>
      <c r="E1456" s="11" t="str">
        <f>+HYPERLINK("http://trademark.i-assist.jp/data/china/image_1901th/79013637.pdf", "79013637")</f>
        <v>79013637</v>
      </c>
      <c r="F1456" s="10" t="s">
        <v>4224</v>
      </c>
      <c r="G1456" s="10" t="s">
        <v>3704</v>
      </c>
      <c r="H1456" s="10" t="s">
        <v>4225</v>
      </c>
      <c r="I1456" s="10" t="s">
        <v>4196</v>
      </c>
    </row>
    <row r="1457" spans="1:9" x14ac:dyDescent="0.15">
      <c r="A1457" s="9">
        <v>1456</v>
      </c>
      <c r="B1457" s="10" t="s">
        <v>9</v>
      </c>
      <c r="C1457" s="10" t="s">
        <v>164</v>
      </c>
      <c r="D1457" s="10" t="s">
        <v>165</v>
      </c>
      <c r="E1457" s="11" t="str">
        <f>+HYPERLINK("http://trademark.i-assist.jp/data/china/image_1901th/79013737.pdf", "79013737")</f>
        <v>79013737</v>
      </c>
      <c r="F1457" s="10" t="s">
        <v>4226</v>
      </c>
      <c r="G1457" s="10" t="s">
        <v>4227</v>
      </c>
      <c r="H1457" s="10" t="s">
        <v>4228</v>
      </c>
      <c r="I1457" s="10" t="s">
        <v>4196</v>
      </c>
    </row>
    <row r="1458" spans="1:9" x14ac:dyDescent="0.15">
      <c r="A1458" s="9">
        <v>1457</v>
      </c>
      <c r="B1458" s="10" t="s">
        <v>9</v>
      </c>
      <c r="C1458" s="10" t="s">
        <v>164</v>
      </c>
      <c r="D1458" s="10" t="s">
        <v>165</v>
      </c>
      <c r="E1458" s="11" t="str">
        <f>+HYPERLINK("http://trademark.i-assist.jp/data/china/image_1901th/79013766.pdf", "79013766")</f>
        <v>79013766</v>
      </c>
      <c r="F1458" s="10" t="s">
        <v>4229</v>
      </c>
      <c r="G1458" s="10" t="s">
        <v>4230</v>
      </c>
      <c r="H1458" s="10" t="s">
        <v>4231</v>
      </c>
      <c r="I1458" s="10" t="s">
        <v>4196</v>
      </c>
    </row>
    <row r="1459" spans="1:9" x14ac:dyDescent="0.15">
      <c r="A1459" s="9">
        <v>1458</v>
      </c>
      <c r="B1459" s="10" t="s">
        <v>9</v>
      </c>
      <c r="C1459" s="10" t="s">
        <v>164</v>
      </c>
      <c r="D1459" s="10" t="s">
        <v>165</v>
      </c>
      <c r="E1459" s="11" t="str">
        <f>+HYPERLINK("http://trademark.i-assist.jp/data/china/image_1901th/79013909.pdf", "79013909")</f>
        <v>79013909</v>
      </c>
      <c r="F1459" s="10" t="s">
        <v>4232</v>
      </c>
      <c r="G1459" s="10" t="s">
        <v>4233</v>
      </c>
      <c r="H1459" s="10" t="s">
        <v>4234</v>
      </c>
      <c r="I1459" s="10" t="s">
        <v>4196</v>
      </c>
    </row>
    <row r="1460" spans="1:9" x14ac:dyDescent="0.15">
      <c r="A1460" s="9">
        <v>1459</v>
      </c>
      <c r="B1460" s="10" t="s">
        <v>9</v>
      </c>
      <c r="C1460" s="10" t="s">
        <v>164</v>
      </c>
      <c r="D1460" s="10" t="s">
        <v>165</v>
      </c>
      <c r="E1460" s="11" t="str">
        <f>+HYPERLINK("http://trademark.i-assist.jp/data/china/image_1901th/79014313.pdf", "79014313")</f>
        <v>79014313</v>
      </c>
      <c r="F1460" s="10" t="s">
        <v>4235</v>
      </c>
      <c r="G1460" s="10" t="s">
        <v>100</v>
      </c>
      <c r="H1460" s="10" t="s">
        <v>4236</v>
      </c>
      <c r="I1460" s="10" t="s">
        <v>4196</v>
      </c>
    </row>
    <row r="1461" spans="1:9" x14ac:dyDescent="0.15">
      <c r="A1461" s="9">
        <v>1460</v>
      </c>
      <c r="B1461" s="10" t="s">
        <v>9</v>
      </c>
      <c r="C1461" s="10" t="s">
        <v>164</v>
      </c>
      <c r="D1461" s="10" t="s">
        <v>165</v>
      </c>
      <c r="E1461" s="11" t="str">
        <f>+HYPERLINK("http://trademark.i-assist.jp/data/china/image_1901th/79015373.pdf", "79015373")</f>
        <v>79015373</v>
      </c>
      <c r="F1461" s="10" t="s">
        <v>4237</v>
      </c>
      <c r="G1461" s="10" t="s">
        <v>4238</v>
      </c>
      <c r="H1461" s="10" t="s">
        <v>4239</v>
      </c>
      <c r="I1461" s="10" t="s">
        <v>4196</v>
      </c>
    </row>
    <row r="1462" spans="1:9" x14ac:dyDescent="0.15">
      <c r="A1462" s="9">
        <v>1461</v>
      </c>
      <c r="B1462" s="10" t="s">
        <v>9</v>
      </c>
      <c r="C1462" s="10" t="s">
        <v>164</v>
      </c>
      <c r="D1462" s="10" t="s">
        <v>165</v>
      </c>
      <c r="E1462" s="11" t="str">
        <f>+HYPERLINK("http://trademark.i-assist.jp/data/china/image_1901th/79015653.pdf", "79015653")</f>
        <v>79015653</v>
      </c>
      <c r="F1462" s="10" t="s">
        <v>4240</v>
      </c>
      <c r="G1462" s="10" t="s">
        <v>4241</v>
      </c>
      <c r="H1462" s="10" t="s">
        <v>4242</v>
      </c>
      <c r="I1462" s="10" t="s">
        <v>4196</v>
      </c>
    </row>
    <row r="1463" spans="1:9" x14ac:dyDescent="0.15">
      <c r="A1463" s="9">
        <v>1462</v>
      </c>
      <c r="B1463" s="10" t="s">
        <v>9</v>
      </c>
      <c r="C1463" s="10" t="s">
        <v>164</v>
      </c>
      <c r="D1463" s="10" t="s">
        <v>165</v>
      </c>
      <c r="E1463" s="11" t="str">
        <f>+HYPERLINK("http://trademark.i-assist.jp/data/china/image_1901th/79015927.pdf", "79015927")</f>
        <v>79015927</v>
      </c>
      <c r="F1463" s="10" t="s">
        <v>4243</v>
      </c>
      <c r="G1463" s="10" t="s">
        <v>4244</v>
      </c>
      <c r="H1463" s="10" t="s">
        <v>4245</v>
      </c>
      <c r="I1463" s="10" t="s">
        <v>4196</v>
      </c>
    </row>
    <row r="1464" spans="1:9" x14ac:dyDescent="0.15">
      <c r="A1464" s="9">
        <v>1463</v>
      </c>
      <c r="B1464" s="10" t="s">
        <v>9</v>
      </c>
      <c r="C1464" s="10" t="s">
        <v>164</v>
      </c>
      <c r="D1464" s="10" t="s">
        <v>165</v>
      </c>
      <c r="E1464" s="11" t="str">
        <f>+HYPERLINK("http://trademark.i-assist.jp/data/china/image_1901th/79015983.pdf", "79015983")</f>
        <v>79015983</v>
      </c>
      <c r="F1464" s="10" t="s">
        <v>4246</v>
      </c>
      <c r="G1464" s="10" t="s">
        <v>4247</v>
      </c>
      <c r="H1464" s="10" t="s">
        <v>4248</v>
      </c>
      <c r="I1464" s="10" t="s">
        <v>4196</v>
      </c>
    </row>
    <row r="1465" spans="1:9" x14ac:dyDescent="0.15">
      <c r="A1465" s="9">
        <v>1464</v>
      </c>
      <c r="B1465" s="10" t="s">
        <v>9</v>
      </c>
      <c r="C1465" s="10" t="s">
        <v>164</v>
      </c>
      <c r="D1465" s="10" t="s">
        <v>165</v>
      </c>
      <c r="E1465" s="11" t="str">
        <f>+HYPERLINK("http://trademark.i-assist.jp/data/china/image_1901th/79016368.pdf", "79016368")</f>
        <v>79016368</v>
      </c>
      <c r="F1465" s="10" t="s">
        <v>4249</v>
      </c>
      <c r="G1465" s="10" t="s">
        <v>4250</v>
      </c>
      <c r="H1465" s="10" t="s">
        <v>4251</v>
      </c>
      <c r="I1465" s="10" t="s">
        <v>4196</v>
      </c>
    </row>
    <row r="1466" spans="1:9" x14ac:dyDescent="0.15">
      <c r="A1466" s="9">
        <v>1465</v>
      </c>
      <c r="B1466" s="10" t="s">
        <v>9</v>
      </c>
      <c r="C1466" s="10" t="s">
        <v>164</v>
      </c>
      <c r="D1466" s="10" t="s">
        <v>165</v>
      </c>
      <c r="E1466" s="11" t="str">
        <f>+HYPERLINK("http://trademark.i-assist.jp/data/china/image_1901th/79016471.pdf", "79016471")</f>
        <v>79016471</v>
      </c>
      <c r="F1466" s="10" t="s">
        <v>4252</v>
      </c>
      <c r="G1466" s="10" t="s">
        <v>4253</v>
      </c>
      <c r="H1466" s="10" t="s">
        <v>4254</v>
      </c>
      <c r="I1466" s="10" t="s">
        <v>4196</v>
      </c>
    </row>
    <row r="1467" spans="1:9" x14ac:dyDescent="0.15">
      <c r="A1467" s="9">
        <v>1466</v>
      </c>
      <c r="B1467" s="10" t="s">
        <v>9</v>
      </c>
      <c r="C1467" s="10" t="s">
        <v>164</v>
      </c>
      <c r="D1467" s="10" t="s">
        <v>165</v>
      </c>
      <c r="E1467" s="11" t="str">
        <f>+HYPERLINK("http://trademark.i-assist.jp/data/china/image_1901th/79017531.pdf", "79017531")</f>
        <v>79017531</v>
      </c>
      <c r="F1467" s="10" t="s">
        <v>4255</v>
      </c>
      <c r="G1467" s="10" t="s">
        <v>4222</v>
      </c>
      <c r="H1467" s="10" t="s">
        <v>4256</v>
      </c>
      <c r="I1467" s="10" t="s">
        <v>4196</v>
      </c>
    </row>
    <row r="1468" spans="1:9" x14ac:dyDescent="0.15">
      <c r="A1468" s="9">
        <v>1467</v>
      </c>
      <c r="B1468" s="10" t="s">
        <v>9</v>
      </c>
      <c r="C1468" s="10" t="s">
        <v>164</v>
      </c>
      <c r="D1468" s="10" t="s">
        <v>165</v>
      </c>
      <c r="E1468" s="11" t="str">
        <f>+HYPERLINK("http://trademark.i-assist.jp/data/china/image_1901th/79017902.pdf", "79017902")</f>
        <v>79017902</v>
      </c>
      <c r="F1468" s="10" t="s">
        <v>4257</v>
      </c>
      <c r="G1468" s="10" t="s">
        <v>4258</v>
      </c>
      <c r="H1468" s="10" t="s">
        <v>4259</v>
      </c>
      <c r="I1468" s="10" t="s">
        <v>4196</v>
      </c>
    </row>
    <row r="1469" spans="1:9" x14ac:dyDescent="0.15">
      <c r="A1469" s="9">
        <v>1468</v>
      </c>
      <c r="B1469" s="10" t="s">
        <v>9</v>
      </c>
      <c r="C1469" s="10" t="s">
        <v>164</v>
      </c>
      <c r="D1469" s="10" t="s">
        <v>165</v>
      </c>
      <c r="E1469" s="11" t="str">
        <f>+HYPERLINK("http://trademark.i-assist.jp/data/china/image_1901th/79017911.pdf", "79017911")</f>
        <v>79017911</v>
      </c>
      <c r="F1469" s="10" t="s">
        <v>4260</v>
      </c>
      <c r="G1469" s="10" t="s">
        <v>4261</v>
      </c>
      <c r="H1469" s="10" t="s">
        <v>4262</v>
      </c>
      <c r="I1469" s="10" t="s">
        <v>4196</v>
      </c>
    </row>
    <row r="1470" spans="1:9" x14ac:dyDescent="0.15">
      <c r="A1470" s="9">
        <v>1469</v>
      </c>
      <c r="B1470" s="10" t="s">
        <v>9</v>
      </c>
      <c r="C1470" s="10" t="s">
        <v>164</v>
      </c>
      <c r="D1470" s="10" t="s">
        <v>165</v>
      </c>
      <c r="E1470" s="11" t="str">
        <f>+HYPERLINK("http://trademark.i-assist.jp/data/china/image_1901th/79018177.pdf", "79018177")</f>
        <v>79018177</v>
      </c>
      <c r="F1470" s="10" t="s">
        <v>2630</v>
      </c>
      <c r="G1470" s="10" t="s">
        <v>2631</v>
      </c>
      <c r="H1470" s="10" t="s">
        <v>4263</v>
      </c>
      <c r="I1470" s="10" t="s">
        <v>4196</v>
      </c>
    </row>
    <row r="1471" spans="1:9" x14ac:dyDescent="0.15">
      <c r="A1471" s="9">
        <v>1470</v>
      </c>
      <c r="B1471" s="10" t="s">
        <v>9</v>
      </c>
      <c r="C1471" s="10" t="s">
        <v>164</v>
      </c>
      <c r="D1471" s="10" t="s">
        <v>165</v>
      </c>
      <c r="E1471" s="11" t="str">
        <f>+HYPERLINK("http://trademark.i-assist.jp/data/china/image_1901th/79018487.pdf", "79018487")</f>
        <v>79018487</v>
      </c>
      <c r="F1471" s="10" t="s">
        <v>4264</v>
      </c>
      <c r="G1471" s="10" t="s">
        <v>4265</v>
      </c>
      <c r="H1471" s="10" t="s">
        <v>4266</v>
      </c>
      <c r="I1471" s="10" t="s">
        <v>4196</v>
      </c>
    </row>
    <row r="1472" spans="1:9" x14ac:dyDescent="0.15">
      <c r="A1472" s="9">
        <v>1471</v>
      </c>
      <c r="B1472" s="10" t="s">
        <v>9</v>
      </c>
      <c r="C1472" s="10" t="s">
        <v>164</v>
      </c>
      <c r="D1472" s="10" t="s">
        <v>165</v>
      </c>
      <c r="E1472" s="11" t="str">
        <f>+HYPERLINK("http://trademark.i-assist.jp/data/china/image_1901th/79018499.pdf", "79018499")</f>
        <v>79018499</v>
      </c>
      <c r="F1472" s="10" t="s">
        <v>4267</v>
      </c>
      <c r="G1472" s="10" t="s">
        <v>4268</v>
      </c>
      <c r="H1472" s="10" t="s">
        <v>4269</v>
      </c>
      <c r="I1472" s="10" t="s">
        <v>4196</v>
      </c>
    </row>
    <row r="1473" spans="1:9" x14ac:dyDescent="0.15">
      <c r="A1473" s="9">
        <v>1472</v>
      </c>
      <c r="B1473" s="10" t="s">
        <v>9</v>
      </c>
      <c r="C1473" s="10" t="s">
        <v>164</v>
      </c>
      <c r="D1473" s="10" t="s">
        <v>165</v>
      </c>
      <c r="E1473" s="11" t="str">
        <f>+HYPERLINK("http://trademark.i-assist.jp/data/china/image_1901th/79019354.pdf", "79019354")</f>
        <v>79019354</v>
      </c>
      <c r="F1473" s="10" t="s">
        <v>4270</v>
      </c>
      <c r="G1473" s="10" t="s">
        <v>133</v>
      </c>
      <c r="H1473" s="10" t="s">
        <v>4271</v>
      </c>
      <c r="I1473" s="10" t="s">
        <v>4196</v>
      </c>
    </row>
    <row r="1474" spans="1:9" x14ac:dyDescent="0.15">
      <c r="A1474" s="9">
        <v>1473</v>
      </c>
      <c r="B1474" s="10" t="s">
        <v>9</v>
      </c>
      <c r="C1474" s="10" t="s">
        <v>164</v>
      </c>
      <c r="D1474" s="10" t="s">
        <v>165</v>
      </c>
      <c r="E1474" s="11" t="str">
        <f>+HYPERLINK("http://trademark.i-assist.jp/data/china/image_1901th/79019756.pdf", "79019756")</f>
        <v>79019756</v>
      </c>
      <c r="F1474" s="10" t="s">
        <v>4272</v>
      </c>
      <c r="G1474" s="10" t="s">
        <v>4273</v>
      </c>
      <c r="H1474" s="10" t="s">
        <v>4274</v>
      </c>
      <c r="I1474" s="10" t="s">
        <v>4196</v>
      </c>
    </row>
    <row r="1475" spans="1:9" x14ac:dyDescent="0.15">
      <c r="A1475" s="9">
        <v>1474</v>
      </c>
      <c r="B1475" s="10" t="s">
        <v>9</v>
      </c>
      <c r="C1475" s="10" t="s">
        <v>164</v>
      </c>
      <c r="D1475" s="10" t="s">
        <v>165</v>
      </c>
      <c r="E1475" s="11" t="str">
        <f>+HYPERLINK("http://trademark.i-assist.jp/data/china/image_1901th/79019905.pdf", "79019905")</f>
        <v>79019905</v>
      </c>
      <c r="F1475" s="10" t="s">
        <v>4275</v>
      </c>
      <c r="G1475" s="10" t="s">
        <v>4276</v>
      </c>
      <c r="H1475" s="10" t="s">
        <v>4277</v>
      </c>
      <c r="I1475" s="10" t="s">
        <v>4196</v>
      </c>
    </row>
    <row r="1476" spans="1:9" x14ac:dyDescent="0.15">
      <c r="A1476" s="9">
        <v>1475</v>
      </c>
      <c r="B1476" s="10" t="s">
        <v>9</v>
      </c>
      <c r="C1476" s="10" t="s">
        <v>164</v>
      </c>
      <c r="D1476" s="10" t="s">
        <v>165</v>
      </c>
      <c r="E1476" s="11" t="str">
        <f>+HYPERLINK("http://trademark.i-assist.jp/data/china/image_1901th/79020417.pdf", "79020417")</f>
        <v>79020417</v>
      </c>
      <c r="F1476" s="10" t="s">
        <v>4278</v>
      </c>
      <c r="G1476" s="10" t="s">
        <v>4279</v>
      </c>
      <c r="H1476" s="10" t="s">
        <v>4280</v>
      </c>
      <c r="I1476" s="10" t="s">
        <v>4196</v>
      </c>
    </row>
    <row r="1477" spans="1:9" x14ac:dyDescent="0.15">
      <c r="A1477" s="9">
        <v>1476</v>
      </c>
      <c r="B1477" s="10" t="s">
        <v>9</v>
      </c>
      <c r="C1477" s="10" t="s">
        <v>164</v>
      </c>
      <c r="D1477" s="10" t="s">
        <v>165</v>
      </c>
      <c r="E1477" s="11" t="str">
        <f>+HYPERLINK("http://trademark.i-assist.jp/data/china/image_1901th/79020681.pdf", "79020681")</f>
        <v>79020681</v>
      </c>
      <c r="F1477" s="10" t="s">
        <v>4281</v>
      </c>
      <c r="G1477" s="10" t="s">
        <v>4282</v>
      </c>
      <c r="H1477" s="10" t="s">
        <v>4283</v>
      </c>
      <c r="I1477" s="10" t="s">
        <v>4196</v>
      </c>
    </row>
    <row r="1478" spans="1:9" x14ac:dyDescent="0.15">
      <c r="A1478" s="9">
        <v>1477</v>
      </c>
      <c r="B1478" s="10" t="s">
        <v>9</v>
      </c>
      <c r="C1478" s="10" t="s">
        <v>164</v>
      </c>
      <c r="D1478" s="10" t="s">
        <v>165</v>
      </c>
      <c r="E1478" s="11" t="str">
        <f>+HYPERLINK("http://trademark.i-assist.jp/data/china/image_1901th/79020704.pdf", "79020704")</f>
        <v>79020704</v>
      </c>
      <c r="F1478" s="10" t="s">
        <v>4284</v>
      </c>
      <c r="G1478" s="10" t="s">
        <v>2190</v>
      </c>
      <c r="H1478" s="10" t="s">
        <v>4285</v>
      </c>
      <c r="I1478" s="10" t="s">
        <v>4196</v>
      </c>
    </row>
    <row r="1479" spans="1:9" x14ac:dyDescent="0.15">
      <c r="A1479" s="9">
        <v>1478</v>
      </c>
      <c r="B1479" s="10" t="s">
        <v>9</v>
      </c>
      <c r="C1479" s="10" t="s">
        <v>164</v>
      </c>
      <c r="D1479" s="10" t="s">
        <v>165</v>
      </c>
      <c r="E1479" s="11" t="str">
        <f>+HYPERLINK("http://trademark.i-assist.jp/data/china/image_1901th/79020860.pdf", "79020860")</f>
        <v>79020860</v>
      </c>
      <c r="F1479" s="10" t="s">
        <v>12</v>
      </c>
      <c r="G1479" s="10" t="s">
        <v>4286</v>
      </c>
      <c r="H1479" s="10" t="s">
        <v>4287</v>
      </c>
      <c r="I1479" s="10" t="s">
        <v>4196</v>
      </c>
    </row>
    <row r="1480" spans="1:9" x14ac:dyDescent="0.15">
      <c r="A1480" s="9">
        <v>1479</v>
      </c>
      <c r="B1480" s="10" t="s">
        <v>9</v>
      </c>
      <c r="C1480" s="10" t="s">
        <v>164</v>
      </c>
      <c r="D1480" s="10" t="s">
        <v>165</v>
      </c>
      <c r="E1480" s="11" t="str">
        <f>+HYPERLINK("http://trademark.i-assist.jp/data/china/image_1901th/79021417.pdf", "79021417")</f>
        <v>79021417</v>
      </c>
      <c r="F1480" s="10" t="s">
        <v>4288</v>
      </c>
      <c r="G1480" s="10" t="s">
        <v>4289</v>
      </c>
      <c r="H1480" s="10" t="s">
        <v>4290</v>
      </c>
      <c r="I1480" s="10" t="s">
        <v>4196</v>
      </c>
    </row>
    <row r="1481" spans="1:9" x14ac:dyDescent="0.15">
      <c r="A1481" s="9">
        <v>1480</v>
      </c>
      <c r="B1481" s="10" t="s">
        <v>9</v>
      </c>
      <c r="C1481" s="10" t="s">
        <v>164</v>
      </c>
      <c r="D1481" s="10" t="s">
        <v>165</v>
      </c>
      <c r="E1481" s="11" t="str">
        <f>+HYPERLINK("http://trademark.i-assist.jp/data/china/image_1901th/79021444.pdf", "79021444")</f>
        <v>79021444</v>
      </c>
      <c r="F1481" s="10" t="s">
        <v>4291</v>
      </c>
      <c r="G1481" s="10" t="s">
        <v>4292</v>
      </c>
      <c r="H1481" s="10" t="s">
        <v>4293</v>
      </c>
      <c r="I1481" s="10" t="s">
        <v>4196</v>
      </c>
    </row>
    <row r="1482" spans="1:9" x14ac:dyDescent="0.15">
      <c r="A1482" s="9">
        <v>1481</v>
      </c>
      <c r="B1482" s="10" t="s">
        <v>9</v>
      </c>
      <c r="C1482" s="10" t="s">
        <v>164</v>
      </c>
      <c r="D1482" s="10" t="s">
        <v>165</v>
      </c>
      <c r="E1482" s="11" t="str">
        <f>+HYPERLINK("http://trademark.i-assist.jp/data/china/image_1901th/79021553.pdf", "79021553")</f>
        <v>79021553</v>
      </c>
      <c r="F1482" s="10" t="s">
        <v>4294</v>
      </c>
      <c r="G1482" s="10" t="s">
        <v>4295</v>
      </c>
      <c r="H1482" s="10" t="s">
        <v>4296</v>
      </c>
      <c r="I1482" s="10" t="s">
        <v>4196</v>
      </c>
    </row>
    <row r="1483" spans="1:9" x14ac:dyDescent="0.15">
      <c r="A1483" s="9">
        <v>1482</v>
      </c>
      <c r="B1483" s="10" t="s">
        <v>9</v>
      </c>
      <c r="C1483" s="10" t="s">
        <v>164</v>
      </c>
      <c r="D1483" s="10" t="s">
        <v>165</v>
      </c>
      <c r="E1483" s="11" t="str">
        <f>+HYPERLINK("http://trademark.i-assist.jp/data/china/image_1901th/79021838.pdf", "79021838")</f>
        <v>79021838</v>
      </c>
      <c r="F1483" s="10" t="s">
        <v>4297</v>
      </c>
      <c r="G1483" s="10" t="s">
        <v>4298</v>
      </c>
      <c r="H1483" s="10" t="s">
        <v>4299</v>
      </c>
      <c r="I1483" s="10" t="s">
        <v>4196</v>
      </c>
    </row>
    <row r="1484" spans="1:9" x14ac:dyDescent="0.15">
      <c r="A1484" s="9">
        <v>1483</v>
      </c>
      <c r="B1484" s="10" t="s">
        <v>9</v>
      </c>
      <c r="C1484" s="10" t="s">
        <v>164</v>
      </c>
      <c r="D1484" s="10" t="s">
        <v>165</v>
      </c>
      <c r="E1484" s="11" t="str">
        <f>+HYPERLINK("http://trademark.i-assist.jp/data/china/image_1901th/79022182.pdf", "79022182")</f>
        <v>79022182</v>
      </c>
      <c r="F1484" s="10" t="s">
        <v>4300</v>
      </c>
      <c r="G1484" s="10" t="s">
        <v>4301</v>
      </c>
      <c r="H1484" s="10" t="s">
        <v>4302</v>
      </c>
      <c r="I1484" s="10" t="s">
        <v>4196</v>
      </c>
    </row>
    <row r="1485" spans="1:9" x14ac:dyDescent="0.15">
      <c r="A1485" s="9">
        <v>1484</v>
      </c>
      <c r="B1485" s="10" t="s">
        <v>9</v>
      </c>
      <c r="C1485" s="10" t="s">
        <v>164</v>
      </c>
      <c r="D1485" s="10" t="s">
        <v>165</v>
      </c>
      <c r="E1485" s="11" t="str">
        <f>+HYPERLINK("http://trademark.i-assist.jp/data/china/image_1901th/79022386.pdf", "79022386")</f>
        <v>79022386</v>
      </c>
      <c r="F1485" s="10" t="s">
        <v>4303</v>
      </c>
      <c r="G1485" s="10" t="s">
        <v>4304</v>
      </c>
      <c r="H1485" s="10" t="s">
        <v>4305</v>
      </c>
      <c r="I1485" s="10" t="s">
        <v>4196</v>
      </c>
    </row>
    <row r="1486" spans="1:9" x14ac:dyDescent="0.15">
      <c r="A1486" s="9">
        <v>1485</v>
      </c>
      <c r="B1486" s="10" t="s">
        <v>9</v>
      </c>
      <c r="C1486" s="10" t="s">
        <v>164</v>
      </c>
      <c r="D1486" s="10" t="s">
        <v>165</v>
      </c>
      <c r="E1486" s="11" t="str">
        <f>+HYPERLINK("http://trademark.i-assist.jp/data/china/image_1901th/79022487.pdf", "79022487")</f>
        <v>79022487</v>
      </c>
      <c r="F1486" s="10" t="s">
        <v>4306</v>
      </c>
      <c r="G1486" s="10" t="s">
        <v>4222</v>
      </c>
      <c r="H1486" s="10" t="s">
        <v>4307</v>
      </c>
      <c r="I1486" s="10" t="s">
        <v>4196</v>
      </c>
    </row>
    <row r="1487" spans="1:9" x14ac:dyDescent="0.15">
      <c r="A1487" s="9">
        <v>1486</v>
      </c>
      <c r="B1487" s="10" t="s">
        <v>9</v>
      </c>
      <c r="C1487" s="10" t="s">
        <v>164</v>
      </c>
      <c r="D1487" s="10" t="s">
        <v>165</v>
      </c>
      <c r="E1487" s="11" t="str">
        <f>+HYPERLINK("http://trademark.i-assist.jp/data/china/image_1901th/79022626.pdf", "79022626")</f>
        <v>79022626</v>
      </c>
      <c r="F1487" s="10" t="s">
        <v>12</v>
      </c>
      <c r="G1487" s="10" t="s">
        <v>4308</v>
      </c>
      <c r="H1487" s="10" t="s">
        <v>4309</v>
      </c>
      <c r="I1487" s="10" t="s">
        <v>4196</v>
      </c>
    </row>
    <row r="1488" spans="1:9" x14ac:dyDescent="0.15">
      <c r="A1488" s="9">
        <v>1487</v>
      </c>
      <c r="B1488" s="10" t="s">
        <v>9</v>
      </c>
      <c r="C1488" s="10" t="s">
        <v>164</v>
      </c>
      <c r="D1488" s="10" t="s">
        <v>165</v>
      </c>
      <c r="E1488" s="11" t="str">
        <f>+HYPERLINK("http://trademark.i-assist.jp/data/china/image_1901th/79022791.pdf", "79022791")</f>
        <v>79022791</v>
      </c>
      <c r="F1488" s="10" t="s">
        <v>12</v>
      </c>
      <c r="G1488" s="10" t="s">
        <v>4310</v>
      </c>
      <c r="H1488" s="10" t="s">
        <v>4311</v>
      </c>
      <c r="I1488" s="10" t="s">
        <v>4196</v>
      </c>
    </row>
    <row r="1489" spans="1:9" x14ac:dyDescent="0.15">
      <c r="A1489" s="9">
        <v>1488</v>
      </c>
      <c r="B1489" s="10" t="s">
        <v>9</v>
      </c>
      <c r="C1489" s="10" t="s">
        <v>164</v>
      </c>
      <c r="D1489" s="10" t="s">
        <v>165</v>
      </c>
      <c r="E1489" s="11" t="str">
        <f>+HYPERLINK("http://trademark.i-assist.jp/data/china/image_1901th/79022824.pdf", "79022824")</f>
        <v>79022824</v>
      </c>
      <c r="F1489" s="10" t="s">
        <v>4312</v>
      </c>
      <c r="G1489" s="10" t="s">
        <v>125</v>
      </c>
      <c r="H1489" s="10" t="s">
        <v>4313</v>
      </c>
      <c r="I1489" s="10" t="s">
        <v>4196</v>
      </c>
    </row>
    <row r="1490" spans="1:9" x14ac:dyDescent="0.15">
      <c r="A1490" s="9">
        <v>1489</v>
      </c>
      <c r="B1490" s="10" t="s">
        <v>9</v>
      </c>
      <c r="C1490" s="10" t="s">
        <v>164</v>
      </c>
      <c r="D1490" s="10" t="s">
        <v>165</v>
      </c>
      <c r="E1490" s="11" t="str">
        <f>+HYPERLINK("http://trademark.i-assist.jp/data/china/image_1901th/79023138.pdf", "79023138")</f>
        <v>79023138</v>
      </c>
      <c r="F1490" s="10" t="s">
        <v>4314</v>
      </c>
      <c r="G1490" s="10" t="s">
        <v>4315</v>
      </c>
      <c r="H1490" s="10" t="s">
        <v>4316</v>
      </c>
      <c r="I1490" s="10" t="s">
        <v>4196</v>
      </c>
    </row>
    <row r="1491" spans="1:9" x14ac:dyDescent="0.15">
      <c r="A1491" s="9">
        <v>1490</v>
      </c>
      <c r="B1491" s="10" t="s">
        <v>9</v>
      </c>
      <c r="C1491" s="10" t="s">
        <v>164</v>
      </c>
      <c r="D1491" s="10" t="s">
        <v>165</v>
      </c>
      <c r="E1491" s="11" t="str">
        <f>+HYPERLINK("http://trademark.i-assist.jp/data/china/image_1901th/79023290.pdf", "79023290")</f>
        <v>79023290</v>
      </c>
      <c r="F1491" s="10" t="s">
        <v>4317</v>
      </c>
      <c r="G1491" s="10" t="s">
        <v>4318</v>
      </c>
      <c r="H1491" s="10" t="s">
        <v>4319</v>
      </c>
      <c r="I1491" s="10" t="s">
        <v>4196</v>
      </c>
    </row>
    <row r="1492" spans="1:9" x14ac:dyDescent="0.15">
      <c r="A1492" s="9">
        <v>1491</v>
      </c>
      <c r="B1492" s="10" t="s">
        <v>9</v>
      </c>
      <c r="C1492" s="10" t="s">
        <v>164</v>
      </c>
      <c r="D1492" s="10" t="s">
        <v>165</v>
      </c>
      <c r="E1492" s="11" t="str">
        <f>+HYPERLINK("http://trademark.i-assist.jp/data/china/image_1901th/79023869.pdf", "79023869")</f>
        <v>79023869</v>
      </c>
      <c r="F1492" s="10" t="s">
        <v>4320</v>
      </c>
      <c r="G1492" s="10" t="s">
        <v>4321</v>
      </c>
      <c r="H1492" s="10" t="s">
        <v>4322</v>
      </c>
      <c r="I1492" s="10" t="s">
        <v>4196</v>
      </c>
    </row>
    <row r="1493" spans="1:9" x14ac:dyDescent="0.15">
      <c r="A1493" s="9">
        <v>1492</v>
      </c>
      <c r="B1493" s="10" t="s">
        <v>9</v>
      </c>
      <c r="C1493" s="10" t="s">
        <v>164</v>
      </c>
      <c r="D1493" s="10" t="s">
        <v>165</v>
      </c>
      <c r="E1493" s="11" t="str">
        <f>+HYPERLINK("http://trademark.i-assist.jp/data/china/image_1901th/79024292.pdf", "79024292")</f>
        <v>79024292</v>
      </c>
      <c r="F1493" s="10" t="s">
        <v>4323</v>
      </c>
      <c r="G1493" s="10" t="s">
        <v>4324</v>
      </c>
      <c r="H1493" s="10" t="s">
        <v>4325</v>
      </c>
      <c r="I1493" s="10" t="s">
        <v>4196</v>
      </c>
    </row>
    <row r="1494" spans="1:9" x14ac:dyDescent="0.15">
      <c r="A1494" s="9">
        <v>1493</v>
      </c>
      <c r="B1494" s="10" t="s">
        <v>9</v>
      </c>
      <c r="C1494" s="10" t="s">
        <v>164</v>
      </c>
      <c r="D1494" s="10" t="s">
        <v>165</v>
      </c>
      <c r="E1494" s="11" t="str">
        <f>+HYPERLINK("http://trademark.i-assist.jp/data/china/image_1901th/79024361.pdf", "79024361")</f>
        <v>79024361</v>
      </c>
      <c r="F1494" s="10" t="s">
        <v>4326</v>
      </c>
      <c r="G1494" s="10" t="s">
        <v>4327</v>
      </c>
      <c r="H1494" s="10" t="s">
        <v>4328</v>
      </c>
      <c r="I1494" s="10" t="s">
        <v>4196</v>
      </c>
    </row>
    <row r="1495" spans="1:9" x14ac:dyDescent="0.15">
      <c r="A1495" s="9">
        <v>1494</v>
      </c>
      <c r="B1495" s="10" t="s">
        <v>9</v>
      </c>
      <c r="C1495" s="10" t="s">
        <v>164</v>
      </c>
      <c r="D1495" s="10" t="s">
        <v>165</v>
      </c>
      <c r="E1495" s="11" t="str">
        <f>+HYPERLINK("http://trademark.i-assist.jp/data/china/image_1901th/79024610.pdf", "79024610")</f>
        <v>79024610</v>
      </c>
      <c r="F1495" s="10" t="s">
        <v>4329</v>
      </c>
      <c r="G1495" s="10" t="s">
        <v>4330</v>
      </c>
      <c r="H1495" s="10" t="s">
        <v>4331</v>
      </c>
      <c r="I1495" s="10" t="s">
        <v>4196</v>
      </c>
    </row>
    <row r="1496" spans="1:9" x14ac:dyDescent="0.15">
      <c r="A1496" s="9">
        <v>1495</v>
      </c>
      <c r="B1496" s="10" t="s">
        <v>9</v>
      </c>
      <c r="C1496" s="10" t="s">
        <v>164</v>
      </c>
      <c r="D1496" s="10" t="s">
        <v>165</v>
      </c>
      <c r="E1496" s="11" t="str">
        <f>+HYPERLINK("http://trademark.i-assist.jp/data/china/image_1901th/79024690.pdf", "79024690")</f>
        <v>79024690</v>
      </c>
      <c r="F1496" s="10" t="s">
        <v>4332</v>
      </c>
      <c r="G1496" s="10" t="s">
        <v>4333</v>
      </c>
      <c r="H1496" s="10" t="s">
        <v>4334</v>
      </c>
      <c r="I1496" s="10" t="s">
        <v>4196</v>
      </c>
    </row>
    <row r="1497" spans="1:9" x14ac:dyDescent="0.15">
      <c r="A1497" s="9">
        <v>1496</v>
      </c>
      <c r="B1497" s="10" t="s">
        <v>9</v>
      </c>
      <c r="C1497" s="10" t="s">
        <v>164</v>
      </c>
      <c r="D1497" s="10" t="s">
        <v>165</v>
      </c>
      <c r="E1497" s="11" t="str">
        <f>+HYPERLINK("http://trademark.i-assist.jp/data/china/image_1901th/79025114.pdf", "79025114")</f>
        <v>79025114</v>
      </c>
      <c r="F1497" s="10" t="s">
        <v>4335</v>
      </c>
      <c r="G1497" s="10" t="s">
        <v>4336</v>
      </c>
      <c r="H1497" s="10" t="s">
        <v>4337</v>
      </c>
      <c r="I1497" s="10" t="s">
        <v>4196</v>
      </c>
    </row>
    <row r="1498" spans="1:9" x14ac:dyDescent="0.15">
      <c r="A1498" s="9">
        <v>1497</v>
      </c>
      <c r="B1498" s="10" t="s">
        <v>9</v>
      </c>
      <c r="C1498" s="10" t="s">
        <v>164</v>
      </c>
      <c r="D1498" s="10" t="s">
        <v>165</v>
      </c>
      <c r="E1498" s="11" t="str">
        <f>+HYPERLINK("http://trademark.i-assist.jp/data/china/image_1901th/79025306.pdf", "79025306")</f>
        <v>79025306</v>
      </c>
      <c r="F1498" s="10" t="s">
        <v>4338</v>
      </c>
      <c r="G1498" s="10" t="s">
        <v>4339</v>
      </c>
      <c r="H1498" s="10" t="s">
        <v>4340</v>
      </c>
      <c r="I1498" s="10" t="s">
        <v>4196</v>
      </c>
    </row>
    <row r="1499" spans="1:9" x14ac:dyDescent="0.15">
      <c r="A1499" s="9">
        <v>1498</v>
      </c>
      <c r="B1499" s="10" t="s">
        <v>9</v>
      </c>
      <c r="C1499" s="10" t="s">
        <v>164</v>
      </c>
      <c r="D1499" s="10" t="s">
        <v>165</v>
      </c>
      <c r="E1499" s="11" t="str">
        <f>+HYPERLINK("http://trademark.i-assist.jp/data/china/image_1901th/79025366.pdf", "79025366")</f>
        <v>79025366</v>
      </c>
      <c r="F1499" s="10" t="s">
        <v>4341</v>
      </c>
      <c r="G1499" s="10" t="s">
        <v>4342</v>
      </c>
      <c r="H1499" s="10" t="s">
        <v>4343</v>
      </c>
      <c r="I1499" s="10" t="s">
        <v>4196</v>
      </c>
    </row>
    <row r="1500" spans="1:9" x14ac:dyDescent="0.15">
      <c r="A1500" s="9">
        <v>1499</v>
      </c>
      <c r="B1500" s="10" t="s">
        <v>9</v>
      </c>
      <c r="C1500" s="10" t="s">
        <v>164</v>
      </c>
      <c r="D1500" s="10" t="s">
        <v>165</v>
      </c>
      <c r="E1500" s="11" t="str">
        <f>+HYPERLINK("http://trademark.i-assist.jp/data/china/image_1901th/79025394.pdf", "79025394")</f>
        <v>79025394</v>
      </c>
      <c r="F1500" s="10" t="s">
        <v>4344</v>
      </c>
      <c r="G1500" s="10" t="s">
        <v>4345</v>
      </c>
      <c r="H1500" s="10" t="s">
        <v>4346</v>
      </c>
      <c r="I1500" s="10" t="s">
        <v>4196</v>
      </c>
    </row>
    <row r="1501" spans="1:9" x14ac:dyDescent="0.15">
      <c r="A1501" s="9">
        <v>1500</v>
      </c>
      <c r="B1501" s="10" t="s">
        <v>9</v>
      </c>
      <c r="C1501" s="10" t="s">
        <v>164</v>
      </c>
      <c r="D1501" s="10" t="s">
        <v>165</v>
      </c>
      <c r="E1501" s="11" t="str">
        <f>+HYPERLINK("http://trademark.i-assist.jp/data/china/image_1901th/79025703.pdf", "79025703")</f>
        <v>79025703</v>
      </c>
      <c r="F1501" s="10" t="s">
        <v>4347</v>
      </c>
      <c r="G1501" s="10" t="s">
        <v>4348</v>
      </c>
      <c r="H1501" s="10" t="s">
        <v>4349</v>
      </c>
      <c r="I1501" s="10" t="s">
        <v>4196</v>
      </c>
    </row>
    <row r="1502" spans="1:9" x14ac:dyDescent="0.15">
      <c r="A1502" s="9">
        <v>1501</v>
      </c>
      <c r="B1502" s="10" t="s">
        <v>9</v>
      </c>
      <c r="C1502" s="10" t="s">
        <v>164</v>
      </c>
      <c r="D1502" s="10" t="s">
        <v>165</v>
      </c>
      <c r="E1502" s="11" t="str">
        <f>+HYPERLINK("http://trademark.i-assist.jp/data/china/image_1901th/79026735.pdf", "79026735")</f>
        <v>79026735</v>
      </c>
      <c r="F1502" s="10" t="s">
        <v>4350</v>
      </c>
      <c r="G1502" s="10" t="s">
        <v>4351</v>
      </c>
      <c r="H1502" s="10" t="s">
        <v>4352</v>
      </c>
      <c r="I1502" s="10" t="s">
        <v>4196</v>
      </c>
    </row>
    <row r="1503" spans="1:9" x14ac:dyDescent="0.15">
      <c r="A1503" s="9">
        <v>1502</v>
      </c>
      <c r="B1503" s="10" t="s">
        <v>9</v>
      </c>
      <c r="C1503" s="10" t="s">
        <v>164</v>
      </c>
      <c r="D1503" s="10" t="s">
        <v>165</v>
      </c>
      <c r="E1503" s="11" t="str">
        <f>+HYPERLINK("http://trademark.i-assist.jp/data/china/image_1901th/79026784.pdf", "79026784")</f>
        <v>79026784</v>
      </c>
      <c r="F1503" s="10" t="s">
        <v>4353</v>
      </c>
      <c r="G1503" s="10" t="s">
        <v>4354</v>
      </c>
      <c r="H1503" s="10" t="s">
        <v>4355</v>
      </c>
      <c r="I1503" s="10" t="s">
        <v>4196</v>
      </c>
    </row>
    <row r="1504" spans="1:9" x14ac:dyDescent="0.15">
      <c r="A1504" s="9">
        <v>1503</v>
      </c>
      <c r="B1504" s="10" t="s">
        <v>9</v>
      </c>
      <c r="C1504" s="10" t="s">
        <v>164</v>
      </c>
      <c r="D1504" s="10" t="s">
        <v>165</v>
      </c>
      <c r="E1504" s="11" t="str">
        <f>+HYPERLINK("http://trademark.i-assist.jp/data/china/image_1901th/79026858.pdf", "79026858")</f>
        <v>79026858</v>
      </c>
      <c r="F1504" s="10" t="s">
        <v>4356</v>
      </c>
      <c r="G1504" s="10" t="s">
        <v>4289</v>
      </c>
      <c r="H1504" s="10" t="s">
        <v>4357</v>
      </c>
      <c r="I1504" s="10" t="s">
        <v>4196</v>
      </c>
    </row>
    <row r="1505" spans="1:9" x14ac:dyDescent="0.15">
      <c r="A1505" s="9">
        <v>1504</v>
      </c>
      <c r="B1505" s="10" t="s">
        <v>9</v>
      </c>
      <c r="C1505" s="10" t="s">
        <v>164</v>
      </c>
      <c r="D1505" s="10" t="s">
        <v>165</v>
      </c>
      <c r="E1505" s="11" t="str">
        <f>+HYPERLINK("http://trademark.i-assist.jp/data/china/image_1901th/79026936.pdf", "79026936")</f>
        <v>79026936</v>
      </c>
      <c r="F1505" s="10" t="s">
        <v>12</v>
      </c>
      <c r="G1505" s="10" t="s">
        <v>4358</v>
      </c>
      <c r="H1505" s="10" t="s">
        <v>4359</v>
      </c>
      <c r="I1505" s="10" t="s">
        <v>4196</v>
      </c>
    </row>
    <row r="1506" spans="1:9" x14ac:dyDescent="0.15">
      <c r="A1506" s="9">
        <v>1505</v>
      </c>
      <c r="B1506" s="10" t="s">
        <v>9</v>
      </c>
      <c r="C1506" s="10" t="s">
        <v>164</v>
      </c>
      <c r="D1506" s="10" t="s">
        <v>165</v>
      </c>
      <c r="E1506" s="11" t="str">
        <f>+HYPERLINK("http://trademark.i-assist.jp/data/china/image_1901th/79026991.pdf", "79026991")</f>
        <v>79026991</v>
      </c>
      <c r="F1506" s="10" t="s">
        <v>4360</v>
      </c>
      <c r="G1506" s="10" t="s">
        <v>4361</v>
      </c>
      <c r="H1506" s="10" t="s">
        <v>4362</v>
      </c>
      <c r="I1506" s="10" t="s">
        <v>4196</v>
      </c>
    </row>
    <row r="1507" spans="1:9" x14ac:dyDescent="0.15">
      <c r="A1507" s="9">
        <v>1506</v>
      </c>
      <c r="B1507" s="10" t="s">
        <v>9</v>
      </c>
      <c r="C1507" s="10" t="s">
        <v>164</v>
      </c>
      <c r="D1507" s="10" t="s">
        <v>165</v>
      </c>
      <c r="E1507" s="11" t="str">
        <f>+HYPERLINK("http://trademark.i-assist.jp/data/china/image_1901th/79027004.pdf", "79027004")</f>
        <v>79027004</v>
      </c>
      <c r="F1507" s="10" t="s">
        <v>4363</v>
      </c>
      <c r="G1507" s="10" t="s">
        <v>4361</v>
      </c>
      <c r="H1507" s="10" t="s">
        <v>4364</v>
      </c>
      <c r="I1507" s="10" t="s">
        <v>4196</v>
      </c>
    </row>
    <row r="1508" spans="1:9" x14ac:dyDescent="0.15">
      <c r="A1508" s="9">
        <v>1507</v>
      </c>
      <c r="B1508" s="10" t="s">
        <v>9</v>
      </c>
      <c r="C1508" s="10" t="s">
        <v>164</v>
      </c>
      <c r="D1508" s="10" t="s">
        <v>165</v>
      </c>
      <c r="E1508" s="11" t="str">
        <f>+HYPERLINK("http://trademark.i-assist.jp/data/china/image_1901th/79028124.pdf", "79028124")</f>
        <v>79028124</v>
      </c>
      <c r="F1508" s="10" t="s">
        <v>4365</v>
      </c>
      <c r="G1508" s="10" t="s">
        <v>4366</v>
      </c>
      <c r="H1508" s="10" t="s">
        <v>4367</v>
      </c>
      <c r="I1508" s="10" t="s">
        <v>4196</v>
      </c>
    </row>
    <row r="1509" spans="1:9" x14ac:dyDescent="0.15">
      <c r="A1509" s="9">
        <v>1508</v>
      </c>
      <c r="B1509" s="10" t="s">
        <v>9</v>
      </c>
      <c r="C1509" s="10" t="s">
        <v>164</v>
      </c>
      <c r="D1509" s="10" t="s">
        <v>165</v>
      </c>
      <c r="E1509" s="11" t="str">
        <f>+HYPERLINK("http://trademark.i-assist.jp/data/china/image_1901th/79028198.pdf", "79028198")</f>
        <v>79028198</v>
      </c>
      <c r="F1509" s="10" t="s">
        <v>4368</v>
      </c>
      <c r="G1509" s="10" t="s">
        <v>4369</v>
      </c>
      <c r="H1509" s="10" t="s">
        <v>4370</v>
      </c>
      <c r="I1509" s="10" t="s">
        <v>4196</v>
      </c>
    </row>
    <row r="1510" spans="1:9" x14ac:dyDescent="0.15">
      <c r="A1510" s="9">
        <v>1509</v>
      </c>
      <c r="B1510" s="10" t="s">
        <v>9</v>
      </c>
      <c r="C1510" s="10" t="s">
        <v>164</v>
      </c>
      <c r="D1510" s="10" t="s">
        <v>165</v>
      </c>
      <c r="E1510" s="11" t="str">
        <f>+HYPERLINK("http://trademark.i-assist.jp/data/china/image_1901th/79028315.pdf", "79028315")</f>
        <v>79028315</v>
      </c>
      <c r="F1510" s="10" t="s">
        <v>4371</v>
      </c>
      <c r="G1510" s="10" t="s">
        <v>4372</v>
      </c>
      <c r="H1510" s="10" t="s">
        <v>4373</v>
      </c>
      <c r="I1510" s="10" t="s">
        <v>4196</v>
      </c>
    </row>
    <row r="1511" spans="1:9" x14ac:dyDescent="0.15">
      <c r="A1511" s="9">
        <v>1510</v>
      </c>
      <c r="B1511" s="10" t="s">
        <v>9</v>
      </c>
      <c r="C1511" s="10" t="s">
        <v>164</v>
      </c>
      <c r="D1511" s="10" t="s">
        <v>165</v>
      </c>
      <c r="E1511" s="11" t="str">
        <f>+HYPERLINK("http://trademark.i-assist.jp/data/china/image_1901th/79028326.pdf", "79028326")</f>
        <v>79028326</v>
      </c>
      <c r="F1511" s="10" t="s">
        <v>4374</v>
      </c>
      <c r="G1511" s="10" t="s">
        <v>4375</v>
      </c>
      <c r="H1511" s="10" t="s">
        <v>4376</v>
      </c>
      <c r="I1511" s="10" t="s">
        <v>4196</v>
      </c>
    </row>
    <row r="1512" spans="1:9" x14ac:dyDescent="0.15">
      <c r="A1512" s="9">
        <v>1511</v>
      </c>
      <c r="B1512" s="10" t="s">
        <v>9</v>
      </c>
      <c r="C1512" s="10" t="s">
        <v>164</v>
      </c>
      <c r="D1512" s="10" t="s">
        <v>165</v>
      </c>
      <c r="E1512" s="11" t="str">
        <f>+HYPERLINK("http://trademark.i-assist.jp/data/china/image_1901th/79028684.pdf", "79028684")</f>
        <v>79028684</v>
      </c>
      <c r="F1512" s="10" t="s">
        <v>12</v>
      </c>
      <c r="G1512" s="10" t="s">
        <v>4253</v>
      </c>
      <c r="H1512" s="10" t="s">
        <v>4377</v>
      </c>
      <c r="I1512" s="10" t="s">
        <v>4196</v>
      </c>
    </row>
    <row r="1513" spans="1:9" x14ac:dyDescent="0.15">
      <c r="A1513" s="9">
        <v>1512</v>
      </c>
      <c r="B1513" s="10" t="s">
        <v>9</v>
      </c>
      <c r="C1513" s="10" t="s">
        <v>164</v>
      </c>
      <c r="D1513" s="10" t="s">
        <v>165</v>
      </c>
      <c r="E1513" s="11" t="str">
        <f>+HYPERLINK("http://trademark.i-assist.jp/data/china/image_1901th/79029299.pdf", "79029299")</f>
        <v>79029299</v>
      </c>
      <c r="F1513" s="10" t="s">
        <v>12</v>
      </c>
      <c r="G1513" s="10" t="s">
        <v>4378</v>
      </c>
      <c r="H1513" s="10" t="s">
        <v>4379</v>
      </c>
      <c r="I1513" s="10" t="s">
        <v>4196</v>
      </c>
    </row>
    <row r="1514" spans="1:9" x14ac:dyDescent="0.15">
      <c r="A1514" s="9">
        <v>1513</v>
      </c>
      <c r="B1514" s="10" t="s">
        <v>9</v>
      </c>
      <c r="C1514" s="10" t="s">
        <v>164</v>
      </c>
      <c r="D1514" s="10" t="s">
        <v>165</v>
      </c>
      <c r="E1514" s="11" t="str">
        <f>+HYPERLINK("http://trademark.i-assist.jp/data/china/image_1901th/79029338.pdf", "79029338")</f>
        <v>79029338</v>
      </c>
      <c r="F1514" s="10" t="s">
        <v>4380</v>
      </c>
      <c r="G1514" s="10" t="s">
        <v>4381</v>
      </c>
      <c r="H1514" s="10" t="s">
        <v>4382</v>
      </c>
      <c r="I1514" s="10" t="s">
        <v>4196</v>
      </c>
    </row>
    <row r="1515" spans="1:9" x14ac:dyDescent="0.15">
      <c r="A1515" s="9">
        <v>1514</v>
      </c>
      <c r="B1515" s="10" t="s">
        <v>9</v>
      </c>
      <c r="C1515" s="10" t="s">
        <v>164</v>
      </c>
      <c r="D1515" s="10" t="s">
        <v>165</v>
      </c>
      <c r="E1515" s="11" t="str">
        <f>+HYPERLINK("http://trademark.i-assist.jp/data/china/image_1901th/79029503.pdf", "79029503")</f>
        <v>79029503</v>
      </c>
      <c r="F1515" s="10" t="s">
        <v>4383</v>
      </c>
      <c r="G1515" s="10" t="s">
        <v>4384</v>
      </c>
      <c r="H1515" s="10" t="s">
        <v>4385</v>
      </c>
      <c r="I1515" s="10" t="s">
        <v>4196</v>
      </c>
    </row>
    <row r="1516" spans="1:9" x14ac:dyDescent="0.15">
      <c r="A1516" s="9">
        <v>1515</v>
      </c>
      <c r="B1516" s="10" t="s">
        <v>9</v>
      </c>
      <c r="C1516" s="10" t="s">
        <v>164</v>
      </c>
      <c r="D1516" s="10" t="s">
        <v>165</v>
      </c>
      <c r="E1516" s="11" t="str">
        <f>+HYPERLINK("http://trademark.i-assist.jp/data/china/image_1901th/79029703.pdf", "79029703")</f>
        <v>79029703</v>
      </c>
      <c r="F1516" s="10" t="s">
        <v>4386</v>
      </c>
      <c r="G1516" s="10" t="s">
        <v>4387</v>
      </c>
      <c r="H1516" s="10" t="s">
        <v>4388</v>
      </c>
      <c r="I1516" s="10" t="s">
        <v>4196</v>
      </c>
    </row>
    <row r="1517" spans="1:9" x14ac:dyDescent="0.15">
      <c r="A1517" s="9">
        <v>1516</v>
      </c>
      <c r="B1517" s="10" t="s">
        <v>9</v>
      </c>
      <c r="C1517" s="10" t="s">
        <v>164</v>
      </c>
      <c r="D1517" s="10" t="s">
        <v>165</v>
      </c>
      <c r="E1517" s="11" t="str">
        <f>+HYPERLINK("http://trademark.i-assist.jp/data/china/image_1901th/79030468.pdf", "79030468")</f>
        <v>79030468</v>
      </c>
      <c r="F1517" s="10" t="s">
        <v>4389</v>
      </c>
      <c r="G1517" s="10" t="s">
        <v>4390</v>
      </c>
      <c r="H1517" s="10" t="s">
        <v>4391</v>
      </c>
      <c r="I1517" s="10" t="s">
        <v>4196</v>
      </c>
    </row>
    <row r="1518" spans="1:9" x14ac:dyDescent="0.15">
      <c r="A1518" s="9">
        <v>1517</v>
      </c>
      <c r="B1518" s="10" t="s">
        <v>9</v>
      </c>
      <c r="C1518" s="10" t="s">
        <v>164</v>
      </c>
      <c r="D1518" s="10" t="s">
        <v>165</v>
      </c>
      <c r="E1518" s="11" t="str">
        <f>+HYPERLINK("http://trademark.i-assist.jp/data/china/image_1901th/79030559.pdf", "79030559")</f>
        <v>79030559</v>
      </c>
      <c r="F1518" s="10" t="s">
        <v>4392</v>
      </c>
      <c r="G1518" s="10" t="s">
        <v>118</v>
      </c>
      <c r="H1518" s="10" t="s">
        <v>4393</v>
      </c>
      <c r="I1518" s="10" t="s">
        <v>4196</v>
      </c>
    </row>
    <row r="1519" spans="1:9" x14ac:dyDescent="0.15">
      <c r="A1519" s="9">
        <v>1518</v>
      </c>
      <c r="B1519" s="10" t="s">
        <v>9</v>
      </c>
      <c r="C1519" s="10" t="s">
        <v>164</v>
      </c>
      <c r="D1519" s="10" t="s">
        <v>165</v>
      </c>
      <c r="E1519" s="11" t="str">
        <f>+HYPERLINK("http://trademark.i-assist.jp/data/china/image_1901th/79030954.pdf", "79030954")</f>
        <v>79030954</v>
      </c>
      <c r="F1519" s="10" t="s">
        <v>4394</v>
      </c>
      <c r="G1519" s="10" t="s">
        <v>4244</v>
      </c>
      <c r="H1519" s="10" t="s">
        <v>4395</v>
      </c>
      <c r="I1519" s="10" t="s">
        <v>4196</v>
      </c>
    </row>
    <row r="1520" spans="1:9" x14ac:dyDescent="0.15">
      <c r="A1520" s="9">
        <v>1519</v>
      </c>
      <c r="B1520" s="10" t="s">
        <v>9</v>
      </c>
      <c r="C1520" s="10" t="s">
        <v>164</v>
      </c>
      <c r="D1520" s="10" t="s">
        <v>165</v>
      </c>
      <c r="E1520" s="11" t="str">
        <f>+HYPERLINK("http://trademark.i-assist.jp/data/china/image_1901th/79030985.pdf", "79030985")</f>
        <v>79030985</v>
      </c>
      <c r="F1520" s="10" t="s">
        <v>4396</v>
      </c>
      <c r="G1520" s="10" t="s">
        <v>4397</v>
      </c>
      <c r="H1520" s="10" t="s">
        <v>4398</v>
      </c>
      <c r="I1520" s="10" t="s">
        <v>4196</v>
      </c>
    </row>
    <row r="1521" spans="1:9" x14ac:dyDescent="0.15">
      <c r="A1521" s="9">
        <v>1520</v>
      </c>
      <c r="B1521" s="10" t="s">
        <v>9</v>
      </c>
      <c r="C1521" s="10" t="s">
        <v>164</v>
      </c>
      <c r="D1521" s="10" t="s">
        <v>165</v>
      </c>
      <c r="E1521" s="11" t="str">
        <f>+HYPERLINK("http://trademark.i-assist.jp/data/china/image_1901th/79031302.pdf", "79031302")</f>
        <v>79031302</v>
      </c>
      <c r="F1521" s="10" t="s">
        <v>4399</v>
      </c>
      <c r="G1521" s="10" t="s">
        <v>4400</v>
      </c>
      <c r="H1521" s="10" t="s">
        <v>4401</v>
      </c>
      <c r="I1521" s="10" t="s">
        <v>4196</v>
      </c>
    </row>
    <row r="1522" spans="1:9" x14ac:dyDescent="0.15">
      <c r="A1522" s="9">
        <v>1521</v>
      </c>
      <c r="B1522" s="10" t="s">
        <v>9</v>
      </c>
      <c r="C1522" s="10" t="s">
        <v>164</v>
      </c>
      <c r="D1522" s="10" t="s">
        <v>165</v>
      </c>
      <c r="E1522" s="11" t="str">
        <f>+HYPERLINK("http://trademark.i-assist.jp/data/china/image_1901th/79031629.pdf", "79031629")</f>
        <v>79031629</v>
      </c>
      <c r="F1522" s="10" t="s">
        <v>4402</v>
      </c>
      <c r="G1522" s="10" t="s">
        <v>4403</v>
      </c>
      <c r="H1522" s="10" t="s">
        <v>4404</v>
      </c>
      <c r="I1522" s="10" t="s">
        <v>4196</v>
      </c>
    </row>
    <row r="1523" spans="1:9" x14ac:dyDescent="0.15">
      <c r="A1523" s="9">
        <v>1522</v>
      </c>
      <c r="B1523" s="10" t="s">
        <v>9</v>
      </c>
      <c r="C1523" s="10" t="s">
        <v>164</v>
      </c>
      <c r="D1523" s="10" t="s">
        <v>165</v>
      </c>
      <c r="E1523" s="11" t="str">
        <f>+HYPERLINK("http://trademark.i-assist.jp/data/china/image_1901th/79031734.pdf", "79031734")</f>
        <v>79031734</v>
      </c>
      <c r="F1523" s="10" t="s">
        <v>4405</v>
      </c>
      <c r="G1523" s="10" t="s">
        <v>4366</v>
      </c>
      <c r="H1523" s="10" t="s">
        <v>4406</v>
      </c>
      <c r="I1523" s="10" t="s">
        <v>4196</v>
      </c>
    </row>
    <row r="1524" spans="1:9" x14ac:dyDescent="0.15">
      <c r="A1524" s="9">
        <v>1523</v>
      </c>
      <c r="B1524" s="10" t="s">
        <v>9</v>
      </c>
      <c r="C1524" s="10" t="s">
        <v>164</v>
      </c>
      <c r="D1524" s="10" t="s">
        <v>165</v>
      </c>
      <c r="E1524" s="11" t="str">
        <f>+HYPERLINK("http://trademark.i-assist.jp/data/china/image_1901th/79031810.pdf", "79031810")</f>
        <v>79031810</v>
      </c>
      <c r="F1524" s="10" t="s">
        <v>4407</v>
      </c>
      <c r="G1524" s="10" t="s">
        <v>4408</v>
      </c>
      <c r="H1524" s="10" t="s">
        <v>4409</v>
      </c>
      <c r="I1524" s="10" t="s">
        <v>4196</v>
      </c>
    </row>
    <row r="1525" spans="1:9" x14ac:dyDescent="0.15">
      <c r="A1525" s="9">
        <v>1524</v>
      </c>
      <c r="B1525" s="10" t="s">
        <v>9</v>
      </c>
      <c r="C1525" s="10" t="s">
        <v>164</v>
      </c>
      <c r="D1525" s="10" t="s">
        <v>165</v>
      </c>
      <c r="E1525" s="11" t="str">
        <f>+HYPERLINK("http://trademark.i-assist.jp/data/china/image_1901th/79031966.pdf", "79031966")</f>
        <v>79031966</v>
      </c>
      <c r="F1525" s="10" t="s">
        <v>4410</v>
      </c>
      <c r="G1525" s="10" t="s">
        <v>4411</v>
      </c>
      <c r="H1525" s="10" t="s">
        <v>4412</v>
      </c>
      <c r="I1525" s="10" t="s">
        <v>4196</v>
      </c>
    </row>
    <row r="1526" spans="1:9" x14ac:dyDescent="0.15">
      <c r="A1526" s="9">
        <v>1525</v>
      </c>
      <c r="B1526" s="10" t="s">
        <v>9</v>
      </c>
      <c r="C1526" s="10" t="s">
        <v>164</v>
      </c>
      <c r="D1526" s="10" t="s">
        <v>165</v>
      </c>
      <c r="E1526" s="11" t="str">
        <f>+HYPERLINK("http://trademark.i-assist.jp/data/china/image_1901th/79032219.pdf", "79032219")</f>
        <v>79032219</v>
      </c>
      <c r="F1526" s="10" t="s">
        <v>4413</v>
      </c>
      <c r="G1526" s="10" t="s">
        <v>4298</v>
      </c>
      <c r="H1526" s="10" t="s">
        <v>4414</v>
      </c>
      <c r="I1526" s="10" t="s">
        <v>4196</v>
      </c>
    </row>
    <row r="1527" spans="1:9" x14ac:dyDescent="0.15">
      <c r="A1527" s="9">
        <v>1526</v>
      </c>
      <c r="B1527" s="10" t="s">
        <v>9</v>
      </c>
      <c r="C1527" s="10" t="s">
        <v>164</v>
      </c>
      <c r="D1527" s="10" t="s">
        <v>165</v>
      </c>
      <c r="E1527" s="11" t="str">
        <f>+HYPERLINK("http://trademark.i-assist.jp/data/china/image_1901th/79032508.pdf", "79032508")</f>
        <v>79032508</v>
      </c>
      <c r="F1527" s="10" t="s">
        <v>4415</v>
      </c>
      <c r="G1527" s="10" t="s">
        <v>4416</v>
      </c>
      <c r="H1527" s="10" t="s">
        <v>4417</v>
      </c>
      <c r="I1527" s="10" t="s">
        <v>4196</v>
      </c>
    </row>
    <row r="1528" spans="1:9" x14ac:dyDescent="0.15">
      <c r="A1528" s="9">
        <v>1527</v>
      </c>
      <c r="B1528" s="10" t="s">
        <v>9</v>
      </c>
      <c r="C1528" s="10" t="s">
        <v>164</v>
      </c>
      <c r="D1528" s="10" t="s">
        <v>165</v>
      </c>
      <c r="E1528" s="11" t="str">
        <f>+HYPERLINK("http://trademark.i-assist.jp/data/china/image_1901th/79032555.pdf", "79032555")</f>
        <v>79032555</v>
      </c>
      <c r="F1528" s="10" t="s">
        <v>4418</v>
      </c>
      <c r="G1528" s="10" t="s">
        <v>4419</v>
      </c>
      <c r="H1528" s="10" t="s">
        <v>4420</v>
      </c>
      <c r="I1528" s="10" t="s">
        <v>4196</v>
      </c>
    </row>
    <row r="1529" spans="1:9" x14ac:dyDescent="0.15">
      <c r="A1529" s="9">
        <v>1528</v>
      </c>
      <c r="B1529" s="10" t="s">
        <v>9</v>
      </c>
      <c r="C1529" s="10" t="s">
        <v>164</v>
      </c>
      <c r="D1529" s="10" t="s">
        <v>165</v>
      </c>
      <c r="E1529" s="11" t="str">
        <f>+HYPERLINK("http://trademark.i-assist.jp/data/china/image_1901th/79033173.pdf", "79033173")</f>
        <v>79033173</v>
      </c>
      <c r="F1529" s="10" t="s">
        <v>4421</v>
      </c>
      <c r="G1529" s="10" t="s">
        <v>4422</v>
      </c>
      <c r="H1529" s="10" t="s">
        <v>4423</v>
      </c>
      <c r="I1529" s="10" t="s">
        <v>4196</v>
      </c>
    </row>
    <row r="1530" spans="1:9" x14ac:dyDescent="0.15">
      <c r="A1530" s="9">
        <v>1529</v>
      </c>
      <c r="B1530" s="10" t="s">
        <v>9</v>
      </c>
      <c r="C1530" s="10" t="s">
        <v>164</v>
      </c>
      <c r="D1530" s="10" t="s">
        <v>165</v>
      </c>
      <c r="E1530" s="11" t="str">
        <f>+HYPERLINK("http://trademark.i-assist.jp/data/china/image_1901th/79033396.pdf", "79033396")</f>
        <v>79033396</v>
      </c>
      <c r="F1530" s="10" t="s">
        <v>4424</v>
      </c>
      <c r="G1530" s="10" t="s">
        <v>4425</v>
      </c>
      <c r="H1530" s="10" t="s">
        <v>4426</v>
      </c>
      <c r="I1530" s="10" t="s">
        <v>4196</v>
      </c>
    </row>
    <row r="1531" spans="1:9" x14ac:dyDescent="0.15">
      <c r="A1531" s="9">
        <v>1530</v>
      </c>
      <c r="B1531" s="10" t="s">
        <v>9</v>
      </c>
      <c r="C1531" s="10" t="s">
        <v>164</v>
      </c>
      <c r="D1531" s="10" t="s">
        <v>165</v>
      </c>
      <c r="E1531" s="11" t="str">
        <f>+HYPERLINK("http://trademark.i-assist.jp/data/china/image_1901th/79033483.pdf", "79033483")</f>
        <v>79033483</v>
      </c>
      <c r="F1531" s="10" t="s">
        <v>4427</v>
      </c>
      <c r="G1531" s="10" t="s">
        <v>4428</v>
      </c>
      <c r="H1531" s="10" t="s">
        <v>4429</v>
      </c>
      <c r="I1531" s="10" t="s">
        <v>4196</v>
      </c>
    </row>
    <row r="1532" spans="1:9" x14ac:dyDescent="0.15">
      <c r="A1532" s="9">
        <v>1531</v>
      </c>
      <c r="B1532" s="10" t="s">
        <v>9</v>
      </c>
      <c r="C1532" s="10" t="s">
        <v>164</v>
      </c>
      <c r="D1532" s="10" t="s">
        <v>165</v>
      </c>
      <c r="E1532" s="11" t="str">
        <f>+HYPERLINK("http://trademark.i-assist.jp/data/china/image_1901th/79033597.pdf", "79033597")</f>
        <v>79033597</v>
      </c>
      <c r="F1532" s="10" t="s">
        <v>4430</v>
      </c>
      <c r="G1532" s="10" t="s">
        <v>4431</v>
      </c>
      <c r="H1532" s="10" t="s">
        <v>4432</v>
      </c>
      <c r="I1532" s="10" t="s">
        <v>4196</v>
      </c>
    </row>
    <row r="1533" spans="1:9" x14ac:dyDescent="0.15">
      <c r="A1533" s="9">
        <v>1532</v>
      </c>
      <c r="B1533" s="10" t="s">
        <v>9</v>
      </c>
      <c r="C1533" s="10" t="s">
        <v>164</v>
      </c>
      <c r="D1533" s="10" t="s">
        <v>165</v>
      </c>
      <c r="E1533" s="11" t="str">
        <f>+HYPERLINK("http://trademark.i-assist.jp/data/china/image_1901th/79033733.pdf", "79033733")</f>
        <v>79033733</v>
      </c>
      <c r="F1533" s="10" t="s">
        <v>4433</v>
      </c>
      <c r="G1533" s="10" t="s">
        <v>4434</v>
      </c>
      <c r="H1533" s="10" t="s">
        <v>4435</v>
      </c>
      <c r="I1533" s="10" t="s">
        <v>4196</v>
      </c>
    </row>
    <row r="1534" spans="1:9" x14ac:dyDescent="0.15">
      <c r="A1534" s="9">
        <v>1533</v>
      </c>
      <c r="B1534" s="10" t="s">
        <v>9</v>
      </c>
      <c r="C1534" s="10" t="s">
        <v>164</v>
      </c>
      <c r="D1534" s="10" t="s">
        <v>165</v>
      </c>
      <c r="E1534" s="11" t="str">
        <f>+HYPERLINK("http://trademark.i-assist.jp/data/china/image_1901th/79033775.pdf", "79033775")</f>
        <v>79033775</v>
      </c>
      <c r="F1534" s="10" t="s">
        <v>4436</v>
      </c>
      <c r="G1534" s="10" t="s">
        <v>155</v>
      </c>
      <c r="H1534" s="10" t="s">
        <v>4437</v>
      </c>
      <c r="I1534" s="10" t="s">
        <v>4196</v>
      </c>
    </row>
    <row r="1535" spans="1:9" x14ac:dyDescent="0.15">
      <c r="A1535" s="9">
        <v>1534</v>
      </c>
      <c r="B1535" s="10" t="s">
        <v>9</v>
      </c>
      <c r="C1535" s="10" t="s">
        <v>164</v>
      </c>
      <c r="D1535" s="10" t="s">
        <v>165</v>
      </c>
      <c r="E1535" s="11" t="str">
        <f>+HYPERLINK("http://trademark.i-assist.jp/data/china/image_1901th/79033847.pdf", "79033847")</f>
        <v>79033847</v>
      </c>
      <c r="F1535" s="10" t="s">
        <v>4438</v>
      </c>
      <c r="G1535" s="10" t="s">
        <v>4439</v>
      </c>
      <c r="H1535" s="10" t="s">
        <v>4440</v>
      </c>
      <c r="I1535" s="10" t="s">
        <v>4196</v>
      </c>
    </row>
    <row r="1536" spans="1:9" x14ac:dyDescent="0.15">
      <c r="A1536" s="9">
        <v>1535</v>
      </c>
      <c r="B1536" s="10" t="s">
        <v>9</v>
      </c>
      <c r="C1536" s="10" t="s">
        <v>164</v>
      </c>
      <c r="D1536" s="10" t="s">
        <v>165</v>
      </c>
      <c r="E1536" s="11" t="str">
        <f>+HYPERLINK("http://trademark.i-assist.jp/data/china/image_1901th/79033954.pdf", "79033954")</f>
        <v>79033954</v>
      </c>
      <c r="F1536" s="10" t="s">
        <v>4441</v>
      </c>
      <c r="G1536" s="10" t="s">
        <v>4442</v>
      </c>
      <c r="H1536" s="10" t="s">
        <v>4443</v>
      </c>
      <c r="I1536" s="10" t="s">
        <v>4196</v>
      </c>
    </row>
    <row r="1537" spans="1:9" x14ac:dyDescent="0.15">
      <c r="A1537" s="9">
        <v>1536</v>
      </c>
      <c r="B1537" s="10" t="s">
        <v>9</v>
      </c>
      <c r="C1537" s="10" t="s">
        <v>164</v>
      </c>
      <c r="D1537" s="10" t="s">
        <v>165</v>
      </c>
      <c r="E1537" s="11" t="str">
        <f>+HYPERLINK("http://trademark.i-assist.jp/data/china/image_1901th/79033963.pdf", "79033963")</f>
        <v>79033963</v>
      </c>
      <c r="F1537" s="10" t="s">
        <v>4444</v>
      </c>
      <c r="G1537" s="10" t="s">
        <v>125</v>
      </c>
      <c r="H1537" s="10" t="s">
        <v>4445</v>
      </c>
      <c r="I1537" s="10" t="s">
        <v>4196</v>
      </c>
    </row>
    <row r="1538" spans="1:9" x14ac:dyDescent="0.15">
      <c r="A1538" s="9">
        <v>1537</v>
      </c>
      <c r="B1538" s="10" t="s">
        <v>9</v>
      </c>
      <c r="C1538" s="10" t="s">
        <v>164</v>
      </c>
      <c r="D1538" s="10" t="s">
        <v>165</v>
      </c>
      <c r="E1538" s="11" t="str">
        <f>+HYPERLINK("http://trademark.i-assist.jp/data/china/image_1901th/79034051.pdf", "79034051")</f>
        <v>79034051</v>
      </c>
      <c r="F1538" s="10" t="s">
        <v>4446</v>
      </c>
      <c r="G1538" s="10" t="s">
        <v>4447</v>
      </c>
      <c r="H1538" s="10" t="s">
        <v>4448</v>
      </c>
      <c r="I1538" s="10" t="s">
        <v>4196</v>
      </c>
    </row>
    <row r="1539" spans="1:9" x14ac:dyDescent="0.15">
      <c r="A1539" s="9">
        <v>1538</v>
      </c>
      <c r="B1539" s="10" t="s">
        <v>9</v>
      </c>
      <c r="C1539" s="10" t="s">
        <v>164</v>
      </c>
      <c r="D1539" s="10" t="s">
        <v>165</v>
      </c>
      <c r="E1539" s="11" t="str">
        <f>+HYPERLINK("http://trademark.i-assist.jp/data/china/image_1901th/79034103.pdf", "79034103")</f>
        <v>79034103</v>
      </c>
      <c r="F1539" s="10" t="s">
        <v>4449</v>
      </c>
      <c r="G1539" s="10" t="s">
        <v>4194</v>
      </c>
      <c r="H1539" s="10" t="s">
        <v>4450</v>
      </c>
      <c r="I1539" s="10" t="s">
        <v>4196</v>
      </c>
    </row>
    <row r="1540" spans="1:9" x14ac:dyDescent="0.15">
      <c r="A1540" s="9">
        <v>1539</v>
      </c>
      <c r="B1540" s="10" t="s">
        <v>9</v>
      </c>
      <c r="C1540" s="10" t="s">
        <v>164</v>
      </c>
      <c r="D1540" s="10" t="s">
        <v>165</v>
      </c>
      <c r="E1540" s="11" t="str">
        <f>+HYPERLINK("http://trademark.i-assist.jp/data/china/image_1901th/79034251.pdf", "79034251")</f>
        <v>79034251</v>
      </c>
      <c r="F1540" s="10" t="s">
        <v>4451</v>
      </c>
      <c r="G1540" s="10" t="s">
        <v>4230</v>
      </c>
      <c r="H1540" s="10" t="s">
        <v>4452</v>
      </c>
      <c r="I1540" s="10" t="s">
        <v>4196</v>
      </c>
    </row>
    <row r="1541" spans="1:9" x14ac:dyDescent="0.15">
      <c r="A1541" s="9">
        <v>1540</v>
      </c>
      <c r="B1541" s="10" t="s">
        <v>9</v>
      </c>
      <c r="C1541" s="10" t="s">
        <v>164</v>
      </c>
      <c r="D1541" s="10" t="s">
        <v>165</v>
      </c>
      <c r="E1541" s="11" t="str">
        <f>+HYPERLINK("http://trademark.i-assist.jp/data/china/image_1901th/79034705.pdf", "79034705")</f>
        <v>79034705</v>
      </c>
      <c r="F1541" s="10" t="s">
        <v>4453</v>
      </c>
      <c r="G1541" s="10" t="s">
        <v>4222</v>
      </c>
      <c r="H1541" s="10" t="s">
        <v>4454</v>
      </c>
      <c r="I1541" s="10" t="s">
        <v>4196</v>
      </c>
    </row>
    <row r="1542" spans="1:9" x14ac:dyDescent="0.15">
      <c r="A1542" s="9">
        <v>1541</v>
      </c>
      <c r="B1542" s="10" t="s">
        <v>9</v>
      </c>
      <c r="C1542" s="10" t="s">
        <v>164</v>
      </c>
      <c r="D1542" s="10" t="s">
        <v>165</v>
      </c>
      <c r="E1542" s="11" t="str">
        <f>+HYPERLINK("http://trademark.i-assist.jp/data/china/image_1901th/79034723.pdf", "79034723")</f>
        <v>79034723</v>
      </c>
      <c r="F1542" s="10" t="s">
        <v>4455</v>
      </c>
      <c r="G1542" s="10" t="s">
        <v>4456</v>
      </c>
      <c r="H1542" s="10" t="s">
        <v>4457</v>
      </c>
      <c r="I1542" s="10" t="s">
        <v>4196</v>
      </c>
    </row>
    <row r="1543" spans="1:9" x14ac:dyDescent="0.15">
      <c r="A1543" s="9">
        <v>1542</v>
      </c>
      <c r="B1543" s="10" t="s">
        <v>9</v>
      </c>
      <c r="C1543" s="10" t="s">
        <v>164</v>
      </c>
      <c r="D1543" s="10" t="s">
        <v>165</v>
      </c>
      <c r="E1543" s="11" t="str">
        <f>+HYPERLINK("http://trademark.i-assist.jp/data/china/image_1901th/79034863.pdf", "79034863")</f>
        <v>79034863</v>
      </c>
      <c r="F1543" s="10" t="s">
        <v>4458</v>
      </c>
      <c r="G1543" s="10" t="s">
        <v>4459</v>
      </c>
      <c r="H1543" s="10" t="s">
        <v>4460</v>
      </c>
      <c r="I1543" s="10" t="s">
        <v>4196</v>
      </c>
    </row>
    <row r="1544" spans="1:9" x14ac:dyDescent="0.15">
      <c r="A1544" s="9">
        <v>1543</v>
      </c>
      <c r="B1544" s="10" t="s">
        <v>9</v>
      </c>
      <c r="C1544" s="10" t="s">
        <v>164</v>
      </c>
      <c r="D1544" s="10" t="s">
        <v>165</v>
      </c>
      <c r="E1544" s="11" t="str">
        <f>+HYPERLINK("http://trademark.i-assist.jp/data/china/image_1901th/79034870.pdf", "79034870")</f>
        <v>79034870</v>
      </c>
      <c r="F1544" s="10" t="s">
        <v>4461</v>
      </c>
      <c r="G1544" s="10" t="s">
        <v>4462</v>
      </c>
      <c r="H1544" s="10" t="s">
        <v>4463</v>
      </c>
      <c r="I1544" s="10" t="s">
        <v>4196</v>
      </c>
    </row>
    <row r="1545" spans="1:9" x14ac:dyDescent="0.15">
      <c r="A1545" s="9">
        <v>1544</v>
      </c>
      <c r="B1545" s="10" t="s">
        <v>9</v>
      </c>
      <c r="C1545" s="10" t="s">
        <v>164</v>
      </c>
      <c r="D1545" s="10" t="s">
        <v>165</v>
      </c>
      <c r="E1545" s="11" t="str">
        <f>+HYPERLINK("http://trademark.i-assist.jp/data/china/image_1901th/79034942.pdf", "79034942")</f>
        <v>79034942</v>
      </c>
      <c r="F1545" s="10" t="s">
        <v>4464</v>
      </c>
      <c r="G1545" s="10" t="s">
        <v>4465</v>
      </c>
      <c r="H1545" s="10" t="s">
        <v>4466</v>
      </c>
      <c r="I1545" s="10" t="s">
        <v>4196</v>
      </c>
    </row>
    <row r="1546" spans="1:9" x14ac:dyDescent="0.15">
      <c r="A1546" s="9">
        <v>1545</v>
      </c>
      <c r="B1546" s="10" t="s">
        <v>9</v>
      </c>
      <c r="C1546" s="10" t="s">
        <v>164</v>
      </c>
      <c r="D1546" s="10" t="s">
        <v>165</v>
      </c>
      <c r="E1546" s="11" t="str">
        <f>+HYPERLINK("http://trademark.i-assist.jp/data/china/image_1901th/79035165.pdf", "79035165")</f>
        <v>79035165</v>
      </c>
      <c r="F1546" s="10" t="s">
        <v>4467</v>
      </c>
      <c r="G1546" s="10" t="s">
        <v>4468</v>
      </c>
      <c r="H1546" s="10" t="s">
        <v>4469</v>
      </c>
      <c r="I1546" s="10" t="s">
        <v>4196</v>
      </c>
    </row>
    <row r="1547" spans="1:9" x14ac:dyDescent="0.15">
      <c r="A1547" s="9">
        <v>1546</v>
      </c>
      <c r="B1547" s="10" t="s">
        <v>9</v>
      </c>
      <c r="C1547" s="10" t="s">
        <v>164</v>
      </c>
      <c r="D1547" s="10" t="s">
        <v>165</v>
      </c>
      <c r="E1547" s="11" t="str">
        <f>+HYPERLINK("http://trademark.i-assist.jp/data/china/image_1901th/79035254.pdf", "79035254")</f>
        <v>79035254</v>
      </c>
      <c r="F1547" s="10" t="s">
        <v>4470</v>
      </c>
      <c r="G1547" s="10" t="s">
        <v>4471</v>
      </c>
      <c r="H1547" s="10" t="s">
        <v>4472</v>
      </c>
      <c r="I1547" s="10" t="s">
        <v>4196</v>
      </c>
    </row>
    <row r="1548" spans="1:9" x14ac:dyDescent="0.15">
      <c r="A1548" s="9">
        <v>1547</v>
      </c>
      <c r="B1548" s="10" t="s">
        <v>9</v>
      </c>
      <c r="C1548" s="10" t="s">
        <v>164</v>
      </c>
      <c r="D1548" s="10" t="s">
        <v>165</v>
      </c>
      <c r="E1548" s="11" t="str">
        <f>+HYPERLINK("http://trademark.i-assist.jp/data/china/image_1901th/79035397.pdf", "79035397")</f>
        <v>79035397</v>
      </c>
      <c r="F1548" s="10" t="s">
        <v>4473</v>
      </c>
      <c r="G1548" s="10" t="s">
        <v>1730</v>
      </c>
      <c r="H1548" s="10" t="s">
        <v>4474</v>
      </c>
      <c r="I1548" s="10" t="s">
        <v>4196</v>
      </c>
    </row>
    <row r="1549" spans="1:9" x14ac:dyDescent="0.15">
      <c r="A1549" s="9">
        <v>1548</v>
      </c>
      <c r="B1549" s="10" t="s">
        <v>9</v>
      </c>
      <c r="C1549" s="10" t="s">
        <v>164</v>
      </c>
      <c r="D1549" s="10" t="s">
        <v>165</v>
      </c>
      <c r="E1549" s="11" t="str">
        <f>+HYPERLINK("http://trademark.i-assist.jp/data/china/image_1901th/79035509.pdf", "79035509")</f>
        <v>79035509</v>
      </c>
      <c r="F1549" s="10" t="s">
        <v>4475</v>
      </c>
      <c r="G1549" s="10" t="s">
        <v>4442</v>
      </c>
      <c r="H1549" s="10" t="s">
        <v>4476</v>
      </c>
      <c r="I1549" s="10" t="s">
        <v>4196</v>
      </c>
    </row>
    <row r="1550" spans="1:9" x14ac:dyDescent="0.15">
      <c r="A1550" s="9">
        <v>1549</v>
      </c>
      <c r="B1550" s="10" t="s">
        <v>9</v>
      </c>
      <c r="C1550" s="10" t="s">
        <v>164</v>
      </c>
      <c r="D1550" s="10" t="s">
        <v>165</v>
      </c>
      <c r="E1550" s="11" t="str">
        <f>+HYPERLINK("http://trademark.i-assist.jp/data/china/image_1901th/79035794.pdf", "79035794")</f>
        <v>79035794</v>
      </c>
      <c r="F1550" s="10" t="s">
        <v>4477</v>
      </c>
      <c r="G1550" s="10" t="s">
        <v>4478</v>
      </c>
      <c r="H1550" s="10" t="s">
        <v>4479</v>
      </c>
      <c r="I1550" s="10" t="s">
        <v>4196</v>
      </c>
    </row>
    <row r="1551" spans="1:9" x14ac:dyDescent="0.15">
      <c r="A1551" s="9">
        <v>1550</v>
      </c>
      <c r="B1551" s="10" t="s">
        <v>9</v>
      </c>
      <c r="C1551" s="10" t="s">
        <v>164</v>
      </c>
      <c r="D1551" s="10" t="s">
        <v>165</v>
      </c>
      <c r="E1551" s="11" t="str">
        <f>+HYPERLINK("http://trademark.i-assist.jp/data/china/image_1901th/79035878.pdf", "79035878")</f>
        <v>79035878</v>
      </c>
      <c r="F1551" s="10" t="s">
        <v>4480</v>
      </c>
      <c r="G1551" s="10" t="s">
        <v>4481</v>
      </c>
      <c r="H1551" s="10" t="s">
        <v>4482</v>
      </c>
      <c r="I1551" s="10" t="s">
        <v>4196</v>
      </c>
    </row>
    <row r="1552" spans="1:9" x14ac:dyDescent="0.15">
      <c r="A1552" s="9">
        <v>1551</v>
      </c>
      <c r="B1552" s="10" t="s">
        <v>9</v>
      </c>
      <c r="C1552" s="10" t="s">
        <v>164</v>
      </c>
      <c r="D1552" s="10" t="s">
        <v>165</v>
      </c>
      <c r="E1552" s="11" t="str">
        <f>+HYPERLINK("http://trademark.i-assist.jp/data/china/image_1901th/79035904.pdf", "79035904")</f>
        <v>79035904</v>
      </c>
      <c r="F1552" s="10" t="s">
        <v>4483</v>
      </c>
      <c r="G1552" s="10" t="s">
        <v>4253</v>
      </c>
      <c r="H1552" s="10" t="s">
        <v>4484</v>
      </c>
      <c r="I1552" s="10" t="s">
        <v>4196</v>
      </c>
    </row>
    <row r="1553" spans="1:9" x14ac:dyDescent="0.15">
      <c r="A1553" s="9">
        <v>1552</v>
      </c>
      <c r="B1553" s="10" t="s">
        <v>9</v>
      </c>
      <c r="C1553" s="10" t="s">
        <v>164</v>
      </c>
      <c r="D1553" s="10" t="s">
        <v>165</v>
      </c>
      <c r="E1553" s="11" t="str">
        <f>+HYPERLINK("http://trademark.i-assist.jp/data/china/image_1901th/79036142.pdf", "79036142")</f>
        <v>79036142</v>
      </c>
      <c r="F1553" s="10" t="s">
        <v>4485</v>
      </c>
      <c r="G1553" s="10" t="s">
        <v>4486</v>
      </c>
      <c r="H1553" s="10" t="s">
        <v>4487</v>
      </c>
      <c r="I1553" s="10" t="s">
        <v>4196</v>
      </c>
    </row>
    <row r="1554" spans="1:9" x14ac:dyDescent="0.15">
      <c r="A1554" s="9">
        <v>1553</v>
      </c>
      <c r="B1554" s="10" t="s">
        <v>9</v>
      </c>
      <c r="C1554" s="10" t="s">
        <v>164</v>
      </c>
      <c r="D1554" s="10" t="s">
        <v>165</v>
      </c>
      <c r="E1554" s="11" t="str">
        <f>+HYPERLINK("http://trademark.i-assist.jp/data/china/image_1901th/79036480.pdf", "79036480")</f>
        <v>79036480</v>
      </c>
      <c r="F1554" s="10" t="s">
        <v>4488</v>
      </c>
      <c r="G1554" s="10" t="s">
        <v>4489</v>
      </c>
      <c r="H1554" s="10" t="s">
        <v>4490</v>
      </c>
      <c r="I1554" s="10" t="s">
        <v>4196</v>
      </c>
    </row>
    <row r="1555" spans="1:9" x14ac:dyDescent="0.15">
      <c r="A1555" s="9">
        <v>1554</v>
      </c>
      <c r="B1555" s="10" t="s">
        <v>9</v>
      </c>
      <c r="C1555" s="10" t="s">
        <v>164</v>
      </c>
      <c r="D1555" s="10" t="s">
        <v>165</v>
      </c>
      <c r="E1555" s="11" t="str">
        <f>+HYPERLINK("http://trademark.i-assist.jp/data/china/image_1901th/79037902.pdf", "79037902")</f>
        <v>79037902</v>
      </c>
      <c r="F1555" s="10" t="s">
        <v>4491</v>
      </c>
      <c r="G1555" s="10" t="s">
        <v>156</v>
      </c>
      <c r="H1555" s="10" t="s">
        <v>4492</v>
      </c>
      <c r="I1555" s="10" t="s">
        <v>4196</v>
      </c>
    </row>
    <row r="1556" spans="1:9" x14ac:dyDescent="0.15">
      <c r="A1556" s="9">
        <v>1555</v>
      </c>
      <c r="B1556" s="10" t="s">
        <v>9</v>
      </c>
      <c r="C1556" s="10" t="s">
        <v>164</v>
      </c>
      <c r="D1556" s="10" t="s">
        <v>165</v>
      </c>
      <c r="E1556" s="11" t="str">
        <f>+HYPERLINK("http://trademark.i-assist.jp/data/china/image_1901th/79037936.pdf", "79037936")</f>
        <v>79037936</v>
      </c>
      <c r="F1556" s="10" t="s">
        <v>4493</v>
      </c>
      <c r="G1556" s="10" t="s">
        <v>4494</v>
      </c>
      <c r="H1556" s="10" t="s">
        <v>4495</v>
      </c>
      <c r="I1556" s="10" t="s">
        <v>4196</v>
      </c>
    </row>
    <row r="1557" spans="1:9" x14ac:dyDescent="0.15">
      <c r="A1557" s="9">
        <v>1556</v>
      </c>
      <c r="B1557" s="10" t="s">
        <v>9</v>
      </c>
      <c r="C1557" s="10" t="s">
        <v>164</v>
      </c>
      <c r="D1557" s="10" t="s">
        <v>165</v>
      </c>
      <c r="E1557" s="11" t="str">
        <f>+HYPERLINK("http://trademark.i-assist.jp/data/china/image_1901th/79038335.pdf", "79038335")</f>
        <v>79038335</v>
      </c>
      <c r="F1557" s="10" t="s">
        <v>4496</v>
      </c>
      <c r="G1557" s="10" t="s">
        <v>4497</v>
      </c>
      <c r="H1557" s="10" t="s">
        <v>4498</v>
      </c>
      <c r="I1557" s="10" t="s">
        <v>4196</v>
      </c>
    </row>
    <row r="1558" spans="1:9" x14ac:dyDescent="0.15">
      <c r="A1558" s="9">
        <v>1557</v>
      </c>
      <c r="B1558" s="10" t="s">
        <v>9</v>
      </c>
      <c r="C1558" s="10" t="s">
        <v>164</v>
      </c>
      <c r="D1558" s="10" t="s">
        <v>165</v>
      </c>
      <c r="E1558" s="11" t="str">
        <f>+HYPERLINK("http://trademark.i-assist.jp/data/china/image_1901th/79038463.pdf", "79038463")</f>
        <v>79038463</v>
      </c>
      <c r="F1558" s="10" t="s">
        <v>4499</v>
      </c>
      <c r="G1558" s="10" t="s">
        <v>4387</v>
      </c>
      <c r="H1558" s="10" t="s">
        <v>4500</v>
      </c>
      <c r="I1558" s="10" t="s">
        <v>4196</v>
      </c>
    </row>
    <row r="1559" spans="1:9" x14ac:dyDescent="0.15">
      <c r="A1559" s="9">
        <v>1558</v>
      </c>
      <c r="B1559" s="10" t="s">
        <v>9</v>
      </c>
      <c r="C1559" s="10" t="s">
        <v>164</v>
      </c>
      <c r="D1559" s="10" t="s">
        <v>165</v>
      </c>
      <c r="E1559" s="11" t="str">
        <f>+HYPERLINK("http://trademark.i-assist.jp/data/china/image_1901th/79038758.pdf", "79038758")</f>
        <v>79038758</v>
      </c>
      <c r="F1559" s="10" t="s">
        <v>4501</v>
      </c>
      <c r="G1559" s="10" t="s">
        <v>4502</v>
      </c>
      <c r="H1559" s="10" t="s">
        <v>4503</v>
      </c>
      <c r="I1559" s="10" t="s">
        <v>4196</v>
      </c>
    </row>
    <row r="1560" spans="1:9" x14ac:dyDescent="0.15">
      <c r="A1560" s="9">
        <v>1559</v>
      </c>
      <c r="B1560" s="10" t="s">
        <v>9</v>
      </c>
      <c r="C1560" s="10" t="s">
        <v>164</v>
      </c>
      <c r="D1560" s="10" t="s">
        <v>165</v>
      </c>
      <c r="E1560" s="11" t="str">
        <f>+HYPERLINK("http://trademark.i-assist.jp/data/china/image_1901th/79038853.pdf", "79038853")</f>
        <v>79038853</v>
      </c>
      <c r="F1560" s="10" t="s">
        <v>4504</v>
      </c>
      <c r="G1560" s="10" t="s">
        <v>4442</v>
      </c>
      <c r="H1560" s="10" t="s">
        <v>4505</v>
      </c>
      <c r="I1560" s="10" t="s">
        <v>4196</v>
      </c>
    </row>
    <row r="1561" spans="1:9" x14ac:dyDescent="0.15">
      <c r="A1561" s="9">
        <v>1560</v>
      </c>
      <c r="B1561" s="10" t="s">
        <v>9</v>
      </c>
      <c r="C1561" s="10" t="s">
        <v>164</v>
      </c>
      <c r="D1561" s="10" t="s">
        <v>165</v>
      </c>
      <c r="E1561" s="11" t="str">
        <f>+HYPERLINK("http://trademark.i-assist.jp/data/china/image_1901th/79038898.pdf", "79038898")</f>
        <v>79038898</v>
      </c>
      <c r="F1561" s="10" t="s">
        <v>4506</v>
      </c>
      <c r="G1561" s="10" t="s">
        <v>4244</v>
      </c>
      <c r="H1561" s="10" t="s">
        <v>4507</v>
      </c>
      <c r="I1561" s="10" t="s">
        <v>4196</v>
      </c>
    </row>
    <row r="1562" spans="1:9" x14ac:dyDescent="0.15">
      <c r="A1562" s="9">
        <v>1561</v>
      </c>
      <c r="B1562" s="10" t="s">
        <v>9</v>
      </c>
      <c r="C1562" s="10" t="s">
        <v>164</v>
      </c>
      <c r="D1562" s="10" t="s">
        <v>165</v>
      </c>
      <c r="E1562" s="11" t="str">
        <f>+HYPERLINK("http://trademark.i-assist.jp/data/china/image_1901th/79039052.pdf", "79039052")</f>
        <v>79039052</v>
      </c>
      <c r="F1562" s="10" t="s">
        <v>4508</v>
      </c>
      <c r="G1562" s="10" t="s">
        <v>4465</v>
      </c>
      <c r="H1562" s="10" t="s">
        <v>4509</v>
      </c>
      <c r="I1562" s="10" t="s">
        <v>4196</v>
      </c>
    </row>
    <row r="1563" spans="1:9" x14ac:dyDescent="0.15">
      <c r="A1563" s="9">
        <v>1562</v>
      </c>
      <c r="B1563" s="10" t="s">
        <v>9</v>
      </c>
      <c r="C1563" s="10" t="s">
        <v>164</v>
      </c>
      <c r="D1563" s="10" t="s">
        <v>165</v>
      </c>
      <c r="E1563" s="11" t="str">
        <f>+HYPERLINK("http://trademark.i-assist.jp/data/china/image_1901th/79039403.pdf", "79039403")</f>
        <v>79039403</v>
      </c>
      <c r="F1563" s="10" t="s">
        <v>4510</v>
      </c>
      <c r="G1563" s="10" t="s">
        <v>4511</v>
      </c>
      <c r="H1563" s="10" t="s">
        <v>4512</v>
      </c>
      <c r="I1563" s="10" t="s">
        <v>4513</v>
      </c>
    </row>
    <row r="1564" spans="1:9" x14ac:dyDescent="0.15">
      <c r="A1564" s="9">
        <v>1563</v>
      </c>
      <c r="B1564" s="10" t="s">
        <v>9</v>
      </c>
      <c r="C1564" s="10" t="s">
        <v>164</v>
      </c>
      <c r="D1564" s="10" t="s">
        <v>165</v>
      </c>
      <c r="E1564" s="11" t="str">
        <f>+HYPERLINK("http://trademark.i-assist.jp/data/china/image_1901th/79039440.pdf", "79039440")</f>
        <v>79039440</v>
      </c>
      <c r="F1564" s="10" t="s">
        <v>4514</v>
      </c>
      <c r="G1564" s="10" t="s">
        <v>4515</v>
      </c>
      <c r="H1564" s="10" t="s">
        <v>4516</v>
      </c>
      <c r="I1564" s="10" t="s">
        <v>4513</v>
      </c>
    </row>
    <row r="1565" spans="1:9" x14ac:dyDescent="0.15">
      <c r="A1565" s="9">
        <v>1564</v>
      </c>
      <c r="B1565" s="10" t="s">
        <v>9</v>
      </c>
      <c r="C1565" s="10" t="s">
        <v>164</v>
      </c>
      <c r="D1565" s="10" t="s">
        <v>165</v>
      </c>
      <c r="E1565" s="11" t="str">
        <f>+HYPERLINK("http://trademark.i-assist.jp/data/china/image_1901th/79039455.pdf", "79039455")</f>
        <v>79039455</v>
      </c>
      <c r="F1565" s="10" t="s">
        <v>4517</v>
      </c>
      <c r="G1565" s="10" t="s">
        <v>4518</v>
      </c>
      <c r="H1565" s="10" t="s">
        <v>4519</v>
      </c>
      <c r="I1565" s="10" t="s">
        <v>4513</v>
      </c>
    </row>
    <row r="1566" spans="1:9" x14ac:dyDescent="0.15">
      <c r="A1566" s="9">
        <v>1565</v>
      </c>
      <c r="B1566" s="10" t="s">
        <v>9</v>
      </c>
      <c r="C1566" s="10" t="s">
        <v>164</v>
      </c>
      <c r="D1566" s="10" t="s">
        <v>165</v>
      </c>
      <c r="E1566" s="11" t="str">
        <f>+HYPERLINK("http://trademark.i-assist.jp/data/china/image_1901th/79039514.pdf", "79039514")</f>
        <v>79039514</v>
      </c>
      <c r="F1566" s="10" t="s">
        <v>4520</v>
      </c>
      <c r="G1566" s="10" t="s">
        <v>4521</v>
      </c>
      <c r="H1566" s="10" t="s">
        <v>4522</v>
      </c>
      <c r="I1566" s="10" t="s">
        <v>4513</v>
      </c>
    </row>
    <row r="1567" spans="1:9" x14ac:dyDescent="0.15">
      <c r="A1567" s="9">
        <v>1566</v>
      </c>
      <c r="B1567" s="10" t="s">
        <v>9</v>
      </c>
      <c r="C1567" s="10" t="s">
        <v>164</v>
      </c>
      <c r="D1567" s="10" t="s">
        <v>165</v>
      </c>
      <c r="E1567" s="11" t="str">
        <f>+HYPERLINK("http://trademark.i-assist.jp/data/china/image_1901th/79039557.pdf", "79039557")</f>
        <v>79039557</v>
      </c>
      <c r="F1567" s="10" t="s">
        <v>4523</v>
      </c>
      <c r="G1567" s="10" t="s">
        <v>80</v>
      </c>
      <c r="H1567" s="10" t="s">
        <v>4524</v>
      </c>
      <c r="I1567" s="10" t="s">
        <v>4513</v>
      </c>
    </row>
    <row r="1568" spans="1:9" x14ac:dyDescent="0.15">
      <c r="A1568" s="9">
        <v>1567</v>
      </c>
      <c r="B1568" s="10" t="s">
        <v>9</v>
      </c>
      <c r="C1568" s="10" t="s">
        <v>164</v>
      </c>
      <c r="D1568" s="10" t="s">
        <v>165</v>
      </c>
      <c r="E1568" s="11" t="str">
        <f>+HYPERLINK("http://trademark.i-assist.jp/data/china/image_1901th/79039937.pdf", "79039937")</f>
        <v>79039937</v>
      </c>
      <c r="F1568" s="10" t="s">
        <v>4525</v>
      </c>
      <c r="G1568" s="10" t="s">
        <v>79</v>
      </c>
      <c r="H1568" s="10" t="s">
        <v>4526</v>
      </c>
      <c r="I1568" s="10" t="s">
        <v>4513</v>
      </c>
    </row>
    <row r="1569" spans="1:9" x14ac:dyDescent="0.15">
      <c r="A1569" s="9">
        <v>1568</v>
      </c>
      <c r="B1569" s="10" t="s">
        <v>9</v>
      </c>
      <c r="C1569" s="10" t="s">
        <v>164</v>
      </c>
      <c r="D1569" s="10" t="s">
        <v>165</v>
      </c>
      <c r="E1569" s="11" t="str">
        <f>+HYPERLINK("http://trademark.i-assist.jp/data/china/image_1901th/79040054.pdf", "79040054")</f>
        <v>79040054</v>
      </c>
      <c r="F1569" s="10" t="s">
        <v>4527</v>
      </c>
      <c r="G1569" s="10" t="s">
        <v>4528</v>
      </c>
      <c r="H1569" s="10" t="s">
        <v>4529</v>
      </c>
      <c r="I1569" s="10" t="s">
        <v>4513</v>
      </c>
    </row>
    <row r="1570" spans="1:9" x14ac:dyDescent="0.15">
      <c r="A1570" s="9">
        <v>1569</v>
      </c>
      <c r="B1570" s="10" t="s">
        <v>9</v>
      </c>
      <c r="C1570" s="10" t="s">
        <v>164</v>
      </c>
      <c r="D1570" s="10" t="s">
        <v>165</v>
      </c>
      <c r="E1570" s="11" t="str">
        <f>+HYPERLINK("http://trademark.i-assist.jp/data/china/image_1901th/79040297.pdf", "79040297")</f>
        <v>79040297</v>
      </c>
      <c r="F1570" s="10" t="s">
        <v>4530</v>
      </c>
      <c r="G1570" s="10" t="s">
        <v>107</v>
      </c>
      <c r="H1570" s="10" t="s">
        <v>4531</v>
      </c>
      <c r="I1570" s="10" t="s">
        <v>4513</v>
      </c>
    </row>
    <row r="1571" spans="1:9" x14ac:dyDescent="0.15">
      <c r="A1571" s="9">
        <v>1570</v>
      </c>
      <c r="B1571" s="10" t="s">
        <v>9</v>
      </c>
      <c r="C1571" s="10" t="s">
        <v>164</v>
      </c>
      <c r="D1571" s="10" t="s">
        <v>165</v>
      </c>
      <c r="E1571" s="11" t="str">
        <f>+HYPERLINK("http://trademark.i-assist.jp/data/china/image_1901th/79040425.pdf", "79040425")</f>
        <v>79040425</v>
      </c>
      <c r="F1571" s="10" t="s">
        <v>12</v>
      </c>
      <c r="G1571" s="10" t="s">
        <v>647</v>
      </c>
      <c r="H1571" s="10" t="s">
        <v>4532</v>
      </c>
      <c r="I1571" s="10" t="s">
        <v>4513</v>
      </c>
    </row>
    <row r="1572" spans="1:9" x14ac:dyDescent="0.15">
      <c r="A1572" s="9">
        <v>1571</v>
      </c>
      <c r="B1572" s="10" t="s">
        <v>9</v>
      </c>
      <c r="C1572" s="10" t="s">
        <v>164</v>
      </c>
      <c r="D1572" s="10" t="s">
        <v>165</v>
      </c>
      <c r="E1572" s="11" t="str">
        <f>+HYPERLINK("http://trademark.i-assist.jp/data/china/image_1901th/79040558.pdf", "79040558")</f>
        <v>79040558</v>
      </c>
      <c r="F1572" s="10" t="s">
        <v>4533</v>
      </c>
      <c r="G1572" s="10" t="s">
        <v>4534</v>
      </c>
      <c r="H1572" s="10" t="s">
        <v>4535</v>
      </c>
      <c r="I1572" s="10" t="s">
        <v>4513</v>
      </c>
    </row>
    <row r="1573" spans="1:9" x14ac:dyDescent="0.15">
      <c r="A1573" s="9">
        <v>1572</v>
      </c>
      <c r="B1573" s="10" t="s">
        <v>9</v>
      </c>
      <c r="C1573" s="10" t="s">
        <v>164</v>
      </c>
      <c r="D1573" s="10" t="s">
        <v>165</v>
      </c>
      <c r="E1573" s="11" t="str">
        <f>+HYPERLINK("http://trademark.i-assist.jp/data/china/image_1901th/79040571.pdf", "79040571")</f>
        <v>79040571</v>
      </c>
      <c r="F1573" s="10" t="s">
        <v>4536</v>
      </c>
      <c r="G1573" s="10" t="s">
        <v>4537</v>
      </c>
      <c r="H1573" s="10" t="s">
        <v>4538</v>
      </c>
      <c r="I1573" s="10" t="s">
        <v>4513</v>
      </c>
    </row>
    <row r="1574" spans="1:9" x14ac:dyDescent="0.15">
      <c r="A1574" s="9">
        <v>1573</v>
      </c>
      <c r="B1574" s="10" t="s">
        <v>9</v>
      </c>
      <c r="C1574" s="10" t="s">
        <v>164</v>
      </c>
      <c r="D1574" s="10" t="s">
        <v>165</v>
      </c>
      <c r="E1574" s="11" t="str">
        <f>+HYPERLINK("http://trademark.i-assist.jp/data/china/image_1901th/79040576.pdf", "79040576")</f>
        <v>79040576</v>
      </c>
      <c r="F1574" s="10" t="s">
        <v>4539</v>
      </c>
      <c r="G1574" s="10" t="s">
        <v>4537</v>
      </c>
      <c r="H1574" s="10" t="s">
        <v>4540</v>
      </c>
      <c r="I1574" s="10" t="s">
        <v>4513</v>
      </c>
    </row>
    <row r="1575" spans="1:9" x14ac:dyDescent="0.15">
      <c r="A1575" s="9">
        <v>1574</v>
      </c>
      <c r="B1575" s="10" t="s">
        <v>9</v>
      </c>
      <c r="C1575" s="10" t="s">
        <v>164</v>
      </c>
      <c r="D1575" s="10" t="s">
        <v>165</v>
      </c>
      <c r="E1575" s="11" t="str">
        <f>+HYPERLINK("http://trademark.i-assist.jp/data/china/image_1901th/79040732.pdf", "79040732")</f>
        <v>79040732</v>
      </c>
      <c r="F1575" s="10" t="s">
        <v>4541</v>
      </c>
      <c r="G1575" s="10" t="s">
        <v>4542</v>
      </c>
      <c r="H1575" s="10" t="s">
        <v>4543</v>
      </c>
      <c r="I1575" s="10" t="s">
        <v>4513</v>
      </c>
    </row>
    <row r="1576" spans="1:9" x14ac:dyDescent="0.15">
      <c r="A1576" s="9">
        <v>1575</v>
      </c>
      <c r="B1576" s="10" t="s">
        <v>9</v>
      </c>
      <c r="C1576" s="10" t="s">
        <v>164</v>
      </c>
      <c r="D1576" s="10" t="s">
        <v>165</v>
      </c>
      <c r="E1576" s="11" t="str">
        <f>+HYPERLINK("http://trademark.i-assist.jp/data/china/image_1901th/79040808.pdf", "79040808")</f>
        <v>79040808</v>
      </c>
      <c r="F1576" s="10" t="s">
        <v>4544</v>
      </c>
      <c r="G1576" s="10" t="s">
        <v>4545</v>
      </c>
      <c r="H1576" s="10" t="s">
        <v>4546</v>
      </c>
      <c r="I1576" s="10" t="s">
        <v>4513</v>
      </c>
    </row>
    <row r="1577" spans="1:9" x14ac:dyDescent="0.15">
      <c r="A1577" s="9">
        <v>1576</v>
      </c>
      <c r="B1577" s="10" t="s">
        <v>9</v>
      </c>
      <c r="C1577" s="10" t="s">
        <v>164</v>
      </c>
      <c r="D1577" s="10" t="s">
        <v>165</v>
      </c>
      <c r="E1577" s="11" t="str">
        <f>+HYPERLINK("http://trademark.i-assist.jp/data/china/image_1901th/79040982.pdf", "79040982")</f>
        <v>79040982</v>
      </c>
      <c r="F1577" s="10" t="s">
        <v>4547</v>
      </c>
      <c r="G1577" s="10" t="s">
        <v>4548</v>
      </c>
      <c r="H1577" s="10" t="s">
        <v>4549</v>
      </c>
      <c r="I1577" s="10" t="s">
        <v>4513</v>
      </c>
    </row>
    <row r="1578" spans="1:9" x14ac:dyDescent="0.15">
      <c r="A1578" s="9">
        <v>1577</v>
      </c>
      <c r="B1578" s="10" t="s">
        <v>9</v>
      </c>
      <c r="C1578" s="10" t="s">
        <v>164</v>
      </c>
      <c r="D1578" s="10" t="s">
        <v>165</v>
      </c>
      <c r="E1578" s="11" t="str">
        <f>+HYPERLINK("http://trademark.i-assist.jp/data/china/image_1901th/79041333.pdf", "79041333")</f>
        <v>79041333</v>
      </c>
      <c r="F1578" s="10" t="s">
        <v>4550</v>
      </c>
      <c r="G1578" s="10" t="s">
        <v>4551</v>
      </c>
      <c r="H1578" s="10" t="s">
        <v>4552</v>
      </c>
      <c r="I1578" s="10" t="s">
        <v>4513</v>
      </c>
    </row>
    <row r="1579" spans="1:9" x14ac:dyDescent="0.15">
      <c r="A1579" s="9">
        <v>1578</v>
      </c>
      <c r="B1579" s="10" t="s">
        <v>9</v>
      </c>
      <c r="C1579" s="10" t="s">
        <v>164</v>
      </c>
      <c r="D1579" s="10" t="s">
        <v>165</v>
      </c>
      <c r="E1579" s="11" t="str">
        <f>+HYPERLINK("http://trademark.i-assist.jp/data/china/image_1901th/79041387.pdf", "79041387")</f>
        <v>79041387</v>
      </c>
      <c r="F1579" s="10" t="s">
        <v>4553</v>
      </c>
      <c r="G1579" s="10" t="s">
        <v>4548</v>
      </c>
      <c r="H1579" s="10" t="s">
        <v>4554</v>
      </c>
      <c r="I1579" s="10" t="s">
        <v>4513</v>
      </c>
    </row>
    <row r="1580" spans="1:9" x14ac:dyDescent="0.15">
      <c r="A1580" s="9">
        <v>1579</v>
      </c>
      <c r="B1580" s="10" t="s">
        <v>9</v>
      </c>
      <c r="C1580" s="10" t="s">
        <v>164</v>
      </c>
      <c r="D1580" s="10" t="s">
        <v>165</v>
      </c>
      <c r="E1580" s="11" t="str">
        <f>+HYPERLINK("http://trademark.i-assist.jp/data/china/image_1901th/79041428.pdf", "79041428")</f>
        <v>79041428</v>
      </c>
      <c r="F1580" s="10" t="s">
        <v>4555</v>
      </c>
      <c r="G1580" s="10" t="s">
        <v>4556</v>
      </c>
      <c r="H1580" s="10" t="s">
        <v>4557</v>
      </c>
      <c r="I1580" s="10" t="s">
        <v>4513</v>
      </c>
    </row>
    <row r="1581" spans="1:9" x14ac:dyDescent="0.15">
      <c r="A1581" s="9">
        <v>1580</v>
      </c>
      <c r="B1581" s="10" t="s">
        <v>9</v>
      </c>
      <c r="C1581" s="10" t="s">
        <v>164</v>
      </c>
      <c r="D1581" s="10" t="s">
        <v>165</v>
      </c>
      <c r="E1581" s="11" t="str">
        <f>+HYPERLINK("http://trademark.i-assist.jp/data/china/image_1901th/79041480.pdf", "79041480")</f>
        <v>79041480</v>
      </c>
      <c r="F1581" s="10" t="s">
        <v>12</v>
      </c>
      <c r="G1581" s="10" t="s">
        <v>4558</v>
      </c>
      <c r="H1581" s="10" t="s">
        <v>4559</v>
      </c>
      <c r="I1581" s="10" t="s">
        <v>4513</v>
      </c>
    </row>
    <row r="1582" spans="1:9" x14ac:dyDescent="0.15">
      <c r="A1582" s="9">
        <v>1581</v>
      </c>
      <c r="B1582" s="10" t="s">
        <v>9</v>
      </c>
      <c r="C1582" s="10" t="s">
        <v>164</v>
      </c>
      <c r="D1582" s="10" t="s">
        <v>165</v>
      </c>
      <c r="E1582" s="11" t="str">
        <f>+HYPERLINK("http://trademark.i-assist.jp/data/china/image_1901th/79041811.pdf", "79041811")</f>
        <v>79041811</v>
      </c>
      <c r="F1582" s="10" t="s">
        <v>4560</v>
      </c>
      <c r="G1582" s="10" t="s">
        <v>4561</v>
      </c>
      <c r="H1582" s="10" t="s">
        <v>4562</v>
      </c>
      <c r="I1582" s="10" t="s">
        <v>4513</v>
      </c>
    </row>
    <row r="1583" spans="1:9" x14ac:dyDescent="0.15">
      <c r="A1583" s="9">
        <v>1582</v>
      </c>
      <c r="B1583" s="10" t="s">
        <v>9</v>
      </c>
      <c r="C1583" s="10" t="s">
        <v>164</v>
      </c>
      <c r="D1583" s="10" t="s">
        <v>165</v>
      </c>
      <c r="E1583" s="11" t="str">
        <f>+HYPERLINK("http://trademark.i-assist.jp/data/china/image_1901th/79042034.pdf", "79042034")</f>
        <v>79042034</v>
      </c>
      <c r="F1583" s="10" t="s">
        <v>4563</v>
      </c>
      <c r="G1583" s="10" t="s">
        <v>4564</v>
      </c>
      <c r="H1583" s="10" t="s">
        <v>4565</v>
      </c>
      <c r="I1583" s="10" t="s">
        <v>4513</v>
      </c>
    </row>
    <row r="1584" spans="1:9" x14ac:dyDescent="0.15">
      <c r="A1584" s="9">
        <v>1583</v>
      </c>
      <c r="B1584" s="10" t="s">
        <v>9</v>
      </c>
      <c r="C1584" s="10" t="s">
        <v>164</v>
      </c>
      <c r="D1584" s="10" t="s">
        <v>165</v>
      </c>
      <c r="E1584" s="11" t="str">
        <f>+HYPERLINK("http://trademark.i-assist.jp/data/china/image_1901th/79042108.pdf", "79042108")</f>
        <v>79042108</v>
      </c>
      <c r="F1584" s="10" t="s">
        <v>4566</v>
      </c>
      <c r="G1584" s="10" t="s">
        <v>4567</v>
      </c>
      <c r="H1584" s="10" t="s">
        <v>4568</v>
      </c>
      <c r="I1584" s="10" t="s">
        <v>4513</v>
      </c>
    </row>
    <row r="1585" spans="1:9" x14ac:dyDescent="0.15">
      <c r="A1585" s="9">
        <v>1584</v>
      </c>
      <c r="B1585" s="10" t="s">
        <v>9</v>
      </c>
      <c r="C1585" s="10" t="s">
        <v>164</v>
      </c>
      <c r="D1585" s="10" t="s">
        <v>165</v>
      </c>
      <c r="E1585" s="11" t="str">
        <f>+HYPERLINK("http://trademark.i-assist.jp/data/china/image_1901th/79042645.pdf", "79042645")</f>
        <v>79042645</v>
      </c>
      <c r="F1585" s="10" t="s">
        <v>4569</v>
      </c>
      <c r="G1585" s="10" t="s">
        <v>4570</v>
      </c>
      <c r="H1585" s="10" t="s">
        <v>4571</v>
      </c>
      <c r="I1585" s="10" t="s">
        <v>4513</v>
      </c>
    </row>
    <row r="1586" spans="1:9" x14ac:dyDescent="0.15">
      <c r="A1586" s="9">
        <v>1585</v>
      </c>
      <c r="B1586" s="10" t="s">
        <v>9</v>
      </c>
      <c r="C1586" s="10" t="s">
        <v>164</v>
      </c>
      <c r="D1586" s="10" t="s">
        <v>165</v>
      </c>
      <c r="E1586" s="11" t="str">
        <f>+HYPERLINK("http://trademark.i-assist.jp/data/china/image_1901th/79042755.pdf", "79042755")</f>
        <v>79042755</v>
      </c>
      <c r="F1586" s="10" t="s">
        <v>4572</v>
      </c>
      <c r="G1586" s="10" t="s">
        <v>4573</v>
      </c>
      <c r="H1586" s="10" t="s">
        <v>4574</v>
      </c>
      <c r="I1586" s="10" t="s">
        <v>4513</v>
      </c>
    </row>
    <row r="1587" spans="1:9" x14ac:dyDescent="0.15">
      <c r="A1587" s="9">
        <v>1586</v>
      </c>
      <c r="B1587" s="10" t="s">
        <v>9</v>
      </c>
      <c r="C1587" s="10" t="s">
        <v>164</v>
      </c>
      <c r="D1587" s="10" t="s">
        <v>165</v>
      </c>
      <c r="E1587" s="11" t="str">
        <f>+HYPERLINK("http://trademark.i-assist.jp/data/china/image_1901th/79042767.pdf", "79042767")</f>
        <v>79042767</v>
      </c>
      <c r="F1587" s="10" t="s">
        <v>4575</v>
      </c>
      <c r="G1587" s="10" t="s">
        <v>4576</v>
      </c>
      <c r="H1587" s="10" t="s">
        <v>4577</v>
      </c>
      <c r="I1587" s="10" t="s">
        <v>4513</v>
      </c>
    </row>
    <row r="1588" spans="1:9" x14ac:dyDescent="0.15">
      <c r="A1588" s="9">
        <v>1587</v>
      </c>
      <c r="B1588" s="10" t="s">
        <v>9</v>
      </c>
      <c r="C1588" s="10" t="s">
        <v>164</v>
      </c>
      <c r="D1588" s="10" t="s">
        <v>165</v>
      </c>
      <c r="E1588" s="11" t="str">
        <f>+HYPERLINK("http://trademark.i-assist.jp/data/china/image_1901th/79042835.pdf", "79042835")</f>
        <v>79042835</v>
      </c>
      <c r="F1588" s="10" t="s">
        <v>4578</v>
      </c>
      <c r="G1588" s="10" t="s">
        <v>4579</v>
      </c>
      <c r="H1588" s="10" t="s">
        <v>4580</v>
      </c>
      <c r="I1588" s="10" t="s">
        <v>4513</v>
      </c>
    </row>
    <row r="1589" spans="1:9" x14ac:dyDescent="0.15">
      <c r="A1589" s="9">
        <v>1588</v>
      </c>
      <c r="B1589" s="10" t="s">
        <v>9</v>
      </c>
      <c r="C1589" s="10" t="s">
        <v>164</v>
      </c>
      <c r="D1589" s="10" t="s">
        <v>165</v>
      </c>
      <c r="E1589" s="11" t="str">
        <f>+HYPERLINK("http://trademark.i-assist.jp/data/china/image_1901th/79042867.pdf", "79042867")</f>
        <v>79042867</v>
      </c>
      <c r="F1589" s="10" t="s">
        <v>4581</v>
      </c>
      <c r="G1589" s="10" t="s">
        <v>4582</v>
      </c>
      <c r="H1589" s="10" t="s">
        <v>4583</v>
      </c>
      <c r="I1589" s="10" t="s">
        <v>4513</v>
      </c>
    </row>
    <row r="1590" spans="1:9" x14ac:dyDescent="0.15">
      <c r="A1590" s="9">
        <v>1589</v>
      </c>
      <c r="B1590" s="10" t="s">
        <v>9</v>
      </c>
      <c r="C1590" s="10" t="s">
        <v>164</v>
      </c>
      <c r="D1590" s="10" t="s">
        <v>165</v>
      </c>
      <c r="E1590" s="11" t="str">
        <f>+HYPERLINK("http://trademark.i-assist.jp/data/china/image_1901th/79043041.pdf", "79043041")</f>
        <v>79043041</v>
      </c>
      <c r="F1590" s="10" t="s">
        <v>4584</v>
      </c>
      <c r="G1590" s="10" t="s">
        <v>4585</v>
      </c>
      <c r="H1590" s="10" t="s">
        <v>4586</v>
      </c>
      <c r="I1590" s="10" t="s">
        <v>4513</v>
      </c>
    </row>
    <row r="1591" spans="1:9" x14ac:dyDescent="0.15">
      <c r="A1591" s="9">
        <v>1590</v>
      </c>
      <c r="B1591" s="10" t="s">
        <v>9</v>
      </c>
      <c r="C1591" s="10" t="s">
        <v>164</v>
      </c>
      <c r="D1591" s="10" t="s">
        <v>165</v>
      </c>
      <c r="E1591" s="11" t="str">
        <f>+HYPERLINK("http://trademark.i-assist.jp/data/china/image_1901th/79043279.pdf", "79043279")</f>
        <v>79043279</v>
      </c>
      <c r="F1591" s="10" t="s">
        <v>4587</v>
      </c>
      <c r="G1591" s="10" t="s">
        <v>4588</v>
      </c>
      <c r="H1591" s="10" t="s">
        <v>4589</v>
      </c>
      <c r="I1591" s="10" t="s">
        <v>4513</v>
      </c>
    </row>
    <row r="1592" spans="1:9" x14ac:dyDescent="0.15">
      <c r="A1592" s="9">
        <v>1591</v>
      </c>
      <c r="B1592" s="10" t="s">
        <v>9</v>
      </c>
      <c r="C1592" s="10" t="s">
        <v>164</v>
      </c>
      <c r="D1592" s="10" t="s">
        <v>165</v>
      </c>
      <c r="E1592" s="11" t="str">
        <f>+HYPERLINK("http://trademark.i-assist.jp/data/china/image_1901th/79043602.pdf", "79043602")</f>
        <v>79043602</v>
      </c>
      <c r="F1592" s="10" t="s">
        <v>4590</v>
      </c>
      <c r="G1592" s="10" t="s">
        <v>4591</v>
      </c>
      <c r="H1592" s="10" t="s">
        <v>4592</v>
      </c>
      <c r="I1592" s="10" t="s">
        <v>4513</v>
      </c>
    </row>
    <row r="1593" spans="1:9" x14ac:dyDescent="0.15">
      <c r="A1593" s="9">
        <v>1592</v>
      </c>
      <c r="B1593" s="10" t="s">
        <v>9</v>
      </c>
      <c r="C1593" s="10" t="s">
        <v>164</v>
      </c>
      <c r="D1593" s="10" t="s">
        <v>165</v>
      </c>
      <c r="E1593" s="11" t="str">
        <f>+HYPERLINK("http://trademark.i-assist.jp/data/china/image_1901th/79043731.pdf", "79043731")</f>
        <v>79043731</v>
      </c>
      <c r="F1593" s="10" t="s">
        <v>4593</v>
      </c>
      <c r="G1593" s="10" t="s">
        <v>103</v>
      </c>
      <c r="H1593" s="10" t="s">
        <v>4594</v>
      </c>
      <c r="I1593" s="10" t="s">
        <v>4513</v>
      </c>
    </row>
    <row r="1594" spans="1:9" x14ac:dyDescent="0.15">
      <c r="A1594" s="9">
        <v>1593</v>
      </c>
      <c r="B1594" s="10" t="s">
        <v>9</v>
      </c>
      <c r="C1594" s="10" t="s">
        <v>164</v>
      </c>
      <c r="D1594" s="10" t="s">
        <v>165</v>
      </c>
      <c r="E1594" s="11" t="str">
        <f>+HYPERLINK("http://trademark.i-assist.jp/data/china/image_1901th/79043823.pdf", "79043823")</f>
        <v>79043823</v>
      </c>
      <c r="F1594" s="10" t="s">
        <v>4595</v>
      </c>
      <c r="G1594" s="10" t="s">
        <v>4596</v>
      </c>
      <c r="H1594" s="10" t="s">
        <v>4597</v>
      </c>
      <c r="I1594" s="10" t="s">
        <v>4513</v>
      </c>
    </row>
    <row r="1595" spans="1:9" x14ac:dyDescent="0.15">
      <c r="A1595" s="9">
        <v>1594</v>
      </c>
      <c r="B1595" s="10" t="s">
        <v>9</v>
      </c>
      <c r="C1595" s="10" t="s">
        <v>164</v>
      </c>
      <c r="D1595" s="10" t="s">
        <v>165</v>
      </c>
      <c r="E1595" s="11" t="str">
        <f>+HYPERLINK("http://trademark.i-assist.jp/data/china/image_1901th/79043991.pdf", "79043991")</f>
        <v>79043991</v>
      </c>
      <c r="F1595" s="10" t="s">
        <v>4598</v>
      </c>
      <c r="G1595" s="10" t="s">
        <v>4599</v>
      </c>
      <c r="H1595" s="10" t="s">
        <v>4600</v>
      </c>
      <c r="I1595" s="10" t="s">
        <v>4513</v>
      </c>
    </row>
    <row r="1596" spans="1:9" x14ac:dyDescent="0.15">
      <c r="A1596" s="9">
        <v>1595</v>
      </c>
      <c r="B1596" s="10" t="s">
        <v>9</v>
      </c>
      <c r="C1596" s="10" t="s">
        <v>164</v>
      </c>
      <c r="D1596" s="10" t="s">
        <v>165</v>
      </c>
      <c r="E1596" s="11" t="str">
        <f>+HYPERLINK("http://trademark.i-assist.jp/data/china/image_1901th/79044000.pdf", "79044000")</f>
        <v>79044000</v>
      </c>
      <c r="F1596" s="10" t="s">
        <v>4601</v>
      </c>
      <c r="G1596" s="10" t="s">
        <v>4602</v>
      </c>
      <c r="H1596" s="10" t="s">
        <v>4603</v>
      </c>
      <c r="I1596" s="10" t="s">
        <v>4513</v>
      </c>
    </row>
    <row r="1597" spans="1:9" x14ac:dyDescent="0.15">
      <c r="A1597" s="9">
        <v>1596</v>
      </c>
      <c r="B1597" s="10" t="s">
        <v>9</v>
      </c>
      <c r="C1597" s="10" t="s">
        <v>164</v>
      </c>
      <c r="D1597" s="10" t="s">
        <v>165</v>
      </c>
      <c r="E1597" s="11" t="str">
        <f>+HYPERLINK("http://trademark.i-assist.jp/data/china/image_1901th/79044056.pdf", "79044056")</f>
        <v>79044056</v>
      </c>
      <c r="F1597" s="10" t="s">
        <v>4604</v>
      </c>
      <c r="G1597" s="10" t="s">
        <v>4605</v>
      </c>
      <c r="H1597" s="10" t="s">
        <v>4606</v>
      </c>
      <c r="I1597" s="10" t="s">
        <v>4513</v>
      </c>
    </row>
    <row r="1598" spans="1:9" x14ac:dyDescent="0.15">
      <c r="A1598" s="9">
        <v>1597</v>
      </c>
      <c r="B1598" s="10" t="s">
        <v>9</v>
      </c>
      <c r="C1598" s="10" t="s">
        <v>164</v>
      </c>
      <c r="D1598" s="10" t="s">
        <v>165</v>
      </c>
      <c r="E1598" s="11" t="str">
        <f>+HYPERLINK("http://trademark.i-assist.jp/data/china/image_1901th/79044085.pdf", "79044085")</f>
        <v>79044085</v>
      </c>
      <c r="F1598" s="10" t="s">
        <v>4607</v>
      </c>
      <c r="G1598" s="10" t="s">
        <v>4608</v>
      </c>
      <c r="H1598" s="10" t="s">
        <v>4609</v>
      </c>
      <c r="I1598" s="10" t="s">
        <v>4513</v>
      </c>
    </row>
    <row r="1599" spans="1:9" x14ac:dyDescent="0.15">
      <c r="A1599" s="9">
        <v>1598</v>
      </c>
      <c r="B1599" s="10" t="s">
        <v>9</v>
      </c>
      <c r="C1599" s="10" t="s">
        <v>164</v>
      </c>
      <c r="D1599" s="10" t="s">
        <v>165</v>
      </c>
      <c r="E1599" s="11" t="str">
        <f>+HYPERLINK("http://trademark.i-assist.jp/data/china/image_1901th/79044537.pdf", "79044537")</f>
        <v>79044537</v>
      </c>
      <c r="F1599" s="10" t="s">
        <v>4610</v>
      </c>
      <c r="G1599" s="10" t="s">
        <v>4611</v>
      </c>
      <c r="H1599" s="10" t="s">
        <v>4612</v>
      </c>
      <c r="I1599" s="10" t="s">
        <v>4513</v>
      </c>
    </row>
    <row r="1600" spans="1:9" x14ac:dyDescent="0.15">
      <c r="A1600" s="9">
        <v>1599</v>
      </c>
      <c r="B1600" s="10" t="s">
        <v>9</v>
      </c>
      <c r="C1600" s="10" t="s">
        <v>164</v>
      </c>
      <c r="D1600" s="10" t="s">
        <v>165</v>
      </c>
      <c r="E1600" s="11" t="str">
        <f>+HYPERLINK("http://trademark.i-assist.jp/data/china/image_1901th/79044984.pdf", "79044984")</f>
        <v>79044984</v>
      </c>
      <c r="F1600" s="10" t="s">
        <v>4613</v>
      </c>
      <c r="G1600" s="10" t="s">
        <v>4614</v>
      </c>
      <c r="H1600" s="10" t="s">
        <v>4615</v>
      </c>
      <c r="I1600" s="10" t="s">
        <v>4513</v>
      </c>
    </row>
    <row r="1601" spans="1:9" x14ac:dyDescent="0.15">
      <c r="A1601" s="9">
        <v>1600</v>
      </c>
      <c r="B1601" s="10" t="s">
        <v>9</v>
      </c>
      <c r="C1601" s="10" t="s">
        <v>164</v>
      </c>
      <c r="D1601" s="10" t="s">
        <v>165</v>
      </c>
      <c r="E1601" s="11" t="str">
        <f>+HYPERLINK("http://trademark.i-assist.jp/data/china/image_1901th/79045176.pdf", "79045176")</f>
        <v>79045176</v>
      </c>
      <c r="F1601" s="10" t="s">
        <v>4616</v>
      </c>
      <c r="G1601" s="10" t="s">
        <v>4617</v>
      </c>
      <c r="H1601" s="10" t="s">
        <v>4618</v>
      </c>
      <c r="I1601" s="10" t="s">
        <v>4513</v>
      </c>
    </row>
    <row r="1602" spans="1:9" x14ac:dyDescent="0.15">
      <c r="A1602" s="9">
        <v>1601</v>
      </c>
      <c r="B1602" s="10" t="s">
        <v>9</v>
      </c>
      <c r="C1602" s="10" t="s">
        <v>164</v>
      </c>
      <c r="D1602" s="10" t="s">
        <v>165</v>
      </c>
      <c r="E1602" s="11" t="str">
        <f>+HYPERLINK("http://trademark.i-assist.jp/data/china/image_1901th/79045241.pdf", "79045241")</f>
        <v>79045241</v>
      </c>
      <c r="F1602" s="10" t="s">
        <v>4619</v>
      </c>
      <c r="G1602" s="10" t="s">
        <v>4620</v>
      </c>
      <c r="H1602" s="10" t="s">
        <v>4621</v>
      </c>
      <c r="I1602" s="10" t="s">
        <v>4513</v>
      </c>
    </row>
    <row r="1603" spans="1:9" x14ac:dyDescent="0.15">
      <c r="A1603" s="9">
        <v>1602</v>
      </c>
      <c r="B1603" s="10" t="s">
        <v>9</v>
      </c>
      <c r="C1603" s="10" t="s">
        <v>164</v>
      </c>
      <c r="D1603" s="10" t="s">
        <v>165</v>
      </c>
      <c r="E1603" s="11" t="str">
        <f>+HYPERLINK("http://trademark.i-assist.jp/data/china/image_1901th/79045307.pdf", "79045307")</f>
        <v>79045307</v>
      </c>
      <c r="F1603" s="10" t="s">
        <v>4622</v>
      </c>
      <c r="G1603" s="10" t="s">
        <v>4623</v>
      </c>
      <c r="H1603" s="10" t="s">
        <v>4624</v>
      </c>
      <c r="I1603" s="10" t="s">
        <v>4513</v>
      </c>
    </row>
    <row r="1604" spans="1:9" x14ac:dyDescent="0.15">
      <c r="A1604" s="9">
        <v>1603</v>
      </c>
      <c r="B1604" s="10" t="s">
        <v>9</v>
      </c>
      <c r="C1604" s="10" t="s">
        <v>164</v>
      </c>
      <c r="D1604" s="10" t="s">
        <v>165</v>
      </c>
      <c r="E1604" s="11" t="str">
        <f>+HYPERLINK("http://trademark.i-assist.jp/data/china/image_1901th/79045346.pdf", "79045346")</f>
        <v>79045346</v>
      </c>
      <c r="F1604" s="10" t="s">
        <v>4625</v>
      </c>
      <c r="G1604" s="10" t="s">
        <v>4626</v>
      </c>
      <c r="H1604" s="10" t="s">
        <v>4627</v>
      </c>
      <c r="I1604" s="10" t="s">
        <v>4513</v>
      </c>
    </row>
    <row r="1605" spans="1:9" x14ac:dyDescent="0.15">
      <c r="A1605" s="9">
        <v>1604</v>
      </c>
      <c r="B1605" s="10" t="s">
        <v>9</v>
      </c>
      <c r="C1605" s="10" t="s">
        <v>164</v>
      </c>
      <c r="D1605" s="10" t="s">
        <v>165</v>
      </c>
      <c r="E1605" s="11" t="str">
        <f>+HYPERLINK("http://trademark.i-assist.jp/data/china/image_1901th/79045449.pdf", "79045449")</f>
        <v>79045449</v>
      </c>
      <c r="F1605" s="10" t="s">
        <v>4628</v>
      </c>
      <c r="G1605" s="10" t="s">
        <v>4629</v>
      </c>
      <c r="H1605" s="10" t="s">
        <v>4630</v>
      </c>
      <c r="I1605" s="10" t="s">
        <v>4513</v>
      </c>
    </row>
    <row r="1606" spans="1:9" x14ac:dyDescent="0.15">
      <c r="A1606" s="9">
        <v>1605</v>
      </c>
      <c r="B1606" s="10" t="s">
        <v>9</v>
      </c>
      <c r="C1606" s="10" t="s">
        <v>164</v>
      </c>
      <c r="D1606" s="10" t="s">
        <v>165</v>
      </c>
      <c r="E1606" s="11" t="str">
        <f>+HYPERLINK("http://trademark.i-assist.jp/data/china/image_1901th/79045485.pdf", "79045485")</f>
        <v>79045485</v>
      </c>
      <c r="F1606" s="10" t="s">
        <v>4631</v>
      </c>
      <c r="G1606" s="10" t="s">
        <v>4632</v>
      </c>
      <c r="H1606" s="10" t="s">
        <v>4633</v>
      </c>
      <c r="I1606" s="10" t="s">
        <v>4513</v>
      </c>
    </row>
    <row r="1607" spans="1:9" x14ac:dyDescent="0.15">
      <c r="A1607" s="9">
        <v>1606</v>
      </c>
      <c r="B1607" s="10" t="s">
        <v>9</v>
      </c>
      <c r="C1607" s="10" t="s">
        <v>164</v>
      </c>
      <c r="D1607" s="10" t="s">
        <v>165</v>
      </c>
      <c r="E1607" s="11" t="str">
        <f>+HYPERLINK("http://trademark.i-assist.jp/data/china/image_1901th/79045680.pdf", "79045680")</f>
        <v>79045680</v>
      </c>
      <c r="F1607" s="10" t="s">
        <v>4634</v>
      </c>
      <c r="G1607" s="10" t="s">
        <v>4635</v>
      </c>
      <c r="H1607" s="10" t="s">
        <v>4636</v>
      </c>
      <c r="I1607" s="10" t="s">
        <v>4513</v>
      </c>
    </row>
    <row r="1608" spans="1:9" x14ac:dyDescent="0.15">
      <c r="A1608" s="9">
        <v>1607</v>
      </c>
      <c r="B1608" s="10" t="s">
        <v>9</v>
      </c>
      <c r="C1608" s="10" t="s">
        <v>164</v>
      </c>
      <c r="D1608" s="10" t="s">
        <v>165</v>
      </c>
      <c r="E1608" s="11" t="str">
        <f>+HYPERLINK("http://trademark.i-assist.jp/data/china/image_1901th/79045767.pdf", "79045767")</f>
        <v>79045767</v>
      </c>
      <c r="F1608" s="10" t="s">
        <v>4637</v>
      </c>
      <c r="G1608" s="10" t="s">
        <v>4548</v>
      </c>
      <c r="H1608" s="10" t="s">
        <v>4638</v>
      </c>
      <c r="I1608" s="10" t="s">
        <v>4513</v>
      </c>
    </row>
    <row r="1609" spans="1:9" x14ac:dyDescent="0.15">
      <c r="A1609" s="9">
        <v>1608</v>
      </c>
      <c r="B1609" s="10" t="s">
        <v>9</v>
      </c>
      <c r="C1609" s="10" t="s">
        <v>164</v>
      </c>
      <c r="D1609" s="10" t="s">
        <v>165</v>
      </c>
      <c r="E1609" s="11" t="str">
        <f>+HYPERLINK("http://trademark.i-assist.jp/data/china/image_1901th/79045784.pdf", "79045784")</f>
        <v>79045784</v>
      </c>
      <c r="F1609" s="10" t="s">
        <v>4639</v>
      </c>
      <c r="G1609" s="10" t="s">
        <v>4640</v>
      </c>
      <c r="H1609" s="10" t="s">
        <v>4641</v>
      </c>
      <c r="I1609" s="10" t="s">
        <v>4513</v>
      </c>
    </row>
    <row r="1610" spans="1:9" x14ac:dyDescent="0.15">
      <c r="A1610" s="9">
        <v>1609</v>
      </c>
      <c r="B1610" s="10" t="s">
        <v>9</v>
      </c>
      <c r="C1610" s="10" t="s">
        <v>164</v>
      </c>
      <c r="D1610" s="10" t="s">
        <v>165</v>
      </c>
      <c r="E1610" s="11" t="str">
        <f>+HYPERLINK("http://trademark.i-assist.jp/data/china/image_1901th/79045890.pdf", "79045890")</f>
        <v>79045890</v>
      </c>
      <c r="F1610" s="10" t="s">
        <v>4642</v>
      </c>
      <c r="G1610" s="10" t="s">
        <v>4643</v>
      </c>
      <c r="H1610" s="10" t="s">
        <v>4644</v>
      </c>
      <c r="I1610" s="10" t="s">
        <v>4513</v>
      </c>
    </row>
    <row r="1611" spans="1:9" x14ac:dyDescent="0.15">
      <c r="A1611" s="9">
        <v>1610</v>
      </c>
      <c r="B1611" s="10" t="s">
        <v>9</v>
      </c>
      <c r="C1611" s="10" t="s">
        <v>164</v>
      </c>
      <c r="D1611" s="10" t="s">
        <v>165</v>
      </c>
      <c r="E1611" s="11" t="str">
        <f>+HYPERLINK("http://trademark.i-assist.jp/data/china/image_1901th/79045914.pdf", "79045914")</f>
        <v>79045914</v>
      </c>
      <c r="F1611" s="10" t="s">
        <v>4645</v>
      </c>
      <c r="G1611" s="10" t="s">
        <v>4646</v>
      </c>
      <c r="H1611" s="10" t="s">
        <v>4647</v>
      </c>
      <c r="I1611" s="10" t="s">
        <v>4513</v>
      </c>
    </row>
    <row r="1612" spans="1:9" x14ac:dyDescent="0.15">
      <c r="A1612" s="9">
        <v>1611</v>
      </c>
      <c r="B1612" s="10" t="s">
        <v>9</v>
      </c>
      <c r="C1612" s="10" t="s">
        <v>164</v>
      </c>
      <c r="D1612" s="10" t="s">
        <v>165</v>
      </c>
      <c r="E1612" s="11" t="str">
        <f>+HYPERLINK("http://trademark.i-assist.jp/data/china/image_1901th/79046064.pdf", "79046064")</f>
        <v>79046064</v>
      </c>
      <c r="F1612" s="10" t="s">
        <v>4648</v>
      </c>
      <c r="G1612" s="10" t="s">
        <v>4649</v>
      </c>
      <c r="H1612" s="10" t="s">
        <v>4650</v>
      </c>
      <c r="I1612" s="10" t="s">
        <v>4513</v>
      </c>
    </row>
    <row r="1613" spans="1:9" x14ac:dyDescent="0.15">
      <c r="A1613" s="9">
        <v>1612</v>
      </c>
      <c r="B1613" s="10" t="s">
        <v>9</v>
      </c>
      <c r="C1613" s="10" t="s">
        <v>164</v>
      </c>
      <c r="D1613" s="10" t="s">
        <v>165</v>
      </c>
      <c r="E1613" s="11" t="str">
        <f>+HYPERLINK("http://trademark.i-assist.jp/data/china/image_1901th/79046072.pdf", "79046072")</f>
        <v>79046072</v>
      </c>
      <c r="F1613" s="10" t="s">
        <v>4651</v>
      </c>
      <c r="G1613" s="10" t="s">
        <v>4652</v>
      </c>
      <c r="H1613" s="10" t="s">
        <v>4653</v>
      </c>
      <c r="I1613" s="10" t="s">
        <v>4513</v>
      </c>
    </row>
    <row r="1614" spans="1:9" x14ac:dyDescent="0.15">
      <c r="A1614" s="9">
        <v>1613</v>
      </c>
      <c r="B1614" s="10" t="s">
        <v>9</v>
      </c>
      <c r="C1614" s="10" t="s">
        <v>164</v>
      </c>
      <c r="D1614" s="10" t="s">
        <v>165</v>
      </c>
      <c r="E1614" s="11" t="str">
        <f>+HYPERLINK("http://trademark.i-assist.jp/data/china/image_1901th/79046219.pdf", "79046219")</f>
        <v>79046219</v>
      </c>
      <c r="F1614" s="10" t="s">
        <v>4654</v>
      </c>
      <c r="G1614" s="10" t="s">
        <v>4655</v>
      </c>
      <c r="H1614" s="10" t="s">
        <v>4656</v>
      </c>
      <c r="I1614" s="10" t="s">
        <v>4513</v>
      </c>
    </row>
    <row r="1615" spans="1:9" x14ac:dyDescent="0.15">
      <c r="A1615" s="9">
        <v>1614</v>
      </c>
      <c r="B1615" s="10" t="s">
        <v>9</v>
      </c>
      <c r="C1615" s="10" t="s">
        <v>164</v>
      </c>
      <c r="D1615" s="10" t="s">
        <v>165</v>
      </c>
      <c r="E1615" s="11" t="str">
        <f>+HYPERLINK("http://trademark.i-assist.jp/data/china/image_1901th/79046222.pdf", "79046222")</f>
        <v>79046222</v>
      </c>
      <c r="F1615" s="10" t="s">
        <v>4657</v>
      </c>
      <c r="G1615" s="10" t="s">
        <v>4658</v>
      </c>
      <c r="H1615" s="10" t="s">
        <v>4659</v>
      </c>
      <c r="I1615" s="10" t="s">
        <v>4513</v>
      </c>
    </row>
    <row r="1616" spans="1:9" x14ac:dyDescent="0.15">
      <c r="A1616" s="9">
        <v>1615</v>
      </c>
      <c r="B1616" s="10" t="s">
        <v>9</v>
      </c>
      <c r="C1616" s="10" t="s">
        <v>164</v>
      </c>
      <c r="D1616" s="10" t="s">
        <v>165</v>
      </c>
      <c r="E1616" s="11" t="str">
        <f>+HYPERLINK("http://trademark.i-assist.jp/data/china/image_1901th/79046247.pdf", "79046247")</f>
        <v>79046247</v>
      </c>
      <c r="F1616" s="10" t="s">
        <v>4660</v>
      </c>
      <c r="G1616" s="10" t="s">
        <v>4661</v>
      </c>
      <c r="H1616" s="10" t="s">
        <v>4662</v>
      </c>
      <c r="I1616" s="10" t="s">
        <v>4513</v>
      </c>
    </row>
    <row r="1617" spans="1:9" x14ac:dyDescent="0.15">
      <c r="A1617" s="9">
        <v>1616</v>
      </c>
      <c r="B1617" s="10" t="s">
        <v>9</v>
      </c>
      <c r="C1617" s="10" t="s">
        <v>164</v>
      </c>
      <c r="D1617" s="10" t="s">
        <v>165</v>
      </c>
      <c r="E1617" s="11" t="str">
        <f>+HYPERLINK("http://trademark.i-assist.jp/data/china/image_1901th/79046258.pdf", "79046258")</f>
        <v>79046258</v>
      </c>
      <c r="F1617" s="10" t="s">
        <v>4663</v>
      </c>
      <c r="G1617" s="10" t="s">
        <v>4664</v>
      </c>
      <c r="H1617" s="10" t="s">
        <v>4665</v>
      </c>
      <c r="I1617" s="10" t="s">
        <v>4513</v>
      </c>
    </row>
    <row r="1618" spans="1:9" x14ac:dyDescent="0.15">
      <c r="A1618" s="9">
        <v>1617</v>
      </c>
      <c r="B1618" s="10" t="s">
        <v>9</v>
      </c>
      <c r="C1618" s="10" t="s">
        <v>164</v>
      </c>
      <c r="D1618" s="10" t="s">
        <v>165</v>
      </c>
      <c r="E1618" s="11" t="str">
        <f>+HYPERLINK("http://trademark.i-assist.jp/data/china/image_1901th/79046280.pdf", "79046280")</f>
        <v>79046280</v>
      </c>
      <c r="F1618" s="10" t="s">
        <v>12</v>
      </c>
      <c r="G1618" s="10" t="s">
        <v>4666</v>
      </c>
      <c r="H1618" s="10" t="s">
        <v>4667</v>
      </c>
      <c r="I1618" s="10" t="s">
        <v>4513</v>
      </c>
    </row>
    <row r="1619" spans="1:9" x14ac:dyDescent="0.15">
      <c r="A1619" s="9">
        <v>1618</v>
      </c>
      <c r="B1619" s="10" t="s">
        <v>9</v>
      </c>
      <c r="C1619" s="10" t="s">
        <v>164</v>
      </c>
      <c r="D1619" s="10" t="s">
        <v>165</v>
      </c>
      <c r="E1619" s="11" t="str">
        <f>+HYPERLINK("http://trademark.i-assist.jp/data/china/image_1901th/79046393.pdf", "79046393")</f>
        <v>79046393</v>
      </c>
      <c r="F1619" s="10" t="s">
        <v>4668</v>
      </c>
      <c r="G1619" s="10" t="s">
        <v>4669</v>
      </c>
      <c r="H1619" s="10" t="s">
        <v>4670</v>
      </c>
      <c r="I1619" s="10" t="s">
        <v>4513</v>
      </c>
    </row>
    <row r="1620" spans="1:9" x14ac:dyDescent="0.15">
      <c r="A1620" s="9">
        <v>1619</v>
      </c>
      <c r="B1620" s="10" t="s">
        <v>9</v>
      </c>
      <c r="C1620" s="10" t="s">
        <v>164</v>
      </c>
      <c r="D1620" s="10" t="s">
        <v>165</v>
      </c>
      <c r="E1620" s="11" t="str">
        <f>+HYPERLINK("http://trademark.i-assist.jp/data/china/image_1901th/79046582.pdf", "79046582")</f>
        <v>79046582</v>
      </c>
      <c r="F1620" s="10" t="s">
        <v>4671</v>
      </c>
      <c r="G1620" s="10" t="s">
        <v>4672</v>
      </c>
      <c r="H1620" s="10" t="s">
        <v>4673</v>
      </c>
      <c r="I1620" s="10" t="s">
        <v>4513</v>
      </c>
    </row>
    <row r="1621" spans="1:9" x14ac:dyDescent="0.15">
      <c r="A1621" s="9">
        <v>1620</v>
      </c>
      <c r="B1621" s="10" t="s">
        <v>9</v>
      </c>
      <c r="C1621" s="10" t="s">
        <v>164</v>
      </c>
      <c r="D1621" s="10" t="s">
        <v>165</v>
      </c>
      <c r="E1621" s="11" t="str">
        <f>+HYPERLINK("http://trademark.i-assist.jp/data/china/image_1901th/79046911.pdf", "79046911")</f>
        <v>79046911</v>
      </c>
      <c r="F1621" s="10" t="s">
        <v>4674</v>
      </c>
      <c r="G1621" s="10" t="s">
        <v>3530</v>
      </c>
      <c r="H1621" s="10" t="s">
        <v>4675</v>
      </c>
      <c r="I1621" s="10" t="s">
        <v>4513</v>
      </c>
    </row>
    <row r="1622" spans="1:9" x14ac:dyDescent="0.15">
      <c r="A1622" s="9">
        <v>1621</v>
      </c>
      <c r="B1622" s="10" t="s">
        <v>9</v>
      </c>
      <c r="C1622" s="10" t="s">
        <v>164</v>
      </c>
      <c r="D1622" s="10" t="s">
        <v>165</v>
      </c>
      <c r="E1622" s="11" t="str">
        <f>+HYPERLINK("http://trademark.i-assist.jp/data/china/image_1901th/79046937.pdf", "79046937")</f>
        <v>79046937</v>
      </c>
      <c r="F1622" s="10" t="s">
        <v>4676</v>
      </c>
      <c r="G1622" s="10" t="s">
        <v>3530</v>
      </c>
      <c r="H1622" s="10" t="s">
        <v>4677</v>
      </c>
      <c r="I1622" s="10" t="s">
        <v>4513</v>
      </c>
    </row>
    <row r="1623" spans="1:9" x14ac:dyDescent="0.15">
      <c r="A1623" s="9">
        <v>1622</v>
      </c>
      <c r="B1623" s="10" t="s">
        <v>9</v>
      </c>
      <c r="C1623" s="10" t="s">
        <v>164</v>
      </c>
      <c r="D1623" s="10" t="s">
        <v>165</v>
      </c>
      <c r="E1623" s="11" t="str">
        <f>+HYPERLINK("http://trademark.i-assist.jp/data/china/image_1901th/79047032.pdf", "79047032")</f>
        <v>79047032</v>
      </c>
      <c r="F1623" s="10" t="s">
        <v>4678</v>
      </c>
      <c r="G1623" s="10" t="s">
        <v>4679</v>
      </c>
      <c r="H1623" s="10" t="s">
        <v>4680</v>
      </c>
      <c r="I1623" s="10" t="s">
        <v>4513</v>
      </c>
    </row>
    <row r="1624" spans="1:9" x14ac:dyDescent="0.15">
      <c r="A1624" s="9">
        <v>1623</v>
      </c>
      <c r="B1624" s="10" t="s">
        <v>9</v>
      </c>
      <c r="C1624" s="10" t="s">
        <v>164</v>
      </c>
      <c r="D1624" s="10" t="s">
        <v>165</v>
      </c>
      <c r="E1624" s="11" t="str">
        <f>+HYPERLINK("http://trademark.i-assist.jp/data/china/image_1901th/79047432.pdf", "79047432")</f>
        <v>79047432</v>
      </c>
      <c r="F1624" s="10" t="s">
        <v>4681</v>
      </c>
      <c r="G1624" s="10" t="s">
        <v>4649</v>
      </c>
      <c r="H1624" s="10" t="s">
        <v>4682</v>
      </c>
      <c r="I1624" s="10" t="s">
        <v>4513</v>
      </c>
    </row>
    <row r="1625" spans="1:9" x14ac:dyDescent="0.15">
      <c r="A1625" s="9">
        <v>1624</v>
      </c>
      <c r="B1625" s="10" t="s">
        <v>9</v>
      </c>
      <c r="C1625" s="10" t="s">
        <v>164</v>
      </c>
      <c r="D1625" s="10" t="s">
        <v>165</v>
      </c>
      <c r="E1625" s="11" t="str">
        <f>+HYPERLINK("http://trademark.i-assist.jp/data/china/image_1901th/79047515.pdf", "79047515")</f>
        <v>79047515</v>
      </c>
      <c r="F1625" s="10" t="s">
        <v>4683</v>
      </c>
      <c r="G1625" s="10" t="s">
        <v>4537</v>
      </c>
      <c r="H1625" s="10" t="s">
        <v>4684</v>
      </c>
      <c r="I1625" s="10" t="s">
        <v>4513</v>
      </c>
    </row>
    <row r="1626" spans="1:9" x14ac:dyDescent="0.15">
      <c r="A1626" s="9">
        <v>1625</v>
      </c>
      <c r="B1626" s="10" t="s">
        <v>9</v>
      </c>
      <c r="C1626" s="10" t="s">
        <v>164</v>
      </c>
      <c r="D1626" s="10" t="s">
        <v>165</v>
      </c>
      <c r="E1626" s="11" t="str">
        <f>+HYPERLINK("http://trademark.i-assist.jp/data/china/image_1901th/79047635.pdf", "79047635")</f>
        <v>79047635</v>
      </c>
      <c r="F1626" s="10" t="s">
        <v>4685</v>
      </c>
      <c r="G1626" s="10" t="s">
        <v>4686</v>
      </c>
      <c r="H1626" s="10" t="s">
        <v>4687</v>
      </c>
      <c r="I1626" s="10" t="s">
        <v>4513</v>
      </c>
    </row>
    <row r="1627" spans="1:9" x14ac:dyDescent="0.15">
      <c r="A1627" s="9">
        <v>1626</v>
      </c>
      <c r="B1627" s="10" t="s">
        <v>9</v>
      </c>
      <c r="C1627" s="10" t="s">
        <v>164</v>
      </c>
      <c r="D1627" s="10" t="s">
        <v>165</v>
      </c>
      <c r="E1627" s="11" t="str">
        <f>+HYPERLINK("http://trademark.i-assist.jp/data/china/image_1901th/79047711.pdf", "79047711")</f>
        <v>79047711</v>
      </c>
      <c r="F1627" s="10" t="s">
        <v>4688</v>
      </c>
      <c r="G1627" s="10" t="s">
        <v>4689</v>
      </c>
      <c r="H1627" s="10" t="s">
        <v>4690</v>
      </c>
      <c r="I1627" s="10" t="s">
        <v>4513</v>
      </c>
    </row>
    <row r="1628" spans="1:9" x14ac:dyDescent="0.15">
      <c r="A1628" s="9">
        <v>1627</v>
      </c>
      <c r="B1628" s="10" t="s">
        <v>9</v>
      </c>
      <c r="C1628" s="10" t="s">
        <v>164</v>
      </c>
      <c r="D1628" s="10" t="s">
        <v>165</v>
      </c>
      <c r="E1628" s="11" t="str">
        <f>+HYPERLINK("http://trademark.i-assist.jp/data/china/image_1901th/79047877.pdf", "79047877")</f>
        <v>79047877</v>
      </c>
      <c r="F1628" s="10" t="s">
        <v>4691</v>
      </c>
      <c r="G1628" s="10" t="s">
        <v>4692</v>
      </c>
      <c r="H1628" s="10" t="s">
        <v>4693</v>
      </c>
      <c r="I1628" s="10" t="s">
        <v>4513</v>
      </c>
    </row>
    <row r="1629" spans="1:9" x14ac:dyDescent="0.15">
      <c r="A1629" s="9">
        <v>1628</v>
      </c>
      <c r="B1629" s="10" t="s">
        <v>9</v>
      </c>
      <c r="C1629" s="10" t="s">
        <v>164</v>
      </c>
      <c r="D1629" s="10" t="s">
        <v>165</v>
      </c>
      <c r="E1629" s="11" t="str">
        <f>+HYPERLINK("http://trademark.i-assist.jp/data/china/image_1901th/79048104.pdf", "79048104")</f>
        <v>79048104</v>
      </c>
      <c r="F1629" s="10" t="s">
        <v>4694</v>
      </c>
      <c r="G1629" s="10" t="s">
        <v>4695</v>
      </c>
      <c r="H1629" s="10" t="s">
        <v>4696</v>
      </c>
      <c r="I1629" s="10" t="s">
        <v>4513</v>
      </c>
    </row>
    <row r="1630" spans="1:9" x14ac:dyDescent="0.15">
      <c r="A1630" s="9">
        <v>1629</v>
      </c>
      <c r="B1630" s="10" t="s">
        <v>9</v>
      </c>
      <c r="C1630" s="10" t="s">
        <v>164</v>
      </c>
      <c r="D1630" s="10" t="s">
        <v>165</v>
      </c>
      <c r="E1630" s="11" t="str">
        <f>+HYPERLINK("http://trademark.i-assist.jp/data/china/image_1901th/79048158.pdf", "79048158")</f>
        <v>79048158</v>
      </c>
      <c r="F1630" s="10" t="s">
        <v>4697</v>
      </c>
      <c r="G1630" s="10" t="s">
        <v>4408</v>
      </c>
      <c r="H1630" s="10" t="s">
        <v>4698</v>
      </c>
      <c r="I1630" s="10" t="s">
        <v>4513</v>
      </c>
    </row>
    <row r="1631" spans="1:9" x14ac:dyDescent="0.15">
      <c r="A1631" s="9">
        <v>1630</v>
      </c>
      <c r="B1631" s="10" t="s">
        <v>9</v>
      </c>
      <c r="C1631" s="10" t="s">
        <v>164</v>
      </c>
      <c r="D1631" s="10" t="s">
        <v>165</v>
      </c>
      <c r="E1631" s="11" t="str">
        <f>+HYPERLINK("http://trademark.i-assist.jp/data/china/image_1901th/79048174.pdf", "79048174")</f>
        <v>79048174</v>
      </c>
      <c r="F1631" s="10" t="s">
        <v>4699</v>
      </c>
      <c r="G1631" s="10" t="s">
        <v>4700</v>
      </c>
      <c r="H1631" s="10" t="s">
        <v>4701</v>
      </c>
      <c r="I1631" s="10" t="s">
        <v>4513</v>
      </c>
    </row>
    <row r="1632" spans="1:9" x14ac:dyDescent="0.15">
      <c r="A1632" s="9">
        <v>1631</v>
      </c>
      <c r="B1632" s="10" t="s">
        <v>9</v>
      </c>
      <c r="C1632" s="10" t="s">
        <v>164</v>
      </c>
      <c r="D1632" s="10" t="s">
        <v>165</v>
      </c>
      <c r="E1632" s="11" t="str">
        <f>+HYPERLINK("http://trademark.i-assist.jp/data/china/image_1901th/79048275.pdf", "79048275")</f>
        <v>79048275</v>
      </c>
      <c r="F1632" s="10" t="s">
        <v>4702</v>
      </c>
      <c r="G1632" s="10" t="s">
        <v>4703</v>
      </c>
      <c r="H1632" s="10" t="s">
        <v>4704</v>
      </c>
      <c r="I1632" s="10" t="s">
        <v>4513</v>
      </c>
    </row>
    <row r="1633" spans="1:9" x14ac:dyDescent="0.15">
      <c r="A1633" s="9">
        <v>1632</v>
      </c>
      <c r="B1633" s="10" t="s">
        <v>9</v>
      </c>
      <c r="C1633" s="10" t="s">
        <v>164</v>
      </c>
      <c r="D1633" s="10" t="s">
        <v>165</v>
      </c>
      <c r="E1633" s="11" t="str">
        <f>+HYPERLINK("http://trademark.i-assist.jp/data/china/image_1901th/79048361.pdf", "79048361")</f>
        <v>79048361</v>
      </c>
      <c r="F1633" s="10" t="s">
        <v>4705</v>
      </c>
      <c r="G1633" s="10" t="s">
        <v>4551</v>
      </c>
      <c r="H1633" s="10" t="s">
        <v>4706</v>
      </c>
      <c r="I1633" s="10" t="s">
        <v>4513</v>
      </c>
    </row>
    <row r="1634" spans="1:9" x14ac:dyDescent="0.15">
      <c r="A1634" s="9">
        <v>1633</v>
      </c>
      <c r="B1634" s="10" t="s">
        <v>9</v>
      </c>
      <c r="C1634" s="10" t="s">
        <v>164</v>
      </c>
      <c r="D1634" s="10" t="s">
        <v>165</v>
      </c>
      <c r="E1634" s="11" t="str">
        <f>+HYPERLINK("http://trademark.i-assist.jp/data/china/image_1901th/79048618.pdf", "79048618")</f>
        <v>79048618</v>
      </c>
      <c r="F1634" s="10" t="s">
        <v>4707</v>
      </c>
      <c r="G1634" s="10" t="s">
        <v>4708</v>
      </c>
      <c r="H1634" s="10" t="s">
        <v>4709</v>
      </c>
      <c r="I1634" s="10" t="s">
        <v>4513</v>
      </c>
    </row>
    <row r="1635" spans="1:9" x14ac:dyDescent="0.15">
      <c r="A1635" s="9">
        <v>1634</v>
      </c>
      <c r="B1635" s="10" t="s">
        <v>9</v>
      </c>
      <c r="C1635" s="10" t="s">
        <v>164</v>
      </c>
      <c r="D1635" s="10" t="s">
        <v>165</v>
      </c>
      <c r="E1635" s="11" t="str">
        <f>+HYPERLINK("http://trademark.i-assist.jp/data/china/image_1901th/79048620.pdf", "79048620")</f>
        <v>79048620</v>
      </c>
      <c r="F1635" s="10" t="s">
        <v>4710</v>
      </c>
      <c r="G1635" s="10" t="s">
        <v>4711</v>
      </c>
      <c r="H1635" s="10" t="s">
        <v>4712</v>
      </c>
      <c r="I1635" s="10" t="s">
        <v>4513</v>
      </c>
    </row>
    <row r="1636" spans="1:9" x14ac:dyDescent="0.15">
      <c r="A1636" s="9">
        <v>1635</v>
      </c>
      <c r="B1636" s="10" t="s">
        <v>9</v>
      </c>
      <c r="C1636" s="10" t="s">
        <v>164</v>
      </c>
      <c r="D1636" s="10" t="s">
        <v>165</v>
      </c>
      <c r="E1636" s="11" t="str">
        <f>+HYPERLINK("http://trademark.i-assist.jp/data/china/image_1901th/79048797.pdf", "79048797")</f>
        <v>79048797</v>
      </c>
      <c r="F1636" s="10" t="s">
        <v>4713</v>
      </c>
      <c r="G1636" s="10" t="s">
        <v>4714</v>
      </c>
      <c r="H1636" s="10" t="s">
        <v>4715</v>
      </c>
      <c r="I1636" s="10" t="s">
        <v>4513</v>
      </c>
    </row>
    <row r="1637" spans="1:9" x14ac:dyDescent="0.15">
      <c r="A1637" s="9">
        <v>1636</v>
      </c>
      <c r="B1637" s="10" t="s">
        <v>9</v>
      </c>
      <c r="C1637" s="10" t="s">
        <v>164</v>
      </c>
      <c r="D1637" s="10" t="s">
        <v>165</v>
      </c>
      <c r="E1637" s="11" t="str">
        <f>+HYPERLINK("http://trademark.i-assist.jp/data/china/image_1901th/79048808.pdf", "79048808")</f>
        <v>79048808</v>
      </c>
      <c r="F1637" s="10" t="s">
        <v>4716</v>
      </c>
      <c r="G1637" s="10" t="s">
        <v>4717</v>
      </c>
      <c r="H1637" s="10" t="s">
        <v>4718</v>
      </c>
      <c r="I1637" s="10" t="s">
        <v>4513</v>
      </c>
    </row>
    <row r="1638" spans="1:9" x14ac:dyDescent="0.15">
      <c r="A1638" s="9">
        <v>1637</v>
      </c>
      <c r="B1638" s="10" t="s">
        <v>9</v>
      </c>
      <c r="C1638" s="10" t="s">
        <v>164</v>
      </c>
      <c r="D1638" s="10" t="s">
        <v>165</v>
      </c>
      <c r="E1638" s="11" t="str">
        <f>+HYPERLINK("http://trademark.i-assist.jp/data/china/image_1901th/79048937.pdf", "79048937")</f>
        <v>79048937</v>
      </c>
      <c r="F1638" s="10" t="s">
        <v>12</v>
      </c>
      <c r="G1638" s="10" t="s">
        <v>4719</v>
      </c>
      <c r="H1638" s="10" t="s">
        <v>4720</v>
      </c>
      <c r="I1638" s="10" t="s">
        <v>4513</v>
      </c>
    </row>
    <row r="1639" spans="1:9" x14ac:dyDescent="0.15">
      <c r="A1639" s="9">
        <v>1638</v>
      </c>
      <c r="B1639" s="10" t="s">
        <v>9</v>
      </c>
      <c r="C1639" s="10" t="s">
        <v>164</v>
      </c>
      <c r="D1639" s="10" t="s">
        <v>165</v>
      </c>
      <c r="E1639" s="11" t="str">
        <f>+HYPERLINK("http://trademark.i-assist.jp/data/china/image_1901th/79049110.pdf", "79049110")</f>
        <v>79049110</v>
      </c>
      <c r="F1639" s="10" t="s">
        <v>4721</v>
      </c>
      <c r="G1639" s="10" t="s">
        <v>4722</v>
      </c>
      <c r="H1639" s="10" t="s">
        <v>4723</v>
      </c>
      <c r="I1639" s="10" t="s">
        <v>4513</v>
      </c>
    </row>
    <row r="1640" spans="1:9" x14ac:dyDescent="0.15">
      <c r="A1640" s="9">
        <v>1639</v>
      </c>
      <c r="B1640" s="10" t="s">
        <v>9</v>
      </c>
      <c r="C1640" s="10" t="s">
        <v>164</v>
      </c>
      <c r="D1640" s="10" t="s">
        <v>165</v>
      </c>
      <c r="E1640" s="11" t="str">
        <f>+HYPERLINK("http://trademark.i-assist.jp/data/china/image_1901th/79049211.pdf", "79049211")</f>
        <v>79049211</v>
      </c>
      <c r="F1640" s="10" t="s">
        <v>4724</v>
      </c>
      <c r="G1640" s="10" t="s">
        <v>4725</v>
      </c>
      <c r="H1640" s="10" t="s">
        <v>4726</v>
      </c>
      <c r="I1640" s="10" t="s">
        <v>4513</v>
      </c>
    </row>
    <row r="1641" spans="1:9" x14ac:dyDescent="0.15">
      <c r="A1641" s="9">
        <v>1640</v>
      </c>
      <c r="B1641" s="10" t="s">
        <v>9</v>
      </c>
      <c r="C1641" s="10" t="s">
        <v>164</v>
      </c>
      <c r="D1641" s="10" t="s">
        <v>165</v>
      </c>
      <c r="E1641" s="11" t="str">
        <f>+HYPERLINK("http://trademark.i-assist.jp/data/china/image_1901th/79049454.pdf", "79049454")</f>
        <v>79049454</v>
      </c>
      <c r="F1641" s="10" t="s">
        <v>4727</v>
      </c>
      <c r="G1641" s="10" t="s">
        <v>4518</v>
      </c>
      <c r="H1641" s="10" t="s">
        <v>4728</v>
      </c>
      <c r="I1641" s="10" t="s">
        <v>4513</v>
      </c>
    </row>
    <row r="1642" spans="1:9" x14ac:dyDescent="0.15">
      <c r="A1642" s="9">
        <v>1641</v>
      </c>
      <c r="B1642" s="10" t="s">
        <v>9</v>
      </c>
      <c r="C1642" s="10" t="s">
        <v>164</v>
      </c>
      <c r="D1642" s="10" t="s">
        <v>165</v>
      </c>
      <c r="E1642" s="11" t="str">
        <f>+HYPERLINK("http://trademark.i-assist.jp/data/china/image_1901th/79049694.pdf", "79049694")</f>
        <v>79049694</v>
      </c>
      <c r="F1642" s="10" t="s">
        <v>12</v>
      </c>
      <c r="G1642" s="10" t="s">
        <v>108</v>
      </c>
      <c r="H1642" s="10" t="s">
        <v>4729</v>
      </c>
      <c r="I1642" s="10" t="s">
        <v>4513</v>
      </c>
    </row>
    <row r="1643" spans="1:9" x14ac:dyDescent="0.15">
      <c r="A1643" s="9">
        <v>1642</v>
      </c>
      <c r="B1643" s="10" t="s">
        <v>9</v>
      </c>
      <c r="C1643" s="10" t="s">
        <v>164</v>
      </c>
      <c r="D1643" s="10" t="s">
        <v>165</v>
      </c>
      <c r="E1643" s="11" t="str">
        <f>+HYPERLINK("http://trademark.i-assist.jp/data/china/image_1901th/79049741.pdf", "79049741")</f>
        <v>79049741</v>
      </c>
      <c r="F1643" s="10" t="s">
        <v>4730</v>
      </c>
      <c r="G1643" s="10" t="s">
        <v>4731</v>
      </c>
      <c r="H1643" s="10" t="s">
        <v>4732</v>
      </c>
      <c r="I1643" s="10" t="s">
        <v>4513</v>
      </c>
    </row>
    <row r="1644" spans="1:9" x14ac:dyDescent="0.15">
      <c r="A1644" s="9">
        <v>1643</v>
      </c>
      <c r="B1644" s="10" t="s">
        <v>9</v>
      </c>
      <c r="C1644" s="10" t="s">
        <v>164</v>
      </c>
      <c r="D1644" s="10" t="s">
        <v>165</v>
      </c>
      <c r="E1644" s="11" t="str">
        <f>+HYPERLINK("http://trademark.i-assist.jp/data/china/image_1901th/79049784.pdf", "79049784")</f>
        <v>79049784</v>
      </c>
      <c r="F1644" s="10" t="s">
        <v>4733</v>
      </c>
      <c r="G1644" s="10" t="s">
        <v>4734</v>
      </c>
      <c r="H1644" s="10" t="s">
        <v>4735</v>
      </c>
      <c r="I1644" s="10" t="s">
        <v>4513</v>
      </c>
    </row>
    <row r="1645" spans="1:9" x14ac:dyDescent="0.15">
      <c r="A1645" s="9">
        <v>1644</v>
      </c>
      <c r="B1645" s="10" t="s">
        <v>9</v>
      </c>
      <c r="C1645" s="10" t="s">
        <v>164</v>
      </c>
      <c r="D1645" s="10" t="s">
        <v>165</v>
      </c>
      <c r="E1645" s="11" t="str">
        <f>+HYPERLINK("http://trademark.i-assist.jp/data/china/image_1901th/79049796.pdf", "79049796")</f>
        <v>79049796</v>
      </c>
      <c r="F1645" s="10" t="s">
        <v>4736</v>
      </c>
      <c r="G1645" s="10" t="s">
        <v>4737</v>
      </c>
      <c r="H1645" s="10" t="s">
        <v>4738</v>
      </c>
      <c r="I1645" s="10" t="s">
        <v>4513</v>
      </c>
    </row>
    <row r="1646" spans="1:9" x14ac:dyDescent="0.15">
      <c r="A1646" s="9">
        <v>1645</v>
      </c>
      <c r="B1646" s="10" t="s">
        <v>9</v>
      </c>
      <c r="C1646" s="10" t="s">
        <v>164</v>
      </c>
      <c r="D1646" s="10" t="s">
        <v>165</v>
      </c>
      <c r="E1646" s="11" t="str">
        <f>+HYPERLINK("http://trademark.i-assist.jp/data/china/image_1901th/79049798.pdf", "79049798")</f>
        <v>79049798</v>
      </c>
      <c r="F1646" s="10" t="s">
        <v>4739</v>
      </c>
      <c r="G1646" s="10" t="s">
        <v>4740</v>
      </c>
      <c r="H1646" s="10" t="s">
        <v>4741</v>
      </c>
      <c r="I1646" s="10" t="s">
        <v>4513</v>
      </c>
    </row>
    <row r="1647" spans="1:9" x14ac:dyDescent="0.15">
      <c r="A1647" s="9">
        <v>1646</v>
      </c>
      <c r="B1647" s="10" t="s">
        <v>9</v>
      </c>
      <c r="C1647" s="10" t="s">
        <v>164</v>
      </c>
      <c r="D1647" s="10" t="s">
        <v>165</v>
      </c>
      <c r="E1647" s="11" t="str">
        <f>+HYPERLINK("http://trademark.i-assist.jp/data/china/image_1901th/79049996.pdf", "79049996")</f>
        <v>79049996</v>
      </c>
      <c r="F1647" s="10" t="s">
        <v>4742</v>
      </c>
      <c r="G1647" s="10" t="s">
        <v>4743</v>
      </c>
      <c r="H1647" s="10" t="s">
        <v>4744</v>
      </c>
      <c r="I1647" s="10" t="s">
        <v>4513</v>
      </c>
    </row>
    <row r="1648" spans="1:9" x14ac:dyDescent="0.15">
      <c r="A1648" s="9">
        <v>1647</v>
      </c>
      <c r="B1648" s="10" t="s">
        <v>9</v>
      </c>
      <c r="C1648" s="10" t="s">
        <v>164</v>
      </c>
      <c r="D1648" s="10" t="s">
        <v>165</v>
      </c>
      <c r="E1648" s="11" t="str">
        <f>+HYPERLINK("http://trademark.i-assist.jp/data/china/image_1901th/79050201.pdf", "79050201")</f>
        <v>79050201</v>
      </c>
      <c r="F1648" s="10" t="s">
        <v>4745</v>
      </c>
      <c r="G1648" s="10" t="s">
        <v>3726</v>
      </c>
      <c r="H1648" s="10" t="s">
        <v>4746</v>
      </c>
      <c r="I1648" s="10" t="s">
        <v>4513</v>
      </c>
    </row>
    <row r="1649" spans="1:9" x14ac:dyDescent="0.15">
      <c r="A1649" s="9">
        <v>1648</v>
      </c>
      <c r="B1649" s="10" t="s">
        <v>9</v>
      </c>
      <c r="C1649" s="10" t="s">
        <v>164</v>
      </c>
      <c r="D1649" s="10" t="s">
        <v>165</v>
      </c>
      <c r="E1649" s="11" t="str">
        <f>+HYPERLINK("http://trademark.i-assist.jp/data/china/image_1901th/79050367.pdf", "79050367")</f>
        <v>79050367</v>
      </c>
      <c r="F1649" s="10" t="s">
        <v>4747</v>
      </c>
      <c r="G1649" s="10" t="s">
        <v>4748</v>
      </c>
      <c r="H1649" s="10" t="s">
        <v>4749</v>
      </c>
      <c r="I1649" s="10" t="s">
        <v>4513</v>
      </c>
    </row>
    <row r="1650" spans="1:9" x14ac:dyDescent="0.15">
      <c r="A1650" s="9">
        <v>1649</v>
      </c>
      <c r="B1650" s="10" t="s">
        <v>9</v>
      </c>
      <c r="C1650" s="10" t="s">
        <v>164</v>
      </c>
      <c r="D1650" s="10" t="s">
        <v>165</v>
      </c>
      <c r="E1650" s="11" t="str">
        <f>+HYPERLINK("http://trademark.i-assist.jp/data/china/image_1901th/79050424.pdf", "79050424")</f>
        <v>79050424</v>
      </c>
      <c r="F1650" s="10" t="s">
        <v>4750</v>
      </c>
      <c r="G1650" s="10" t="s">
        <v>4751</v>
      </c>
      <c r="H1650" s="10" t="s">
        <v>4752</v>
      </c>
      <c r="I1650" s="10" t="s">
        <v>4513</v>
      </c>
    </row>
    <row r="1651" spans="1:9" x14ac:dyDescent="0.15">
      <c r="A1651" s="9">
        <v>1650</v>
      </c>
      <c r="B1651" s="10" t="s">
        <v>9</v>
      </c>
      <c r="C1651" s="10" t="s">
        <v>164</v>
      </c>
      <c r="D1651" s="10" t="s">
        <v>165</v>
      </c>
      <c r="E1651" s="11" t="str">
        <f>+HYPERLINK("http://trademark.i-assist.jp/data/china/image_1901th/79050548.pdf", "79050548")</f>
        <v>79050548</v>
      </c>
      <c r="F1651" s="10" t="s">
        <v>4753</v>
      </c>
      <c r="G1651" s="10" t="s">
        <v>4754</v>
      </c>
      <c r="H1651" s="10" t="s">
        <v>4755</v>
      </c>
      <c r="I1651" s="10" t="s">
        <v>4513</v>
      </c>
    </row>
    <row r="1652" spans="1:9" x14ac:dyDescent="0.15">
      <c r="A1652" s="9">
        <v>1651</v>
      </c>
      <c r="B1652" s="10" t="s">
        <v>9</v>
      </c>
      <c r="C1652" s="10" t="s">
        <v>164</v>
      </c>
      <c r="D1652" s="10" t="s">
        <v>165</v>
      </c>
      <c r="E1652" s="11" t="str">
        <f>+HYPERLINK("http://trademark.i-assist.jp/data/china/image_1901th/79051015.pdf", "79051015")</f>
        <v>79051015</v>
      </c>
      <c r="F1652" s="10" t="s">
        <v>4756</v>
      </c>
      <c r="G1652" s="10" t="s">
        <v>4757</v>
      </c>
      <c r="H1652" s="10" t="s">
        <v>4758</v>
      </c>
      <c r="I1652" s="10" t="s">
        <v>4513</v>
      </c>
    </row>
    <row r="1653" spans="1:9" x14ac:dyDescent="0.15">
      <c r="A1653" s="9">
        <v>1652</v>
      </c>
      <c r="B1653" s="10" t="s">
        <v>9</v>
      </c>
      <c r="C1653" s="10" t="s">
        <v>164</v>
      </c>
      <c r="D1653" s="10" t="s">
        <v>165</v>
      </c>
      <c r="E1653" s="11" t="str">
        <f>+HYPERLINK("http://trademark.i-assist.jp/data/china/image_1901th/79051116.pdf", "79051116")</f>
        <v>79051116</v>
      </c>
      <c r="F1653" s="10" t="s">
        <v>4759</v>
      </c>
      <c r="G1653" s="10" t="s">
        <v>4760</v>
      </c>
      <c r="H1653" s="10" t="s">
        <v>4761</v>
      </c>
      <c r="I1653" s="10" t="s">
        <v>4513</v>
      </c>
    </row>
    <row r="1654" spans="1:9" x14ac:dyDescent="0.15">
      <c r="A1654" s="9">
        <v>1653</v>
      </c>
      <c r="B1654" s="10" t="s">
        <v>9</v>
      </c>
      <c r="C1654" s="10" t="s">
        <v>164</v>
      </c>
      <c r="D1654" s="10" t="s">
        <v>165</v>
      </c>
      <c r="E1654" s="11" t="str">
        <f>+HYPERLINK("http://trademark.i-assist.jp/data/china/image_1901th/79051214.pdf", "79051214")</f>
        <v>79051214</v>
      </c>
      <c r="F1654" s="10" t="s">
        <v>4762</v>
      </c>
      <c r="G1654" s="10" t="s">
        <v>3386</v>
      </c>
      <c r="H1654" s="10" t="s">
        <v>4763</v>
      </c>
      <c r="I1654" s="10" t="s">
        <v>4513</v>
      </c>
    </row>
    <row r="1655" spans="1:9" x14ac:dyDescent="0.15">
      <c r="A1655" s="9">
        <v>1654</v>
      </c>
      <c r="B1655" s="10" t="s">
        <v>9</v>
      </c>
      <c r="C1655" s="10" t="s">
        <v>164</v>
      </c>
      <c r="D1655" s="10" t="s">
        <v>165</v>
      </c>
      <c r="E1655" s="11" t="str">
        <f>+HYPERLINK("http://trademark.i-assist.jp/data/china/image_1901th/79051322.pdf", "79051322")</f>
        <v>79051322</v>
      </c>
      <c r="F1655" s="10" t="s">
        <v>4764</v>
      </c>
      <c r="G1655" s="10" t="s">
        <v>60</v>
      </c>
      <c r="H1655" s="10" t="s">
        <v>4765</v>
      </c>
      <c r="I1655" s="10" t="s">
        <v>4513</v>
      </c>
    </row>
    <row r="1656" spans="1:9" x14ac:dyDescent="0.15">
      <c r="A1656" s="9">
        <v>1655</v>
      </c>
      <c r="B1656" s="10" t="s">
        <v>9</v>
      </c>
      <c r="C1656" s="10" t="s">
        <v>164</v>
      </c>
      <c r="D1656" s="10" t="s">
        <v>165</v>
      </c>
      <c r="E1656" s="11" t="str">
        <f>+HYPERLINK("http://trademark.i-assist.jp/data/china/image_1901th/79051328.pdf", "79051328")</f>
        <v>79051328</v>
      </c>
      <c r="F1656" s="10" t="s">
        <v>4766</v>
      </c>
      <c r="G1656" s="10" t="s">
        <v>4708</v>
      </c>
      <c r="H1656" s="10" t="s">
        <v>4767</v>
      </c>
      <c r="I1656" s="10" t="s">
        <v>4513</v>
      </c>
    </row>
    <row r="1657" spans="1:9" x14ac:dyDescent="0.15">
      <c r="A1657" s="9">
        <v>1656</v>
      </c>
      <c r="B1657" s="10" t="s">
        <v>9</v>
      </c>
      <c r="C1657" s="10" t="s">
        <v>164</v>
      </c>
      <c r="D1657" s="10" t="s">
        <v>165</v>
      </c>
      <c r="E1657" s="11" t="str">
        <f>+HYPERLINK("http://trademark.i-assist.jp/data/china/image_1901th/79051383.pdf", "79051383")</f>
        <v>79051383</v>
      </c>
      <c r="F1657" s="10" t="s">
        <v>4768</v>
      </c>
      <c r="G1657" s="10" t="s">
        <v>4769</v>
      </c>
      <c r="H1657" s="10" t="s">
        <v>4770</v>
      </c>
      <c r="I1657" s="10" t="s">
        <v>4513</v>
      </c>
    </row>
    <row r="1658" spans="1:9" x14ac:dyDescent="0.15">
      <c r="A1658" s="9">
        <v>1657</v>
      </c>
      <c r="B1658" s="10" t="s">
        <v>9</v>
      </c>
      <c r="C1658" s="10" t="s">
        <v>164</v>
      </c>
      <c r="D1658" s="10" t="s">
        <v>165</v>
      </c>
      <c r="E1658" s="11" t="str">
        <f>+HYPERLINK("http://trademark.i-assist.jp/data/china/image_1901th/79051403.pdf", "79051403")</f>
        <v>79051403</v>
      </c>
      <c r="F1658" s="10" t="s">
        <v>4771</v>
      </c>
      <c r="G1658" s="10" t="s">
        <v>4772</v>
      </c>
      <c r="H1658" s="10" t="s">
        <v>4773</v>
      </c>
      <c r="I1658" s="10" t="s">
        <v>4513</v>
      </c>
    </row>
    <row r="1659" spans="1:9" x14ac:dyDescent="0.15">
      <c r="A1659" s="9">
        <v>1658</v>
      </c>
      <c r="B1659" s="10" t="s">
        <v>9</v>
      </c>
      <c r="C1659" s="10" t="s">
        <v>164</v>
      </c>
      <c r="D1659" s="10" t="s">
        <v>165</v>
      </c>
      <c r="E1659" s="11" t="str">
        <f>+HYPERLINK("http://trademark.i-assist.jp/data/china/image_1901th/79051500.pdf", "79051500")</f>
        <v>79051500</v>
      </c>
      <c r="F1659" s="10" t="s">
        <v>4774</v>
      </c>
      <c r="G1659" s="10" t="s">
        <v>4775</v>
      </c>
      <c r="H1659" s="10" t="s">
        <v>4776</v>
      </c>
      <c r="I1659" s="10" t="s">
        <v>4513</v>
      </c>
    </row>
    <row r="1660" spans="1:9" x14ac:dyDescent="0.15">
      <c r="A1660" s="9">
        <v>1659</v>
      </c>
      <c r="B1660" s="10" t="s">
        <v>9</v>
      </c>
      <c r="C1660" s="10" t="s">
        <v>164</v>
      </c>
      <c r="D1660" s="10" t="s">
        <v>165</v>
      </c>
      <c r="E1660" s="11" t="str">
        <f>+HYPERLINK("http://trademark.i-assist.jp/data/china/image_1901th/79051636.pdf", "79051636")</f>
        <v>79051636</v>
      </c>
      <c r="F1660" s="10" t="s">
        <v>4777</v>
      </c>
      <c r="G1660" s="10" t="s">
        <v>4778</v>
      </c>
      <c r="H1660" s="10" t="s">
        <v>4779</v>
      </c>
      <c r="I1660" s="10" t="s">
        <v>4513</v>
      </c>
    </row>
    <row r="1661" spans="1:9" x14ac:dyDescent="0.15">
      <c r="A1661" s="9">
        <v>1660</v>
      </c>
      <c r="B1661" s="10" t="s">
        <v>9</v>
      </c>
      <c r="C1661" s="10" t="s">
        <v>164</v>
      </c>
      <c r="D1661" s="10" t="s">
        <v>165</v>
      </c>
      <c r="E1661" s="11" t="str">
        <f>+HYPERLINK("http://trademark.i-assist.jp/data/china/image_1901th/79051696.pdf", "79051696")</f>
        <v>79051696</v>
      </c>
      <c r="F1661" s="10" t="s">
        <v>4780</v>
      </c>
      <c r="G1661" s="10" t="s">
        <v>4781</v>
      </c>
      <c r="H1661" s="10" t="s">
        <v>4782</v>
      </c>
      <c r="I1661" s="10" t="s">
        <v>4513</v>
      </c>
    </row>
    <row r="1662" spans="1:9" x14ac:dyDescent="0.15">
      <c r="A1662" s="9">
        <v>1661</v>
      </c>
      <c r="B1662" s="10" t="s">
        <v>9</v>
      </c>
      <c r="C1662" s="10" t="s">
        <v>164</v>
      </c>
      <c r="D1662" s="10" t="s">
        <v>165</v>
      </c>
      <c r="E1662" s="11" t="str">
        <f>+HYPERLINK("http://trademark.i-assist.jp/data/china/image_1901th/79051949.pdf", "79051949")</f>
        <v>79051949</v>
      </c>
      <c r="F1662" s="10" t="s">
        <v>4783</v>
      </c>
      <c r="G1662" s="10" t="s">
        <v>4784</v>
      </c>
      <c r="H1662" s="10" t="s">
        <v>4785</v>
      </c>
      <c r="I1662" s="10" t="s">
        <v>4513</v>
      </c>
    </row>
    <row r="1663" spans="1:9" x14ac:dyDescent="0.15">
      <c r="A1663" s="9">
        <v>1662</v>
      </c>
      <c r="B1663" s="10" t="s">
        <v>9</v>
      </c>
      <c r="C1663" s="10" t="s">
        <v>164</v>
      </c>
      <c r="D1663" s="10" t="s">
        <v>165</v>
      </c>
      <c r="E1663" s="11" t="str">
        <f>+HYPERLINK("http://trademark.i-assist.jp/data/china/image_1901th/79052308.pdf", "79052308")</f>
        <v>79052308</v>
      </c>
      <c r="F1663" s="10" t="s">
        <v>4786</v>
      </c>
      <c r="G1663" s="10" t="s">
        <v>4537</v>
      </c>
      <c r="H1663" s="10" t="s">
        <v>4787</v>
      </c>
      <c r="I1663" s="10" t="s">
        <v>4513</v>
      </c>
    </row>
    <row r="1664" spans="1:9" x14ac:dyDescent="0.15">
      <c r="A1664" s="9">
        <v>1663</v>
      </c>
      <c r="B1664" s="10" t="s">
        <v>9</v>
      </c>
      <c r="C1664" s="10" t="s">
        <v>164</v>
      </c>
      <c r="D1664" s="10" t="s">
        <v>165</v>
      </c>
      <c r="E1664" s="11" t="str">
        <f>+HYPERLINK("http://trademark.i-assist.jp/data/china/image_1901th/79052439.pdf", "79052439")</f>
        <v>79052439</v>
      </c>
      <c r="F1664" s="10" t="s">
        <v>4788</v>
      </c>
      <c r="G1664" s="10" t="s">
        <v>2854</v>
      </c>
      <c r="H1664" s="10" t="s">
        <v>4789</v>
      </c>
      <c r="I1664" s="10" t="s">
        <v>4513</v>
      </c>
    </row>
    <row r="1665" spans="1:9" x14ac:dyDescent="0.15">
      <c r="A1665" s="9">
        <v>1664</v>
      </c>
      <c r="B1665" s="10" t="s">
        <v>9</v>
      </c>
      <c r="C1665" s="10" t="s">
        <v>164</v>
      </c>
      <c r="D1665" s="10" t="s">
        <v>165</v>
      </c>
      <c r="E1665" s="11" t="str">
        <f>+HYPERLINK("http://trademark.i-assist.jp/data/china/image_1901th/79052584.pdf", "79052584")</f>
        <v>79052584</v>
      </c>
      <c r="F1665" s="10" t="s">
        <v>4790</v>
      </c>
      <c r="G1665" s="10" t="s">
        <v>4791</v>
      </c>
      <c r="H1665" s="10" t="s">
        <v>4792</v>
      </c>
      <c r="I1665" s="10" t="s">
        <v>4513</v>
      </c>
    </row>
    <row r="1666" spans="1:9" x14ac:dyDescent="0.15">
      <c r="A1666" s="9">
        <v>1665</v>
      </c>
      <c r="B1666" s="10" t="s">
        <v>9</v>
      </c>
      <c r="C1666" s="10" t="s">
        <v>164</v>
      </c>
      <c r="D1666" s="10" t="s">
        <v>165</v>
      </c>
      <c r="E1666" s="11" t="str">
        <f>+HYPERLINK("http://trademark.i-assist.jp/data/china/image_1901th/79052653.pdf", "79052653")</f>
        <v>79052653</v>
      </c>
      <c r="F1666" s="10" t="s">
        <v>4793</v>
      </c>
      <c r="G1666" s="10" t="s">
        <v>4794</v>
      </c>
      <c r="H1666" s="10" t="s">
        <v>4795</v>
      </c>
      <c r="I1666" s="10" t="s">
        <v>4513</v>
      </c>
    </row>
    <row r="1667" spans="1:9" x14ac:dyDescent="0.15">
      <c r="A1667" s="9">
        <v>1666</v>
      </c>
      <c r="B1667" s="10" t="s">
        <v>9</v>
      </c>
      <c r="C1667" s="10" t="s">
        <v>164</v>
      </c>
      <c r="D1667" s="10" t="s">
        <v>165</v>
      </c>
      <c r="E1667" s="11" t="str">
        <f>+HYPERLINK("http://trademark.i-assist.jp/data/china/image_1901th/79052697.pdf", "79052697")</f>
        <v>79052697</v>
      </c>
      <c r="F1667" s="10" t="s">
        <v>4796</v>
      </c>
      <c r="G1667" s="10" t="s">
        <v>4518</v>
      </c>
      <c r="H1667" s="10" t="s">
        <v>4797</v>
      </c>
      <c r="I1667" s="10" t="s">
        <v>4513</v>
      </c>
    </row>
    <row r="1668" spans="1:9" x14ac:dyDescent="0.15">
      <c r="A1668" s="9">
        <v>1667</v>
      </c>
      <c r="B1668" s="10" t="s">
        <v>9</v>
      </c>
      <c r="C1668" s="10" t="s">
        <v>164</v>
      </c>
      <c r="D1668" s="10" t="s">
        <v>165</v>
      </c>
      <c r="E1668" s="11" t="str">
        <f>+HYPERLINK("http://trademark.i-assist.jp/data/china/image_1901th/79052730.pdf", "79052730")</f>
        <v>79052730</v>
      </c>
      <c r="F1668" s="10" t="s">
        <v>4798</v>
      </c>
      <c r="G1668" s="10" t="s">
        <v>4799</v>
      </c>
      <c r="H1668" s="10" t="s">
        <v>4800</v>
      </c>
      <c r="I1668" s="10" t="s">
        <v>4513</v>
      </c>
    </row>
    <row r="1669" spans="1:9" x14ac:dyDescent="0.15">
      <c r="A1669" s="9">
        <v>1668</v>
      </c>
      <c r="B1669" s="10" t="s">
        <v>9</v>
      </c>
      <c r="C1669" s="10" t="s">
        <v>164</v>
      </c>
      <c r="D1669" s="10" t="s">
        <v>165</v>
      </c>
      <c r="E1669" s="11" t="str">
        <f>+HYPERLINK("http://trademark.i-assist.jp/data/china/image_1901th/79052750.pdf", "79052750")</f>
        <v>79052750</v>
      </c>
      <c r="F1669" s="10" t="s">
        <v>4801</v>
      </c>
      <c r="G1669" s="10" t="s">
        <v>4802</v>
      </c>
      <c r="H1669" s="10" t="s">
        <v>4803</v>
      </c>
      <c r="I1669" s="10" t="s">
        <v>4513</v>
      </c>
    </row>
    <row r="1670" spans="1:9" x14ac:dyDescent="0.15">
      <c r="A1670" s="9">
        <v>1669</v>
      </c>
      <c r="B1670" s="10" t="s">
        <v>9</v>
      </c>
      <c r="C1670" s="10" t="s">
        <v>164</v>
      </c>
      <c r="D1670" s="10" t="s">
        <v>165</v>
      </c>
      <c r="E1670" s="11" t="str">
        <f>+HYPERLINK("http://trademark.i-assist.jp/data/china/image_1901th/79052951.pdf", "79052951")</f>
        <v>79052951</v>
      </c>
      <c r="F1670" s="10" t="s">
        <v>4804</v>
      </c>
      <c r="G1670" s="10" t="s">
        <v>4805</v>
      </c>
      <c r="H1670" s="10" t="s">
        <v>4806</v>
      </c>
      <c r="I1670" s="10" t="s">
        <v>4513</v>
      </c>
    </row>
    <row r="1671" spans="1:9" x14ac:dyDescent="0.15">
      <c r="A1671" s="9">
        <v>1670</v>
      </c>
      <c r="B1671" s="10" t="s">
        <v>9</v>
      </c>
      <c r="C1671" s="10" t="s">
        <v>164</v>
      </c>
      <c r="D1671" s="10" t="s">
        <v>165</v>
      </c>
      <c r="E1671" s="11" t="str">
        <f>+HYPERLINK("http://trademark.i-assist.jp/data/china/image_1901th/79052960.pdf", "79052960")</f>
        <v>79052960</v>
      </c>
      <c r="F1671" s="10" t="s">
        <v>4807</v>
      </c>
      <c r="G1671" s="10" t="s">
        <v>4805</v>
      </c>
      <c r="H1671" s="10" t="s">
        <v>4808</v>
      </c>
      <c r="I1671" s="10" t="s">
        <v>4513</v>
      </c>
    </row>
    <row r="1672" spans="1:9" x14ac:dyDescent="0.15">
      <c r="A1672" s="9">
        <v>1671</v>
      </c>
      <c r="B1672" s="10" t="s">
        <v>9</v>
      </c>
      <c r="C1672" s="10" t="s">
        <v>164</v>
      </c>
      <c r="D1672" s="10" t="s">
        <v>165</v>
      </c>
      <c r="E1672" s="11" t="str">
        <f>+HYPERLINK("http://trademark.i-assist.jp/data/china/image_1901th/79053198.pdf", "79053198")</f>
        <v>79053198</v>
      </c>
      <c r="F1672" s="10" t="s">
        <v>4809</v>
      </c>
      <c r="G1672" s="10" t="s">
        <v>4669</v>
      </c>
      <c r="H1672" s="10" t="s">
        <v>4810</v>
      </c>
      <c r="I1672" s="10" t="s">
        <v>4513</v>
      </c>
    </row>
    <row r="1673" spans="1:9" x14ac:dyDescent="0.15">
      <c r="A1673" s="9">
        <v>1672</v>
      </c>
      <c r="B1673" s="10" t="s">
        <v>9</v>
      </c>
      <c r="C1673" s="10" t="s">
        <v>164</v>
      </c>
      <c r="D1673" s="10" t="s">
        <v>165</v>
      </c>
      <c r="E1673" s="11" t="str">
        <f>+HYPERLINK("http://trademark.i-assist.jp/data/china/image_1901th/79053497.pdf", "79053497")</f>
        <v>79053497</v>
      </c>
      <c r="F1673" s="10" t="s">
        <v>4811</v>
      </c>
      <c r="G1673" s="10" t="s">
        <v>4534</v>
      </c>
      <c r="H1673" s="10" t="s">
        <v>4812</v>
      </c>
      <c r="I1673" s="10" t="s">
        <v>4513</v>
      </c>
    </row>
    <row r="1674" spans="1:9" x14ac:dyDescent="0.15">
      <c r="A1674" s="9">
        <v>1673</v>
      </c>
      <c r="B1674" s="10" t="s">
        <v>9</v>
      </c>
      <c r="C1674" s="10" t="s">
        <v>164</v>
      </c>
      <c r="D1674" s="10" t="s">
        <v>165</v>
      </c>
      <c r="E1674" s="11" t="str">
        <f>+HYPERLINK("http://trademark.i-assist.jp/data/china/image_1901th/79053832.pdf", "79053832")</f>
        <v>79053832</v>
      </c>
      <c r="F1674" s="10" t="s">
        <v>4813</v>
      </c>
      <c r="G1674" s="10" t="s">
        <v>4534</v>
      </c>
      <c r="H1674" s="10" t="s">
        <v>4814</v>
      </c>
      <c r="I1674" s="10" t="s">
        <v>4513</v>
      </c>
    </row>
    <row r="1675" spans="1:9" x14ac:dyDescent="0.15">
      <c r="A1675" s="9">
        <v>1674</v>
      </c>
      <c r="B1675" s="10" t="s">
        <v>9</v>
      </c>
      <c r="C1675" s="10" t="s">
        <v>164</v>
      </c>
      <c r="D1675" s="10" t="s">
        <v>165</v>
      </c>
      <c r="E1675" s="11" t="str">
        <f>+HYPERLINK("http://trademark.i-assist.jp/data/china/image_1901th/79053874.pdf", "79053874")</f>
        <v>79053874</v>
      </c>
      <c r="F1675" s="10" t="s">
        <v>4815</v>
      </c>
      <c r="G1675" s="10" t="s">
        <v>4816</v>
      </c>
      <c r="H1675" s="10" t="s">
        <v>4817</v>
      </c>
      <c r="I1675" s="10" t="s">
        <v>4513</v>
      </c>
    </row>
    <row r="1676" spans="1:9" x14ac:dyDescent="0.15">
      <c r="A1676" s="9">
        <v>1675</v>
      </c>
      <c r="B1676" s="10" t="s">
        <v>9</v>
      </c>
      <c r="C1676" s="10" t="s">
        <v>164</v>
      </c>
      <c r="D1676" s="10" t="s">
        <v>165</v>
      </c>
      <c r="E1676" s="11" t="str">
        <f>+HYPERLINK("http://trademark.i-assist.jp/data/china/image_1901th/79054124.pdf", "79054124")</f>
        <v>79054124</v>
      </c>
      <c r="F1676" s="10" t="s">
        <v>4818</v>
      </c>
      <c r="G1676" s="10" t="s">
        <v>4819</v>
      </c>
      <c r="H1676" s="10" t="s">
        <v>4820</v>
      </c>
      <c r="I1676" s="10" t="s">
        <v>4513</v>
      </c>
    </row>
    <row r="1677" spans="1:9" x14ac:dyDescent="0.15">
      <c r="A1677" s="9">
        <v>1676</v>
      </c>
      <c r="B1677" s="10" t="s">
        <v>9</v>
      </c>
      <c r="C1677" s="10" t="s">
        <v>164</v>
      </c>
      <c r="D1677" s="10" t="s">
        <v>165</v>
      </c>
      <c r="E1677" s="11" t="str">
        <f>+HYPERLINK("http://trademark.i-assist.jp/data/china/image_1901th/79054215.pdf", "79054215")</f>
        <v>79054215</v>
      </c>
      <c r="F1677" s="10" t="s">
        <v>4821</v>
      </c>
      <c r="G1677" s="10" t="s">
        <v>4822</v>
      </c>
      <c r="H1677" s="10" t="s">
        <v>4823</v>
      </c>
      <c r="I1677" s="10" t="s">
        <v>4513</v>
      </c>
    </row>
    <row r="1678" spans="1:9" x14ac:dyDescent="0.15">
      <c r="A1678" s="9">
        <v>1677</v>
      </c>
      <c r="B1678" s="10" t="s">
        <v>9</v>
      </c>
      <c r="C1678" s="10" t="s">
        <v>164</v>
      </c>
      <c r="D1678" s="10" t="s">
        <v>165</v>
      </c>
      <c r="E1678" s="11" t="str">
        <f>+HYPERLINK("http://trademark.i-assist.jp/data/china/image_1901th/79054710.pdf", "79054710")</f>
        <v>79054710</v>
      </c>
      <c r="F1678" s="10" t="s">
        <v>4824</v>
      </c>
      <c r="G1678" s="10" t="s">
        <v>4825</v>
      </c>
      <c r="H1678" s="10" t="s">
        <v>4826</v>
      </c>
      <c r="I1678" s="10" t="s">
        <v>4513</v>
      </c>
    </row>
    <row r="1679" spans="1:9" x14ac:dyDescent="0.15">
      <c r="A1679" s="9">
        <v>1678</v>
      </c>
      <c r="B1679" s="10" t="s">
        <v>9</v>
      </c>
      <c r="C1679" s="10" t="s">
        <v>164</v>
      </c>
      <c r="D1679" s="10" t="s">
        <v>165</v>
      </c>
      <c r="E1679" s="11" t="str">
        <f>+HYPERLINK("http://trademark.i-assist.jp/data/china/image_1901th/79054801.pdf", "79054801")</f>
        <v>79054801</v>
      </c>
      <c r="F1679" s="10" t="s">
        <v>4827</v>
      </c>
      <c r="G1679" s="10" t="s">
        <v>4828</v>
      </c>
      <c r="H1679" s="10" t="s">
        <v>4829</v>
      </c>
      <c r="I1679" s="10" t="s">
        <v>4513</v>
      </c>
    </row>
    <row r="1680" spans="1:9" x14ac:dyDescent="0.15">
      <c r="A1680" s="9">
        <v>1679</v>
      </c>
      <c r="B1680" s="10" t="s">
        <v>9</v>
      </c>
      <c r="C1680" s="10" t="s">
        <v>164</v>
      </c>
      <c r="D1680" s="10" t="s">
        <v>165</v>
      </c>
      <c r="E1680" s="11" t="str">
        <f>+HYPERLINK("http://trademark.i-assist.jp/data/china/image_1901th/79054854.pdf", "79054854")</f>
        <v>79054854</v>
      </c>
      <c r="F1680" s="10" t="s">
        <v>4830</v>
      </c>
      <c r="G1680" s="10" t="s">
        <v>4669</v>
      </c>
      <c r="H1680" s="10" t="s">
        <v>4831</v>
      </c>
      <c r="I1680" s="10" t="s">
        <v>4513</v>
      </c>
    </row>
    <row r="1681" spans="1:9" x14ac:dyDescent="0.15">
      <c r="A1681" s="9">
        <v>1680</v>
      </c>
      <c r="B1681" s="10" t="s">
        <v>9</v>
      </c>
      <c r="C1681" s="10" t="s">
        <v>164</v>
      </c>
      <c r="D1681" s="10" t="s">
        <v>165</v>
      </c>
      <c r="E1681" s="11" t="str">
        <f>+HYPERLINK("http://trademark.i-assist.jp/data/china/image_1901th/79054930.pdf", "79054930")</f>
        <v>79054930</v>
      </c>
      <c r="F1681" s="10" t="s">
        <v>4832</v>
      </c>
      <c r="G1681" s="10" t="s">
        <v>4833</v>
      </c>
      <c r="H1681" s="10" t="s">
        <v>4834</v>
      </c>
      <c r="I1681" s="10" t="s">
        <v>4513</v>
      </c>
    </row>
    <row r="1682" spans="1:9" x14ac:dyDescent="0.15">
      <c r="A1682" s="9">
        <v>1681</v>
      </c>
      <c r="B1682" s="10" t="s">
        <v>9</v>
      </c>
      <c r="C1682" s="10" t="s">
        <v>164</v>
      </c>
      <c r="D1682" s="10" t="s">
        <v>165</v>
      </c>
      <c r="E1682" s="11" t="str">
        <f>+HYPERLINK("http://trademark.i-assist.jp/data/china/image_1901th/79054989.pdf", "79054989")</f>
        <v>79054989</v>
      </c>
      <c r="F1682" s="10" t="s">
        <v>4835</v>
      </c>
      <c r="G1682" s="10" t="s">
        <v>4836</v>
      </c>
      <c r="H1682" s="10" t="s">
        <v>4837</v>
      </c>
      <c r="I1682" s="10" t="s">
        <v>4513</v>
      </c>
    </row>
    <row r="1683" spans="1:9" x14ac:dyDescent="0.15">
      <c r="A1683" s="9">
        <v>1682</v>
      </c>
      <c r="B1683" s="10" t="s">
        <v>9</v>
      </c>
      <c r="C1683" s="10" t="s">
        <v>164</v>
      </c>
      <c r="D1683" s="10" t="s">
        <v>165</v>
      </c>
      <c r="E1683" s="11" t="str">
        <f>+HYPERLINK("http://trademark.i-assist.jp/data/china/image_1901th/79055023.pdf", "79055023")</f>
        <v>79055023</v>
      </c>
      <c r="F1683" s="10" t="s">
        <v>4838</v>
      </c>
      <c r="G1683" s="10" t="s">
        <v>4839</v>
      </c>
      <c r="H1683" s="10" t="s">
        <v>4840</v>
      </c>
      <c r="I1683" s="10" t="s">
        <v>4513</v>
      </c>
    </row>
    <row r="1684" spans="1:9" x14ac:dyDescent="0.15">
      <c r="A1684" s="9">
        <v>1683</v>
      </c>
      <c r="B1684" s="10" t="s">
        <v>9</v>
      </c>
      <c r="C1684" s="10" t="s">
        <v>164</v>
      </c>
      <c r="D1684" s="10" t="s">
        <v>165</v>
      </c>
      <c r="E1684" s="11" t="str">
        <f>+HYPERLINK("http://trademark.i-assist.jp/data/china/image_1901th/79055185.pdf", "79055185")</f>
        <v>79055185</v>
      </c>
      <c r="F1684" s="10" t="s">
        <v>4841</v>
      </c>
      <c r="G1684" s="10" t="s">
        <v>4842</v>
      </c>
      <c r="H1684" s="10" t="s">
        <v>4843</v>
      </c>
      <c r="I1684" s="10" t="s">
        <v>4513</v>
      </c>
    </row>
    <row r="1685" spans="1:9" x14ac:dyDescent="0.15">
      <c r="A1685" s="9">
        <v>1684</v>
      </c>
      <c r="B1685" s="10" t="s">
        <v>9</v>
      </c>
      <c r="C1685" s="10" t="s">
        <v>164</v>
      </c>
      <c r="D1685" s="10" t="s">
        <v>165</v>
      </c>
      <c r="E1685" s="11" t="str">
        <f>+HYPERLINK("http://trademark.i-assist.jp/data/china/image_1901th/79055189.pdf", "79055189")</f>
        <v>79055189</v>
      </c>
      <c r="F1685" s="10" t="s">
        <v>4844</v>
      </c>
      <c r="G1685" s="10" t="s">
        <v>4845</v>
      </c>
      <c r="H1685" s="10" t="s">
        <v>4846</v>
      </c>
      <c r="I1685" s="10" t="s">
        <v>4513</v>
      </c>
    </row>
    <row r="1686" spans="1:9" x14ac:dyDescent="0.15">
      <c r="A1686" s="9">
        <v>1685</v>
      </c>
      <c r="B1686" s="10" t="s">
        <v>9</v>
      </c>
      <c r="C1686" s="10" t="s">
        <v>164</v>
      </c>
      <c r="D1686" s="10" t="s">
        <v>165</v>
      </c>
      <c r="E1686" s="11" t="str">
        <f>+HYPERLINK("http://trademark.i-assist.jp/data/china/image_1901th/79055566.pdf", "79055566")</f>
        <v>79055566</v>
      </c>
      <c r="F1686" s="10" t="s">
        <v>4847</v>
      </c>
      <c r="G1686" s="10" t="s">
        <v>4848</v>
      </c>
      <c r="H1686" s="10" t="s">
        <v>4849</v>
      </c>
      <c r="I1686" s="10" t="s">
        <v>4513</v>
      </c>
    </row>
    <row r="1687" spans="1:9" x14ac:dyDescent="0.15">
      <c r="A1687" s="9">
        <v>1686</v>
      </c>
      <c r="B1687" s="10" t="s">
        <v>9</v>
      </c>
      <c r="C1687" s="10" t="s">
        <v>164</v>
      </c>
      <c r="D1687" s="10" t="s">
        <v>165</v>
      </c>
      <c r="E1687" s="11" t="str">
        <f>+HYPERLINK("http://trademark.i-assist.jp/data/china/image_1901th/79055621.pdf", "79055621")</f>
        <v>79055621</v>
      </c>
      <c r="F1687" s="10" t="s">
        <v>4850</v>
      </c>
      <c r="G1687" s="10" t="s">
        <v>4851</v>
      </c>
      <c r="H1687" s="10" t="s">
        <v>4852</v>
      </c>
      <c r="I1687" s="10" t="s">
        <v>4513</v>
      </c>
    </row>
    <row r="1688" spans="1:9" x14ac:dyDescent="0.15">
      <c r="A1688" s="9">
        <v>1687</v>
      </c>
      <c r="B1688" s="10" t="s">
        <v>9</v>
      </c>
      <c r="C1688" s="10" t="s">
        <v>164</v>
      </c>
      <c r="D1688" s="10" t="s">
        <v>165</v>
      </c>
      <c r="E1688" s="11" t="str">
        <f>+HYPERLINK("http://trademark.i-assist.jp/data/china/image_1901th/79055862.pdf", "79055862")</f>
        <v>79055862</v>
      </c>
      <c r="F1688" s="10" t="s">
        <v>12</v>
      </c>
      <c r="G1688" s="10" t="s">
        <v>4853</v>
      </c>
      <c r="H1688" s="10" t="s">
        <v>4854</v>
      </c>
      <c r="I1688" s="10" t="s">
        <v>4513</v>
      </c>
    </row>
    <row r="1689" spans="1:9" x14ac:dyDescent="0.15">
      <c r="A1689" s="9">
        <v>1688</v>
      </c>
      <c r="B1689" s="10" t="s">
        <v>9</v>
      </c>
      <c r="C1689" s="10" t="s">
        <v>164</v>
      </c>
      <c r="D1689" s="10" t="s">
        <v>165</v>
      </c>
      <c r="E1689" s="11" t="str">
        <f>+HYPERLINK("http://trademark.i-assist.jp/data/china/image_1901th/79055918.pdf", "79055918")</f>
        <v>79055918</v>
      </c>
      <c r="F1689" s="10" t="s">
        <v>4855</v>
      </c>
      <c r="G1689" s="10" t="s">
        <v>4856</v>
      </c>
      <c r="H1689" s="10" t="s">
        <v>4857</v>
      </c>
      <c r="I1689" s="10" t="s">
        <v>4513</v>
      </c>
    </row>
    <row r="1690" spans="1:9" x14ac:dyDescent="0.15">
      <c r="A1690" s="9">
        <v>1689</v>
      </c>
      <c r="B1690" s="10" t="s">
        <v>9</v>
      </c>
      <c r="C1690" s="10" t="s">
        <v>164</v>
      </c>
      <c r="D1690" s="10" t="s">
        <v>165</v>
      </c>
      <c r="E1690" s="11" t="str">
        <f>+HYPERLINK("http://trademark.i-assist.jp/data/china/image_1901th/79055921.pdf", "79055921")</f>
        <v>79055921</v>
      </c>
      <c r="F1690" s="10" t="s">
        <v>4858</v>
      </c>
      <c r="G1690" s="10" t="s">
        <v>4859</v>
      </c>
      <c r="H1690" s="10" t="s">
        <v>4860</v>
      </c>
      <c r="I1690" s="10" t="s">
        <v>4513</v>
      </c>
    </row>
    <row r="1691" spans="1:9" x14ac:dyDescent="0.15">
      <c r="A1691" s="9">
        <v>1690</v>
      </c>
      <c r="B1691" s="10" t="s">
        <v>9</v>
      </c>
      <c r="C1691" s="10" t="s">
        <v>164</v>
      </c>
      <c r="D1691" s="10" t="s">
        <v>165</v>
      </c>
      <c r="E1691" s="11" t="str">
        <f>+HYPERLINK("http://trademark.i-assist.jp/data/china/image_1901th/79056464.pdf", "79056464")</f>
        <v>79056464</v>
      </c>
      <c r="F1691" s="10" t="s">
        <v>4861</v>
      </c>
      <c r="G1691" s="10" t="s">
        <v>4537</v>
      </c>
      <c r="H1691" s="10" t="s">
        <v>4862</v>
      </c>
      <c r="I1691" s="10" t="s">
        <v>4513</v>
      </c>
    </row>
    <row r="1692" spans="1:9" x14ac:dyDescent="0.15">
      <c r="A1692" s="9">
        <v>1691</v>
      </c>
      <c r="B1692" s="10" t="s">
        <v>9</v>
      </c>
      <c r="C1692" s="10" t="s">
        <v>164</v>
      </c>
      <c r="D1692" s="10" t="s">
        <v>165</v>
      </c>
      <c r="E1692" s="11" t="str">
        <f>+HYPERLINK("http://trademark.i-assist.jp/data/china/image_1901th/79056540.pdf", "79056540")</f>
        <v>79056540</v>
      </c>
      <c r="F1692" s="10" t="s">
        <v>4863</v>
      </c>
      <c r="G1692" s="10" t="s">
        <v>4864</v>
      </c>
      <c r="H1692" s="10" t="s">
        <v>4865</v>
      </c>
      <c r="I1692" s="10" t="s">
        <v>4513</v>
      </c>
    </row>
    <row r="1693" spans="1:9" x14ac:dyDescent="0.15">
      <c r="A1693" s="9">
        <v>1692</v>
      </c>
      <c r="B1693" s="10" t="s">
        <v>9</v>
      </c>
      <c r="C1693" s="10" t="s">
        <v>164</v>
      </c>
      <c r="D1693" s="10" t="s">
        <v>165</v>
      </c>
      <c r="E1693" s="11" t="str">
        <f>+HYPERLINK("http://trademark.i-assist.jp/data/china/image_1901th/79056577.pdf", "79056577")</f>
        <v>79056577</v>
      </c>
      <c r="F1693" s="10" t="s">
        <v>4866</v>
      </c>
      <c r="G1693" s="10" t="s">
        <v>4528</v>
      </c>
      <c r="H1693" s="10" t="s">
        <v>4867</v>
      </c>
      <c r="I1693" s="10" t="s">
        <v>4513</v>
      </c>
    </row>
    <row r="1694" spans="1:9" x14ac:dyDescent="0.15">
      <c r="A1694" s="9">
        <v>1693</v>
      </c>
      <c r="B1694" s="10" t="s">
        <v>9</v>
      </c>
      <c r="C1694" s="10" t="s">
        <v>164</v>
      </c>
      <c r="D1694" s="10" t="s">
        <v>165</v>
      </c>
      <c r="E1694" s="11" t="str">
        <f>+HYPERLINK("http://trademark.i-assist.jp/data/china/image_1901th/79056666.pdf", "79056666")</f>
        <v>79056666</v>
      </c>
      <c r="F1694" s="10" t="s">
        <v>4868</v>
      </c>
      <c r="G1694" s="10" t="s">
        <v>4869</v>
      </c>
      <c r="H1694" s="10" t="s">
        <v>4870</v>
      </c>
      <c r="I1694" s="10" t="s">
        <v>4513</v>
      </c>
    </row>
    <row r="1695" spans="1:9" x14ac:dyDescent="0.15">
      <c r="A1695" s="9">
        <v>1694</v>
      </c>
      <c r="B1695" s="10" t="s">
        <v>9</v>
      </c>
      <c r="C1695" s="10" t="s">
        <v>164</v>
      </c>
      <c r="D1695" s="10" t="s">
        <v>165</v>
      </c>
      <c r="E1695" s="11" t="str">
        <f>+HYPERLINK("http://trademark.i-assist.jp/data/china/image_1901th/79056796.pdf", "79056796")</f>
        <v>79056796</v>
      </c>
      <c r="F1695" s="10" t="s">
        <v>4871</v>
      </c>
      <c r="G1695" s="10" t="s">
        <v>4561</v>
      </c>
      <c r="H1695" s="10" t="s">
        <v>4872</v>
      </c>
      <c r="I1695" s="10" t="s">
        <v>4513</v>
      </c>
    </row>
    <row r="1696" spans="1:9" x14ac:dyDescent="0.15">
      <c r="A1696" s="9">
        <v>1695</v>
      </c>
      <c r="B1696" s="10" t="s">
        <v>9</v>
      </c>
      <c r="C1696" s="10" t="s">
        <v>164</v>
      </c>
      <c r="D1696" s="10" t="s">
        <v>165</v>
      </c>
      <c r="E1696" s="11" t="str">
        <f>+HYPERLINK("http://trademark.i-assist.jp/data/china/image_1901th/79056809.pdf", "79056809")</f>
        <v>79056809</v>
      </c>
      <c r="F1696" s="10" t="s">
        <v>4873</v>
      </c>
      <c r="G1696" s="10" t="s">
        <v>4874</v>
      </c>
      <c r="H1696" s="10" t="s">
        <v>4875</v>
      </c>
      <c r="I1696" s="10" t="s">
        <v>4513</v>
      </c>
    </row>
    <row r="1697" spans="1:9" x14ac:dyDescent="0.15">
      <c r="A1697" s="9">
        <v>1696</v>
      </c>
      <c r="B1697" s="10" t="s">
        <v>9</v>
      </c>
      <c r="C1697" s="10" t="s">
        <v>164</v>
      </c>
      <c r="D1697" s="10" t="s">
        <v>165</v>
      </c>
      <c r="E1697" s="11" t="str">
        <f>+HYPERLINK("http://trademark.i-assist.jp/data/china/image_1901th/79056821.pdf", "79056821")</f>
        <v>79056821</v>
      </c>
      <c r="F1697" s="10" t="s">
        <v>4876</v>
      </c>
      <c r="G1697" s="10" t="s">
        <v>4877</v>
      </c>
      <c r="H1697" s="10" t="s">
        <v>4878</v>
      </c>
      <c r="I1697" s="10" t="s">
        <v>4513</v>
      </c>
    </row>
    <row r="1698" spans="1:9" x14ac:dyDescent="0.15">
      <c r="A1698" s="9">
        <v>1697</v>
      </c>
      <c r="B1698" s="10" t="s">
        <v>9</v>
      </c>
      <c r="C1698" s="10" t="s">
        <v>164</v>
      </c>
      <c r="D1698" s="10" t="s">
        <v>165</v>
      </c>
      <c r="E1698" s="11" t="str">
        <f>+HYPERLINK("http://trademark.i-assist.jp/data/china/image_1901th/79056843.pdf", "79056843")</f>
        <v>79056843</v>
      </c>
      <c r="F1698" s="10" t="s">
        <v>4879</v>
      </c>
      <c r="G1698" s="10" t="s">
        <v>4877</v>
      </c>
      <c r="H1698" s="10" t="s">
        <v>4880</v>
      </c>
      <c r="I1698" s="10" t="s">
        <v>4513</v>
      </c>
    </row>
    <row r="1699" spans="1:9" x14ac:dyDescent="0.15">
      <c r="A1699" s="9">
        <v>1698</v>
      </c>
      <c r="B1699" s="10" t="s">
        <v>9</v>
      </c>
      <c r="C1699" s="10" t="s">
        <v>164</v>
      </c>
      <c r="D1699" s="10" t="s">
        <v>165</v>
      </c>
      <c r="E1699" s="11" t="str">
        <f>+HYPERLINK("http://trademark.i-assist.jp/data/china/image_1901th/79056858.pdf", "79056858")</f>
        <v>79056858</v>
      </c>
      <c r="F1699" s="10" t="s">
        <v>4881</v>
      </c>
      <c r="G1699" s="10" t="s">
        <v>3530</v>
      </c>
      <c r="H1699" s="10" t="s">
        <v>4882</v>
      </c>
      <c r="I1699" s="10" t="s">
        <v>4513</v>
      </c>
    </row>
    <row r="1700" spans="1:9" x14ac:dyDescent="0.15">
      <c r="A1700" s="9">
        <v>1699</v>
      </c>
      <c r="B1700" s="10" t="s">
        <v>9</v>
      </c>
      <c r="C1700" s="10" t="s">
        <v>164</v>
      </c>
      <c r="D1700" s="10" t="s">
        <v>165</v>
      </c>
      <c r="E1700" s="11" t="str">
        <f>+HYPERLINK("http://trademark.i-assist.jp/data/china/image_1901th/79056904.pdf", "79056904")</f>
        <v>79056904</v>
      </c>
      <c r="F1700" s="10" t="s">
        <v>4883</v>
      </c>
      <c r="G1700" s="10" t="s">
        <v>4842</v>
      </c>
      <c r="H1700" s="10" t="s">
        <v>4884</v>
      </c>
      <c r="I1700" s="10" t="s">
        <v>4513</v>
      </c>
    </row>
    <row r="1701" spans="1:9" x14ac:dyDescent="0.15">
      <c r="A1701" s="9">
        <v>1700</v>
      </c>
      <c r="B1701" s="10" t="s">
        <v>9</v>
      </c>
      <c r="C1701" s="10" t="s">
        <v>164</v>
      </c>
      <c r="D1701" s="10" t="s">
        <v>165</v>
      </c>
      <c r="E1701" s="11" t="str">
        <f>+HYPERLINK("http://trademark.i-assist.jp/data/china/image_1901th/79057639.pdf", "79057639")</f>
        <v>79057639</v>
      </c>
      <c r="F1701" s="10" t="s">
        <v>4885</v>
      </c>
      <c r="G1701" s="10" t="s">
        <v>4886</v>
      </c>
      <c r="H1701" s="10" t="s">
        <v>4887</v>
      </c>
      <c r="I1701" s="10" t="s">
        <v>4513</v>
      </c>
    </row>
    <row r="1702" spans="1:9" x14ac:dyDescent="0.15">
      <c r="A1702" s="9">
        <v>1701</v>
      </c>
      <c r="B1702" s="10" t="s">
        <v>9</v>
      </c>
      <c r="C1702" s="10" t="s">
        <v>164</v>
      </c>
      <c r="D1702" s="10" t="s">
        <v>165</v>
      </c>
      <c r="E1702" s="11" t="str">
        <f>+HYPERLINK("http://trademark.i-assist.jp/data/china/image_1901th/79057659.pdf", "79057659")</f>
        <v>79057659</v>
      </c>
      <c r="F1702" s="10" t="s">
        <v>12</v>
      </c>
      <c r="G1702" s="10" t="s">
        <v>4888</v>
      </c>
      <c r="H1702" s="10" t="s">
        <v>4889</v>
      </c>
      <c r="I1702" s="10" t="s">
        <v>4513</v>
      </c>
    </row>
    <row r="1703" spans="1:9" x14ac:dyDescent="0.15">
      <c r="A1703" s="9">
        <v>1702</v>
      </c>
      <c r="B1703" s="10" t="s">
        <v>9</v>
      </c>
      <c r="C1703" s="10" t="s">
        <v>164</v>
      </c>
      <c r="D1703" s="10" t="s">
        <v>165</v>
      </c>
      <c r="E1703" s="11" t="str">
        <f>+HYPERLINK("http://trademark.i-assist.jp/data/china/image_1901th/79057663.pdf", "79057663")</f>
        <v>79057663</v>
      </c>
      <c r="F1703" s="10" t="s">
        <v>4890</v>
      </c>
      <c r="G1703" s="10" t="s">
        <v>4891</v>
      </c>
      <c r="H1703" s="10" t="s">
        <v>4892</v>
      </c>
      <c r="I1703" s="10" t="s">
        <v>4513</v>
      </c>
    </row>
    <row r="1704" spans="1:9" x14ac:dyDescent="0.15">
      <c r="A1704" s="9">
        <v>1703</v>
      </c>
      <c r="B1704" s="10" t="s">
        <v>9</v>
      </c>
      <c r="C1704" s="10" t="s">
        <v>164</v>
      </c>
      <c r="D1704" s="10" t="s">
        <v>165</v>
      </c>
      <c r="E1704" s="11" t="str">
        <f>+HYPERLINK("http://trademark.i-assist.jp/data/china/image_1901th/79057800.pdf", "79057800")</f>
        <v>79057800</v>
      </c>
      <c r="F1704" s="10" t="s">
        <v>4893</v>
      </c>
      <c r="G1704" s="10" t="s">
        <v>4894</v>
      </c>
      <c r="H1704" s="10" t="s">
        <v>4895</v>
      </c>
      <c r="I1704" s="10" t="s">
        <v>4513</v>
      </c>
    </row>
    <row r="1705" spans="1:9" x14ac:dyDescent="0.15">
      <c r="A1705" s="9">
        <v>1704</v>
      </c>
      <c r="B1705" s="10" t="s">
        <v>9</v>
      </c>
      <c r="C1705" s="10" t="s">
        <v>164</v>
      </c>
      <c r="D1705" s="10" t="s">
        <v>165</v>
      </c>
      <c r="E1705" s="11" t="str">
        <f>+HYPERLINK("http://trademark.i-assist.jp/data/china/image_1901th/79057970.pdf", "79057970")</f>
        <v>79057970</v>
      </c>
      <c r="F1705" s="10" t="s">
        <v>4896</v>
      </c>
      <c r="G1705" s="10" t="s">
        <v>4897</v>
      </c>
      <c r="H1705" s="10" t="s">
        <v>4898</v>
      </c>
      <c r="I1705" s="10" t="s">
        <v>4513</v>
      </c>
    </row>
    <row r="1706" spans="1:9" x14ac:dyDescent="0.15">
      <c r="A1706" s="9">
        <v>1705</v>
      </c>
      <c r="B1706" s="10" t="s">
        <v>9</v>
      </c>
      <c r="C1706" s="10" t="s">
        <v>164</v>
      </c>
      <c r="D1706" s="10" t="s">
        <v>165</v>
      </c>
      <c r="E1706" s="11" t="str">
        <f>+HYPERLINK("http://trademark.i-assist.jp/data/china/image_1901th/79058120.pdf", "79058120")</f>
        <v>79058120</v>
      </c>
      <c r="F1706" s="10" t="s">
        <v>4899</v>
      </c>
      <c r="G1706" s="10" t="s">
        <v>4900</v>
      </c>
      <c r="H1706" s="10" t="s">
        <v>4901</v>
      </c>
      <c r="I1706" s="10" t="s">
        <v>4513</v>
      </c>
    </row>
    <row r="1707" spans="1:9" x14ac:dyDescent="0.15">
      <c r="A1707" s="9">
        <v>1706</v>
      </c>
      <c r="B1707" s="10" t="s">
        <v>9</v>
      </c>
      <c r="C1707" s="10" t="s">
        <v>164</v>
      </c>
      <c r="D1707" s="10" t="s">
        <v>165</v>
      </c>
      <c r="E1707" s="11" t="str">
        <f>+HYPERLINK("http://trademark.i-assist.jp/data/china/image_1901th/79058381.pdf", "79058381")</f>
        <v>79058381</v>
      </c>
      <c r="F1707" s="10" t="s">
        <v>12</v>
      </c>
      <c r="G1707" s="10" t="s">
        <v>108</v>
      </c>
      <c r="H1707" s="10" t="s">
        <v>4902</v>
      </c>
      <c r="I1707" s="10" t="s">
        <v>4513</v>
      </c>
    </row>
    <row r="1708" spans="1:9" x14ac:dyDescent="0.15">
      <c r="A1708" s="9">
        <v>1707</v>
      </c>
      <c r="B1708" s="10" t="s">
        <v>9</v>
      </c>
      <c r="C1708" s="10" t="s">
        <v>164</v>
      </c>
      <c r="D1708" s="10" t="s">
        <v>165</v>
      </c>
      <c r="E1708" s="11" t="str">
        <f>+HYPERLINK("http://trademark.i-assist.jp/data/china/image_1901th/79058413.pdf", "79058413")</f>
        <v>79058413</v>
      </c>
      <c r="F1708" s="10" t="s">
        <v>4903</v>
      </c>
      <c r="G1708" s="10" t="s">
        <v>4805</v>
      </c>
      <c r="H1708" s="10" t="s">
        <v>4904</v>
      </c>
      <c r="I1708" s="10" t="s">
        <v>4513</v>
      </c>
    </row>
    <row r="1709" spans="1:9" x14ac:dyDescent="0.15">
      <c r="A1709" s="9">
        <v>1708</v>
      </c>
      <c r="B1709" s="10" t="s">
        <v>9</v>
      </c>
      <c r="C1709" s="10" t="s">
        <v>164</v>
      </c>
      <c r="D1709" s="10" t="s">
        <v>165</v>
      </c>
      <c r="E1709" s="11" t="str">
        <f>+HYPERLINK("http://trademark.i-assist.jp/data/china/image_1901th/79058489.pdf", "79058489")</f>
        <v>79058489</v>
      </c>
      <c r="F1709" s="10" t="s">
        <v>4905</v>
      </c>
      <c r="G1709" s="10" t="s">
        <v>4906</v>
      </c>
      <c r="H1709" s="10" t="s">
        <v>4907</v>
      </c>
      <c r="I1709" s="10" t="s">
        <v>4513</v>
      </c>
    </row>
    <row r="1710" spans="1:9" x14ac:dyDescent="0.15">
      <c r="A1710" s="9">
        <v>1709</v>
      </c>
      <c r="B1710" s="10" t="s">
        <v>9</v>
      </c>
      <c r="C1710" s="10" t="s">
        <v>164</v>
      </c>
      <c r="D1710" s="10" t="s">
        <v>165</v>
      </c>
      <c r="E1710" s="11" t="str">
        <f>+HYPERLINK("http://trademark.i-assist.jp/data/china/image_1901th/79058573.pdf", "79058573")</f>
        <v>79058573</v>
      </c>
      <c r="F1710" s="10" t="s">
        <v>4908</v>
      </c>
      <c r="G1710" s="10" t="s">
        <v>4909</v>
      </c>
      <c r="H1710" s="10" t="s">
        <v>4910</v>
      </c>
      <c r="I1710" s="10" t="s">
        <v>4513</v>
      </c>
    </row>
    <row r="1711" spans="1:9" x14ac:dyDescent="0.15">
      <c r="A1711" s="9">
        <v>1710</v>
      </c>
      <c r="B1711" s="10" t="s">
        <v>9</v>
      </c>
      <c r="C1711" s="10" t="s">
        <v>164</v>
      </c>
      <c r="D1711" s="10" t="s">
        <v>165</v>
      </c>
      <c r="E1711" s="11" t="str">
        <f>+HYPERLINK("http://trademark.i-assist.jp/data/china/image_1901th/79058575.pdf", "79058575")</f>
        <v>79058575</v>
      </c>
      <c r="F1711" s="10" t="s">
        <v>4911</v>
      </c>
      <c r="G1711" s="10" t="s">
        <v>4564</v>
      </c>
      <c r="H1711" s="10" t="s">
        <v>4912</v>
      </c>
      <c r="I1711" s="10" t="s">
        <v>4513</v>
      </c>
    </row>
    <row r="1712" spans="1:9" x14ac:dyDescent="0.15">
      <c r="A1712" s="9">
        <v>1711</v>
      </c>
      <c r="B1712" s="10" t="s">
        <v>9</v>
      </c>
      <c r="C1712" s="10" t="s">
        <v>164</v>
      </c>
      <c r="D1712" s="10" t="s">
        <v>165</v>
      </c>
      <c r="E1712" s="11" t="str">
        <f>+HYPERLINK("http://trademark.i-assist.jp/data/china/image_1901th/79058646.pdf", "79058646")</f>
        <v>79058646</v>
      </c>
      <c r="F1712" s="10" t="s">
        <v>4913</v>
      </c>
      <c r="G1712" s="10" t="s">
        <v>4914</v>
      </c>
      <c r="H1712" s="10" t="s">
        <v>4915</v>
      </c>
      <c r="I1712" s="10" t="s">
        <v>4513</v>
      </c>
    </row>
    <row r="1713" spans="1:9" x14ac:dyDescent="0.15">
      <c r="A1713" s="9">
        <v>1712</v>
      </c>
      <c r="B1713" s="10" t="s">
        <v>9</v>
      </c>
      <c r="C1713" s="10" t="s">
        <v>164</v>
      </c>
      <c r="D1713" s="10" t="s">
        <v>165</v>
      </c>
      <c r="E1713" s="11" t="str">
        <f>+HYPERLINK("http://trademark.i-assist.jp/data/china/image_1901th/79058700.pdf", "79058700")</f>
        <v>79058700</v>
      </c>
      <c r="F1713" s="10" t="s">
        <v>4916</v>
      </c>
      <c r="G1713" s="10" t="s">
        <v>4917</v>
      </c>
      <c r="H1713" s="10" t="s">
        <v>4918</v>
      </c>
      <c r="I1713" s="10" t="s">
        <v>4513</v>
      </c>
    </row>
    <row r="1714" spans="1:9" x14ac:dyDescent="0.15">
      <c r="A1714" s="9">
        <v>1713</v>
      </c>
      <c r="B1714" s="10" t="s">
        <v>9</v>
      </c>
      <c r="C1714" s="10" t="s">
        <v>164</v>
      </c>
      <c r="D1714" s="10" t="s">
        <v>165</v>
      </c>
      <c r="E1714" s="11" t="str">
        <f>+HYPERLINK("http://trademark.i-assist.jp/data/china/image_1901th/79058784.pdf", "79058784")</f>
        <v>79058784</v>
      </c>
      <c r="F1714" s="10" t="s">
        <v>12</v>
      </c>
      <c r="G1714" s="10" t="s">
        <v>4717</v>
      </c>
      <c r="H1714" s="10" t="s">
        <v>4919</v>
      </c>
      <c r="I1714" s="10" t="s">
        <v>4513</v>
      </c>
    </row>
    <row r="1715" spans="1:9" x14ac:dyDescent="0.15">
      <c r="A1715" s="9">
        <v>1714</v>
      </c>
      <c r="B1715" s="10" t="s">
        <v>9</v>
      </c>
      <c r="C1715" s="10" t="s">
        <v>164</v>
      </c>
      <c r="D1715" s="10" t="s">
        <v>165</v>
      </c>
      <c r="E1715" s="11" t="str">
        <f>+HYPERLINK("http://trademark.i-assist.jp/data/china/image_1901th/79058870.pdf", "79058870")</f>
        <v>79058870</v>
      </c>
      <c r="F1715" s="10" t="s">
        <v>4920</v>
      </c>
      <c r="G1715" s="10" t="s">
        <v>4921</v>
      </c>
      <c r="H1715" s="10" t="s">
        <v>4922</v>
      </c>
      <c r="I1715" s="10" t="s">
        <v>4513</v>
      </c>
    </row>
    <row r="1716" spans="1:9" x14ac:dyDescent="0.15">
      <c r="A1716" s="9">
        <v>1715</v>
      </c>
      <c r="B1716" s="10" t="s">
        <v>9</v>
      </c>
      <c r="C1716" s="10" t="s">
        <v>164</v>
      </c>
      <c r="D1716" s="10" t="s">
        <v>165</v>
      </c>
      <c r="E1716" s="11" t="str">
        <f>+HYPERLINK("http://trademark.i-assist.jp/data/china/image_1901th/79059327.pdf", "79059327")</f>
        <v>79059327</v>
      </c>
      <c r="F1716" s="10" t="s">
        <v>4923</v>
      </c>
      <c r="G1716" s="10" t="s">
        <v>3841</v>
      </c>
      <c r="H1716" s="10" t="s">
        <v>4924</v>
      </c>
      <c r="I1716" s="10" t="s">
        <v>4513</v>
      </c>
    </row>
    <row r="1717" spans="1:9" x14ac:dyDescent="0.15">
      <c r="A1717" s="9">
        <v>1716</v>
      </c>
      <c r="B1717" s="10" t="s">
        <v>9</v>
      </c>
      <c r="C1717" s="10" t="s">
        <v>164</v>
      </c>
      <c r="D1717" s="10" t="s">
        <v>165</v>
      </c>
      <c r="E1717" s="11" t="str">
        <f>+HYPERLINK("http://trademark.i-assist.jp/data/china/image_1901th/79059373.pdf", "79059373")</f>
        <v>79059373</v>
      </c>
      <c r="F1717" s="10" t="s">
        <v>4925</v>
      </c>
      <c r="G1717" s="10" t="s">
        <v>4926</v>
      </c>
      <c r="H1717" s="10" t="s">
        <v>4927</v>
      </c>
      <c r="I1717" s="10" t="s">
        <v>4513</v>
      </c>
    </row>
    <row r="1718" spans="1:9" x14ac:dyDescent="0.15">
      <c r="A1718" s="9">
        <v>1717</v>
      </c>
      <c r="B1718" s="10" t="s">
        <v>9</v>
      </c>
      <c r="C1718" s="10" t="s">
        <v>164</v>
      </c>
      <c r="D1718" s="10" t="s">
        <v>165</v>
      </c>
      <c r="E1718" s="11" t="str">
        <f>+HYPERLINK("http://trademark.i-assist.jp/data/china/image_1901th/79059542.pdf", "79059542")</f>
        <v>79059542</v>
      </c>
      <c r="F1718" s="10" t="s">
        <v>4928</v>
      </c>
      <c r="G1718" s="10" t="s">
        <v>4929</v>
      </c>
      <c r="H1718" s="10" t="s">
        <v>4930</v>
      </c>
      <c r="I1718" s="10" t="s">
        <v>4513</v>
      </c>
    </row>
    <row r="1719" spans="1:9" x14ac:dyDescent="0.15">
      <c r="A1719" s="9">
        <v>1718</v>
      </c>
      <c r="B1719" s="10" t="s">
        <v>9</v>
      </c>
      <c r="C1719" s="10" t="s">
        <v>164</v>
      </c>
      <c r="D1719" s="10" t="s">
        <v>165</v>
      </c>
      <c r="E1719" s="11" t="str">
        <f>+HYPERLINK("http://trademark.i-assist.jp/data/china/image_1901th/79059596.pdf", "79059596")</f>
        <v>79059596</v>
      </c>
      <c r="F1719" s="10" t="s">
        <v>4931</v>
      </c>
      <c r="G1719" s="10" t="s">
        <v>4932</v>
      </c>
      <c r="H1719" s="10" t="s">
        <v>4933</v>
      </c>
      <c r="I1719" s="10" t="s">
        <v>4513</v>
      </c>
    </row>
    <row r="1720" spans="1:9" x14ac:dyDescent="0.15">
      <c r="A1720" s="9">
        <v>1719</v>
      </c>
      <c r="B1720" s="10" t="s">
        <v>9</v>
      </c>
      <c r="C1720" s="10" t="s">
        <v>164</v>
      </c>
      <c r="D1720" s="10" t="s">
        <v>165</v>
      </c>
      <c r="E1720" s="11" t="str">
        <f>+HYPERLINK("http://trademark.i-assist.jp/data/china/image_1901th/79059732.pdf", "79059732")</f>
        <v>79059732</v>
      </c>
      <c r="F1720" s="10" t="s">
        <v>4934</v>
      </c>
      <c r="G1720" s="10" t="s">
        <v>4935</v>
      </c>
      <c r="H1720" s="10" t="s">
        <v>4936</v>
      </c>
      <c r="I1720" s="10" t="s">
        <v>4513</v>
      </c>
    </row>
    <row r="1721" spans="1:9" x14ac:dyDescent="0.15">
      <c r="A1721" s="9">
        <v>1720</v>
      </c>
      <c r="B1721" s="10" t="s">
        <v>9</v>
      </c>
      <c r="C1721" s="10" t="s">
        <v>164</v>
      </c>
      <c r="D1721" s="10" t="s">
        <v>165</v>
      </c>
      <c r="E1721" s="11" t="str">
        <f>+HYPERLINK("http://trademark.i-assist.jp/data/china/image_1901th/79059800.pdf", "79059800")</f>
        <v>79059800</v>
      </c>
      <c r="F1721" s="10" t="s">
        <v>4937</v>
      </c>
      <c r="G1721" s="10" t="s">
        <v>4938</v>
      </c>
      <c r="H1721" s="10" t="s">
        <v>4939</v>
      </c>
      <c r="I1721" s="10" t="s">
        <v>4513</v>
      </c>
    </row>
    <row r="1722" spans="1:9" x14ac:dyDescent="0.15">
      <c r="A1722" s="9">
        <v>1721</v>
      </c>
      <c r="B1722" s="10" t="s">
        <v>9</v>
      </c>
      <c r="C1722" s="10" t="s">
        <v>164</v>
      </c>
      <c r="D1722" s="10" t="s">
        <v>165</v>
      </c>
      <c r="E1722" s="11" t="str">
        <f>+HYPERLINK("http://trademark.i-assist.jp/data/china/image_1901th/79059876.pdf", "79059876")</f>
        <v>79059876</v>
      </c>
      <c r="F1722" s="10" t="s">
        <v>4940</v>
      </c>
      <c r="G1722" s="10" t="s">
        <v>4941</v>
      </c>
      <c r="H1722" s="10" t="s">
        <v>4942</v>
      </c>
      <c r="I1722" s="10" t="s">
        <v>4513</v>
      </c>
    </row>
    <row r="1723" spans="1:9" x14ac:dyDescent="0.15">
      <c r="A1723" s="9">
        <v>1722</v>
      </c>
      <c r="B1723" s="10" t="s">
        <v>9</v>
      </c>
      <c r="C1723" s="10" t="s">
        <v>164</v>
      </c>
      <c r="D1723" s="10" t="s">
        <v>165</v>
      </c>
      <c r="E1723" s="11" t="str">
        <f>+HYPERLINK("http://trademark.i-assist.jp/data/china/image_1901th/79060014.pdf", "79060014")</f>
        <v>79060014</v>
      </c>
      <c r="F1723" s="10" t="s">
        <v>4943</v>
      </c>
      <c r="G1723" s="10" t="s">
        <v>4944</v>
      </c>
      <c r="H1723" s="10" t="s">
        <v>4945</v>
      </c>
      <c r="I1723" s="10" t="s">
        <v>4513</v>
      </c>
    </row>
    <row r="1724" spans="1:9" x14ac:dyDescent="0.15">
      <c r="A1724" s="9">
        <v>1723</v>
      </c>
      <c r="B1724" s="10" t="s">
        <v>9</v>
      </c>
      <c r="C1724" s="10" t="s">
        <v>164</v>
      </c>
      <c r="D1724" s="10" t="s">
        <v>165</v>
      </c>
      <c r="E1724" s="11" t="str">
        <f>+HYPERLINK("http://trademark.i-assist.jp/data/china/image_1901th/79060138.pdf", "79060138")</f>
        <v>79060138</v>
      </c>
      <c r="F1724" s="10" t="s">
        <v>4946</v>
      </c>
      <c r="G1724" s="10" t="s">
        <v>4034</v>
      </c>
      <c r="H1724" s="10" t="s">
        <v>4947</v>
      </c>
      <c r="I1724" s="10" t="s">
        <v>4513</v>
      </c>
    </row>
    <row r="1725" spans="1:9" x14ac:dyDescent="0.15">
      <c r="A1725" s="9">
        <v>1724</v>
      </c>
      <c r="B1725" s="10" t="s">
        <v>9</v>
      </c>
      <c r="C1725" s="10" t="s">
        <v>164</v>
      </c>
      <c r="D1725" s="10" t="s">
        <v>165</v>
      </c>
      <c r="E1725" s="11" t="str">
        <f>+HYPERLINK("http://trademark.i-assist.jp/data/china/image_1901th/79060293.pdf", "79060293")</f>
        <v>79060293</v>
      </c>
      <c r="F1725" s="10" t="s">
        <v>4948</v>
      </c>
      <c r="G1725" s="10" t="s">
        <v>4805</v>
      </c>
      <c r="H1725" s="10" t="s">
        <v>19</v>
      </c>
      <c r="I1725" s="10" t="s">
        <v>19</v>
      </c>
    </row>
    <row r="1726" spans="1:9" x14ac:dyDescent="0.15">
      <c r="A1726" s="9">
        <v>1725</v>
      </c>
      <c r="B1726" s="10" t="s">
        <v>9</v>
      </c>
      <c r="C1726" s="10" t="s">
        <v>164</v>
      </c>
      <c r="D1726" s="10" t="s">
        <v>165</v>
      </c>
      <c r="E1726" s="11" t="str">
        <f>+HYPERLINK("http://trademark.i-assist.jp/data/china/image_1901th/79060665.pdf", "79060665")</f>
        <v>79060665</v>
      </c>
      <c r="F1726" s="10" t="s">
        <v>4949</v>
      </c>
      <c r="G1726" s="10" t="s">
        <v>4950</v>
      </c>
      <c r="H1726" s="10" t="s">
        <v>4951</v>
      </c>
      <c r="I1726" s="10" t="s">
        <v>4513</v>
      </c>
    </row>
    <row r="1727" spans="1:9" x14ac:dyDescent="0.15">
      <c r="A1727" s="9">
        <v>1726</v>
      </c>
      <c r="B1727" s="10" t="s">
        <v>9</v>
      </c>
      <c r="C1727" s="10" t="s">
        <v>164</v>
      </c>
      <c r="D1727" s="10" t="s">
        <v>165</v>
      </c>
      <c r="E1727" s="11" t="str">
        <f>+HYPERLINK("http://trademark.i-assist.jp/data/china/image_1901th/79060714.pdf", "79060714")</f>
        <v>79060714</v>
      </c>
      <c r="F1727" s="10" t="s">
        <v>4952</v>
      </c>
      <c r="G1727" s="10" t="s">
        <v>4534</v>
      </c>
      <c r="H1727" s="10" t="s">
        <v>4953</v>
      </c>
      <c r="I1727" s="10" t="s">
        <v>4513</v>
      </c>
    </row>
    <row r="1728" spans="1:9" x14ac:dyDescent="0.15">
      <c r="A1728" s="9">
        <v>1727</v>
      </c>
      <c r="B1728" s="10" t="s">
        <v>9</v>
      </c>
      <c r="C1728" s="10" t="s">
        <v>164</v>
      </c>
      <c r="D1728" s="10" t="s">
        <v>165</v>
      </c>
      <c r="E1728" s="11" t="str">
        <f>+HYPERLINK("http://trademark.i-assist.jp/data/china/image_1901th/79060772.pdf", "79060772")</f>
        <v>79060772</v>
      </c>
      <c r="F1728" s="10" t="s">
        <v>4954</v>
      </c>
      <c r="G1728" s="10" t="s">
        <v>4955</v>
      </c>
      <c r="H1728" s="10" t="s">
        <v>4956</v>
      </c>
      <c r="I1728" s="10" t="s">
        <v>4513</v>
      </c>
    </row>
    <row r="1729" spans="1:9" x14ac:dyDescent="0.15">
      <c r="A1729" s="9">
        <v>1728</v>
      </c>
      <c r="B1729" s="10" t="s">
        <v>9</v>
      </c>
      <c r="C1729" s="10" t="s">
        <v>164</v>
      </c>
      <c r="D1729" s="10" t="s">
        <v>165</v>
      </c>
      <c r="E1729" s="11" t="str">
        <f>+HYPERLINK("http://trademark.i-assist.jp/data/china/image_1901th/79060808.pdf", "79060808")</f>
        <v>79060808</v>
      </c>
      <c r="F1729" s="10" t="s">
        <v>4957</v>
      </c>
      <c r="G1729" s="10" t="s">
        <v>4518</v>
      </c>
      <c r="H1729" s="10" t="s">
        <v>4958</v>
      </c>
      <c r="I1729" s="10" t="s">
        <v>4513</v>
      </c>
    </row>
    <row r="1730" spans="1:9" x14ac:dyDescent="0.15">
      <c r="A1730" s="9">
        <v>1729</v>
      </c>
      <c r="B1730" s="10" t="s">
        <v>9</v>
      </c>
      <c r="C1730" s="10" t="s">
        <v>164</v>
      </c>
      <c r="D1730" s="10" t="s">
        <v>165</v>
      </c>
      <c r="E1730" s="11" t="str">
        <f>+HYPERLINK("http://trademark.i-assist.jp/data/china/image_1901th/79060883.pdf", "79060883")</f>
        <v>79060883</v>
      </c>
      <c r="F1730" s="10" t="s">
        <v>4959</v>
      </c>
      <c r="G1730" s="10" t="s">
        <v>132</v>
      </c>
      <c r="H1730" s="10" t="s">
        <v>4960</v>
      </c>
      <c r="I1730" s="10" t="s">
        <v>4513</v>
      </c>
    </row>
    <row r="1731" spans="1:9" x14ac:dyDescent="0.15">
      <c r="A1731" s="9">
        <v>1730</v>
      </c>
      <c r="B1731" s="10" t="s">
        <v>9</v>
      </c>
      <c r="C1731" s="10" t="s">
        <v>164</v>
      </c>
      <c r="D1731" s="10" t="s">
        <v>165</v>
      </c>
      <c r="E1731" s="11" t="str">
        <f>+HYPERLINK("http://trademark.i-assist.jp/data/china/image_1901th/79061391.pdf", "79061391")</f>
        <v>79061391</v>
      </c>
      <c r="F1731" s="10" t="s">
        <v>4961</v>
      </c>
      <c r="G1731" s="10" t="s">
        <v>4962</v>
      </c>
      <c r="H1731" s="10" t="s">
        <v>4963</v>
      </c>
      <c r="I1731" s="10" t="s">
        <v>4513</v>
      </c>
    </row>
    <row r="1732" spans="1:9" x14ac:dyDescent="0.15">
      <c r="A1732" s="9">
        <v>1731</v>
      </c>
      <c r="B1732" s="10" t="s">
        <v>9</v>
      </c>
      <c r="C1732" s="10" t="s">
        <v>164</v>
      </c>
      <c r="D1732" s="10" t="s">
        <v>165</v>
      </c>
      <c r="E1732" s="11" t="str">
        <f>+HYPERLINK("http://trademark.i-assist.jp/data/china/image_1901th/79061466.pdf", "79061466")</f>
        <v>79061466</v>
      </c>
      <c r="F1732" s="10" t="s">
        <v>4964</v>
      </c>
      <c r="G1732" s="10" t="s">
        <v>4965</v>
      </c>
      <c r="H1732" s="10" t="s">
        <v>4966</v>
      </c>
      <c r="I1732" s="10" t="s">
        <v>4513</v>
      </c>
    </row>
    <row r="1733" spans="1:9" x14ac:dyDescent="0.15">
      <c r="A1733" s="9">
        <v>1732</v>
      </c>
      <c r="B1733" s="10" t="s">
        <v>9</v>
      </c>
      <c r="C1733" s="10" t="s">
        <v>164</v>
      </c>
      <c r="D1733" s="10" t="s">
        <v>165</v>
      </c>
      <c r="E1733" s="11" t="str">
        <f>+HYPERLINK("http://trademark.i-assist.jp/data/china/image_1901th/79061655.pdf", "79061655")</f>
        <v>79061655</v>
      </c>
      <c r="F1733" s="10" t="s">
        <v>4967</v>
      </c>
      <c r="G1733" s="10" t="s">
        <v>144</v>
      </c>
      <c r="H1733" s="10" t="s">
        <v>4968</v>
      </c>
      <c r="I1733" s="10" t="s">
        <v>4513</v>
      </c>
    </row>
    <row r="1734" spans="1:9" x14ac:dyDescent="0.15">
      <c r="A1734" s="9">
        <v>1733</v>
      </c>
      <c r="B1734" s="10" t="s">
        <v>9</v>
      </c>
      <c r="C1734" s="10" t="s">
        <v>164</v>
      </c>
      <c r="D1734" s="10" t="s">
        <v>165</v>
      </c>
      <c r="E1734" s="11" t="str">
        <f>+HYPERLINK("http://trademark.i-assist.jp/data/china/image_1901th/79061678.pdf", "79061678")</f>
        <v>79061678</v>
      </c>
      <c r="F1734" s="10" t="s">
        <v>4969</v>
      </c>
      <c r="G1734" s="10" t="s">
        <v>4970</v>
      </c>
      <c r="H1734" s="10" t="s">
        <v>4971</v>
      </c>
      <c r="I1734" s="10" t="s">
        <v>4513</v>
      </c>
    </row>
    <row r="1735" spans="1:9" x14ac:dyDescent="0.15">
      <c r="A1735" s="9">
        <v>1734</v>
      </c>
      <c r="B1735" s="10" t="s">
        <v>9</v>
      </c>
      <c r="C1735" s="10" t="s">
        <v>164</v>
      </c>
      <c r="D1735" s="10" t="s">
        <v>165</v>
      </c>
      <c r="E1735" s="11" t="str">
        <f>+HYPERLINK("http://trademark.i-assist.jp/data/china/image_1901th/79061739.pdf", "79061739")</f>
        <v>79061739</v>
      </c>
      <c r="F1735" s="10" t="s">
        <v>4972</v>
      </c>
      <c r="G1735" s="10" t="s">
        <v>4973</v>
      </c>
      <c r="H1735" s="10" t="s">
        <v>4974</v>
      </c>
      <c r="I1735" s="10" t="s">
        <v>4513</v>
      </c>
    </row>
    <row r="1736" spans="1:9" x14ac:dyDescent="0.15">
      <c r="A1736" s="9">
        <v>1735</v>
      </c>
      <c r="B1736" s="10" t="s">
        <v>9</v>
      </c>
      <c r="C1736" s="10" t="s">
        <v>164</v>
      </c>
      <c r="D1736" s="10" t="s">
        <v>165</v>
      </c>
      <c r="E1736" s="11" t="str">
        <f>+HYPERLINK("http://trademark.i-assist.jp/data/china/image_1901th/79061847.pdf", "79061847")</f>
        <v>79061847</v>
      </c>
      <c r="F1736" s="10" t="s">
        <v>12</v>
      </c>
      <c r="G1736" s="10" t="s">
        <v>108</v>
      </c>
      <c r="H1736" s="10" t="s">
        <v>4975</v>
      </c>
      <c r="I1736" s="10" t="s">
        <v>4513</v>
      </c>
    </row>
    <row r="1737" spans="1:9" x14ac:dyDescent="0.15">
      <c r="A1737" s="9">
        <v>1736</v>
      </c>
      <c r="B1737" s="10" t="s">
        <v>9</v>
      </c>
      <c r="C1737" s="10" t="s">
        <v>164</v>
      </c>
      <c r="D1737" s="10" t="s">
        <v>165</v>
      </c>
      <c r="E1737" s="11" t="str">
        <f>+HYPERLINK("http://trademark.i-assist.jp/data/china/image_1901th/79061915.pdf", "79061915")</f>
        <v>79061915</v>
      </c>
      <c r="F1737" s="10" t="s">
        <v>4976</v>
      </c>
      <c r="G1737" s="10" t="s">
        <v>4748</v>
      </c>
      <c r="H1737" s="10" t="s">
        <v>4977</v>
      </c>
      <c r="I1737" s="10" t="s">
        <v>4513</v>
      </c>
    </row>
    <row r="1738" spans="1:9" x14ac:dyDescent="0.15">
      <c r="A1738" s="9">
        <v>1737</v>
      </c>
      <c r="B1738" s="10" t="s">
        <v>9</v>
      </c>
      <c r="C1738" s="10" t="s">
        <v>164</v>
      </c>
      <c r="D1738" s="10" t="s">
        <v>165</v>
      </c>
      <c r="E1738" s="11" t="str">
        <f>+HYPERLINK("http://trademark.i-assist.jp/data/china/image_1901th/79061927.pdf", "79061927")</f>
        <v>79061927</v>
      </c>
      <c r="F1738" s="10" t="s">
        <v>4978</v>
      </c>
      <c r="G1738" s="10" t="s">
        <v>4979</v>
      </c>
      <c r="H1738" s="10" t="s">
        <v>4980</v>
      </c>
      <c r="I1738" s="10" t="s">
        <v>4513</v>
      </c>
    </row>
    <row r="1739" spans="1:9" x14ac:dyDescent="0.15">
      <c r="A1739" s="9">
        <v>1738</v>
      </c>
      <c r="B1739" s="10" t="s">
        <v>9</v>
      </c>
      <c r="C1739" s="10" t="s">
        <v>164</v>
      </c>
      <c r="D1739" s="10" t="s">
        <v>165</v>
      </c>
      <c r="E1739" s="11" t="str">
        <f>+HYPERLINK("http://trademark.i-assist.jp/data/china/image_1901th/79061954.pdf", "79061954")</f>
        <v>79061954</v>
      </c>
      <c r="F1739" s="10" t="s">
        <v>4981</v>
      </c>
      <c r="G1739" s="10" t="s">
        <v>4935</v>
      </c>
      <c r="H1739" s="10" t="s">
        <v>4982</v>
      </c>
      <c r="I1739" s="10" t="s">
        <v>4513</v>
      </c>
    </row>
    <row r="1740" spans="1:9" x14ac:dyDescent="0.15">
      <c r="A1740" s="9">
        <v>1739</v>
      </c>
      <c r="B1740" s="10" t="s">
        <v>9</v>
      </c>
      <c r="C1740" s="10" t="s">
        <v>164</v>
      </c>
      <c r="D1740" s="10" t="s">
        <v>165</v>
      </c>
      <c r="E1740" s="11" t="str">
        <f>+HYPERLINK("http://trademark.i-assist.jp/data/china/image_1901th/79062221.pdf", "79062221")</f>
        <v>79062221</v>
      </c>
      <c r="F1740" s="10" t="s">
        <v>4983</v>
      </c>
      <c r="G1740" s="10" t="s">
        <v>4760</v>
      </c>
      <c r="H1740" s="10" t="s">
        <v>4984</v>
      </c>
      <c r="I1740" s="10" t="s">
        <v>4513</v>
      </c>
    </row>
    <row r="1741" spans="1:9" x14ac:dyDescent="0.15">
      <c r="A1741" s="9">
        <v>1740</v>
      </c>
      <c r="B1741" s="10" t="s">
        <v>9</v>
      </c>
      <c r="C1741" s="10" t="s">
        <v>164</v>
      </c>
      <c r="D1741" s="10" t="s">
        <v>165</v>
      </c>
      <c r="E1741" s="11" t="str">
        <f>+HYPERLINK("http://trademark.i-assist.jp/data/china/image_1901th/79062404.pdf", "79062404")</f>
        <v>79062404</v>
      </c>
      <c r="F1741" s="10" t="s">
        <v>4985</v>
      </c>
      <c r="G1741" s="10" t="s">
        <v>72</v>
      </c>
      <c r="H1741" s="10" t="s">
        <v>4986</v>
      </c>
      <c r="I1741" s="10" t="s">
        <v>4513</v>
      </c>
    </row>
    <row r="1742" spans="1:9" x14ac:dyDescent="0.15">
      <c r="A1742" s="9">
        <v>1741</v>
      </c>
      <c r="B1742" s="10" t="s">
        <v>9</v>
      </c>
      <c r="C1742" s="10" t="s">
        <v>164</v>
      </c>
      <c r="D1742" s="10" t="s">
        <v>165</v>
      </c>
      <c r="E1742" s="11" t="str">
        <f>+HYPERLINK("http://trademark.i-assist.jp/data/china/image_1901th/79062660.pdf", "79062660")</f>
        <v>79062660</v>
      </c>
      <c r="F1742" s="10" t="s">
        <v>4987</v>
      </c>
      <c r="G1742" s="10" t="s">
        <v>4669</v>
      </c>
      <c r="H1742" s="10" t="s">
        <v>4988</v>
      </c>
      <c r="I1742" s="10" t="s">
        <v>4513</v>
      </c>
    </row>
    <row r="1743" spans="1:9" x14ac:dyDescent="0.15">
      <c r="A1743" s="9">
        <v>1742</v>
      </c>
      <c r="B1743" s="10" t="s">
        <v>9</v>
      </c>
      <c r="C1743" s="10" t="s">
        <v>164</v>
      </c>
      <c r="D1743" s="10" t="s">
        <v>165</v>
      </c>
      <c r="E1743" s="11" t="str">
        <f>+HYPERLINK("http://trademark.i-assist.jp/data/china/image_1901th/79062703.pdf", "79062703")</f>
        <v>79062703</v>
      </c>
      <c r="F1743" s="10" t="s">
        <v>4989</v>
      </c>
      <c r="G1743" s="10" t="s">
        <v>4990</v>
      </c>
      <c r="H1743" s="10" t="s">
        <v>4991</v>
      </c>
      <c r="I1743" s="10" t="s">
        <v>4513</v>
      </c>
    </row>
    <row r="1744" spans="1:9" x14ac:dyDescent="0.15">
      <c r="A1744" s="9">
        <v>1743</v>
      </c>
      <c r="B1744" s="10" t="s">
        <v>9</v>
      </c>
      <c r="C1744" s="10" t="s">
        <v>164</v>
      </c>
      <c r="D1744" s="10" t="s">
        <v>165</v>
      </c>
      <c r="E1744" s="11" t="str">
        <f>+HYPERLINK("http://trademark.i-assist.jp/data/china/image_1901th/79062712.pdf", "79062712")</f>
        <v>79062712</v>
      </c>
      <c r="F1744" s="10" t="s">
        <v>4992</v>
      </c>
      <c r="G1744" s="10" t="s">
        <v>4993</v>
      </c>
      <c r="H1744" s="10" t="s">
        <v>4994</v>
      </c>
      <c r="I1744" s="10" t="s">
        <v>4513</v>
      </c>
    </row>
    <row r="1745" spans="1:9" x14ac:dyDescent="0.15">
      <c r="A1745" s="9">
        <v>1744</v>
      </c>
      <c r="B1745" s="10" t="s">
        <v>9</v>
      </c>
      <c r="C1745" s="10" t="s">
        <v>164</v>
      </c>
      <c r="D1745" s="10" t="s">
        <v>165</v>
      </c>
      <c r="E1745" s="11" t="str">
        <f>+HYPERLINK("http://trademark.i-assist.jp/data/china/image_1901th/79062774.pdf", "79062774")</f>
        <v>79062774</v>
      </c>
      <c r="F1745" s="10" t="s">
        <v>4634</v>
      </c>
      <c r="G1745" s="10" t="s">
        <v>4635</v>
      </c>
      <c r="H1745" s="10" t="s">
        <v>4995</v>
      </c>
      <c r="I1745" s="10" t="s">
        <v>4513</v>
      </c>
    </row>
    <row r="1746" spans="1:9" x14ac:dyDescent="0.15">
      <c r="A1746" s="9">
        <v>1745</v>
      </c>
      <c r="B1746" s="10" t="s">
        <v>9</v>
      </c>
      <c r="C1746" s="10" t="s">
        <v>164</v>
      </c>
      <c r="D1746" s="10" t="s">
        <v>165</v>
      </c>
      <c r="E1746" s="11" t="str">
        <f>+HYPERLINK("http://trademark.i-assist.jp/data/china/image_1901th/79062780.pdf", "79062780")</f>
        <v>79062780</v>
      </c>
      <c r="F1746" s="10" t="s">
        <v>4996</v>
      </c>
      <c r="G1746" s="10" t="s">
        <v>4711</v>
      </c>
      <c r="H1746" s="10" t="s">
        <v>4997</v>
      </c>
      <c r="I1746" s="10" t="s">
        <v>4513</v>
      </c>
    </row>
    <row r="1747" spans="1:9" x14ac:dyDescent="0.15">
      <c r="A1747" s="9">
        <v>1746</v>
      </c>
      <c r="B1747" s="10" t="s">
        <v>9</v>
      </c>
      <c r="C1747" s="10" t="s">
        <v>164</v>
      </c>
      <c r="D1747" s="10" t="s">
        <v>165</v>
      </c>
      <c r="E1747" s="11" t="str">
        <f>+HYPERLINK("http://trademark.i-assist.jp/data/china/image_1901th/79062975.pdf", "79062975")</f>
        <v>79062975</v>
      </c>
      <c r="F1747" s="10" t="s">
        <v>4998</v>
      </c>
      <c r="G1747" s="10" t="s">
        <v>4408</v>
      </c>
      <c r="H1747" s="10" t="s">
        <v>4999</v>
      </c>
      <c r="I1747" s="10" t="s">
        <v>4513</v>
      </c>
    </row>
    <row r="1748" spans="1:9" x14ac:dyDescent="0.15">
      <c r="A1748" s="9">
        <v>1747</v>
      </c>
      <c r="B1748" s="10" t="s">
        <v>9</v>
      </c>
      <c r="C1748" s="10" t="s">
        <v>164</v>
      </c>
      <c r="D1748" s="10" t="s">
        <v>165</v>
      </c>
      <c r="E1748" s="11" t="str">
        <f>+HYPERLINK("http://trademark.i-assist.jp/data/china/image_1901th/79063159.pdf", "79063159")</f>
        <v>79063159</v>
      </c>
      <c r="F1748" s="10" t="s">
        <v>5000</v>
      </c>
      <c r="G1748" s="10" t="s">
        <v>5001</v>
      </c>
      <c r="H1748" s="10" t="s">
        <v>5002</v>
      </c>
      <c r="I1748" s="10" t="s">
        <v>4513</v>
      </c>
    </row>
    <row r="1749" spans="1:9" x14ac:dyDescent="0.15">
      <c r="A1749" s="9">
        <v>1748</v>
      </c>
      <c r="B1749" s="10" t="s">
        <v>9</v>
      </c>
      <c r="C1749" s="10" t="s">
        <v>164</v>
      </c>
      <c r="D1749" s="10" t="s">
        <v>165</v>
      </c>
      <c r="E1749" s="11" t="str">
        <f>+HYPERLINK("http://trademark.i-assist.jp/data/china/image_1901th/79063206.pdf", "79063206")</f>
        <v>79063206</v>
      </c>
      <c r="F1749" s="10" t="s">
        <v>5003</v>
      </c>
      <c r="G1749" s="10" t="s">
        <v>5004</v>
      </c>
      <c r="H1749" s="10" t="s">
        <v>5005</v>
      </c>
      <c r="I1749" s="10" t="s">
        <v>4513</v>
      </c>
    </row>
    <row r="1750" spans="1:9" x14ac:dyDescent="0.15">
      <c r="A1750" s="9">
        <v>1749</v>
      </c>
      <c r="B1750" s="10" t="s">
        <v>9</v>
      </c>
      <c r="C1750" s="10" t="s">
        <v>164</v>
      </c>
      <c r="D1750" s="10" t="s">
        <v>165</v>
      </c>
      <c r="E1750" s="11" t="str">
        <f>+HYPERLINK("http://trademark.i-assist.jp/data/china/image_1901th/79063218.pdf", "79063218")</f>
        <v>79063218</v>
      </c>
      <c r="F1750" s="10" t="s">
        <v>5006</v>
      </c>
      <c r="G1750" s="10" t="s">
        <v>74</v>
      </c>
      <c r="H1750" s="10" t="s">
        <v>5007</v>
      </c>
      <c r="I1750" s="10" t="s">
        <v>4513</v>
      </c>
    </row>
    <row r="1751" spans="1:9" x14ac:dyDescent="0.15">
      <c r="A1751" s="9">
        <v>1750</v>
      </c>
      <c r="B1751" s="10" t="s">
        <v>9</v>
      </c>
      <c r="C1751" s="10" t="s">
        <v>164</v>
      </c>
      <c r="D1751" s="10" t="s">
        <v>165</v>
      </c>
      <c r="E1751" s="11" t="str">
        <f>+HYPERLINK("http://trademark.i-assist.jp/data/china/image_1901th/79063311.pdf", "79063311")</f>
        <v>79063311</v>
      </c>
      <c r="F1751" s="10" t="s">
        <v>5008</v>
      </c>
      <c r="G1751" s="10" t="s">
        <v>4201</v>
      </c>
      <c r="H1751" s="10" t="s">
        <v>19</v>
      </c>
      <c r="I1751" s="10" t="s">
        <v>19</v>
      </c>
    </row>
    <row r="1752" spans="1:9" x14ac:dyDescent="0.15">
      <c r="A1752" s="9">
        <v>1751</v>
      </c>
      <c r="B1752" s="10" t="s">
        <v>9</v>
      </c>
      <c r="C1752" s="10" t="s">
        <v>164</v>
      </c>
      <c r="D1752" s="10" t="s">
        <v>165</v>
      </c>
      <c r="E1752" s="11" t="str">
        <f>+HYPERLINK("http://trademark.i-assist.jp/data/china/image_1901th/79063438.pdf", "79063438")</f>
        <v>79063438</v>
      </c>
      <c r="F1752" s="10" t="s">
        <v>5009</v>
      </c>
      <c r="G1752" s="10" t="s">
        <v>5010</v>
      </c>
      <c r="H1752" s="10" t="s">
        <v>5011</v>
      </c>
      <c r="I1752" s="10" t="s">
        <v>4513</v>
      </c>
    </row>
    <row r="1753" spans="1:9" x14ac:dyDescent="0.15">
      <c r="A1753" s="9">
        <v>1752</v>
      </c>
      <c r="B1753" s="10" t="s">
        <v>9</v>
      </c>
      <c r="C1753" s="10" t="s">
        <v>164</v>
      </c>
      <c r="D1753" s="10" t="s">
        <v>165</v>
      </c>
      <c r="E1753" s="11" t="str">
        <f>+HYPERLINK("http://trademark.i-assist.jp/data/china/image_1901th/79063569.pdf", "79063569")</f>
        <v>79063569</v>
      </c>
      <c r="F1753" s="10" t="s">
        <v>12</v>
      </c>
      <c r="G1753" s="10" t="s">
        <v>1757</v>
      </c>
      <c r="H1753" s="10" t="s">
        <v>5012</v>
      </c>
      <c r="I1753" s="10" t="s">
        <v>4513</v>
      </c>
    </row>
    <row r="1754" spans="1:9" x14ac:dyDescent="0.15">
      <c r="A1754" s="9">
        <v>1753</v>
      </c>
      <c r="B1754" s="10" t="s">
        <v>9</v>
      </c>
      <c r="C1754" s="10" t="s">
        <v>164</v>
      </c>
      <c r="D1754" s="10" t="s">
        <v>165</v>
      </c>
      <c r="E1754" s="11" t="str">
        <f>+HYPERLINK("http://trademark.i-assist.jp/data/china/image_1901th/79063680.pdf", "79063680")</f>
        <v>79063680</v>
      </c>
      <c r="F1754" s="10" t="s">
        <v>12</v>
      </c>
      <c r="G1754" s="10" t="s">
        <v>5013</v>
      </c>
      <c r="H1754" s="10" t="s">
        <v>5014</v>
      </c>
      <c r="I1754" s="10" t="s">
        <v>5015</v>
      </c>
    </row>
    <row r="1755" spans="1:9" x14ac:dyDescent="0.15">
      <c r="A1755" s="9">
        <v>1754</v>
      </c>
      <c r="B1755" s="10" t="s">
        <v>9</v>
      </c>
      <c r="C1755" s="10" t="s">
        <v>164</v>
      </c>
      <c r="D1755" s="10" t="s">
        <v>165</v>
      </c>
      <c r="E1755" s="11" t="str">
        <f>+HYPERLINK("http://trademark.i-assist.jp/data/china/image_1901th/79063703.pdf", "79063703")</f>
        <v>79063703</v>
      </c>
      <c r="F1755" s="10" t="s">
        <v>5016</v>
      </c>
      <c r="G1755" s="10" t="s">
        <v>5017</v>
      </c>
      <c r="H1755" s="10" t="s">
        <v>5018</v>
      </c>
      <c r="I1755" s="10" t="s">
        <v>5015</v>
      </c>
    </row>
    <row r="1756" spans="1:9" x14ac:dyDescent="0.15">
      <c r="A1756" s="9">
        <v>1755</v>
      </c>
      <c r="B1756" s="10" t="s">
        <v>9</v>
      </c>
      <c r="C1756" s="10" t="s">
        <v>164</v>
      </c>
      <c r="D1756" s="10" t="s">
        <v>165</v>
      </c>
      <c r="E1756" s="11" t="str">
        <f>+HYPERLINK("http://trademark.i-assist.jp/data/china/image_1901th/79063713.pdf", "79063713")</f>
        <v>79063713</v>
      </c>
      <c r="F1756" s="10" t="s">
        <v>5019</v>
      </c>
      <c r="G1756" s="10" t="s">
        <v>5020</v>
      </c>
      <c r="H1756" s="10" t="s">
        <v>5021</v>
      </c>
      <c r="I1756" s="10" t="s">
        <v>5015</v>
      </c>
    </row>
    <row r="1757" spans="1:9" x14ac:dyDescent="0.15">
      <c r="A1757" s="9">
        <v>1756</v>
      </c>
      <c r="B1757" s="10" t="s">
        <v>9</v>
      </c>
      <c r="C1757" s="10" t="s">
        <v>164</v>
      </c>
      <c r="D1757" s="10" t="s">
        <v>165</v>
      </c>
      <c r="E1757" s="11" t="str">
        <f>+HYPERLINK("http://trademark.i-assist.jp/data/china/image_1901th/79063731.pdf", "79063731")</f>
        <v>79063731</v>
      </c>
      <c r="F1757" s="10" t="s">
        <v>5022</v>
      </c>
      <c r="G1757" s="10" t="s">
        <v>5023</v>
      </c>
      <c r="H1757" s="10" t="s">
        <v>5024</v>
      </c>
      <c r="I1757" s="10" t="s">
        <v>5015</v>
      </c>
    </row>
    <row r="1758" spans="1:9" x14ac:dyDescent="0.15">
      <c r="A1758" s="9">
        <v>1757</v>
      </c>
      <c r="B1758" s="10" t="s">
        <v>9</v>
      </c>
      <c r="C1758" s="10" t="s">
        <v>164</v>
      </c>
      <c r="D1758" s="10" t="s">
        <v>165</v>
      </c>
      <c r="E1758" s="11" t="str">
        <f>+HYPERLINK("http://trademark.i-assist.jp/data/china/image_1901th/79063845.pdf", "79063845")</f>
        <v>79063845</v>
      </c>
      <c r="F1758" s="10" t="s">
        <v>5025</v>
      </c>
      <c r="G1758" s="10" t="s">
        <v>5026</v>
      </c>
      <c r="H1758" s="10" t="s">
        <v>5027</v>
      </c>
      <c r="I1758" s="10" t="s">
        <v>5015</v>
      </c>
    </row>
    <row r="1759" spans="1:9" x14ac:dyDescent="0.15">
      <c r="A1759" s="9">
        <v>1758</v>
      </c>
      <c r="B1759" s="10" t="s">
        <v>9</v>
      </c>
      <c r="C1759" s="10" t="s">
        <v>164</v>
      </c>
      <c r="D1759" s="10" t="s">
        <v>165</v>
      </c>
      <c r="E1759" s="11" t="str">
        <f>+HYPERLINK("http://trademark.i-assist.jp/data/china/image_1901th/79063863.pdf", "79063863")</f>
        <v>79063863</v>
      </c>
      <c r="F1759" s="10" t="s">
        <v>5028</v>
      </c>
      <c r="G1759" s="10" t="s">
        <v>5029</v>
      </c>
      <c r="H1759" s="10" t="s">
        <v>5030</v>
      </c>
      <c r="I1759" s="10" t="s">
        <v>5015</v>
      </c>
    </row>
    <row r="1760" spans="1:9" x14ac:dyDescent="0.15">
      <c r="A1760" s="9">
        <v>1759</v>
      </c>
      <c r="B1760" s="10" t="s">
        <v>9</v>
      </c>
      <c r="C1760" s="10" t="s">
        <v>164</v>
      </c>
      <c r="D1760" s="10" t="s">
        <v>165</v>
      </c>
      <c r="E1760" s="11" t="str">
        <f>+HYPERLINK("http://trademark.i-assist.jp/data/china/image_1901th/79063876.pdf", "79063876")</f>
        <v>79063876</v>
      </c>
      <c r="F1760" s="10" t="s">
        <v>5031</v>
      </c>
      <c r="G1760" s="10" t="s">
        <v>5032</v>
      </c>
      <c r="H1760" s="10" t="s">
        <v>5033</v>
      </c>
      <c r="I1760" s="10" t="s">
        <v>5015</v>
      </c>
    </row>
    <row r="1761" spans="1:9" x14ac:dyDescent="0.15">
      <c r="A1761" s="9">
        <v>1760</v>
      </c>
      <c r="B1761" s="10" t="s">
        <v>9</v>
      </c>
      <c r="C1761" s="10" t="s">
        <v>164</v>
      </c>
      <c r="D1761" s="10" t="s">
        <v>165</v>
      </c>
      <c r="E1761" s="11" t="str">
        <f>+HYPERLINK("http://trademark.i-assist.jp/data/china/image_1901th/79063972.pdf", "79063972")</f>
        <v>79063972</v>
      </c>
      <c r="F1761" s="10" t="s">
        <v>5034</v>
      </c>
      <c r="G1761" s="10" t="s">
        <v>5035</v>
      </c>
      <c r="H1761" s="10" t="s">
        <v>5036</v>
      </c>
      <c r="I1761" s="10" t="s">
        <v>5015</v>
      </c>
    </row>
    <row r="1762" spans="1:9" x14ac:dyDescent="0.15">
      <c r="A1762" s="9">
        <v>1761</v>
      </c>
      <c r="B1762" s="10" t="s">
        <v>9</v>
      </c>
      <c r="C1762" s="10" t="s">
        <v>164</v>
      </c>
      <c r="D1762" s="10" t="s">
        <v>165</v>
      </c>
      <c r="E1762" s="11" t="str">
        <f>+HYPERLINK("http://trademark.i-assist.jp/data/china/image_1901th/79063997.pdf", "79063997")</f>
        <v>79063997</v>
      </c>
      <c r="F1762" s="10" t="s">
        <v>5037</v>
      </c>
      <c r="G1762" s="10" t="s">
        <v>5038</v>
      </c>
      <c r="H1762" s="10" t="s">
        <v>5039</v>
      </c>
      <c r="I1762" s="10" t="s">
        <v>5015</v>
      </c>
    </row>
    <row r="1763" spans="1:9" x14ac:dyDescent="0.15">
      <c r="A1763" s="9">
        <v>1762</v>
      </c>
      <c r="B1763" s="10" t="s">
        <v>9</v>
      </c>
      <c r="C1763" s="10" t="s">
        <v>164</v>
      </c>
      <c r="D1763" s="10" t="s">
        <v>165</v>
      </c>
      <c r="E1763" s="11" t="str">
        <f>+HYPERLINK("http://trademark.i-assist.jp/data/china/image_1901th/79064100.pdf", "79064100")</f>
        <v>79064100</v>
      </c>
      <c r="F1763" s="10" t="s">
        <v>5040</v>
      </c>
      <c r="G1763" s="10" t="s">
        <v>5041</v>
      </c>
      <c r="H1763" s="10" t="s">
        <v>5042</v>
      </c>
      <c r="I1763" s="10" t="s">
        <v>5015</v>
      </c>
    </row>
    <row r="1764" spans="1:9" x14ac:dyDescent="0.15">
      <c r="A1764" s="9">
        <v>1763</v>
      </c>
      <c r="B1764" s="10" t="s">
        <v>9</v>
      </c>
      <c r="C1764" s="10" t="s">
        <v>164</v>
      </c>
      <c r="D1764" s="10" t="s">
        <v>165</v>
      </c>
      <c r="E1764" s="11" t="str">
        <f>+HYPERLINK("http://trademark.i-assist.jp/data/china/image_1901th/79064303.pdf", "79064303")</f>
        <v>79064303</v>
      </c>
      <c r="F1764" s="10" t="s">
        <v>5043</v>
      </c>
      <c r="G1764" s="10" t="s">
        <v>5044</v>
      </c>
      <c r="H1764" s="10" t="s">
        <v>5045</v>
      </c>
      <c r="I1764" s="10" t="s">
        <v>5015</v>
      </c>
    </row>
    <row r="1765" spans="1:9" x14ac:dyDescent="0.15">
      <c r="A1765" s="9">
        <v>1764</v>
      </c>
      <c r="B1765" s="10" t="s">
        <v>9</v>
      </c>
      <c r="C1765" s="10" t="s">
        <v>164</v>
      </c>
      <c r="D1765" s="10" t="s">
        <v>165</v>
      </c>
      <c r="E1765" s="11" t="str">
        <f>+HYPERLINK("http://trademark.i-assist.jp/data/china/image_1901th/79064325.pdf", "79064325")</f>
        <v>79064325</v>
      </c>
      <c r="F1765" s="10" t="s">
        <v>5046</v>
      </c>
      <c r="G1765" s="10" t="s">
        <v>3017</v>
      </c>
      <c r="H1765" s="10" t="s">
        <v>5047</v>
      </c>
      <c r="I1765" s="10" t="s">
        <v>5015</v>
      </c>
    </row>
    <row r="1766" spans="1:9" x14ac:dyDescent="0.15">
      <c r="A1766" s="9">
        <v>1765</v>
      </c>
      <c r="B1766" s="10" t="s">
        <v>9</v>
      </c>
      <c r="C1766" s="10" t="s">
        <v>164</v>
      </c>
      <c r="D1766" s="10" t="s">
        <v>165</v>
      </c>
      <c r="E1766" s="11" t="str">
        <f>+HYPERLINK("http://trademark.i-assist.jp/data/china/image_1901th/79064516.pdf", "79064516")</f>
        <v>79064516</v>
      </c>
      <c r="F1766" s="10" t="s">
        <v>5048</v>
      </c>
      <c r="G1766" s="10" t="s">
        <v>5049</v>
      </c>
      <c r="H1766" s="10" t="s">
        <v>5050</v>
      </c>
      <c r="I1766" s="10" t="s">
        <v>5015</v>
      </c>
    </row>
    <row r="1767" spans="1:9" x14ac:dyDescent="0.15">
      <c r="A1767" s="9">
        <v>1766</v>
      </c>
      <c r="B1767" s="10" t="s">
        <v>9</v>
      </c>
      <c r="C1767" s="10" t="s">
        <v>164</v>
      </c>
      <c r="D1767" s="10" t="s">
        <v>165</v>
      </c>
      <c r="E1767" s="11" t="str">
        <f>+HYPERLINK("http://trademark.i-assist.jp/data/china/image_1901th/79064550.pdf", "79064550")</f>
        <v>79064550</v>
      </c>
      <c r="F1767" s="10" t="s">
        <v>5051</v>
      </c>
      <c r="G1767" s="10" t="s">
        <v>5052</v>
      </c>
      <c r="H1767" s="10" t="s">
        <v>5053</v>
      </c>
      <c r="I1767" s="10" t="s">
        <v>5015</v>
      </c>
    </row>
    <row r="1768" spans="1:9" x14ac:dyDescent="0.15">
      <c r="A1768" s="9">
        <v>1767</v>
      </c>
      <c r="B1768" s="10" t="s">
        <v>9</v>
      </c>
      <c r="C1768" s="10" t="s">
        <v>164</v>
      </c>
      <c r="D1768" s="10" t="s">
        <v>165</v>
      </c>
      <c r="E1768" s="11" t="str">
        <f>+HYPERLINK("http://trademark.i-assist.jp/data/china/image_1901th/79064621.pdf", "79064621")</f>
        <v>79064621</v>
      </c>
      <c r="F1768" s="10" t="s">
        <v>5054</v>
      </c>
      <c r="G1768" s="10" t="s">
        <v>91</v>
      </c>
      <c r="H1768" s="10" t="s">
        <v>5055</v>
      </c>
      <c r="I1768" s="10" t="s">
        <v>5015</v>
      </c>
    </row>
    <row r="1769" spans="1:9" x14ac:dyDescent="0.15">
      <c r="A1769" s="9">
        <v>1768</v>
      </c>
      <c r="B1769" s="10" t="s">
        <v>9</v>
      </c>
      <c r="C1769" s="10" t="s">
        <v>164</v>
      </c>
      <c r="D1769" s="10" t="s">
        <v>165</v>
      </c>
      <c r="E1769" s="11" t="str">
        <f>+HYPERLINK("http://trademark.i-assist.jp/data/china/image_1901th/79065127.pdf", "79065127")</f>
        <v>79065127</v>
      </c>
      <c r="F1769" s="10" t="s">
        <v>5056</v>
      </c>
      <c r="G1769" s="10" t="s">
        <v>5057</v>
      </c>
      <c r="H1769" s="10" t="s">
        <v>5058</v>
      </c>
      <c r="I1769" s="10" t="s">
        <v>5015</v>
      </c>
    </row>
    <row r="1770" spans="1:9" x14ac:dyDescent="0.15">
      <c r="A1770" s="9">
        <v>1769</v>
      </c>
      <c r="B1770" s="10" t="s">
        <v>9</v>
      </c>
      <c r="C1770" s="10" t="s">
        <v>164</v>
      </c>
      <c r="D1770" s="10" t="s">
        <v>165</v>
      </c>
      <c r="E1770" s="11" t="str">
        <f>+HYPERLINK("http://trademark.i-assist.jp/data/china/image_1901th/79065282.pdf", "79065282")</f>
        <v>79065282</v>
      </c>
      <c r="F1770" s="10" t="s">
        <v>5059</v>
      </c>
      <c r="G1770" s="10" t="s">
        <v>5060</v>
      </c>
      <c r="H1770" s="10" t="s">
        <v>5061</v>
      </c>
      <c r="I1770" s="10" t="s">
        <v>5015</v>
      </c>
    </row>
    <row r="1771" spans="1:9" x14ac:dyDescent="0.15">
      <c r="A1771" s="9">
        <v>1770</v>
      </c>
      <c r="B1771" s="10" t="s">
        <v>9</v>
      </c>
      <c r="C1771" s="10" t="s">
        <v>164</v>
      </c>
      <c r="D1771" s="10" t="s">
        <v>165</v>
      </c>
      <c r="E1771" s="11" t="str">
        <f>+HYPERLINK("http://trademark.i-assist.jp/data/china/image_1901th/79065337.pdf", "79065337")</f>
        <v>79065337</v>
      </c>
      <c r="F1771" s="10" t="s">
        <v>5062</v>
      </c>
      <c r="G1771" s="10" t="s">
        <v>5063</v>
      </c>
      <c r="H1771" s="10" t="s">
        <v>5064</v>
      </c>
      <c r="I1771" s="10" t="s">
        <v>5015</v>
      </c>
    </row>
    <row r="1772" spans="1:9" x14ac:dyDescent="0.15">
      <c r="A1772" s="9">
        <v>1771</v>
      </c>
      <c r="B1772" s="10" t="s">
        <v>9</v>
      </c>
      <c r="C1772" s="10" t="s">
        <v>164</v>
      </c>
      <c r="D1772" s="10" t="s">
        <v>165</v>
      </c>
      <c r="E1772" s="11" t="str">
        <f>+HYPERLINK("http://trademark.i-assist.jp/data/china/image_1901th/79065512.pdf", "79065512")</f>
        <v>79065512</v>
      </c>
      <c r="F1772" s="10" t="s">
        <v>5065</v>
      </c>
      <c r="G1772" s="10" t="s">
        <v>5066</v>
      </c>
      <c r="H1772" s="10" t="s">
        <v>5067</v>
      </c>
      <c r="I1772" s="10" t="s">
        <v>5015</v>
      </c>
    </row>
    <row r="1773" spans="1:9" x14ac:dyDescent="0.15">
      <c r="A1773" s="9">
        <v>1772</v>
      </c>
      <c r="B1773" s="10" t="s">
        <v>9</v>
      </c>
      <c r="C1773" s="10" t="s">
        <v>164</v>
      </c>
      <c r="D1773" s="10" t="s">
        <v>165</v>
      </c>
      <c r="E1773" s="11" t="str">
        <f>+HYPERLINK("http://trademark.i-assist.jp/data/china/image_1901th/79065575.pdf", "79065575")</f>
        <v>79065575</v>
      </c>
      <c r="F1773" s="10" t="s">
        <v>5068</v>
      </c>
      <c r="G1773" s="10" t="s">
        <v>5069</v>
      </c>
      <c r="H1773" s="10" t="s">
        <v>5070</v>
      </c>
      <c r="I1773" s="10" t="s">
        <v>5015</v>
      </c>
    </row>
    <row r="1774" spans="1:9" x14ac:dyDescent="0.15">
      <c r="A1774" s="9">
        <v>1773</v>
      </c>
      <c r="B1774" s="10" t="s">
        <v>9</v>
      </c>
      <c r="C1774" s="10" t="s">
        <v>164</v>
      </c>
      <c r="D1774" s="10" t="s">
        <v>165</v>
      </c>
      <c r="E1774" s="11" t="str">
        <f>+HYPERLINK("http://trademark.i-assist.jp/data/china/image_1901th/79065838.pdf", "79065838")</f>
        <v>79065838</v>
      </c>
      <c r="F1774" s="10" t="s">
        <v>5071</v>
      </c>
      <c r="G1774" s="10" t="s">
        <v>5041</v>
      </c>
      <c r="H1774" s="10" t="s">
        <v>19</v>
      </c>
      <c r="I1774" s="10" t="s">
        <v>19</v>
      </c>
    </row>
    <row r="1775" spans="1:9" x14ac:dyDescent="0.15">
      <c r="A1775" s="9">
        <v>1774</v>
      </c>
      <c r="B1775" s="10" t="s">
        <v>9</v>
      </c>
      <c r="C1775" s="10" t="s">
        <v>164</v>
      </c>
      <c r="D1775" s="10" t="s">
        <v>165</v>
      </c>
      <c r="E1775" s="11" t="str">
        <f>+HYPERLINK("http://trademark.i-assist.jp/data/china/image_1901th/79065908.pdf", "79065908")</f>
        <v>79065908</v>
      </c>
      <c r="F1775" s="10" t="s">
        <v>5072</v>
      </c>
      <c r="G1775" s="10" t="s">
        <v>5073</v>
      </c>
      <c r="H1775" s="10" t="s">
        <v>5074</v>
      </c>
      <c r="I1775" s="10" t="s">
        <v>5015</v>
      </c>
    </row>
    <row r="1776" spans="1:9" x14ac:dyDescent="0.15">
      <c r="A1776" s="9">
        <v>1775</v>
      </c>
      <c r="B1776" s="10" t="s">
        <v>9</v>
      </c>
      <c r="C1776" s="10" t="s">
        <v>164</v>
      </c>
      <c r="D1776" s="10" t="s">
        <v>165</v>
      </c>
      <c r="E1776" s="11" t="str">
        <f>+HYPERLINK("http://trademark.i-assist.jp/data/china/image_1901th/79065934.pdf", "79065934")</f>
        <v>79065934</v>
      </c>
      <c r="F1776" s="10" t="s">
        <v>5075</v>
      </c>
      <c r="G1776" s="10" t="s">
        <v>5076</v>
      </c>
      <c r="H1776" s="10" t="s">
        <v>5077</v>
      </c>
      <c r="I1776" s="10" t="s">
        <v>5015</v>
      </c>
    </row>
    <row r="1777" spans="1:9" x14ac:dyDescent="0.15">
      <c r="A1777" s="9">
        <v>1776</v>
      </c>
      <c r="B1777" s="10" t="s">
        <v>9</v>
      </c>
      <c r="C1777" s="10" t="s">
        <v>164</v>
      </c>
      <c r="D1777" s="10" t="s">
        <v>165</v>
      </c>
      <c r="E1777" s="11" t="str">
        <f>+HYPERLINK("http://trademark.i-assist.jp/data/china/image_1901th/79066308.pdf", "79066308")</f>
        <v>79066308</v>
      </c>
      <c r="F1777" s="10" t="s">
        <v>5078</v>
      </c>
      <c r="G1777" s="10" t="s">
        <v>5079</v>
      </c>
      <c r="H1777" s="10" t="s">
        <v>5080</v>
      </c>
      <c r="I1777" s="10" t="s">
        <v>5015</v>
      </c>
    </row>
    <row r="1778" spans="1:9" x14ac:dyDescent="0.15">
      <c r="A1778" s="9">
        <v>1777</v>
      </c>
      <c r="B1778" s="10" t="s">
        <v>9</v>
      </c>
      <c r="C1778" s="10" t="s">
        <v>164</v>
      </c>
      <c r="D1778" s="10" t="s">
        <v>165</v>
      </c>
      <c r="E1778" s="11" t="str">
        <f>+HYPERLINK("http://trademark.i-assist.jp/data/china/image_1901th/79066368.pdf", "79066368")</f>
        <v>79066368</v>
      </c>
      <c r="F1778" s="10" t="s">
        <v>5081</v>
      </c>
      <c r="G1778" s="10" t="s">
        <v>5082</v>
      </c>
      <c r="H1778" s="10" t="s">
        <v>5083</v>
      </c>
      <c r="I1778" s="10" t="s">
        <v>5015</v>
      </c>
    </row>
    <row r="1779" spans="1:9" x14ac:dyDescent="0.15">
      <c r="A1779" s="9">
        <v>1778</v>
      </c>
      <c r="B1779" s="10" t="s">
        <v>9</v>
      </c>
      <c r="C1779" s="10" t="s">
        <v>164</v>
      </c>
      <c r="D1779" s="10" t="s">
        <v>165</v>
      </c>
      <c r="E1779" s="11" t="str">
        <f>+HYPERLINK("http://trademark.i-assist.jp/data/china/image_1901th/79066529.pdf", "79066529")</f>
        <v>79066529</v>
      </c>
      <c r="F1779" s="10" t="s">
        <v>5084</v>
      </c>
      <c r="G1779" s="10" t="s">
        <v>5085</v>
      </c>
      <c r="H1779" s="10" t="s">
        <v>5086</v>
      </c>
      <c r="I1779" s="10" t="s">
        <v>5015</v>
      </c>
    </row>
    <row r="1780" spans="1:9" x14ac:dyDescent="0.15">
      <c r="A1780" s="9">
        <v>1779</v>
      </c>
      <c r="B1780" s="10" t="s">
        <v>9</v>
      </c>
      <c r="C1780" s="10" t="s">
        <v>164</v>
      </c>
      <c r="D1780" s="10" t="s">
        <v>165</v>
      </c>
      <c r="E1780" s="11" t="str">
        <f>+HYPERLINK("http://trademark.i-assist.jp/data/china/image_1901th/79066537.pdf", "79066537")</f>
        <v>79066537</v>
      </c>
      <c r="F1780" s="10" t="s">
        <v>5087</v>
      </c>
      <c r="G1780" s="10" t="s">
        <v>3017</v>
      </c>
      <c r="H1780" s="10" t="s">
        <v>5088</v>
      </c>
      <c r="I1780" s="10" t="s">
        <v>5015</v>
      </c>
    </row>
    <row r="1781" spans="1:9" x14ac:dyDescent="0.15">
      <c r="A1781" s="9">
        <v>1780</v>
      </c>
      <c r="B1781" s="10" t="s">
        <v>9</v>
      </c>
      <c r="C1781" s="10" t="s">
        <v>164</v>
      </c>
      <c r="D1781" s="10" t="s">
        <v>165</v>
      </c>
      <c r="E1781" s="11" t="str">
        <f>+HYPERLINK("http://trademark.i-assist.jp/data/china/image_1901th/79066737.pdf", "79066737")</f>
        <v>79066737</v>
      </c>
      <c r="F1781" s="10" t="s">
        <v>5089</v>
      </c>
      <c r="G1781" s="10" t="s">
        <v>5090</v>
      </c>
      <c r="H1781" s="10" t="s">
        <v>5091</v>
      </c>
      <c r="I1781" s="10" t="s">
        <v>5015</v>
      </c>
    </row>
    <row r="1782" spans="1:9" x14ac:dyDescent="0.15">
      <c r="A1782" s="9">
        <v>1781</v>
      </c>
      <c r="B1782" s="10" t="s">
        <v>9</v>
      </c>
      <c r="C1782" s="10" t="s">
        <v>164</v>
      </c>
      <c r="D1782" s="10" t="s">
        <v>165</v>
      </c>
      <c r="E1782" s="11" t="str">
        <f>+HYPERLINK("http://trademark.i-assist.jp/data/china/image_1901th/79066801.pdf", "79066801")</f>
        <v>79066801</v>
      </c>
      <c r="F1782" s="10" t="s">
        <v>5092</v>
      </c>
      <c r="G1782" s="10" t="s">
        <v>5093</v>
      </c>
      <c r="H1782" s="10" t="s">
        <v>5094</v>
      </c>
      <c r="I1782" s="10" t="s">
        <v>5015</v>
      </c>
    </row>
    <row r="1783" spans="1:9" x14ac:dyDescent="0.15">
      <c r="A1783" s="9">
        <v>1782</v>
      </c>
      <c r="B1783" s="10" t="s">
        <v>9</v>
      </c>
      <c r="C1783" s="10" t="s">
        <v>164</v>
      </c>
      <c r="D1783" s="10" t="s">
        <v>165</v>
      </c>
      <c r="E1783" s="11" t="str">
        <f>+HYPERLINK("http://trademark.i-assist.jp/data/china/image_1901th/79066818.pdf", "79066818")</f>
        <v>79066818</v>
      </c>
      <c r="F1783" s="10" t="s">
        <v>5095</v>
      </c>
      <c r="G1783" s="10" t="s">
        <v>5096</v>
      </c>
      <c r="H1783" s="10" t="s">
        <v>5097</v>
      </c>
      <c r="I1783" s="10" t="s">
        <v>5015</v>
      </c>
    </row>
    <row r="1784" spans="1:9" x14ac:dyDescent="0.15">
      <c r="A1784" s="9">
        <v>1783</v>
      </c>
      <c r="B1784" s="10" t="s">
        <v>9</v>
      </c>
      <c r="C1784" s="10" t="s">
        <v>164</v>
      </c>
      <c r="D1784" s="10" t="s">
        <v>165</v>
      </c>
      <c r="E1784" s="11" t="str">
        <f>+HYPERLINK("http://trademark.i-assist.jp/data/china/image_1901th/79066831.pdf", "79066831")</f>
        <v>79066831</v>
      </c>
      <c r="F1784" s="10" t="s">
        <v>5098</v>
      </c>
      <c r="G1784" s="10" t="s">
        <v>5038</v>
      </c>
      <c r="H1784" s="10" t="s">
        <v>5099</v>
      </c>
      <c r="I1784" s="10" t="s">
        <v>5015</v>
      </c>
    </row>
    <row r="1785" spans="1:9" x14ac:dyDescent="0.15">
      <c r="A1785" s="9">
        <v>1784</v>
      </c>
      <c r="B1785" s="10" t="s">
        <v>9</v>
      </c>
      <c r="C1785" s="10" t="s">
        <v>164</v>
      </c>
      <c r="D1785" s="10" t="s">
        <v>165</v>
      </c>
      <c r="E1785" s="11" t="str">
        <f>+HYPERLINK("http://trademark.i-assist.jp/data/china/image_1901th/79066873.pdf", "79066873")</f>
        <v>79066873</v>
      </c>
      <c r="F1785" s="10" t="s">
        <v>5100</v>
      </c>
      <c r="G1785" s="10" t="s">
        <v>5101</v>
      </c>
      <c r="H1785" s="10" t="s">
        <v>5102</v>
      </c>
      <c r="I1785" s="10" t="s">
        <v>5015</v>
      </c>
    </row>
    <row r="1786" spans="1:9" x14ac:dyDescent="0.15">
      <c r="A1786" s="9">
        <v>1785</v>
      </c>
      <c r="B1786" s="10" t="s">
        <v>9</v>
      </c>
      <c r="C1786" s="10" t="s">
        <v>164</v>
      </c>
      <c r="D1786" s="10" t="s">
        <v>165</v>
      </c>
      <c r="E1786" s="11" t="str">
        <f>+HYPERLINK("http://trademark.i-assist.jp/data/china/image_1901th/79066935.pdf", "79066935")</f>
        <v>79066935</v>
      </c>
      <c r="F1786" s="10" t="s">
        <v>5103</v>
      </c>
      <c r="G1786" s="10" t="s">
        <v>5104</v>
      </c>
      <c r="H1786" s="10" t="s">
        <v>5105</v>
      </c>
      <c r="I1786" s="10" t="s">
        <v>5015</v>
      </c>
    </row>
    <row r="1787" spans="1:9" x14ac:dyDescent="0.15">
      <c r="A1787" s="9">
        <v>1786</v>
      </c>
      <c r="B1787" s="10" t="s">
        <v>9</v>
      </c>
      <c r="C1787" s="10" t="s">
        <v>164</v>
      </c>
      <c r="D1787" s="10" t="s">
        <v>165</v>
      </c>
      <c r="E1787" s="11" t="str">
        <f>+HYPERLINK("http://trademark.i-assist.jp/data/china/image_1901th/79066940.pdf", "79066940")</f>
        <v>79066940</v>
      </c>
      <c r="F1787" s="10" t="s">
        <v>5106</v>
      </c>
      <c r="G1787" s="10" t="s">
        <v>5104</v>
      </c>
      <c r="H1787" s="10" t="s">
        <v>5107</v>
      </c>
      <c r="I1787" s="10" t="s">
        <v>5015</v>
      </c>
    </row>
    <row r="1788" spans="1:9" x14ac:dyDescent="0.15">
      <c r="A1788" s="9">
        <v>1787</v>
      </c>
      <c r="B1788" s="10" t="s">
        <v>9</v>
      </c>
      <c r="C1788" s="10" t="s">
        <v>164</v>
      </c>
      <c r="D1788" s="10" t="s">
        <v>165</v>
      </c>
      <c r="E1788" s="11" t="str">
        <f>+HYPERLINK("http://trademark.i-assist.jp/data/china/image_1901th/79066976.pdf", "79066976")</f>
        <v>79066976</v>
      </c>
      <c r="F1788" s="10" t="s">
        <v>5108</v>
      </c>
      <c r="G1788" s="10" t="s">
        <v>5109</v>
      </c>
      <c r="H1788" s="10" t="s">
        <v>5110</v>
      </c>
      <c r="I1788" s="10" t="s">
        <v>5015</v>
      </c>
    </row>
    <row r="1789" spans="1:9" x14ac:dyDescent="0.15">
      <c r="A1789" s="9">
        <v>1788</v>
      </c>
      <c r="B1789" s="10" t="s">
        <v>9</v>
      </c>
      <c r="C1789" s="10" t="s">
        <v>164</v>
      </c>
      <c r="D1789" s="10" t="s">
        <v>165</v>
      </c>
      <c r="E1789" s="11" t="str">
        <f>+HYPERLINK("http://trademark.i-assist.jp/data/china/image_1901th/79067069.pdf", "79067069")</f>
        <v>79067069</v>
      </c>
      <c r="F1789" s="10" t="s">
        <v>5111</v>
      </c>
      <c r="G1789" s="10" t="s">
        <v>5112</v>
      </c>
      <c r="H1789" s="10" t="s">
        <v>5113</v>
      </c>
      <c r="I1789" s="10" t="s">
        <v>5015</v>
      </c>
    </row>
    <row r="1790" spans="1:9" x14ac:dyDescent="0.15">
      <c r="A1790" s="9">
        <v>1789</v>
      </c>
      <c r="B1790" s="10" t="s">
        <v>9</v>
      </c>
      <c r="C1790" s="10" t="s">
        <v>164</v>
      </c>
      <c r="D1790" s="10" t="s">
        <v>165</v>
      </c>
      <c r="E1790" s="11" t="str">
        <f>+HYPERLINK("http://trademark.i-assist.jp/data/china/image_1901th/79067184.pdf", "79067184")</f>
        <v>79067184</v>
      </c>
      <c r="F1790" s="10" t="s">
        <v>5114</v>
      </c>
      <c r="G1790" s="10" t="s">
        <v>5041</v>
      </c>
      <c r="H1790" s="10" t="s">
        <v>5115</v>
      </c>
      <c r="I1790" s="10" t="s">
        <v>5015</v>
      </c>
    </row>
    <row r="1791" spans="1:9" x14ac:dyDescent="0.15">
      <c r="A1791" s="9">
        <v>1790</v>
      </c>
      <c r="B1791" s="10" t="s">
        <v>9</v>
      </c>
      <c r="C1791" s="10" t="s">
        <v>164</v>
      </c>
      <c r="D1791" s="10" t="s">
        <v>165</v>
      </c>
      <c r="E1791" s="11" t="str">
        <f>+HYPERLINK("http://trademark.i-assist.jp/data/china/image_1901th/79067734.pdf", "79067734")</f>
        <v>79067734</v>
      </c>
      <c r="F1791" s="10" t="s">
        <v>5116</v>
      </c>
      <c r="G1791" s="10" t="s">
        <v>5117</v>
      </c>
      <c r="H1791" s="10" t="s">
        <v>5118</v>
      </c>
      <c r="I1791" s="10" t="s">
        <v>5015</v>
      </c>
    </row>
    <row r="1792" spans="1:9" x14ac:dyDescent="0.15">
      <c r="A1792" s="9">
        <v>1791</v>
      </c>
      <c r="B1792" s="10" t="s">
        <v>9</v>
      </c>
      <c r="C1792" s="10" t="s">
        <v>164</v>
      </c>
      <c r="D1792" s="10" t="s">
        <v>165</v>
      </c>
      <c r="E1792" s="11" t="str">
        <f>+HYPERLINK("http://trademark.i-assist.jp/data/china/image_1901th/79067736.pdf", "79067736")</f>
        <v>79067736</v>
      </c>
      <c r="F1792" s="10" t="s">
        <v>5119</v>
      </c>
      <c r="G1792" s="10" t="s">
        <v>5120</v>
      </c>
      <c r="H1792" s="10" t="s">
        <v>5121</v>
      </c>
      <c r="I1792" s="10" t="s">
        <v>5015</v>
      </c>
    </row>
    <row r="1793" spans="1:9" x14ac:dyDescent="0.15">
      <c r="A1793" s="9">
        <v>1792</v>
      </c>
      <c r="B1793" s="10" t="s">
        <v>9</v>
      </c>
      <c r="C1793" s="10" t="s">
        <v>164</v>
      </c>
      <c r="D1793" s="10" t="s">
        <v>165</v>
      </c>
      <c r="E1793" s="11" t="str">
        <f>+HYPERLINK("http://trademark.i-assist.jp/data/china/image_1901th/79067807.pdf", "79067807")</f>
        <v>79067807</v>
      </c>
      <c r="F1793" s="10" t="s">
        <v>5122</v>
      </c>
      <c r="G1793" s="10" t="s">
        <v>5123</v>
      </c>
      <c r="H1793" s="10" t="s">
        <v>5124</v>
      </c>
      <c r="I1793" s="10" t="s">
        <v>5015</v>
      </c>
    </row>
    <row r="1794" spans="1:9" x14ac:dyDescent="0.15">
      <c r="A1794" s="9">
        <v>1793</v>
      </c>
      <c r="B1794" s="10" t="s">
        <v>9</v>
      </c>
      <c r="C1794" s="10" t="s">
        <v>164</v>
      </c>
      <c r="D1794" s="10" t="s">
        <v>165</v>
      </c>
      <c r="E1794" s="11" t="str">
        <f>+HYPERLINK("http://trademark.i-assist.jp/data/china/image_1901th/79067889.pdf", "79067889")</f>
        <v>79067889</v>
      </c>
      <c r="F1794" s="10" t="s">
        <v>5125</v>
      </c>
      <c r="G1794" s="10" t="s">
        <v>5126</v>
      </c>
      <c r="H1794" s="10" t="s">
        <v>5127</v>
      </c>
      <c r="I1794" s="10" t="s">
        <v>5015</v>
      </c>
    </row>
    <row r="1795" spans="1:9" x14ac:dyDescent="0.15">
      <c r="A1795" s="9">
        <v>1794</v>
      </c>
      <c r="B1795" s="10" t="s">
        <v>9</v>
      </c>
      <c r="C1795" s="10" t="s">
        <v>164</v>
      </c>
      <c r="D1795" s="10" t="s">
        <v>165</v>
      </c>
      <c r="E1795" s="11" t="str">
        <f>+HYPERLINK("http://trademark.i-assist.jp/data/china/image_1901th/79067896.pdf", "79067896")</f>
        <v>79067896</v>
      </c>
      <c r="F1795" s="10" t="s">
        <v>5128</v>
      </c>
      <c r="G1795" s="10" t="s">
        <v>5129</v>
      </c>
      <c r="H1795" s="10" t="s">
        <v>5130</v>
      </c>
      <c r="I1795" s="10" t="s">
        <v>5015</v>
      </c>
    </row>
    <row r="1796" spans="1:9" x14ac:dyDescent="0.15">
      <c r="A1796" s="9">
        <v>1795</v>
      </c>
      <c r="B1796" s="10" t="s">
        <v>9</v>
      </c>
      <c r="C1796" s="10" t="s">
        <v>164</v>
      </c>
      <c r="D1796" s="10" t="s">
        <v>165</v>
      </c>
      <c r="E1796" s="11" t="str">
        <f>+HYPERLINK("http://trademark.i-assist.jp/data/china/image_1901th/79067930.pdf", "79067930")</f>
        <v>79067930</v>
      </c>
      <c r="F1796" s="10" t="s">
        <v>5131</v>
      </c>
      <c r="G1796" s="10" t="s">
        <v>5132</v>
      </c>
      <c r="H1796" s="10" t="s">
        <v>5133</v>
      </c>
      <c r="I1796" s="10" t="s">
        <v>5015</v>
      </c>
    </row>
    <row r="1797" spans="1:9" x14ac:dyDescent="0.15">
      <c r="A1797" s="9">
        <v>1796</v>
      </c>
      <c r="B1797" s="10" t="s">
        <v>9</v>
      </c>
      <c r="C1797" s="10" t="s">
        <v>164</v>
      </c>
      <c r="D1797" s="10" t="s">
        <v>165</v>
      </c>
      <c r="E1797" s="11" t="str">
        <f>+HYPERLINK("http://trademark.i-assist.jp/data/china/image_1901th/79067931.pdf", "79067931")</f>
        <v>79067931</v>
      </c>
      <c r="F1797" s="10" t="s">
        <v>5134</v>
      </c>
      <c r="G1797" s="10" t="s">
        <v>5135</v>
      </c>
      <c r="H1797" s="10" t="s">
        <v>5136</v>
      </c>
      <c r="I1797" s="10" t="s">
        <v>5015</v>
      </c>
    </row>
    <row r="1798" spans="1:9" x14ac:dyDescent="0.15">
      <c r="A1798" s="9">
        <v>1797</v>
      </c>
      <c r="B1798" s="10" t="s">
        <v>9</v>
      </c>
      <c r="C1798" s="10" t="s">
        <v>164</v>
      </c>
      <c r="D1798" s="10" t="s">
        <v>165</v>
      </c>
      <c r="E1798" s="11" t="str">
        <f>+HYPERLINK("http://trademark.i-assist.jp/data/china/image_1901th/79068041.pdf", "79068041")</f>
        <v>79068041</v>
      </c>
      <c r="F1798" s="10" t="s">
        <v>5137</v>
      </c>
      <c r="G1798" s="10" t="s">
        <v>5138</v>
      </c>
      <c r="H1798" s="10" t="s">
        <v>5139</v>
      </c>
      <c r="I1798" s="10" t="s">
        <v>5015</v>
      </c>
    </row>
    <row r="1799" spans="1:9" x14ac:dyDescent="0.15">
      <c r="A1799" s="9">
        <v>1798</v>
      </c>
      <c r="B1799" s="10" t="s">
        <v>9</v>
      </c>
      <c r="C1799" s="10" t="s">
        <v>164</v>
      </c>
      <c r="D1799" s="10" t="s">
        <v>165</v>
      </c>
      <c r="E1799" s="11" t="str">
        <f>+HYPERLINK("http://trademark.i-assist.jp/data/china/image_1901th/79068198.pdf", "79068198")</f>
        <v>79068198</v>
      </c>
      <c r="F1799" s="10" t="s">
        <v>5140</v>
      </c>
      <c r="G1799" s="10" t="s">
        <v>5141</v>
      </c>
      <c r="H1799" s="10" t="s">
        <v>5142</v>
      </c>
      <c r="I1799" s="10" t="s">
        <v>5015</v>
      </c>
    </row>
    <row r="1800" spans="1:9" x14ac:dyDescent="0.15">
      <c r="A1800" s="9">
        <v>1799</v>
      </c>
      <c r="B1800" s="10" t="s">
        <v>9</v>
      </c>
      <c r="C1800" s="10" t="s">
        <v>164</v>
      </c>
      <c r="D1800" s="10" t="s">
        <v>165</v>
      </c>
      <c r="E1800" s="11" t="str">
        <f>+HYPERLINK("http://trademark.i-assist.jp/data/china/image_1901th/79068254.pdf", "79068254")</f>
        <v>79068254</v>
      </c>
      <c r="F1800" s="10" t="s">
        <v>5143</v>
      </c>
      <c r="G1800" s="10" t="s">
        <v>5144</v>
      </c>
      <c r="H1800" s="10" t="s">
        <v>5145</v>
      </c>
      <c r="I1800" s="10" t="s">
        <v>5015</v>
      </c>
    </row>
    <row r="1801" spans="1:9" x14ac:dyDescent="0.15">
      <c r="A1801" s="9">
        <v>1800</v>
      </c>
      <c r="B1801" s="10" t="s">
        <v>9</v>
      </c>
      <c r="C1801" s="10" t="s">
        <v>164</v>
      </c>
      <c r="D1801" s="10" t="s">
        <v>165</v>
      </c>
      <c r="E1801" s="11" t="str">
        <f>+HYPERLINK("http://trademark.i-assist.jp/data/china/image_1901th/79068349.pdf", "79068349")</f>
        <v>79068349</v>
      </c>
      <c r="F1801" s="10" t="s">
        <v>5146</v>
      </c>
      <c r="G1801" s="10" t="s">
        <v>5147</v>
      </c>
      <c r="H1801" s="10" t="s">
        <v>5148</v>
      </c>
      <c r="I1801" s="10" t="s">
        <v>5015</v>
      </c>
    </row>
    <row r="1802" spans="1:9" x14ac:dyDescent="0.15">
      <c r="A1802" s="9">
        <v>1801</v>
      </c>
      <c r="B1802" s="10" t="s">
        <v>9</v>
      </c>
      <c r="C1802" s="10" t="s">
        <v>164</v>
      </c>
      <c r="D1802" s="10" t="s">
        <v>165</v>
      </c>
      <c r="E1802" s="11" t="str">
        <f>+HYPERLINK("http://trademark.i-assist.jp/data/china/image_1901th/79068410.pdf", "79068410")</f>
        <v>79068410</v>
      </c>
      <c r="F1802" s="10" t="s">
        <v>5149</v>
      </c>
      <c r="G1802" s="10" t="s">
        <v>5150</v>
      </c>
      <c r="H1802" s="10" t="s">
        <v>5151</v>
      </c>
      <c r="I1802" s="10" t="s">
        <v>5015</v>
      </c>
    </row>
    <row r="1803" spans="1:9" x14ac:dyDescent="0.15">
      <c r="A1803" s="9">
        <v>1802</v>
      </c>
      <c r="B1803" s="10" t="s">
        <v>9</v>
      </c>
      <c r="C1803" s="10" t="s">
        <v>164</v>
      </c>
      <c r="D1803" s="10" t="s">
        <v>165</v>
      </c>
      <c r="E1803" s="11" t="str">
        <f>+HYPERLINK("http://trademark.i-assist.jp/data/china/image_1901th/79068576.pdf", "79068576")</f>
        <v>79068576</v>
      </c>
      <c r="F1803" s="10" t="s">
        <v>5152</v>
      </c>
      <c r="G1803" s="10" t="s">
        <v>5041</v>
      </c>
      <c r="H1803" s="10" t="s">
        <v>5153</v>
      </c>
      <c r="I1803" s="10" t="s">
        <v>5015</v>
      </c>
    </row>
    <row r="1804" spans="1:9" x14ac:dyDescent="0.15">
      <c r="A1804" s="9">
        <v>1803</v>
      </c>
      <c r="B1804" s="10" t="s">
        <v>9</v>
      </c>
      <c r="C1804" s="10" t="s">
        <v>164</v>
      </c>
      <c r="D1804" s="10" t="s">
        <v>165</v>
      </c>
      <c r="E1804" s="11" t="str">
        <f>+HYPERLINK("http://trademark.i-assist.jp/data/china/image_1901th/79068657.pdf", "79068657")</f>
        <v>79068657</v>
      </c>
      <c r="F1804" s="10" t="s">
        <v>5154</v>
      </c>
      <c r="G1804" s="10" t="s">
        <v>5155</v>
      </c>
      <c r="H1804" s="10" t="s">
        <v>5156</v>
      </c>
      <c r="I1804" s="10" t="s">
        <v>5015</v>
      </c>
    </row>
    <row r="1805" spans="1:9" x14ac:dyDescent="0.15">
      <c r="A1805" s="9">
        <v>1804</v>
      </c>
      <c r="B1805" s="10" t="s">
        <v>9</v>
      </c>
      <c r="C1805" s="10" t="s">
        <v>164</v>
      </c>
      <c r="D1805" s="10" t="s">
        <v>165</v>
      </c>
      <c r="E1805" s="11" t="str">
        <f>+HYPERLINK("http://trademark.i-assist.jp/data/china/image_1901th/79068781.pdf", "79068781")</f>
        <v>79068781</v>
      </c>
      <c r="F1805" s="10" t="s">
        <v>5157</v>
      </c>
      <c r="G1805" s="10" t="s">
        <v>5158</v>
      </c>
      <c r="H1805" s="10" t="s">
        <v>5159</v>
      </c>
      <c r="I1805" s="10" t="s">
        <v>5015</v>
      </c>
    </row>
    <row r="1806" spans="1:9" x14ac:dyDescent="0.15">
      <c r="A1806" s="9">
        <v>1805</v>
      </c>
      <c r="B1806" s="10" t="s">
        <v>9</v>
      </c>
      <c r="C1806" s="10" t="s">
        <v>164</v>
      </c>
      <c r="D1806" s="10" t="s">
        <v>165</v>
      </c>
      <c r="E1806" s="11" t="str">
        <f>+HYPERLINK("http://trademark.i-assist.jp/data/china/image_1901th/79068864.pdf", "79068864")</f>
        <v>79068864</v>
      </c>
      <c r="F1806" s="10" t="s">
        <v>5160</v>
      </c>
      <c r="G1806" s="10" t="s">
        <v>5161</v>
      </c>
      <c r="H1806" s="10" t="s">
        <v>5162</v>
      </c>
      <c r="I1806" s="10" t="s">
        <v>5015</v>
      </c>
    </row>
    <row r="1807" spans="1:9" x14ac:dyDescent="0.15">
      <c r="A1807" s="9">
        <v>1806</v>
      </c>
      <c r="B1807" s="10" t="s">
        <v>9</v>
      </c>
      <c r="C1807" s="10" t="s">
        <v>164</v>
      </c>
      <c r="D1807" s="10" t="s">
        <v>165</v>
      </c>
      <c r="E1807" s="11" t="str">
        <f>+HYPERLINK("http://trademark.i-assist.jp/data/china/image_1901th/79068866.pdf", "79068866")</f>
        <v>79068866</v>
      </c>
      <c r="F1807" s="10" t="s">
        <v>5163</v>
      </c>
      <c r="G1807" s="10" t="s">
        <v>5161</v>
      </c>
      <c r="H1807" s="10" t="s">
        <v>5164</v>
      </c>
      <c r="I1807" s="10" t="s">
        <v>5015</v>
      </c>
    </row>
    <row r="1808" spans="1:9" x14ac:dyDescent="0.15">
      <c r="A1808" s="9">
        <v>1807</v>
      </c>
      <c r="B1808" s="10" t="s">
        <v>9</v>
      </c>
      <c r="C1808" s="10" t="s">
        <v>164</v>
      </c>
      <c r="D1808" s="10" t="s">
        <v>165</v>
      </c>
      <c r="E1808" s="11" t="str">
        <f>+HYPERLINK("http://trademark.i-assist.jp/data/china/image_1901th/79069044.pdf", "79069044")</f>
        <v>79069044</v>
      </c>
      <c r="F1808" s="10" t="s">
        <v>12</v>
      </c>
      <c r="G1808" s="10" t="s">
        <v>5165</v>
      </c>
      <c r="H1808" s="10" t="s">
        <v>5166</v>
      </c>
      <c r="I1808" s="10" t="s">
        <v>5015</v>
      </c>
    </row>
    <row r="1809" spans="1:9" x14ac:dyDescent="0.15">
      <c r="A1809" s="9">
        <v>1808</v>
      </c>
      <c r="B1809" s="10" t="s">
        <v>9</v>
      </c>
      <c r="C1809" s="10" t="s">
        <v>164</v>
      </c>
      <c r="D1809" s="10" t="s">
        <v>165</v>
      </c>
      <c r="E1809" s="11" t="str">
        <f>+HYPERLINK("http://trademark.i-assist.jp/data/china/image_1901th/79069182.pdf", "79069182")</f>
        <v>79069182</v>
      </c>
      <c r="F1809" s="10" t="s">
        <v>5167</v>
      </c>
      <c r="G1809" s="10" t="s">
        <v>5168</v>
      </c>
      <c r="H1809" s="10" t="s">
        <v>5169</v>
      </c>
      <c r="I1809" s="10" t="s">
        <v>5015</v>
      </c>
    </row>
    <row r="1810" spans="1:9" x14ac:dyDescent="0.15">
      <c r="A1810" s="9">
        <v>1809</v>
      </c>
      <c r="B1810" s="10" t="s">
        <v>9</v>
      </c>
      <c r="C1810" s="10" t="s">
        <v>164</v>
      </c>
      <c r="D1810" s="10" t="s">
        <v>165</v>
      </c>
      <c r="E1810" s="11" t="str">
        <f>+HYPERLINK("http://trademark.i-assist.jp/data/china/image_1901th/79069185.pdf", "79069185")</f>
        <v>79069185</v>
      </c>
      <c r="F1810" s="10" t="s">
        <v>5170</v>
      </c>
      <c r="G1810" s="10" t="s">
        <v>5171</v>
      </c>
      <c r="H1810" s="10" t="s">
        <v>5172</v>
      </c>
      <c r="I1810" s="10" t="s">
        <v>5015</v>
      </c>
    </row>
    <row r="1811" spans="1:9" x14ac:dyDescent="0.15">
      <c r="A1811" s="9">
        <v>1810</v>
      </c>
      <c r="B1811" s="10" t="s">
        <v>9</v>
      </c>
      <c r="C1811" s="10" t="s">
        <v>164</v>
      </c>
      <c r="D1811" s="10" t="s">
        <v>165</v>
      </c>
      <c r="E1811" s="11" t="str">
        <f>+HYPERLINK("http://trademark.i-assist.jp/data/china/image_1901th/79069206.pdf", "79069206")</f>
        <v>79069206</v>
      </c>
      <c r="F1811" s="10" t="s">
        <v>5173</v>
      </c>
      <c r="G1811" s="10" t="s">
        <v>5174</v>
      </c>
      <c r="H1811" s="10" t="s">
        <v>5175</v>
      </c>
      <c r="I1811" s="10" t="s">
        <v>5015</v>
      </c>
    </row>
    <row r="1812" spans="1:9" x14ac:dyDescent="0.15">
      <c r="A1812" s="9">
        <v>1811</v>
      </c>
      <c r="B1812" s="10" t="s">
        <v>9</v>
      </c>
      <c r="C1812" s="10" t="s">
        <v>164</v>
      </c>
      <c r="D1812" s="10" t="s">
        <v>165</v>
      </c>
      <c r="E1812" s="11" t="str">
        <f>+HYPERLINK("http://trademark.i-assist.jp/data/china/image_1901th/79069279.pdf", "79069279")</f>
        <v>79069279</v>
      </c>
      <c r="F1812" s="10" t="s">
        <v>5176</v>
      </c>
      <c r="G1812" s="10" t="s">
        <v>5038</v>
      </c>
      <c r="H1812" s="10" t="s">
        <v>5177</v>
      </c>
      <c r="I1812" s="10" t="s">
        <v>5015</v>
      </c>
    </row>
    <row r="1813" spans="1:9" x14ac:dyDescent="0.15">
      <c r="A1813" s="9">
        <v>1812</v>
      </c>
      <c r="B1813" s="10" t="s">
        <v>9</v>
      </c>
      <c r="C1813" s="10" t="s">
        <v>164</v>
      </c>
      <c r="D1813" s="10" t="s">
        <v>165</v>
      </c>
      <c r="E1813" s="11" t="str">
        <f>+HYPERLINK("http://trademark.i-assist.jp/data/china/image_1901th/79069374.pdf", "79069374")</f>
        <v>79069374</v>
      </c>
      <c r="F1813" s="10" t="s">
        <v>5178</v>
      </c>
      <c r="G1813" s="10" t="s">
        <v>5179</v>
      </c>
      <c r="H1813" s="10" t="s">
        <v>5180</v>
      </c>
      <c r="I1813" s="10" t="s">
        <v>5015</v>
      </c>
    </row>
    <row r="1814" spans="1:9" x14ac:dyDescent="0.15">
      <c r="A1814" s="9">
        <v>1813</v>
      </c>
      <c r="B1814" s="10" t="s">
        <v>9</v>
      </c>
      <c r="C1814" s="10" t="s">
        <v>164</v>
      </c>
      <c r="D1814" s="10" t="s">
        <v>165</v>
      </c>
      <c r="E1814" s="11" t="str">
        <f>+HYPERLINK("http://trademark.i-assist.jp/data/china/image_1901th/79069415.pdf", "79069415")</f>
        <v>79069415</v>
      </c>
      <c r="F1814" s="10" t="s">
        <v>5181</v>
      </c>
      <c r="G1814" s="10" t="s">
        <v>5182</v>
      </c>
      <c r="H1814" s="10" t="s">
        <v>5183</v>
      </c>
      <c r="I1814" s="10" t="s">
        <v>5015</v>
      </c>
    </row>
    <row r="1815" spans="1:9" x14ac:dyDescent="0.15">
      <c r="A1815" s="9">
        <v>1814</v>
      </c>
      <c r="B1815" s="10" t="s">
        <v>9</v>
      </c>
      <c r="C1815" s="10" t="s">
        <v>164</v>
      </c>
      <c r="D1815" s="10" t="s">
        <v>165</v>
      </c>
      <c r="E1815" s="11" t="str">
        <f>+HYPERLINK("http://trademark.i-assist.jp/data/china/image_1901th/79069572.pdf", "79069572")</f>
        <v>79069572</v>
      </c>
      <c r="F1815" s="10" t="s">
        <v>12</v>
      </c>
      <c r="G1815" s="10" t="s">
        <v>5184</v>
      </c>
      <c r="H1815" s="10" t="s">
        <v>5185</v>
      </c>
      <c r="I1815" s="10" t="s">
        <v>5015</v>
      </c>
    </row>
    <row r="1816" spans="1:9" x14ac:dyDescent="0.15">
      <c r="A1816" s="9">
        <v>1815</v>
      </c>
      <c r="B1816" s="10" t="s">
        <v>9</v>
      </c>
      <c r="C1816" s="10" t="s">
        <v>164</v>
      </c>
      <c r="D1816" s="10" t="s">
        <v>165</v>
      </c>
      <c r="E1816" s="11" t="str">
        <f>+HYPERLINK("http://trademark.i-assist.jp/data/china/image_1901th/79069706.pdf", "79069706")</f>
        <v>79069706</v>
      </c>
      <c r="F1816" s="10" t="s">
        <v>5186</v>
      </c>
      <c r="G1816" s="10" t="s">
        <v>5187</v>
      </c>
      <c r="H1816" s="10" t="s">
        <v>5188</v>
      </c>
      <c r="I1816" s="10" t="s">
        <v>5015</v>
      </c>
    </row>
    <row r="1817" spans="1:9" x14ac:dyDescent="0.15">
      <c r="A1817" s="9">
        <v>1816</v>
      </c>
      <c r="B1817" s="10" t="s">
        <v>9</v>
      </c>
      <c r="C1817" s="10" t="s">
        <v>164</v>
      </c>
      <c r="D1817" s="10" t="s">
        <v>165</v>
      </c>
      <c r="E1817" s="11" t="str">
        <f>+HYPERLINK("http://trademark.i-assist.jp/data/china/image_1901th/79070053.pdf", "79070053")</f>
        <v>79070053</v>
      </c>
      <c r="F1817" s="10" t="s">
        <v>5189</v>
      </c>
      <c r="G1817" s="10" t="s">
        <v>5190</v>
      </c>
      <c r="H1817" s="10" t="s">
        <v>5191</v>
      </c>
      <c r="I1817" s="10" t="s">
        <v>5015</v>
      </c>
    </row>
    <row r="1818" spans="1:9" x14ac:dyDescent="0.15">
      <c r="A1818" s="9">
        <v>1817</v>
      </c>
      <c r="B1818" s="10" t="s">
        <v>9</v>
      </c>
      <c r="C1818" s="10" t="s">
        <v>164</v>
      </c>
      <c r="D1818" s="10" t="s">
        <v>165</v>
      </c>
      <c r="E1818" s="11" t="str">
        <f>+HYPERLINK("http://trademark.i-assist.jp/data/china/image_1901th/79070193.pdf", "79070193")</f>
        <v>79070193</v>
      </c>
      <c r="F1818" s="10" t="s">
        <v>5192</v>
      </c>
      <c r="G1818" s="10" t="s">
        <v>5193</v>
      </c>
      <c r="H1818" s="10" t="s">
        <v>5194</v>
      </c>
      <c r="I1818" s="10" t="s">
        <v>5015</v>
      </c>
    </row>
    <row r="1819" spans="1:9" x14ac:dyDescent="0.15">
      <c r="A1819" s="9">
        <v>1818</v>
      </c>
      <c r="B1819" s="10" t="s">
        <v>9</v>
      </c>
      <c r="C1819" s="10" t="s">
        <v>164</v>
      </c>
      <c r="D1819" s="10" t="s">
        <v>165</v>
      </c>
      <c r="E1819" s="11" t="str">
        <f>+HYPERLINK("http://trademark.i-assist.jp/data/china/image_1901th/79070895.pdf", "79070895")</f>
        <v>79070895</v>
      </c>
      <c r="F1819" s="10" t="s">
        <v>5195</v>
      </c>
      <c r="G1819" s="10" t="s">
        <v>5147</v>
      </c>
      <c r="H1819" s="10" t="s">
        <v>5196</v>
      </c>
      <c r="I1819" s="10" t="s">
        <v>5015</v>
      </c>
    </row>
    <row r="1820" spans="1:9" x14ac:dyDescent="0.15">
      <c r="A1820" s="9">
        <v>1819</v>
      </c>
      <c r="B1820" s="10" t="s">
        <v>9</v>
      </c>
      <c r="C1820" s="10" t="s">
        <v>164</v>
      </c>
      <c r="D1820" s="10" t="s">
        <v>165</v>
      </c>
      <c r="E1820" s="11" t="str">
        <f>+HYPERLINK("http://trademark.i-assist.jp/data/china/image_1901th/79070957.pdf", "79070957")</f>
        <v>79070957</v>
      </c>
      <c r="F1820" s="10" t="s">
        <v>5197</v>
      </c>
      <c r="G1820" s="10" t="s">
        <v>5079</v>
      </c>
      <c r="H1820" s="10" t="s">
        <v>5198</v>
      </c>
      <c r="I1820" s="10" t="s">
        <v>5015</v>
      </c>
    </row>
    <row r="1821" spans="1:9" x14ac:dyDescent="0.15">
      <c r="A1821" s="9">
        <v>1820</v>
      </c>
      <c r="B1821" s="10" t="s">
        <v>9</v>
      </c>
      <c r="C1821" s="10" t="s">
        <v>164</v>
      </c>
      <c r="D1821" s="10" t="s">
        <v>165</v>
      </c>
      <c r="E1821" s="11" t="str">
        <f>+HYPERLINK("http://trademark.i-assist.jp/data/china/image_1901th/79070960.pdf", "79070960")</f>
        <v>79070960</v>
      </c>
      <c r="F1821" s="10" t="s">
        <v>5199</v>
      </c>
      <c r="G1821" s="10" t="s">
        <v>5079</v>
      </c>
      <c r="H1821" s="10" t="s">
        <v>5200</v>
      </c>
      <c r="I1821" s="10" t="s">
        <v>5015</v>
      </c>
    </row>
    <row r="1822" spans="1:9" x14ac:dyDescent="0.15">
      <c r="A1822" s="9">
        <v>1821</v>
      </c>
      <c r="B1822" s="10" t="s">
        <v>9</v>
      </c>
      <c r="C1822" s="10" t="s">
        <v>164</v>
      </c>
      <c r="D1822" s="10" t="s">
        <v>165</v>
      </c>
      <c r="E1822" s="11" t="str">
        <f>+HYPERLINK("http://trademark.i-assist.jp/data/china/image_1901th/79071147.pdf", "79071147")</f>
        <v>79071147</v>
      </c>
      <c r="F1822" s="10" t="s">
        <v>5201</v>
      </c>
      <c r="G1822" s="10" t="s">
        <v>5202</v>
      </c>
      <c r="H1822" s="10" t="s">
        <v>5203</v>
      </c>
      <c r="I1822" s="10" t="s">
        <v>5015</v>
      </c>
    </row>
    <row r="1823" spans="1:9" x14ac:dyDescent="0.15">
      <c r="A1823" s="9">
        <v>1822</v>
      </c>
      <c r="B1823" s="10" t="s">
        <v>9</v>
      </c>
      <c r="C1823" s="10" t="s">
        <v>164</v>
      </c>
      <c r="D1823" s="10" t="s">
        <v>165</v>
      </c>
      <c r="E1823" s="11" t="str">
        <f>+HYPERLINK("http://trademark.i-assist.jp/data/china/image_1901th/79071224.pdf", "79071224")</f>
        <v>79071224</v>
      </c>
      <c r="F1823" s="10" t="s">
        <v>5204</v>
      </c>
      <c r="G1823" s="10" t="s">
        <v>5205</v>
      </c>
      <c r="H1823" s="10" t="s">
        <v>5206</v>
      </c>
      <c r="I1823" s="10" t="s">
        <v>5015</v>
      </c>
    </row>
    <row r="1824" spans="1:9" x14ac:dyDescent="0.15">
      <c r="A1824" s="9">
        <v>1823</v>
      </c>
      <c r="B1824" s="10" t="s">
        <v>9</v>
      </c>
      <c r="C1824" s="10" t="s">
        <v>164</v>
      </c>
      <c r="D1824" s="10" t="s">
        <v>165</v>
      </c>
      <c r="E1824" s="11" t="str">
        <f>+HYPERLINK("http://trademark.i-assist.jp/data/china/image_1901th/79071377.pdf", "79071377")</f>
        <v>79071377</v>
      </c>
      <c r="F1824" s="10" t="s">
        <v>5207</v>
      </c>
      <c r="G1824" s="10" t="s">
        <v>5208</v>
      </c>
      <c r="H1824" s="10" t="s">
        <v>5209</v>
      </c>
      <c r="I1824" s="10" t="s">
        <v>5015</v>
      </c>
    </row>
    <row r="1825" spans="1:9" x14ac:dyDescent="0.15">
      <c r="A1825" s="9">
        <v>1824</v>
      </c>
      <c r="B1825" s="10" t="s">
        <v>9</v>
      </c>
      <c r="C1825" s="10" t="s">
        <v>164</v>
      </c>
      <c r="D1825" s="10" t="s">
        <v>165</v>
      </c>
      <c r="E1825" s="11" t="str">
        <f>+HYPERLINK("http://trademark.i-assist.jp/data/china/image_1901th/79071768.pdf", "79071768")</f>
        <v>79071768</v>
      </c>
      <c r="F1825" s="10" t="s">
        <v>5210</v>
      </c>
      <c r="G1825" s="10" t="s">
        <v>5041</v>
      </c>
      <c r="H1825" s="10" t="s">
        <v>5211</v>
      </c>
      <c r="I1825" s="10" t="s">
        <v>5015</v>
      </c>
    </row>
    <row r="1826" spans="1:9" x14ac:dyDescent="0.15">
      <c r="A1826" s="9">
        <v>1825</v>
      </c>
      <c r="B1826" s="10" t="s">
        <v>9</v>
      </c>
      <c r="C1826" s="10" t="s">
        <v>164</v>
      </c>
      <c r="D1826" s="10" t="s">
        <v>165</v>
      </c>
      <c r="E1826" s="11" t="str">
        <f>+HYPERLINK("http://trademark.i-assist.jp/data/china/image_1901th/79071895.pdf", "79071895")</f>
        <v>79071895</v>
      </c>
      <c r="F1826" s="10" t="s">
        <v>5212</v>
      </c>
      <c r="G1826" s="10" t="s">
        <v>5213</v>
      </c>
      <c r="H1826" s="10" t="s">
        <v>5214</v>
      </c>
      <c r="I1826" s="10" t="s">
        <v>5015</v>
      </c>
    </row>
    <row r="1827" spans="1:9" x14ac:dyDescent="0.15">
      <c r="A1827" s="9">
        <v>1826</v>
      </c>
      <c r="B1827" s="10" t="s">
        <v>9</v>
      </c>
      <c r="C1827" s="10" t="s">
        <v>164</v>
      </c>
      <c r="D1827" s="10" t="s">
        <v>165</v>
      </c>
      <c r="E1827" s="11" t="str">
        <f>+HYPERLINK("http://trademark.i-assist.jp/data/china/image_1901th/79071947.pdf", "79071947")</f>
        <v>79071947</v>
      </c>
      <c r="F1827" s="10" t="s">
        <v>5215</v>
      </c>
      <c r="G1827" s="10" t="s">
        <v>105</v>
      </c>
      <c r="H1827" s="10" t="s">
        <v>5216</v>
      </c>
      <c r="I1827" s="10" t="s">
        <v>5015</v>
      </c>
    </row>
    <row r="1828" spans="1:9" x14ac:dyDescent="0.15">
      <c r="A1828" s="9">
        <v>1827</v>
      </c>
      <c r="B1828" s="10" t="s">
        <v>9</v>
      </c>
      <c r="C1828" s="10" t="s">
        <v>164</v>
      </c>
      <c r="D1828" s="10" t="s">
        <v>165</v>
      </c>
      <c r="E1828" s="11" t="str">
        <f>+HYPERLINK("http://trademark.i-assist.jp/data/china/image_1901th/79072156.pdf", "79072156")</f>
        <v>79072156</v>
      </c>
      <c r="F1828" s="10" t="s">
        <v>5217</v>
      </c>
      <c r="G1828" s="10" t="s">
        <v>5041</v>
      </c>
      <c r="H1828" s="10" t="s">
        <v>5218</v>
      </c>
      <c r="I1828" s="10" t="s">
        <v>5015</v>
      </c>
    </row>
    <row r="1829" spans="1:9" x14ac:dyDescent="0.15">
      <c r="A1829" s="9">
        <v>1828</v>
      </c>
      <c r="B1829" s="10" t="s">
        <v>9</v>
      </c>
      <c r="C1829" s="10" t="s">
        <v>164</v>
      </c>
      <c r="D1829" s="10" t="s">
        <v>165</v>
      </c>
      <c r="E1829" s="11" t="str">
        <f>+HYPERLINK("http://trademark.i-assist.jp/data/china/image_1901th/79072323.pdf", "79072323")</f>
        <v>79072323</v>
      </c>
      <c r="F1829" s="10" t="s">
        <v>5219</v>
      </c>
      <c r="G1829" s="10" t="s">
        <v>5220</v>
      </c>
      <c r="H1829" s="10" t="s">
        <v>5221</v>
      </c>
      <c r="I1829" s="10" t="s">
        <v>5015</v>
      </c>
    </row>
    <row r="1830" spans="1:9" x14ac:dyDescent="0.15">
      <c r="A1830" s="9">
        <v>1829</v>
      </c>
      <c r="B1830" s="10" t="s">
        <v>9</v>
      </c>
      <c r="C1830" s="10" t="s">
        <v>164</v>
      </c>
      <c r="D1830" s="10" t="s">
        <v>165</v>
      </c>
      <c r="E1830" s="11" t="str">
        <f>+HYPERLINK("http://trademark.i-assist.jp/data/china/image_1901th/79073043.pdf", "79073043")</f>
        <v>79073043</v>
      </c>
      <c r="F1830" s="10" t="s">
        <v>5222</v>
      </c>
      <c r="G1830" s="10" t="s">
        <v>5223</v>
      </c>
      <c r="H1830" s="10" t="s">
        <v>5224</v>
      </c>
      <c r="I1830" s="10" t="s">
        <v>5015</v>
      </c>
    </row>
    <row r="1831" spans="1:9" x14ac:dyDescent="0.15">
      <c r="A1831" s="9">
        <v>1830</v>
      </c>
      <c r="B1831" s="10" t="s">
        <v>9</v>
      </c>
      <c r="C1831" s="10" t="s">
        <v>164</v>
      </c>
      <c r="D1831" s="10" t="s">
        <v>165</v>
      </c>
      <c r="E1831" s="11" t="str">
        <f>+HYPERLINK("http://trademark.i-assist.jp/data/china/image_1901th/79073134.pdf", "79073134")</f>
        <v>79073134</v>
      </c>
      <c r="F1831" s="10" t="s">
        <v>5225</v>
      </c>
      <c r="G1831" s="10" t="s">
        <v>5226</v>
      </c>
      <c r="H1831" s="10" t="s">
        <v>5227</v>
      </c>
      <c r="I1831" s="10" t="s">
        <v>5015</v>
      </c>
    </row>
    <row r="1832" spans="1:9" x14ac:dyDescent="0.15">
      <c r="A1832" s="9">
        <v>1831</v>
      </c>
      <c r="B1832" s="10" t="s">
        <v>9</v>
      </c>
      <c r="C1832" s="10" t="s">
        <v>164</v>
      </c>
      <c r="D1832" s="10" t="s">
        <v>165</v>
      </c>
      <c r="E1832" s="11" t="str">
        <f>+HYPERLINK("http://trademark.i-assist.jp/data/china/image_1901th/79073172.pdf", "79073172")</f>
        <v>79073172</v>
      </c>
      <c r="F1832" s="10" t="s">
        <v>5228</v>
      </c>
      <c r="G1832" s="10" t="s">
        <v>4261</v>
      </c>
      <c r="H1832" s="10" t="s">
        <v>5229</v>
      </c>
      <c r="I1832" s="10" t="s">
        <v>5015</v>
      </c>
    </row>
    <row r="1833" spans="1:9" x14ac:dyDescent="0.15">
      <c r="A1833" s="9">
        <v>1832</v>
      </c>
      <c r="B1833" s="10" t="s">
        <v>9</v>
      </c>
      <c r="C1833" s="10" t="s">
        <v>164</v>
      </c>
      <c r="D1833" s="10" t="s">
        <v>165</v>
      </c>
      <c r="E1833" s="11" t="str">
        <f>+HYPERLINK("http://trademark.i-assist.jp/data/china/image_1901th/79073186.pdf", "79073186")</f>
        <v>79073186</v>
      </c>
      <c r="F1833" s="10" t="s">
        <v>5230</v>
      </c>
      <c r="G1833" s="10" t="s">
        <v>5231</v>
      </c>
      <c r="H1833" s="10" t="s">
        <v>5232</v>
      </c>
      <c r="I1833" s="10" t="s">
        <v>5015</v>
      </c>
    </row>
    <row r="1834" spans="1:9" x14ac:dyDescent="0.15">
      <c r="A1834" s="9">
        <v>1833</v>
      </c>
      <c r="B1834" s="10" t="s">
        <v>9</v>
      </c>
      <c r="C1834" s="10" t="s">
        <v>164</v>
      </c>
      <c r="D1834" s="10" t="s">
        <v>165</v>
      </c>
      <c r="E1834" s="11" t="str">
        <f>+HYPERLINK("http://trademark.i-assist.jp/data/china/image_1901th/79073212.pdf", "79073212")</f>
        <v>79073212</v>
      </c>
      <c r="F1834" s="10" t="s">
        <v>5233</v>
      </c>
      <c r="G1834" s="10" t="s">
        <v>5104</v>
      </c>
      <c r="H1834" s="10" t="s">
        <v>5234</v>
      </c>
      <c r="I1834" s="10" t="s">
        <v>5015</v>
      </c>
    </row>
    <row r="1835" spans="1:9" x14ac:dyDescent="0.15">
      <c r="A1835" s="9">
        <v>1834</v>
      </c>
      <c r="B1835" s="10" t="s">
        <v>9</v>
      </c>
      <c r="C1835" s="10" t="s">
        <v>164</v>
      </c>
      <c r="D1835" s="10" t="s">
        <v>165</v>
      </c>
      <c r="E1835" s="11" t="str">
        <f>+HYPERLINK("http://trademark.i-assist.jp/data/china/image_1901th/79073341.pdf", "79073341")</f>
        <v>79073341</v>
      </c>
      <c r="F1835" s="10" t="s">
        <v>5235</v>
      </c>
      <c r="G1835" s="10" t="s">
        <v>5236</v>
      </c>
      <c r="H1835" s="10" t="s">
        <v>5237</v>
      </c>
      <c r="I1835" s="10" t="s">
        <v>5015</v>
      </c>
    </row>
    <row r="1836" spans="1:9" x14ac:dyDescent="0.15">
      <c r="A1836" s="9">
        <v>1835</v>
      </c>
      <c r="B1836" s="10" t="s">
        <v>9</v>
      </c>
      <c r="C1836" s="10" t="s">
        <v>164</v>
      </c>
      <c r="D1836" s="10" t="s">
        <v>165</v>
      </c>
      <c r="E1836" s="11" t="str">
        <f>+HYPERLINK("http://trademark.i-assist.jp/data/china/image_1901th/79073555.pdf", "79073555")</f>
        <v>79073555</v>
      </c>
      <c r="F1836" s="10" t="s">
        <v>5238</v>
      </c>
      <c r="G1836" s="10" t="s">
        <v>5165</v>
      </c>
      <c r="H1836" s="10" t="s">
        <v>5239</v>
      </c>
      <c r="I1836" s="10" t="s">
        <v>5015</v>
      </c>
    </row>
    <row r="1837" spans="1:9" x14ac:dyDescent="0.15">
      <c r="A1837" s="9">
        <v>1836</v>
      </c>
      <c r="B1837" s="10" t="s">
        <v>9</v>
      </c>
      <c r="C1837" s="10" t="s">
        <v>164</v>
      </c>
      <c r="D1837" s="10" t="s">
        <v>165</v>
      </c>
      <c r="E1837" s="11" t="str">
        <f>+HYPERLINK("http://trademark.i-assist.jp/data/china/image_1901th/79073643.pdf", "79073643")</f>
        <v>79073643</v>
      </c>
      <c r="F1837" s="10" t="s">
        <v>12</v>
      </c>
      <c r="G1837" s="10" t="s">
        <v>5240</v>
      </c>
      <c r="H1837" s="10" t="s">
        <v>5241</v>
      </c>
      <c r="I1837" s="10" t="s">
        <v>5015</v>
      </c>
    </row>
    <row r="1838" spans="1:9" x14ac:dyDescent="0.15">
      <c r="A1838" s="9">
        <v>1837</v>
      </c>
      <c r="B1838" s="10" t="s">
        <v>9</v>
      </c>
      <c r="C1838" s="10" t="s">
        <v>164</v>
      </c>
      <c r="D1838" s="10" t="s">
        <v>165</v>
      </c>
      <c r="E1838" s="11" t="str">
        <f>+HYPERLINK("http://trademark.i-assist.jp/data/china/image_1901th/79073719.pdf", "79073719")</f>
        <v>79073719</v>
      </c>
      <c r="F1838" s="10" t="s">
        <v>5242</v>
      </c>
      <c r="G1838" s="10" t="s">
        <v>5243</v>
      </c>
      <c r="H1838" s="10" t="s">
        <v>5244</v>
      </c>
      <c r="I1838" s="10" t="s">
        <v>5015</v>
      </c>
    </row>
    <row r="1839" spans="1:9" x14ac:dyDescent="0.15">
      <c r="A1839" s="9">
        <v>1838</v>
      </c>
      <c r="B1839" s="10" t="s">
        <v>9</v>
      </c>
      <c r="C1839" s="10" t="s">
        <v>164</v>
      </c>
      <c r="D1839" s="10" t="s">
        <v>165</v>
      </c>
      <c r="E1839" s="11" t="str">
        <f>+HYPERLINK("http://trademark.i-assist.jp/data/china/image_1901th/79073787.pdf", "79073787")</f>
        <v>79073787</v>
      </c>
      <c r="F1839" s="10" t="s">
        <v>5245</v>
      </c>
      <c r="G1839" s="10" t="s">
        <v>91</v>
      </c>
      <c r="H1839" s="10" t="s">
        <v>5246</v>
      </c>
      <c r="I1839" s="10" t="s">
        <v>5015</v>
      </c>
    </row>
    <row r="1840" spans="1:9" x14ac:dyDescent="0.15">
      <c r="A1840" s="9">
        <v>1839</v>
      </c>
      <c r="B1840" s="10" t="s">
        <v>9</v>
      </c>
      <c r="C1840" s="10" t="s">
        <v>164</v>
      </c>
      <c r="D1840" s="10" t="s">
        <v>165</v>
      </c>
      <c r="E1840" s="11" t="str">
        <f>+HYPERLINK("http://trademark.i-assist.jp/data/china/image_1901th/79073894.pdf", "79073894")</f>
        <v>79073894</v>
      </c>
      <c r="F1840" s="10" t="s">
        <v>5247</v>
      </c>
      <c r="G1840" s="10" t="s">
        <v>5057</v>
      </c>
      <c r="H1840" s="10" t="s">
        <v>5248</v>
      </c>
      <c r="I1840" s="10" t="s">
        <v>5015</v>
      </c>
    </row>
    <row r="1841" spans="1:9" x14ac:dyDescent="0.15">
      <c r="A1841" s="9">
        <v>1840</v>
      </c>
      <c r="B1841" s="10" t="s">
        <v>9</v>
      </c>
      <c r="C1841" s="10" t="s">
        <v>164</v>
      </c>
      <c r="D1841" s="10" t="s">
        <v>165</v>
      </c>
      <c r="E1841" s="11" t="str">
        <f>+HYPERLINK("http://trademark.i-assist.jp/data/china/image_1901th/79073966.pdf", "79073966")</f>
        <v>79073966</v>
      </c>
      <c r="F1841" s="10" t="s">
        <v>5249</v>
      </c>
      <c r="G1841" s="10" t="s">
        <v>5250</v>
      </c>
      <c r="H1841" s="10" t="s">
        <v>5251</v>
      </c>
      <c r="I1841" s="10" t="s">
        <v>5015</v>
      </c>
    </row>
    <row r="1842" spans="1:9" x14ac:dyDescent="0.15">
      <c r="A1842" s="9">
        <v>1841</v>
      </c>
      <c r="B1842" s="10" t="s">
        <v>9</v>
      </c>
      <c r="C1842" s="10" t="s">
        <v>164</v>
      </c>
      <c r="D1842" s="10" t="s">
        <v>165</v>
      </c>
      <c r="E1842" s="11" t="str">
        <f>+HYPERLINK("http://trademark.i-assist.jp/data/china/image_1901th/79074123.pdf", "79074123")</f>
        <v>79074123</v>
      </c>
      <c r="F1842" s="10" t="s">
        <v>5252</v>
      </c>
      <c r="G1842" s="10" t="s">
        <v>5063</v>
      </c>
      <c r="H1842" s="10" t="s">
        <v>5253</v>
      </c>
      <c r="I1842" s="10" t="s">
        <v>5015</v>
      </c>
    </row>
    <row r="1843" spans="1:9" x14ac:dyDescent="0.15">
      <c r="A1843" s="9">
        <v>1842</v>
      </c>
      <c r="B1843" s="10" t="s">
        <v>9</v>
      </c>
      <c r="C1843" s="10" t="s">
        <v>164</v>
      </c>
      <c r="D1843" s="10" t="s">
        <v>165</v>
      </c>
      <c r="E1843" s="11" t="str">
        <f>+HYPERLINK("http://trademark.i-assist.jp/data/china/image_1901th/79074459.pdf", "79074459")</f>
        <v>79074459</v>
      </c>
      <c r="F1843" s="10" t="s">
        <v>5254</v>
      </c>
      <c r="G1843" s="10" t="s">
        <v>5255</v>
      </c>
      <c r="H1843" s="10" t="s">
        <v>5256</v>
      </c>
      <c r="I1843" s="10" t="s">
        <v>5015</v>
      </c>
    </row>
    <row r="1844" spans="1:9" x14ac:dyDescent="0.15">
      <c r="A1844" s="9">
        <v>1843</v>
      </c>
      <c r="B1844" s="10" t="s">
        <v>9</v>
      </c>
      <c r="C1844" s="10" t="s">
        <v>164</v>
      </c>
      <c r="D1844" s="10" t="s">
        <v>165</v>
      </c>
      <c r="E1844" s="11" t="str">
        <f>+HYPERLINK("http://trademark.i-assist.jp/data/china/image_1901th/79074489.pdf", "79074489")</f>
        <v>79074489</v>
      </c>
      <c r="F1844" s="10" t="s">
        <v>5257</v>
      </c>
      <c r="G1844" s="10" t="s">
        <v>5258</v>
      </c>
      <c r="H1844" s="10" t="s">
        <v>5259</v>
      </c>
      <c r="I1844" s="10" t="s">
        <v>5015</v>
      </c>
    </row>
    <row r="1845" spans="1:9" x14ac:dyDescent="0.15">
      <c r="A1845" s="9">
        <v>1844</v>
      </c>
      <c r="B1845" s="10" t="s">
        <v>9</v>
      </c>
      <c r="C1845" s="10" t="s">
        <v>164</v>
      </c>
      <c r="D1845" s="10" t="s">
        <v>165</v>
      </c>
      <c r="E1845" s="11" t="str">
        <f>+HYPERLINK("http://trademark.i-assist.jp/data/china/image_1901th/79074573.pdf", "79074573")</f>
        <v>79074573</v>
      </c>
      <c r="F1845" s="10" t="s">
        <v>5260</v>
      </c>
      <c r="G1845" s="10" t="s">
        <v>5261</v>
      </c>
      <c r="H1845" s="10" t="s">
        <v>5262</v>
      </c>
      <c r="I1845" s="10" t="s">
        <v>5015</v>
      </c>
    </row>
    <row r="1846" spans="1:9" x14ac:dyDescent="0.15">
      <c r="A1846" s="9">
        <v>1845</v>
      </c>
      <c r="B1846" s="10" t="s">
        <v>9</v>
      </c>
      <c r="C1846" s="10" t="s">
        <v>164</v>
      </c>
      <c r="D1846" s="10" t="s">
        <v>165</v>
      </c>
      <c r="E1846" s="11" t="str">
        <f>+HYPERLINK("http://trademark.i-assist.jp/data/china/image_1901th/79074705.pdf", "79074705")</f>
        <v>79074705</v>
      </c>
      <c r="F1846" s="10" t="s">
        <v>5263</v>
      </c>
      <c r="G1846" s="10" t="s">
        <v>5041</v>
      </c>
      <c r="H1846" s="10" t="s">
        <v>5264</v>
      </c>
      <c r="I1846" s="10" t="s">
        <v>5015</v>
      </c>
    </row>
    <row r="1847" spans="1:9" x14ac:dyDescent="0.15">
      <c r="A1847" s="9">
        <v>1846</v>
      </c>
      <c r="B1847" s="10" t="s">
        <v>9</v>
      </c>
      <c r="C1847" s="10" t="s">
        <v>164</v>
      </c>
      <c r="D1847" s="10" t="s">
        <v>165</v>
      </c>
      <c r="E1847" s="11" t="str">
        <f>+HYPERLINK("http://trademark.i-assist.jp/data/china/image_1901th/79074718.pdf", "79074718")</f>
        <v>79074718</v>
      </c>
      <c r="F1847" s="10" t="s">
        <v>5265</v>
      </c>
      <c r="G1847" s="10" t="s">
        <v>5041</v>
      </c>
      <c r="H1847" s="10" t="s">
        <v>5266</v>
      </c>
      <c r="I1847" s="10" t="s">
        <v>5015</v>
      </c>
    </row>
    <row r="1848" spans="1:9" x14ac:dyDescent="0.15">
      <c r="A1848" s="9">
        <v>1847</v>
      </c>
      <c r="B1848" s="10" t="s">
        <v>9</v>
      </c>
      <c r="C1848" s="10" t="s">
        <v>164</v>
      </c>
      <c r="D1848" s="10" t="s">
        <v>165</v>
      </c>
      <c r="E1848" s="11" t="str">
        <f>+HYPERLINK("http://trademark.i-assist.jp/data/china/image_1901th/79074989.pdf", "79074989")</f>
        <v>79074989</v>
      </c>
      <c r="F1848" s="10" t="s">
        <v>5267</v>
      </c>
      <c r="G1848" s="10" t="s">
        <v>5223</v>
      </c>
      <c r="H1848" s="10" t="s">
        <v>5268</v>
      </c>
      <c r="I1848" s="10" t="s">
        <v>5015</v>
      </c>
    </row>
    <row r="1849" spans="1:9" x14ac:dyDescent="0.15">
      <c r="A1849" s="9">
        <v>1848</v>
      </c>
      <c r="B1849" s="10" t="s">
        <v>9</v>
      </c>
      <c r="C1849" s="10" t="s">
        <v>164</v>
      </c>
      <c r="D1849" s="10" t="s">
        <v>165</v>
      </c>
      <c r="E1849" s="11" t="str">
        <f>+HYPERLINK("http://trademark.i-assist.jp/data/china/image_1901th/79075061.pdf", "79075061")</f>
        <v>79075061</v>
      </c>
      <c r="F1849" s="10" t="s">
        <v>5269</v>
      </c>
      <c r="G1849" s="10" t="s">
        <v>5270</v>
      </c>
      <c r="H1849" s="10" t="s">
        <v>5271</v>
      </c>
      <c r="I1849" s="10" t="s">
        <v>5015</v>
      </c>
    </row>
    <row r="1850" spans="1:9" x14ac:dyDescent="0.15">
      <c r="A1850" s="9">
        <v>1849</v>
      </c>
      <c r="B1850" s="10" t="s">
        <v>9</v>
      </c>
      <c r="C1850" s="10" t="s">
        <v>164</v>
      </c>
      <c r="D1850" s="10" t="s">
        <v>165</v>
      </c>
      <c r="E1850" s="11" t="str">
        <f>+HYPERLINK("http://trademark.i-assist.jp/data/china/image_1901th/79075146.pdf", "79075146")</f>
        <v>79075146</v>
      </c>
      <c r="F1850" s="10" t="s">
        <v>5272</v>
      </c>
      <c r="G1850" s="10" t="s">
        <v>5174</v>
      </c>
      <c r="H1850" s="10" t="s">
        <v>5273</v>
      </c>
      <c r="I1850" s="10" t="s">
        <v>5015</v>
      </c>
    </row>
    <row r="1851" spans="1:9" x14ac:dyDescent="0.15">
      <c r="A1851" s="9">
        <v>1850</v>
      </c>
      <c r="B1851" s="10" t="s">
        <v>9</v>
      </c>
      <c r="C1851" s="10" t="s">
        <v>164</v>
      </c>
      <c r="D1851" s="10" t="s">
        <v>165</v>
      </c>
      <c r="E1851" s="11" t="str">
        <f>+HYPERLINK("http://trademark.i-assist.jp/data/china/image_1901th/79075227.pdf", "79075227")</f>
        <v>79075227</v>
      </c>
      <c r="F1851" s="10" t="s">
        <v>5274</v>
      </c>
      <c r="G1851" s="10" t="s">
        <v>5275</v>
      </c>
      <c r="H1851" s="10" t="s">
        <v>5276</v>
      </c>
      <c r="I1851" s="10" t="s">
        <v>5015</v>
      </c>
    </row>
    <row r="1852" spans="1:9" x14ac:dyDescent="0.15">
      <c r="A1852" s="9">
        <v>1851</v>
      </c>
      <c r="B1852" s="10" t="s">
        <v>9</v>
      </c>
      <c r="C1852" s="10" t="s">
        <v>164</v>
      </c>
      <c r="D1852" s="10" t="s">
        <v>165</v>
      </c>
      <c r="E1852" s="11" t="str">
        <f>+HYPERLINK("http://trademark.i-assist.jp/data/china/image_1901th/79075313.pdf", "79075313")</f>
        <v>79075313</v>
      </c>
      <c r="F1852" s="10" t="s">
        <v>12</v>
      </c>
      <c r="G1852" s="10" t="s">
        <v>5165</v>
      </c>
      <c r="H1852" s="10" t="s">
        <v>5277</v>
      </c>
      <c r="I1852" s="10" t="s">
        <v>5015</v>
      </c>
    </row>
    <row r="1853" spans="1:9" x14ac:dyDescent="0.15">
      <c r="A1853" s="9">
        <v>1852</v>
      </c>
      <c r="B1853" s="10" t="s">
        <v>9</v>
      </c>
      <c r="C1853" s="10" t="s">
        <v>164</v>
      </c>
      <c r="D1853" s="10" t="s">
        <v>165</v>
      </c>
      <c r="E1853" s="11" t="str">
        <f>+HYPERLINK("http://trademark.i-assist.jp/data/china/image_1901th/79075452.pdf", "79075452")</f>
        <v>79075452</v>
      </c>
      <c r="F1853" s="10" t="s">
        <v>5278</v>
      </c>
      <c r="G1853" s="10" t="s">
        <v>5279</v>
      </c>
      <c r="H1853" s="10" t="s">
        <v>5280</v>
      </c>
      <c r="I1853" s="10" t="s">
        <v>5015</v>
      </c>
    </row>
    <row r="1854" spans="1:9" x14ac:dyDescent="0.15">
      <c r="A1854" s="9">
        <v>1853</v>
      </c>
      <c r="B1854" s="10" t="s">
        <v>9</v>
      </c>
      <c r="C1854" s="10" t="s">
        <v>164</v>
      </c>
      <c r="D1854" s="10" t="s">
        <v>165</v>
      </c>
      <c r="E1854" s="11" t="str">
        <f>+HYPERLINK("http://trademark.i-assist.jp/data/china/image_1901th/79075565.pdf", "79075565")</f>
        <v>79075565</v>
      </c>
      <c r="F1854" s="10" t="s">
        <v>5281</v>
      </c>
      <c r="G1854" s="10" t="s">
        <v>5282</v>
      </c>
      <c r="H1854" s="10" t="s">
        <v>5283</v>
      </c>
      <c r="I1854" s="10" t="s">
        <v>5015</v>
      </c>
    </row>
    <row r="1855" spans="1:9" x14ac:dyDescent="0.15">
      <c r="A1855" s="9">
        <v>1854</v>
      </c>
      <c r="B1855" s="10" t="s">
        <v>9</v>
      </c>
      <c r="C1855" s="10" t="s">
        <v>164</v>
      </c>
      <c r="D1855" s="10" t="s">
        <v>165</v>
      </c>
      <c r="E1855" s="11" t="str">
        <f>+HYPERLINK("http://trademark.i-assist.jp/data/china/image_1901th/79075613.pdf", "79075613")</f>
        <v>79075613</v>
      </c>
      <c r="F1855" s="10" t="s">
        <v>5284</v>
      </c>
      <c r="G1855" s="10" t="s">
        <v>5285</v>
      </c>
      <c r="H1855" s="10" t="s">
        <v>5286</v>
      </c>
      <c r="I1855" s="10" t="s">
        <v>5015</v>
      </c>
    </row>
    <row r="1856" spans="1:9" x14ac:dyDescent="0.15">
      <c r="A1856" s="9">
        <v>1855</v>
      </c>
      <c r="B1856" s="10" t="s">
        <v>9</v>
      </c>
      <c r="C1856" s="10" t="s">
        <v>164</v>
      </c>
      <c r="D1856" s="10" t="s">
        <v>165</v>
      </c>
      <c r="E1856" s="11" t="str">
        <f>+HYPERLINK("http://trademark.i-assist.jp/data/china/image_1901th/79075741.pdf", "79075741")</f>
        <v>79075741</v>
      </c>
      <c r="F1856" s="10" t="s">
        <v>5287</v>
      </c>
      <c r="G1856" s="10" t="s">
        <v>126</v>
      </c>
      <c r="H1856" s="10" t="s">
        <v>5288</v>
      </c>
      <c r="I1856" s="10" t="s">
        <v>5015</v>
      </c>
    </row>
    <row r="1857" spans="1:9" x14ac:dyDescent="0.15">
      <c r="A1857" s="9">
        <v>1856</v>
      </c>
      <c r="B1857" s="10" t="s">
        <v>9</v>
      </c>
      <c r="C1857" s="10" t="s">
        <v>164</v>
      </c>
      <c r="D1857" s="10" t="s">
        <v>165</v>
      </c>
      <c r="E1857" s="11" t="str">
        <f>+HYPERLINK("http://trademark.i-assist.jp/data/china/image_1901th/79075774.pdf", "79075774")</f>
        <v>79075774</v>
      </c>
      <c r="F1857" s="10" t="s">
        <v>5289</v>
      </c>
      <c r="G1857" s="10" t="s">
        <v>5290</v>
      </c>
      <c r="H1857" s="10" t="s">
        <v>5291</v>
      </c>
      <c r="I1857" s="10" t="s">
        <v>5015</v>
      </c>
    </row>
    <row r="1858" spans="1:9" x14ac:dyDescent="0.15">
      <c r="A1858" s="9">
        <v>1857</v>
      </c>
      <c r="B1858" s="10" t="s">
        <v>9</v>
      </c>
      <c r="C1858" s="10" t="s">
        <v>164</v>
      </c>
      <c r="D1858" s="10" t="s">
        <v>165</v>
      </c>
      <c r="E1858" s="11" t="str">
        <f>+HYPERLINK("http://trademark.i-assist.jp/data/china/image_1901th/79075882.pdf", "79075882")</f>
        <v>79075882</v>
      </c>
      <c r="F1858" s="10" t="s">
        <v>5292</v>
      </c>
      <c r="G1858" s="10" t="s">
        <v>5041</v>
      </c>
      <c r="H1858" s="10" t="s">
        <v>5293</v>
      </c>
      <c r="I1858" s="10" t="s">
        <v>5015</v>
      </c>
    </row>
    <row r="1859" spans="1:9" x14ac:dyDescent="0.15">
      <c r="A1859" s="9">
        <v>1858</v>
      </c>
      <c r="B1859" s="10" t="s">
        <v>9</v>
      </c>
      <c r="C1859" s="10" t="s">
        <v>164</v>
      </c>
      <c r="D1859" s="10" t="s">
        <v>165</v>
      </c>
      <c r="E1859" s="11" t="str">
        <f>+HYPERLINK("http://trademark.i-assist.jp/data/china/image_1901th/79076074.pdf", "79076074")</f>
        <v>79076074</v>
      </c>
      <c r="F1859" s="10" t="s">
        <v>5294</v>
      </c>
      <c r="G1859" s="10" t="s">
        <v>5295</v>
      </c>
      <c r="H1859" s="10" t="s">
        <v>5296</v>
      </c>
      <c r="I1859" s="10" t="s">
        <v>5015</v>
      </c>
    </row>
    <row r="1860" spans="1:9" x14ac:dyDescent="0.15">
      <c r="A1860" s="9">
        <v>1859</v>
      </c>
      <c r="B1860" s="10" t="s">
        <v>9</v>
      </c>
      <c r="C1860" s="10" t="s">
        <v>164</v>
      </c>
      <c r="D1860" s="10" t="s">
        <v>165</v>
      </c>
      <c r="E1860" s="11" t="str">
        <f>+HYPERLINK("http://trademark.i-assist.jp/data/china/image_1901th/79076781.pdf", "79076781")</f>
        <v>79076781</v>
      </c>
      <c r="F1860" s="10" t="s">
        <v>5297</v>
      </c>
      <c r="G1860" s="10" t="s">
        <v>5041</v>
      </c>
      <c r="H1860" s="10" t="s">
        <v>5298</v>
      </c>
      <c r="I1860" s="10" t="s">
        <v>5015</v>
      </c>
    </row>
    <row r="1861" spans="1:9" x14ac:dyDescent="0.15">
      <c r="A1861" s="9">
        <v>1860</v>
      </c>
      <c r="B1861" s="10" t="s">
        <v>9</v>
      </c>
      <c r="C1861" s="10" t="s">
        <v>164</v>
      </c>
      <c r="D1861" s="10" t="s">
        <v>165</v>
      </c>
      <c r="E1861" s="11" t="str">
        <f>+HYPERLINK("http://trademark.i-assist.jp/data/china/image_1901th/79076862.pdf", "79076862")</f>
        <v>79076862</v>
      </c>
      <c r="F1861" s="10" t="s">
        <v>5299</v>
      </c>
      <c r="G1861" s="10" t="s">
        <v>5300</v>
      </c>
      <c r="H1861" s="10" t="s">
        <v>5301</v>
      </c>
      <c r="I1861" s="10" t="s">
        <v>5015</v>
      </c>
    </row>
    <row r="1862" spans="1:9" x14ac:dyDescent="0.15">
      <c r="A1862" s="9">
        <v>1861</v>
      </c>
      <c r="B1862" s="10" t="s">
        <v>9</v>
      </c>
      <c r="C1862" s="10" t="s">
        <v>164</v>
      </c>
      <c r="D1862" s="10" t="s">
        <v>165</v>
      </c>
      <c r="E1862" s="11" t="str">
        <f>+HYPERLINK("http://trademark.i-assist.jp/data/china/image_1901th/79077077.pdf", "79077077")</f>
        <v>79077077</v>
      </c>
      <c r="F1862" s="10" t="s">
        <v>5302</v>
      </c>
      <c r="G1862" s="10" t="s">
        <v>5303</v>
      </c>
      <c r="H1862" s="10" t="s">
        <v>5304</v>
      </c>
      <c r="I1862" s="10" t="s">
        <v>5015</v>
      </c>
    </row>
    <row r="1863" spans="1:9" x14ac:dyDescent="0.15">
      <c r="A1863" s="9">
        <v>1862</v>
      </c>
      <c r="B1863" s="10" t="s">
        <v>9</v>
      </c>
      <c r="C1863" s="10" t="s">
        <v>164</v>
      </c>
      <c r="D1863" s="10" t="s">
        <v>165</v>
      </c>
      <c r="E1863" s="11" t="str">
        <f>+HYPERLINK("http://trademark.i-assist.jp/data/china/image_1901th/79077388.pdf", "79077388")</f>
        <v>79077388</v>
      </c>
      <c r="F1863" s="10" t="s">
        <v>5305</v>
      </c>
      <c r="G1863" s="10" t="s">
        <v>5300</v>
      </c>
      <c r="H1863" s="10" t="s">
        <v>5306</v>
      </c>
      <c r="I1863" s="10" t="s">
        <v>5015</v>
      </c>
    </row>
    <row r="1864" spans="1:9" x14ac:dyDescent="0.15">
      <c r="A1864" s="9">
        <v>1863</v>
      </c>
      <c r="B1864" s="10" t="s">
        <v>9</v>
      </c>
      <c r="C1864" s="10" t="s">
        <v>164</v>
      </c>
      <c r="D1864" s="10" t="s">
        <v>165</v>
      </c>
      <c r="E1864" s="11" t="str">
        <f>+HYPERLINK("http://trademark.i-assist.jp/data/china/image_1901th/79077473.pdf", "79077473")</f>
        <v>79077473</v>
      </c>
      <c r="F1864" s="10" t="s">
        <v>5307</v>
      </c>
      <c r="G1864" s="10" t="s">
        <v>5308</v>
      </c>
      <c r="H1864" s="10" t="s">
        <v>5309</v>
      </c>
      <c r="I1864" s="10" t="s">
        <v>5015</v>
      </c>
    </row>
    <row r="1865" spans="1:9" x14ac:dyDescent="0.15">
      <c r="A1865" s="9">
        <v>1864</v>
      </c>
      <c r="B1865" s="10" t="s">
        <v>9</v>
      </c>
      <c r="C1865" s="10" t="s">
        <v>164</v>
      </c>
      <c r="D1865" s="10" t="s">
        <v>165</v>
      </c>
      <c r="E1865" s="11" t="str">
        <f>+HYPERLINK("http://trademark.i-assist.jp/data/china/image_1901th/79077481.pdf", "79077481")</f>
        <v>79077481</v>
      </c>
      <c r="F1865" s="10" t="s">
        <v>5310</v>
      </c>
      <c r="G1865" s="10" t="s">
        <v>5311</v>
      </c>
      <c r="H1865" s="10" t="s">
        <v>5312</v>
      </c>
      <c r="I1865" s="10" t="s">
        <v>5015</v>
      </c>
    </row>
    <row r="1866" spans="1:9" x14ac:dyDescent="0.15">
      <c r="A1866" s="9">
        <v>1865</v>
      </c>
      <c r="B1866" s="10" t="s">
        <v>9</v>
      </c>
      <c r="C1866" s="10" t="s">
        <v>164</v>
      </c>
      <c r="D1866" s="10" t="s">
        <v>165</v>
      </c>
      <c r="E1866" s="11" t="str">
        <f>+HYPERLINK("http://trademark.i-assist.jp/data/china/image_1901th/79077541.pdf", "79077541")</f>
        <v>79077541</v>
      </c>
      <c r="F1866" s="10" t="s">
        <v>12</v>
      </c>
      <c r="G1866" s="10" t="s">
        <v>5165</v>
      </c>
      <c r="H1866" s="10" t="s">
        <v>5313</v>
      </c>
      <c r="I1866" s="10" t="s">
        <v>5015</v>
      </c>
    </row>
    <row r="1867" spans="1:9" x14ac:dyDescent="0.15">
      <c r="A1867" s="9">
        <v>1866</v>
      </c>
      <c r="B1867" s="10" t="s">
        <v>9</v>
      </c>
      <c r="C1867" s="10" t="s">
        <v>164</v>
      </c>
      <c r="D1867" s="10" t="s">
        <v>165</v>
      </c>
      <c r="E1867" s="11" t="str">
        <f>+HYPERLINK("http://trademark.i-assist.jp/data/china/image_1901th/79077564.pdf", "79077564")</f>
        <v>79077564</v>
      </c>
      <c r="F1867" s="10" t="s">
        <v>5314</v>
      </c>
      <c r="G1867" s="10" t="s">
        <v>85</v>
      </c>
      <c r="H1867" s="10" t="s">
        <v>5315</v>
      </c>
      <c r="I1867" s="10" t="s">
        <v>5015</v>
      </c>
    </row>
    <row r="1868" spans="1:9" x14ac:dyDescent="0.15">
      <c r="A1868" s="9">
        <v>1867</v>
      </c>
      <c r="B1868" s="10" t="s">
        <v>9</v>
      </c>
      <c r="C1868" s="10" t="s">
        <v>164</v>
      </c>
      <c r="D1868" s="10" t="s">
        <v>165</v>
      </c>
      <c r="E1868" s="11" t="str">
        <f>+HYPERLINK("http://trademark.i-assist.jp/data/china/image_1901th/79077703.pdf", "79077703")</f>
        <v>79077703</v>
      </c>
      <c r="F1868" s="10" t="s">
        <v>5316</v>
      </c>
      <c r="G1868" s="10" t="s">
        <v>5317</v>
      </c>
      <c r="H1868" s="10" t="s">
        <v>5318</v>
      </c>
      <c r="I1868" s="10" t="s">
        <v>5015</v>
      </c>
    </row>
    <row r="1869" spans="1:9" x14ac:dyDescent="0.15">
      <c r="A1869" s="9">
        <v>1868</v>
      </c>
      <c r="B1869" s="10" t="s">
        <v>9</v>
      </c>
      <c r="C1869" s="10" t="s">
        <v>164</v>
      </c>
      <c r="D1869" s="10" t="s">
        <v>165</v>
      </c>
      <c r="E1869" s="11" t="str">
        <f>+HYPERLINK("http://trademark.i-assist.jp/data/china/image_1901th/79077789.pdf", "79077789")</f>
        <v>79077789</v>
      </c>
      <c r="F1869" s="10" t="s">
        <v>12</v>
      </c>
      <c r="G1869" s="10" t="s">
        <v>5165</v>
      </c>
      <c r="H1869" s="10" t="s">
        <v>5319</v>
      </c>
      <c r="I1869" s="10" t="s">
        <v>5015</v>
      </c>
    </row>
    <row r="1870" spans="1:9" x14ac:dyDescent="0.15">
      <c r="A1870" s="9">
        <v>1869</v>
      </c>
      <c r="B1870" s="10" t="s">
        <v>9</v>
      </c>
      <c r="C1870" s="10" t="s">
        <v>164</v>
      </c>
      <c r="D1870" s="10" t="s">
        <v>165</v>
      </c>
      <c r="E1870" s="11" t="str">
        <f>+HYPERLINK("http://trademark.i-assist.jp/data/china/image_1901th/79078015.pdf", "79078015")</f>
        <v>79078015</v>
      </c>
      <c r="F1870" s="10" t="s">
        <v>5320</v>
      </c>
      <c r="G1870" s="10" t="s">
        <v>5321</v>
      </c>
      <c r="H1870" s="10" t="s">
        <v>5322</v>
      </c>
      <c r="I1870" s="10" t="s">
        <v>5015</v>
      </c>
    </row>
    <row r="1871" spans="1:9" x14ac:dyDescent="0.15">
      <c r="A1871" s="9">
        <v>1870</v>
      </c>
      <c r="B1871" s="10" t="s">
        <v>9</v>
      </c>
      <c r="C1871" s="10" t="s">
        <v>164</v>
      </c>
      <c r="D1871" s="10" t="s">
        <v>165</v>
      </c>
      <c r="E1871" s="11" t="str">
        <f>+HYPERLINK("http://trademark.i-assist.jp/data/china/image_1901th/79078271.pdf", "79078271")</f>
        <v>79078271</v>
      </c>
      <c r="F1871" s="10" t="s">
        <v>5323</v>
      </c>
      <c r="G1871" s="10" t="s">
        <v>5324</v>
      </c>
      <c r="H1871" s="10" t="s">
        <v>5325</v>
      </c>
      <c r="I1871" s="10" t="s">
        <v>5015</v>
      </c>
    </row>
    <row r="1872" spans="1:9" x14ac:dyDescent="0.15">
      <c r="A1872" s="9">
        <v>1871</v>
      </c>
      <c r="B1872" s="10" t="s">
        <v>9</v>
      </c>
      <c r="C1872" s="10" t="s">
        <v>164</v>
      </c>
      <c r="D1872" s="10" t="s">
        <v>165</v>
      </c>
      <c r="E1872" s="11" t="str">
        <f>+HYPERLINK("http://trademark.i-assist.jp/data/china/image_1901th/79078519.pdf", "79078519")</f>
        <v>79078519</v>
      </c>
      <c r="F1872" s="10" t="s">
        <v>5326</v>
      </c>
      <c r="G1872" s="10" t="s">
        <v>5327</v>
      </c>
      <c r="H1872" s="10" t="s">
        <v>5328</v>
      </c>
      <c r="I1872" s="10" t="s">
        <v>5015</v>
      </c>
    </row>
    <row r="1873" spans="1:9" x14ac:dyDescent="0.15">
      <c r="A1873" s="9">
        <v>1872</v>
      </c>
      <c r="B1873" s="10" t="s">
        <v>9</v>
      </c>
      <c r="C1873" s="10" t="s">
        <v>164</v>
      </c>
      <c r="D1873" s="10" t="s">
        <v>165</v>
      </c>
      <c r="E1873" s="11" t="str">
        <f>+HYPERLINK("http://trademark.i-assist.jp/data/china/image_1901th/79078771.pdf", "79078771")</f>
        <v>79078771</v>
      </c>
      <c r="F1873" s="10" t="s">
        <v>5329</v>
      </c>
      <c r="G1873" s="10" t="s">
        <v>5330</v>
      </c>
      <c r="H1873" s="10" t="s">
        <v>5331</v>
      </c>
      <c r="I1873" s="10" t="s">
        <v>5015</v>
      </c>
    </row>
    <row r="1874" spans="1:9" x14ac:dyDescent="0.15">
      <c r="A1874" s="9">
        <v>1873</v>
      </c>
      <c r="B1874" s="10" t="s">
        <v>9</v>
      </c>
      <c r="C1874" s="10" t="s">
        <v>164</v>
      </c>
      <c r="D1874" s="10" t="s">
        <v>165</v>
      </c>
      <c r="E1874" s="11" t="str">
        <f>+HYPERLINK("http://trademark.i-assist.jp/data/china/image_1901th/79078892.pdf", "79078892")</f>
        <v>79078892</v>
      </c>
      <c r="F1874" s="10" t="s">
        <v>5332</v>
      </c>
      <c r="G1874" s="10" t="s">
        <v>5332</v>
      </c>
      <c r="H1874" s="10" t="s">
        <v>5333</v>
      </c>
      <c r="I1874" s="10" t="s">
        <v>5015</v>
      </c>
    </row>
    <row r="1875" spans="1:9" x14ac:dyDescent="0.15">
      <c r="A1875" s="9">
        <v>1874</v>
      </c>
      <c r="B1875" s="10" t="s">
        <v>9</v>
      </c>
      <c r="C1875" s="10" t="s">
        <v>164</v>
      </c>
      <c r="D1875" s="10" t="s">
        <v>165</v>
      </c>
      <c r="E1875" s="11" t="str">
        <f>+HYPERLINK("http://trademark.i-assist.jp/data/china/image_1901th/79079154.pdf", "79079154")</f>
        <v>79079154</v>
      </c>
      <c r="F1875" s="10" t="s">
        <v>5334</v>
      </c>
      <c r="G1875" s="10" t="s">
        <v>5096</v>
      </c>
      <c r="H1875" s="10" t="s">
        <v>5097</v>
      </c>
      <c r="I1875" s="10" t="s">
        <v>5015</v>
      </c>
    </row>
    <row r="1876" spans="1:9" x14ac:dyDescent="0.15">
      <c r="A1876" s="9">
        <v>1875</v>
      </c>
      <c r="B1876" s="10" t="s">
        <v>9</v>
      </c>
      <c r="C1876" s="10" t="s">
        <v>164</v>
      </c>
      <c r="D1876" s="10" t="s">
        <v>165</v>
      </c>
      <c r="E1876" s="11" t="str">
        <f>+HYPERLINK("http://trademark.i-assist.jp/data/china/image_1901th/79079231.pdf", "79079231")</f>
        <v>79079231</v>
      </c>
      <c r="F1876" s="10" t="s">
        <v>5335</v>
      </c>
      <c r="G1876" s="10" t="s">
        <v>91</v>
      </c>
      <c r="H1876" s="10" t="s">
        <v>5336</v>
      </c>
      <c r="I1876" s="10" t="s">
        <v>5015</v>
      </c>
    </row>
    <row r="1877" spans="1:9" x14ac:dyDescent="0.15">
      <c r="A1877" s="9">
        <v>1876</v>
      </c>
      <c r="B1877" s="10" t="s">
        <v>9</v>
      </c>
      <c r="C1877" s="10" t="s">
        <v>164</v>
      </c>
      <c r="D1877" s="10" t="s">
        <v>165</v>
      </c>
      <c r="E1877" s="11" t="str">
        <f>+HYPERLINK("http://trademark.i-assist.jp/data/china/image_1901th/79079442.pdf", "79079442")</f>
        <v>79079442</v>
      </c>
      <c r="F1877" s="10" t="s">
        <v>5337</v>
      </c>
      <c r="G1877" s="10" t="s">
        <v>97</v>
      </c>
      <c r="H1877" s="10" t="s">
        <v>5338</v>
      </c>
      <c r="I1877" s="10" t="s">
        <v>5015</v>
      </c>
    </row>
    <row r="1878" spans="1:9" x14ac:dyDescent="0.15">
      <c r="A1878" s="9">
        <v>1877</v>
      </c>
      <c r="B1878" s="10" t="s">
        <v>9</v>
      </c>
      <c r="C1878" s="10" t="s">
        <v>164</v>
      </c>
      <c r="D1878" s="10" t="s">
        <v>165</v>
      </c>
      <c r="E1878" s="11" t="str">
        <f>+HYPERLINK("http://trademark.i-assist.jp/data/china/image_1901th/79079549.pdf", "79079549")</f>
        <v>79079549</v>
      </c>
      <c r="F1878" s="10" t="s">
        <v>5339</v>
      </c>
      <c r="G1878" s="10" t="s">
        <v>5300</v>
      </c>
      <c r="H1878" s="10" t="s">
        <v>5340</v>
      </c>
      <c r="I1878" s="10" t="s">
        <v>5015</v>
      </c>
    </row>
    <row r="1879" spans="1:9" x14ac:dyDescent="0.15">
      <c r="A1879" s="9">
        <v>1878</v>
      </c>
      <c r="B1879" s="10" t="s">
        <v>9</v>
      </c>
      <c r="C1879" s="10" t="s">
        <v>164</v>
      </c>
      <c r="D1879" s="10" t="s">
        <v>165</v>
      </c>
      <c r="E1879" s="11" t="str">
        <f>+HYPERLINK("http://trademark.i-assist.jp/data/china/image_1901th/79079613.pdf", "79079613")</f>
        <v>79079613</v>
      </c>
      <c r="F1879" s="10" t="s">
        <v>5341</v>
      </c>
      <c r="G1879" s="10" t="s">
        <v>5144</v>
      </c>
      <c r="H1879" s="10" t="s">
        <v>5342</v>
      </c>
      <c r="I1879" s="10" t="s">
        <v>5015</v>
      </c>
    </row>
    <row r="1880" spans="1:9" x14ac:dyDescent="0.15">
      <c r="A1880" s="9">
        <v>1879</v>
      </c>
      <c r="B1880" s="10" t="s">
        <v>9</v>
      </c>
      <c r="C1880" s="10" t="s">
        <v>164</v>
      </c>
      <c r="D1880" s="10" t="s">
        <v>165</v>
      </c>
      <c r="E1880" s="11" t="str">
        <f>+HYPERLINK("http://trademark.i-assist.jp/data/china/image_1901th/79079806.pdf", "79079806")</f>
        <v>79079806</v>
      </c>
      <c r="F1880" s="10" t="s">
        <v>5343</v>
      </c>
      <c r="G1880" s="10" t="s">
        <v>5344</v>
      </c>
      <c r="H1880" s="10" t="s">
        <v>5345</v>
      </c>
      <c r="I1880" s="10" t="s">
        <v>5015</v>
      </c>
    </row>
    <row r="1881" spans="1:9" x14ac:dyDescent="0.15">
      <c r="A1881" s="9">
        <v>1880</v>
      </c>
      <c r="B1881" s="10" t="s">
        <v>9</v>
      </c>
      <c r="C1881" s="10" t="s">
        <v>164</v>
      </c>
      <c r="D1881" s="10" t="s">
        <v>165</v>
      </c>
      <c r="E1881" s="11" t="str">
        <f>+HYPERLINK("http://trademark.i-assist.jp/data/china/image_1901th/79079856.pdf", "79079856")</f>
        <v>79079856</v>
      </c>
      <c r="F1881" s="10" t="s">
        <v>5346</v>
      </c>
      <c r="G1881" s="10" t="s">
        <v>5161</v>
      </c>
      <c r="H1881" s="10" t="s">
        <v>5347</v>
      </c>
      <c r="I1881" s="10" t="s">
        <v>5015</v>
      </c>
    </row>
    <row r="1882" spans="1:9" x14ac:dyDescent="0.15">
      <c r="A1882" s="9">
        <v>1881</v>
      </c>
      <c r="B1882" s="10" t="s">
        <v>9</v>
      </c>
      <c r="C1882" s="10" t="s">
        <v>164</v>
      </c>
      <c r="D1882" s="10" t="s">
        <v>165</v>
      </c>
      <c r="E1882" s="11" t="str">
        <f>+HYPERLINK("http://trademark.i-assist.jp/data/china/image_1901th/79080179.pdf", "79080179")</f>
        <v>79080179</v>
      </c>
      <c r="F1882" s="10" t="s">
        <v>5348</v>
      </c>
      <c r="G1882" s="10" t="s">
        <v>5041</v>
      </c>
      <c r="H1882" s="10" t="s">
        <v>5349</v>
      </c>
      <c r="I1882" s="10" t="s">
        <v>5015</v>
      </c>
    </row>
    <row r="1883" spans="1:9" x14ac:dyDescent="0.15">
      <c r="A1883" s="9">
        <v>1882</v>
      </c>
      <c r="B1883" s="10" t="s">
        <v>9</v>
      </c>
      <c r="C1883" s="10" t="s">
        <v>164</v>
      </c>
      <c r="D1883" s="10" t="s">
        <v>165</v>
      </c>
      <c r="E1883" s="11" t="str">
        <f>+HYPERLINK("http://trademark.i-assist.jp/data/china/image_1901th/79080454.pdf", "79080454")</f>
        <v>79080454</v>
      </c>
      <c r="F1883" s="10" t="s">
        <v>5350</v>
      </c>
      <c r="G1883" s="10" t="s">
        <v>5250</v>
      </c>
      <c r="H1883" s="10" t="s">
        <v>5351</v>
      </c>
      <c r="I1883" s="10" t="s">
        <v>5015</v>
      </c>
    </row>
    <row r="1884" spans="1:9" x14ac:dyDescent="0.15">
      <c r="A1884" s="9">
        <v>1883</v>
      </c>
      <c r="B1884" s="10" t="s">
        <v>9</v>
      </c>
      <c r="C1884" s="10" t="s">
        <v>164</v>
      </c>
      <c r="D1884" s="10" t="s">
        <v>165</v>
      </c>
      <c r="E1884" s="11" t="str">
        <f>+HYPERLINK("http://trademark.i-assist.jp/data/china/image_1901th/79081102.pdf", "79081102")</f>
        <v>79081102</v>
      </c>
      <c r="F1884" s="10" t="s">
        <v>5352</v>
      </c>
      <c r="G1884" s="10" t="s">
        <v>91</v>
      </c>
      <c r="H1884" s="10" t="s">
        <v>5353</v>
      </c>
      <c r="I1884" s="10" t="s">
        <v>5015</v>
      </c>
    </row>
    <row r="1885" spans="1:9" x14ac:dyDescent="0.15">
      <c r="A1885" s="9">
        <v>1884</v>
      </c>
      <c r="B1885" s="10" t="s">
        <v>9</v>
      </c>
      <c r="C1885" s="10" t="s">
        <v>164</v>
      </c>
      <c r="D1885" s="10" t="s">
        <v>165</v>
      </c>
      <c r="E1885" s="11" t="str">
        <f>+HYPERLINK("http://trademark.i-assist.jp/data/china/image_1901th/79081155.pdf", "79081155")</f>
        <v>79081155</v>
      </c>
      <c r="F1885" s="10" t="s">
        <v>5354</v>
      </c>
      <c r="G1885" s="10" t="s">
        <v>5355</v>
      </c>
      <c r="H1885" s="10" t="s">
        <v>5356</v>
      </c>
      <c r="I1885" s="10" t="s">
        <v>5015</v>
      </c>
    </row>
    <row r="1886" spans="1:9" x14ac:dyDescent="0.15">
      <c r="A1886" s="9">
        <v>1885</v>
      </c>
      <c r="B1886" s="10" t="s">
        <v>9</v>
      </c>
      <c r="C1886" s="10" t="s">
        <v>164</v>
      </c>
      <c r="D1886" s="10" t="s">
        <v>165</v>
      </c>
      <c r="E1886" s="11" t="str">
        <f>+HYPERLINK("http://trademark.i-assist.jp/data/china/image_1901th/79081229.pdf", "79081229")</f>
        <v>79081229</v>
      </c>
      <c r="F1886" s="10" t="s">
        <v>5357</v>
      </c>
      <c r="G1886" s="10" t="s">
        <v>5073</v>
      </c>
      <c r="H1886" s="10" t="s">
        <v>5358</v>
      </c>
      <c r="I1886" s="10" t="s">
        <v>5015</v>
      </c>
    </row>
    <row r="1887" spans="1:9" x14ac:dyDescent="0.15">
      <c r="A1887" s="9">
        <v>1886</v>
      </c>
      <c r="B1887" s="10" t="s">
        <v>9</v>
      </c>
      <c r="C1887" s="10" t="s">
        <v>164</v>
      </c>
      <c r="D1887" s="10" t="s">
        <v>165</v>
      </c>
      <c r="E1887" s="11" t="str">
        <f>+HYPERLINK("http://trademark.i-assist.jp/data/china/image_1901th/79081240.pdf", "79081240")</f>
        <v>79081240</v>
      </c>
      <c r="F1887" s="10" t="s">
        <v>5359</v>
      </c>
      <c r="G1887" s="10" t="s">
        <v>5360</v>
      </c>
      <c r="H1887" s="10" t="s">
        <v>5361</v>
      </c>
      <c r="I1887" s="10" t="s">
        <v>5015</v>
      </c>
    </row>
    <row r="1888" spans="1:9" x14ac:dyDescent="0.15">
      <c r="A1888" s="9">
        <v>1887</v>
      </c>
      <c r="B1888" s="10" t="s">
        <v>9</v>
      </c>
      <c r="C1888" s="10" t="s">
        <v>164</v>
      </c>
      <c r="D1888" s="10" t="s">
        <v>165</v>
      </c>
      <c r="E1888" s="11" t="str">
        <f>+HYPERLINK("http://trademark.i-assist.jp/data/china/image_1901th/79081438.pdf", "79081438")</f>
        <v>79081438</v>
      </c>
      <c r="F1888" s="10" t="s">
        <v>5362</v>
      </c>
      <c r="G1888" s="10" t="s">
        <v>5363</v>
      </c>
      <c r="H1888" s="10" t="s">
        <v>5364</v>
      </c>
      <c r="I1888" s="10" t="s">
        <v>5015</v>
      </c>
    </row>
    <row r="1889" spans="1:9" x14ac:dyDescent="0.15">
      <c r="A1889" s="9">
        <v>1888</v>
      </c>
      <c r="B1889" s="10" t="s">
        <v>9</v>
      </c>
      <c r="C1889" s="10" t="s">
        <v>164</v>
      </c>
      <c r="D1889" s="10" t="s">
        <v>165</v>
      </c>
      <c r="E1889" s="11" t="str">
        <f>+HYPERLINK("http://trademark.i-assist.jp/data/china/image_1901th/79081462.pdf", "79081462")</f>
        <v>79081462</v>
      </c>
      <c r="F1889" s="10" t="s">
        <v>5365</v>
      </c>
      <c r="G1889" s="10" t="s">
        <v>5223</v>
      </c>
      <c r="H1889" s="10" t="s">
        <v>5366</v>
      </c>
      <c r="I1889" s="10" t="s">
        <v>5015</v>
      </c>
    </row>
    <row r="1890" spans="1:9" x14ac:dyDescent="0.15">
      <c r="A1890" s="9">
        <v>1889</v>
      </c>
      <c r="B1890" s="10" t="s">
        <v>9</v>
      </c>
      <c r="C1890" s="10" t="s">
        <v>164</v>
      </c>
      <c r="D1890" s="10" t="s">
        <v>165</v>
      </c>
      <c r="E1890" s="11" t="str">
        <f>+HYPERLINK("http://trademark.i-assist.jp/data/china/image_1901th/79081770.pdf", "79081770")</f>
        <v>79081770</v>
      </c>
      <c r="F1890" s="10" t="s">
        <v>5367</v>
      </c>
      <c r="G1890" s="10" t="s">
        <v>5041</v>
      </c>
      <c r="H1890" s="10" t="s">
        <v>5368</v>
      </c>
      <c r="I1890" s="10" t="s">
        <v>5015</v>
      </c>
    </row>
    <row r="1891" spans="1:9" x14ac:dyDescent="0.15">
      <c r="A1891" s="9">
        <v>1890</v>
      </c>
      <c r="B1891" s="10" t="s">
        <v>9</v>
      </c>
      <c r="C1891" s="10" t="s">
        <v>164</v>
      </c>
      <c r="D1891" s="10" t="s">
        <v>165</v>
      </c>
      <c r="E1891" s="11" t="str">
        <f>+HYPERLINK("http://trademark.i-assist.jp/data/china/image_1901th/79081820.pdf", "79081820")</f>
        <v>79081820</v>
      </c>
      <c r="F1891" s="10" t="s">
        <v>5369</v>
      </c>
      <c r="G1891" s="10" t="s">
        <v>5300</v>
      </c>
      <c r="H1891" s="10" t="s">
        <v>5370</v>
      </c>
      <c r="I1891" s="10" t="s">
        <v>5015</v>
      </c>
    </row>
    <row r="1892" spans="1:9" x14ac:dyDescent="0.15">
      <c r="A1892" s="9">
        <v>1891</v>
      </c>
      <c r="B1892" s="10" t="s">
        <v>9</v>
      </c>
      <c r="C1892" s="10" t="s">
        <v>164</v>
      </c>
      <c r="D1892" s="10" t="s">
        <v>165</v>
      </c>
      <c r="E1892" s="11" t="str">
        <f>+HYPERLINK("http://trademark.i-assist.jp/data/china/image_1901th/79082239.pdf", "79082239")</f>
        <v>79082239</v>
      </c>
      <c r="F1892" s="10" t="s">
        <v>5371</v>
      </c>
      <c r="G1892" s="10" t="s">
        <v>5372</v>
      </c>
      <c r="H1892" s="10" t="s">
        <v>5373</v>
      </c>
      <c r="I1892" s="10" t="s">
        <v>5015</v>
      </c>
    </row>
    <row r="1893" spans="1:9" x14ac:dyDescent="0.15">
      <c r="A1893" s="9">
        <v>1892</v>
      </c>
      <c r="B1893" s="10" t="s">
        <v>9</v>
      </c>
      <c r="C1893" s="10" t="s">
        <v>164</v>
      </c>
      <c r="D1893" s="10" t="s">
        <v>165</v>
      </c>
      <c r="E1893" s="11" t="str">
        <f>+HYPERLINK("http://trademark.i-assist.jp/data/china/image_1901th/79082424.pdf", "79082424")</f>
        <v>79082424</v>
      </c>
      <c r="F1893" s="10" t="s">
        <v>5374</v>
      </c>
      <c r="G1893" s="10" t="s">
        <v>5375</v>
      </c>
      <c r="H1893" s="10" t="s">
        <v>5376</v>
      </c>
      <c r="I1893" s="10" t="s">
        <v>5015</v>
      </c>
    </row>
    <row r="1894" spans="1:9" x14ac:dyDescent="0.15">
      <c r="A1894" s="9">
        <v>1893</v>
      </c>
      <c r="B1894" s="10" t="s">
        <v>9</v>
      </c>
      <c r="C1894" s="10" t="s">
        <v>164</v>
      </c>
      <c r="D1894" s="10" t="s">
        <v>165</v>
      </c>
      <c r="E1894" s="11" t="str">
        <f>+HYPERLINK("http://trademark.i-assist.jp/data/china/image_1901th/79082656.pdf", "79082656")</f>
        <v>79082656</v>
      </c>
      <c r="F1894" s="10" t="s">
        <v>5377</v>
      </c>
      <c r="G1894" s="10" t="s">
        <v>5378</v>
      </c>
      <c r="H1894" s="10" t="s">
        <v>5379</v>
      </c>
      <c r="I1894" s="10" t="s">
        <v>5015</v>
      </c>
    </row>
    <row r="1895" spans="1:9" x14ac:dyDescent="0.15">
      <c r="A1895" s="9">
        <v>1894</v>
      </c>
      <c r="B1895" s="10" t="s">
        <v>9</v>
      </c>
      <c r="C1895" s="10" t="s">
        <v>164</v>
      </c>
      <c r="D1895" s="10" t="s">
        <v>165</v>
      </c>
      <c r="E1895" s="11" t="str">
        <f>+HYPERLINK("http://trademark.i-assist.jp/data/china/image_1901th/79083241.pdf", "79083241")</f>
        <v>79083241</v>
      </c>
      <c r="F1895" s="10" t="s">
        <v>5380</v>
      </c>
      <c r="G1895" s="10" t="s">
        <v>5381</v>
      </c>
      <c r="H1895" s="10" t="s">
        <v>5382</v>
      </c>
      <c r="I1895" s="10" t="s">
        <v>5015</v>
      </c>
    </row>
    <row r="1896" spans="1:9" x14ac:dyDescent="0.15">
      <c r="A1896" s="9">
        <v>1895</v>
      </c>
      <c r="B1896" s="10" t="s">
        <v>9</v>
      </c>
      <c r="C1896" s="10" t="s">
        <v>164</v>
      </c>
      <c r="D1896" s="10" t="s">
        <v>165</v>
      </c>
      <c r="E1896" s="11" t="str">
        <f>+HYPERLINK("http://trademark.i-assist.jp/data/china/image_1901th/79083269.pdf", "79083269")</f>
        <v>79083269</v>
      </c>
      <c r="F1896" s="10" t="s">
        <v>5383</v>
      </c>
      <c r="G1896" s="10" t="s">
        <v>5384</v>
      </c>
      <c r="H1896" s="10" t="s">
        <v>5385</v>
      </c>
      <c r="I1896" s="10" t="s">
        <v>5015</v>
      </c>
    </row>
    <row r="1897" spans="1:9" x14ac:dyDescent="0.15">
      <c r="A1897" s="9">
        <v>1896</v>
      </c>
      <c r="B1897" s="10" t="s">
        <v>9</v>
      </c>
      <c r="C1897" s="10" t="s">
        <v>164</v>
      </c>
      <c r="D1897" s="10" t="s">
        <v>165</v>
      </c>
      <c r="E1897" s="11" t="str">
        <f>+HYPERLINK("http://trademark.i-assist.jp/data/china/image_1901th/79083304.pdf", "79083304")</f>
        <v>79083304</v>
      </c>
      <c r="F1897" s="10" t="s">
        <v>5386</v>
      </c>
      <c r="G1897" s="10" t="s">
        <v>5387</v>
      </c>
      <c r="H1897" s="10" t="s">
        <v>5388</v>
      </c>
      <c r="I1897" s="10" t="s">
        <v>5015</v>
      </c>
    </row>
    <row r="1898" spans="1:9" x14ac:dyDescent="0.15">
      <c r="A1898" s="9">
        <v>1897</v>
      </c>
      <c r="B1898" s="10" t="s">
        <v>9</v>
      </c>
      <c r="C1898" s="10" t="s">
        <v>164</v>
      </c>
      <c r="D1898" s="10" t="s">
        <v>165</v>
      </c>
      <c r="E1898" s="11" t="str">
        <f>+HYPERLINK("http://trademark.i-assist.jp/data/china/image_1901th/79083363.pdf", "79083363")</f>
        <v>79083363</v>
      </c>
      <c r="F1898" s="10" t="s">
        <v>5389</v>
      </c>
      <c r="G1898" s="10" t="s">
        <v>5026</v>
      </c>
      <c r="H1898" s="10" t="s">
        <v>5390</v>
      </c>
      <c r="I1898" s="10" t="s">
        <v>5015</v>
      </c>
    </row>
    <row r="1899" spans="1:9" x14ac:dyDescent="0.15">
      <c r="A1899" s="9">
        <v>1898</v>
      </c>
      <c r="B1899" s="10" t="s">
        <v>9</v>
      </c>
      <c r="C1899" s="10" t="s">
        <v>164</v>
      </c>
      <c r="D1899" s="10" t="s">
        <v>165</v>
      </c>
      <c r="E1899" s="11" t="str">
        <f>+HYPERLINK("http://trademark.i-assist.jp/data/china/image_1901th/79083899.pdf", "79083899")</f>
        <v>79083899</v>
      </c>
      <c r="F1899" s="10" t="s">
        <v>5391</v>
      </c>
      <c r="G1899" s="10" t="s">
        <v>5392</v>
      </c>
      <c r="H1899" s="10" t="s">
        <v>5393</v>
      </c>
      <c r="I1899" s="10" t="s">
        <v>5015</v>
      </c>
    </row>
    <row r="1900" spans="1:9" x14ac:dyDescent="0.15">
      <c r="A1900" s="9">
        <v>1899</v>
      </c>
      <c r="B1900" s="10" t="s">
        <v>9</v>
      </c>
      <c r="C1900" s="10" t="s">
        <v>164</v>
      </c>
      <c r="D1900" s="10" t="s">
        <v>165</v>
      </c>
      <c r="E1900" s="11" t="str">
        <f>+HYPERLINK("http://trademark.i-assist.jp/data/china/image_1901th/79084112.pdf", "79084112")</f>
        <v>79084112</v>
      </c>
      <c r="F1900" s="10" t="s">
        <v>12</v>
      </c>
      <c r="G1900" s="10" t="s">
        <v>5394</v>
      </c>
      <c r="H1900" s="10" t="s">
        <v>5395</v>
      </c>
      <c r="I1900" s="10" t="s">
        <v>5015</v>
      </c>
    </row>
    <row r="1901" spans="1:9" x14ac:dyDescent="0.15">
      <c r="A1901" s="9">
        <v>1900</v>
      </c>
      <c r="B1901" s="10" t="s">
        <v>9</v>
      </c>
      <c r="C1901" s="10" t="s">
        <v>164</v>
      </c>
      <c r="D1901" s="10" t="s">
        <v>165</v>
      </c>
      <c r="E1901" s="11" t="str">
        <f>+HYPERLINK("http://trademark.i-assist.jp/data/china/image_1901th/79084142.pdf", "79084142")</f>
        <v>79084142</v>
      </c>
      <c r="F1901" s="10" t="s">
        <v>5396</v>
      </c>
      <c r="G1901" s="10" t="s">
        <v>5397</v>
      </c>
      <c r="H1901" s="10" t="s">
        <v>5398</v>
      </c>
      <c r="I1901" s="10" t="s">
        <v>5015</v>
      </c>
    </row>
    <row r="1902" spans="1:9" x14ac:dyDescent="0.15">
      <c r="A1902" s="9">
        <v>1901</v>
      </c>
      <c r="B1902" s="10" t="s">
        <v>9</v>
      </c>
      <c r="C1902" s="10" t="s">
        <v>164</v>
      </c>
      <c r="D1902" s="10" t="s">
        <v>165</v>
      </c>
      <c r="E1902" s="11" t="str">
        <f>+HYPERLINK("http://trademark.i-assist.jp/data/china/image_1901th/79084374.pdf", "79084374")</f>
        <v>79084374</v>
      </c>
      <c r="F1902" s="10" t="s">
        <v>5167</v>
      </c>
      <c r="G1902" s="10" t="s">
        <v>5168</v>
      </c>
      <c r="H1902" s="10" t="s">
        <v>5399</v>
      </c>
      <c r="I1902" s="10" t="s">
        <v>5015</v>
      </c>
    </row>
    <row r="1903" spans="1:9" x14ac:dyDescent="0.15">
      <c r="A1903" s="9">
        <v>1902</v>
      </c>
      <c r="B1903" s="10" t="s">
        <v>9</v>
      </c>
      <c r="C1903" s="10" t="s">
        <v>164</v>
      </c>
      <c r="D1903" s="10" t="s">
        <v>165</v>
      </c>
      <c r="E1903" s="11" t="str">
        <f>+HYPERLINK("http://trademark.i-assist.jp/data/china/image_1901th/79084441.pdf", "79084441")</f>
        <v>79084441</v>
      </c>
      <c r="F1903" s="10" t="s">
        <v>5400</v>
      </c>
      <c r="G1903" s="10" t="s">
        <v>104</v>
      </c>
      <c r="H1903" s="10" t="s">
        <v>5401</v>
      </c>
      <c r="I1903" s="10" t="s">
        <v>5015</v>
      </c>
    </row>
    <row r="1904" spans="1:9" x14ac:dyDescent="0.15">
      <c r="A1904" s="9">
        <v>1903</v>
      </c>
      <c r="B1904" s="10" t="s">
        <v>9</v>
      </c>
      <c r="C1904" s="10" t="s">
        <v>164</v>
      </c>
      <c r="D1904" s="10" t="s">
        <v>165</v>
      </c>
      <c r="E1904" s="11" t="str">
        <f>+HYPERLINK("http://trademark.i-assist.jp/data/china/image_1901th/79084516.pdf", "79084516")</f>
        <v>79084516</v>
      </c>
      <c r="F1904" s="10" t="s">
        <v>5402</v>
      </c>
      <c r="G1904" s="10" t="s">
        <v>91</v>
      </c>
      <c r="H1904" s="10" t="s">
        <v>5403</v>
      </c>
      <c r="I1904" s="10" t="s">
        <v>5015</v>
      </c>
    </row>
    <row r="1905" spans="1:9" x14ac:dyDescent="0.15">
      <c r="A1905" s="9">
        <v>1904</v>
      </c>
      <c r="B1905" s="10" t="s">
        <v>9</v>
      </c>
      <c r="C1905" s="10" t="s">
        <v>164</v>
      </c>
      <c r="D1905" s="10" t="s">
        <v>165</v>
      </c>
      <c r="E1905" s="11" t="str">
        <f>+HYPERLINK("http://trademark.i-assist.jp/data/china/image_1901th/79084647.pdf", "79084647")</f>
        <v>79084647</v>
      </c>
      <c r="F1905" s="10" t="s">
        <v>5404</v>
      </c>
      <c r="G1905" s="10" t="s">
        <v>5405</v>
      </c>
      <c r="H1905" s="10" t="s">
        <v>5406</v>
      </c>
      <c r="I1905" s="10" t="s">
        <v>5015</v>
      </c>
    </row>
    <row r="1906" spans="1:9" x14ac:dyDescent="0.15">
      <c r="A1906" s="9">
        <v>1905</v>
      </c>
      <c r="B1906" s="10" t="s">
        <v>9</v>
      </c>
      <c r="C1906" s="10" t="s">
        <v>164</v>
      </c>
      <c r="D1906" s="10" t="s">
        <v>165</v>
      </c>
      <c r="E1906" s="11" t="str">
        <f>+HYPERLINK("http://trademark.i-assist.jp/data/china/image_1901th/79084671.pdf", "79084671")</f>
        <v>79084671</v>
      </c>
      <c r="F1906" s="10" t="s">
        <v>5407</v>
      </c>
      <c r="G1906" s="10" t="s">
        <v>5408</v>
      </c>
      <c r="H1906" s="10" t="s">
        <v>5409</v>
      </c>
      <c r="I1906" s="10" t="s">
        <v>5015</v>
      </c>
    </row>
    <row r="1907" spans="1:9" x14ac:dyDescent="0.15">
      <c r="A1907" s="9">
        <v>1906</v>
      </c>
      <c r="B1907" s="10" t="s">
        <v>9</v>
      </c>
      <c r="C1907" s="10" t="s">
        <v>164</v>
      </c>
      <c r="D1907" s="10" t="s">
        <v>165</v>
      </c>
      <c r="E1907" s="11" t="str">
        <f>+HYPERLINK("http://trademark.i-assist.jp/data/china/image_1901th/79084912.pdf", "79084912")</f>
        <v>79084912</v>
      </c>
      <c r="F1907" s="10" t="s">
        <v>5410</v>
      </c>
      <c r="G1907" s="10" t="s">
        <v>5411</v>
      </c>
      <c r="H1907" s="10" t="s">
        <v>5412</v>
      </c>
      <c r="I1907" s="10" t="s">
        <v>5015</v>
      </c>
    </row>
    <row r="1908" spans="1:9" x14ac:dyDescent="0.15">
      <c r="A1908" s="9">
        <v>1907</v>
      </c>
      <c r="B1908" s="10" t="s">
        <v>9</v>
      </c>
      <c r="C1908" s="10" t="s">
        <v>164</v>
      </c>
      <c r="D1908" s="10" t="s">
        <v>165</v>
      </c>
      <c r="E1908" s="11" t="str">
        <f>+HYPERLINK("http://trademark.i-assist.jp/data/china/image_1901th/79084963.pdf", "79084963")</f>
        <v>79084963</v>
      </c>
      <c r="F1908" s="10" t="s">
        <v>5413</v>
      </c>
      <c r="G1908" s="10" t="s">
        <v>5414</v>
      </c>
      <c r="H1908" s="10" t="s">
        <v>5415</v>
      </c>
      <c r="I1908" s="10" t="s">
        <v>5015</v>
      </c>
    </row>
    <row r="1909" spans="1:9" x14ac:dyDescent="0.15">
      <c r="A1909" s="9">
        <v>1908</v>
      </c>
      <c r="B1909" s="10" t="s">
        <v>9</v>
      </c>
      <c r="C1909" s="10" t="s">
        <v>164</v>
      </c>
      <c r="D1909" s="10" t="s">
        <v>165</v>
      </c>
      <c r="E1909" s="11" t="str">
        <f>+HYPERLINK("http://trademark.i-assist.jp/data/china/image_1901th/79085007.pdf", "79085007")</f>
        <v>79085007</v>
      </c>
      <c r="F1909" s="10" t="s">
        <v>5416</v>
      </c>
      <c r="G1909" s="10" t="s">
        <v>5104</v>
      </c>
      <c r="H1909" s="10" t="s">
        <v>5417</v>
      </c>
      <c r="I1909" s="10" t="s">
        <v>5015</v>
      </c>
    </row>
    <row r="1910" spans="1:9" x14ac:dyDescent="0.15">
      <c r="A1910" s="9">
        <v>1909</v>
      </c>
      <c r="B1910" s="10" t="s">
        <v>9</v>
      </c>
      <c r="C1910" s="10" t="s">
        <v>164</v>
      </c>
      <c r="D1910" s="10" t="s">
        <v>165</v>
      </c>
      <c r="E1910" s="11" t="str">
        <f>+HYPERLINK("http://trademark.i-assist.jp/data/china/image_1901th/79085283.pdf", "79085283")</f>
        <v>79085283</v>
      </c>
      <c r="F1910" s="10" t="s">
        <v>5418</v>
      </c>
      <c r="G1910" s="10" t="s">
        <v>5073</v>
      </c>
      <c r="H1910" s="10" t="s">
        <v>5419</v>
      </c>
      <c r="I1910" s="10" t="s">
        <v>5015</v>
      </c>
    </row>
    <row r="1911" spans="1:9" x14ac:dyDescent="0.15">
      <c r="A1911" s="9">
        <v>1910</v>
      </c>
      <c r="B1911" s="10" t="s">
        <v>9</v>
      </c>
      <c r="C1911" s="10" t="s">
        <v>164</v>
      </c>
      <c r="D1911" s="10" t="s">
        <v>165</v>
      </c>
      <c r="E1911" s="11" t="str">
        <f>+HYPERLINK("http://trademark.i-assist.jp/data/china/image_1901th/79085313.pdf", "79085313")</f>
        <v>79085313</v>
      </c>
      <c r="F1911" s="10" t="s">
        <v>5420</v>
      </c>
      <c r="G1911" s="10" t="s">
        <v>5076</v>
      </c>
      <c r="H1911" s="10" t="s">
        <v>5421</v>
      </c>
      <c r="I1911" s="10" t="s">
        <v>5015</v>
      </c>
    </row>
    <row r="1912" spans="1:9" x14ac:dyDescent="0.15">
      <c r="A1912" s="9">
        <v>1911</v>
      </c>
      <c r="B1912" s="10" t="s">
        <v>9</v>
      </c>
      <c r="C1912" s="10" t="s">
        <v>164</v>
      </c>
      <c r="D1912" s="10" t="s">
        <v>165</v>
      </c>
      <c r="E1912" s="11" t="str">
        <f>+HYPERLINK("http://trademark.i-assist.jp/data/china/image_1901th/79085833.pdf", "79085833")</f>
        <v>79085833</v>
      </c>
      <c r="F1912" s="10" t="s">
        <v>5422</v>
      </c>
      <c r="G1912" s="10" t="s">
        <v>5190</v>
      </c>
      <c r="H1912" s="10" t="s">
        <v>5423</v>
      </c>
      <c r="I1912" s="10" t="s">
        <v>5015</v>
      </c>
    </row>
    <row r="1913" spans="1:9" x14ac:dyDescent="0.15">
      <c r="A1913" s="9">
        <v>1912</v>
      </c>
      <c r="B1913" s="10" t="s">
        <v>9</v>
      </c>
      <c r="C1913" s="10" t="s">
        <v>164</v>
      </c>
      <c r="D1913" s="10" t="s">
        <v>165</v>
      </c>
      <c r="E1913" s="11" t="str">
        <f>+HYPERLINK("http://trademark.i-assist.jp/data/china/image_1901th/79086011.pdf", "79086011")</f>
        <v>79086011</v>
      </c>
      <c r="F1913" s="10" t="s">
        <v>5424</v>
      </c>
      <c r="G1913" s="10" t="s">
        <v>5057</v>
      </c>
      <c r="H1913" s="10" t="s">
        <v>5425</v>
      </c>
      <c r="I1913" s="10" t="s">
        <v>5015</v>
      </c>
    </row>
    <row r="1914" spans="1:9" x14ac:dyDescent="0.15">
      <c r="A1914" s="9">
        <v>1913</v>
      </c>
      <c r="B1914" s="10" t="s">
        <v>9</v>
      </c>
      <c r="C1914" s="10" t="s">
        <v>164</v>
      </c>
      <c r="D1914" s="10" t="s">
        <v>165</v>
      </c>
      <c r="E1914" s="11" t="str">
        <f>+HYPERLINK("http://trademark.i-assist.jp/data/china/image_1901th/79086221.pdf", "79086221")</f>
        <v>79086221</v>
      </c>
      <c r="F1914" s="10" t="s">
        <v>5426</v>
      </c>
      <c r="G1914" s="10" t="s">
        <v>5427</v>
      </c>
      <c r="H1914" s="10" t="s">
        <v>5428</v>
      </c>
      <c r="I1914" s="10" t="s">
        <v>5015</v>
      </c>
    </row>
    <row r="1915" spans="1:9" x14ac:dyDescent="0.15">
      <c r="A1915" s="9">
        <v>1914</v>
      </c>
      <c r="B1915" s="10" t="s">
        <v>9</v>
      </c>
      <c r="C1915" s="10" t="s">
        <v>164</v>
      </c>
      <c r="D1915" s="10" t="s">
        <v>165</v>
      </c>
      <c r="E1915" s="11" t="str">
        <f>+HYPERLINK("http://trademark.i-assist.jp/data/china/image_1901th/79086262.pdf", "79086262")</f>
        <v>79086262</v>
      </c>
      <c r="F1915" s="10" t="s">
        <v>12</v>
      </c>
      <c r="G1915" s="10" t="s">
        <v>5165</v>
      </c>
      <c r="H1915" s="10" t="s">
        <v>5429</v>
      </c>
      <c r="I1915" s="10" t="s">
        <v>5015</v>
      </c>
    </row>
    <row r="1916" spans="1:9" x14ac:dyDescent="0.15">
      <c r="A1916" s="9">
        <v>1915</v>
      </c>
      <c r="B1916" s="10" t="s">
        <v>9</v>
      </c>
      <c r="C1916" s="10" t="s">
        <v>164</v>
      </c>
      <c r="D1916" s="10" t="s">
        <v>165</v>
      </c>
      <c r="E1916" s="11" t="str">
        <f>+HYPERLINK("http://trademark.i-assist.jp/data/china/image_1901th/79086301.pdf", "79086301")</f>
        <v>79086301</v>
      </c>
      <c r="F1916" s="10" t="s">
        <v>5430</v>
      </c>
      <c r="G1916" s="10" t="s">
        <v>5066</v>
      </c>
      <c r="H1916" s="10" t="s">
        <v>5067</v>
      </c>
      <c r="I1916" s="10" t="s">
        <v>5015</v>
      </c>
    </row>
    <row r="1917" spans="1:9" x14ac:dyDescent="0.15">
      <c r="A1917" s="9">
        <v>1916</v>
      </c>
      <c r="B1917" s="10" t="s">
        <v>9</v>
      </c>
      <c r="C1917" s="10" t="s">
        <v>164</v>
      </c>
      <c r="D1917" s="10" t="s">
        <v>165</v>
      </c>
      <c r="E1917" s="11" t="str">
        <f>+HYPERLINK("http://trademark.i-assist.jp/data/china/image_1901th/79086342.pdf", "79086342")</f>
        <v>79086342</v>
      </c>
      <c r="F1917" s="10" t="s">
        <v>5431</v>
      </c>
      <c r="G1917" s="10" t="s">
        <v>5205</v>
      </c>
      <c r="H1917" s="10" t="s">
        <v>5432</v>
      </c>
      <c r="I1917" s="10" t="s">
        <v>5015</v>
      </c>
    </row>
    <row r="1918" spans="1:9" x14ac:dyDescent="0.15">
      <c r="A1918" s="9">
        <v>1917</v>
      </c>
      <c r="B1918" s="10" t="s">
        <v>9</v>
      </c>
      <c r="C1918" s="10" t="s">
        <v>164</v>
      </c>
      <c r="D1918" s="10" t="s">
        <v>165</v>
      </c>
      <c r="E1918" s="11" t="str">
        <f>+HYPERLINK("http://trademark.i-assist.jp/data/china/image_1901th/79086678.pdf", "79086678")</f>
        <v>79086678</v>
      </c>
      <c r="F1918" s="10" t="s">
        <v>5433</v>
      </c>
      <c r="G1918" s="10" t="s">
        <v>5434</v>
      </c>
      <c r="H1918" s="10" t="s">
        <v>5435</v>
      </c>
      <c r="I1918" s="10" t="s">
        <v>5015</v>
      </c>
    </row>
    <row r="1919" spans="1:9" x14ac:dyDescent="0.15">
      <c r="A1919" s="9">
        <v>1918</v>
      </c>
      <c r="B1919" s="10" t="s">
        <v>9</v>
      </c>
      <c r="C1919" s="10" t="s">
        <v>164</v>
      </c>
      <c r="D1919" s="10" t="s">
        <v>165</v>
      </c>
      <c r="E1919" s="11" t="str">
        <f>+HYPERLINK("http://trademark.i-assist.jp/data/china/image_1901th/79086730.pdf", "79086730")</f>
        <v>79086730</v>
      </c>
      <c r="F1919" s="10" t="s">
        <v>5436</v>
      </c>
      <c r="G1919" s="10" t="s">
        <v>5437</v>
      </c>
      <c r="H1919" s="10" t="s">
        <v>5438</v>
      </c>
      <c r="I1919" s="10" t="s">
        <v>5015</v>
      </c>
    </row>
    <row r="1920" spans="1:9" x14ac:dyDescent="0.15">
      <c r="A1920" s="9">
        <v>1919</v>
      </c>
      <c r="B1920" s="10" t="s">
        <v>9</v>
      </c>
      <c r="C1920" s="10" t="s">
        <v>164</v>
      </c>
      <c r="D1920" s="10" t="s">
        <v>165</v>
      </c>
      <c r="E1920" s="11" t="str">
        <f>+HYPERLINK("http://trademark.i-assist.jp/data/china/image_1901th/79086855.pdf", "79086855")</f>
        <v>79086855</v>
      </c>
      <c r="F1920" s="10" t="s">
        <v>5439</v>
      </c>
      <c r="G1920" s="10" t="s">
        <v>5223</v>
      </c>
      <c r="H1920" s="10" t="s">
        <v>5440</v>
      </c>
      <c r="I1920" s="10" t="s">
        <v>5015</v>
      </c>
    </row>
    <row r="1921" spans="1:9" x14ac:dyDescent="0.15">
      <c r="A1921" s="9">
        <v>1920</v>
      </c>
      <c r="B1921" s="10" t="s">
        <v>9</v>
      </c>
      <c r="C1921" s="10" t="s">
        <v>164</v>
      </c>
      <c r="D1921" s="10" t="s">
        <v>165</v>
      </c>
      <c r="E1921" s="11" t="str">
        <f>+HYPERLINK("http://trademark.i-assist.jp/data/china/image_1901th/79087092.pdf", "79087092")</f>
        <v>79087092</v>
      </c>
      <c r="F1921" s="10" t="s">
        <v>5441</v>
      </c>
      <c r="G1921" s="10" t="s">
        <v>5442</v>
      </c>
      <c r="H1921" s="10" t="s">
        <v>5443</v>
      </c>
      <c r="I1921" s="10" t="s">
        <v>5015</v>
      </c>
    </row>
    <row r="1922" spans="1:9" x14ac:dyDescent="0.15">
      <c r="A1922" s="9">
        <v>1921</v>
      </c>
      <c r="B1922" s="10" t="s">
        <v>9</v>
      </c>
      <c r="C1922" s="10" t="s">
        <v>164</v>
      </c>
      <c r="D1922" s="10" t="s">
        <v>165</v>
      </c>
      <c r="E1922" s="11" t="str">
        <f>+HYPERLINK("http://trademark.i-assist.jp/data/china/image_1901th/79087145.pdf", "79087145")</f>
        <v>79087145</v>
      </c>
      <c r="F1922" s="10" t="s">
        <v>5444</v>
      </c>
      <c r="G1922" s="10" t="s">
        <v>5445</v>
      </c>
      <c r="H1922" s="10" t="s">
        <v>5446</v>
      </c>
      <c r="I1922" s="10" t="s">
        <v>5015</v>
      </c>
    </row>
    <row r="1923" spans="1:9" x14ac:dyDescent="0.15">
      <c r="A1923" s="9">
        <v>1922</v>
      </c>
      <c r="B1923" s="10" t="s">
        <v>9</v>
      </c>
      <c r="C1923" s="10" t="s">
        <v>164</v>
      </c>
      <c r="D1923" s="10" t="s">
        <v>165</v>
      </c>
      <c r="E1923" s="11" t="str">
        <f>+HYPERLINK("http://trademark.i-assist.jp/data/china/image_1901th/79087681.pdf", "79087681")</f>
        <v>79087681</v>
      </c>
      <c r="F1923" s="10" t="s">
        <v>5447</v>
      </c>
      <c r="G1923" s="10" t="s">
        <v>3017</v>
      </c>
      <c r="H1923" s="10" t="s">
        <v>5448</v>
      </c>
      <c r="I1923" s="10" t="s">
        <v>5015</v>
      </c>
    </row>
    <row r="1924" spans="1:9" x14ac:dyDescent="0.15">
      <c r="A1924" s="9">
        <v>1923</v>
      </c>
      <c r="B1924" s="10" t="s">
        <v>9</v>
      </c>
      <c r="C1924" s="10" t="s">
        <v>164</v>
      </c>
      <c r="D1924" s="10" t="s">
        <v>165</v>
      </c>
      <c r="E1924" s="11" t="str">
        <f>+HYPERLINK("http://trademark.i-assist.jp/data/china/image_1901th/79087783.pdf", "79087783")</f>
        <v>79087783</v>
      </c>
      <c r="F1924" s="10" t="s">
        <v>5449</v>
      </c>
      <c r="G1924" s="10" t="s">
        <v>5038</v>
      </c>
      <c r="H1924" s="10" t="s">
        <v>5450</v>
      </c>
      <c r="I1924" s="10" t="s">
        <v>5015</v>
      </c>
    </row>
    <row r="1925" spans="1:9" x14ac:dyDescent="0.15">
      <c r="A1925" s="9">
        <v>1924</v>
      </c>
      <c r="B1925" s="10" t="s">
        <v>9</v>
      </c>
      <c r="C1925" s="10" t="s">
        <v>164</v>
      </c>
      <c r="D1925" s="10" t="s">
        <v>165</v>
      </c>
      <c r="E1925" s="11" t="str">
        <f>+HYPERLINK("http://trademark.i-assist.jp/data/china/image_1901th/79088080.pdf", "79088080")</f>
        <v>79088080</v>
      </c>
      <c r="F1925" s="10" t="s">
        <v>12</v>
      </c>
      <c r="G1925" s="10" t="s">
        <v>5165</v>
      </c>
      <c r="H1925" s="10" t="s">
        <v>19</v>
      </c>
      <c r="I1925" s="10" t="s">
        <v>19</v>
      </c>
    </row>
    <row r="1926" spans="1:9" x14ac:dyDescent="0.15">
      <c r="A1926" s="9">
        <v>1925</v>
      </c>
      <c r="B1926" s="10" t="s">
        <v>9</v>
      </c>
      <c r="C1926" s="10" t="s">
        <v>164</v>
      </c>
      <c r="D1926" s="10" t="s">
        <v>165</v>
      </c>
      <c r="E1926" s="11" t="str">
        <f>+HYPERLINK("http://trademark.i-assist.jp/data/china/image_1901th/79088180.pdf", "79088180")</f>
        <v>79088180</v>
      </c>
      <c r="F1926" s="10" t="s">
        <v>5451</v>
      </c>
      <c r="G1926" s="10" t="s">
        <v>5392</v>
      </c>
      <c r="H1926" s="10" t="s">
        <v>5452</v>
      </c>
      <c r="I1926" s="10" t="s">
        <v>5015</v>
      </c>
    </row>
    <row r="1927" spans="1:9" x14ac:dyDescent="0.15">
      <c r="A1927" s="9">
        <v>1926</v>
      </c>
      <c r="B1927" s="10" t="s">
        <v>9</v>
      </c>
      <c r="C1927" s="10" t="s">
        <v>164</v>
      </c>
      <c r="D1927" s="10" t="s">
        <v>165</v>
      </c>
      <c r="E1927" s="11" t="str">
        <f>+HYPERLINK("http://trademark.i-assist.jp/data/china/image_1901th/79088480.pdf", "79088480")</f>
        <v>79088480</v>
      </c>
      <c r="F1927" s="10" t="s">
        <v>5453</v>
      </c>
      <c r="G1927" s="10" t="s">
        <v>5454</v>
      </c>
      <c r="H1927" s="10" t="s">
        <v>5455</v>
      </c>
      <c r="I1927" s="10" t="s">
        <v>5015</v>
      </c>
    </row>
    <row r="1928" spans="1:9" x14ac:dyDescent="0.15">
      <c r="A1928" s="9">
        <v>1927</v>
      </c>
      <c r="B1928" s="10" t="s">
        <v>9</v>
      </c>
      <c r="C1928" s="10" t="s">
        <v>164</v>
      </c>
      <c r="D1928" s="10" t="s">
        <v>165</v>
      </c>
      <c r="E1928" s="11" t="str">
        <f>+HYPERLINK("http://trademark.i-assist.jp/data/china/image_1901th/79088540.pdf", "79088540")</f>
        <v>79088540</v>
      </c>
      <c r="F1928" s="10" t="s">
        <v>5456</v>
      </c>
      <c r="G1928" s="10" t="s">
        <v>5457</v>
      </c>
      <c r="H1928" s="10" t="s">
        <v>5458</v>
      </c>
      <c r="I1928" s="10" t="s">
        <v>5015</v>
      </c>
    </row>
    <row r="1929" spans="1:9" x14ac:dyDescent="0.15">
      <c r="A1929" s="9">
        <v>1928</v>
      </c>
      <c r="B1929" s="10" t="s">
        <v>9</v>
      </c>
      <c r="C1929" s="10" t="s">
        <v>164</v>
      </c>
      <c r="D1929" s="10" t="s">
        <v>165</v>
      </c>
      <c r="E1929" s="11" t="str">
        <f>+HYPERLINK("http://trademark.i-assist.jp/data/china/image_1901th/79088929.pdf", "79088929")</f>
        <v>79088929</v>
      </c>
      <c r="F1929" s="10" t="s">
        <v>5459</v>
      </c>
      <c r="G1929" s="10" t="s">
        <v>91</v>
      </c>
      <c r="H1929" s="10" t="s">
        <v>5460</v>
      </c>
      <c r="I1929" s="10" t="s">
        <v>5015</v>
      </c>
    </row>
    <row r="1930" spans="1:9" x14ac:dyDescent="0.15">
      <c r="A1930" s="9">
        <v>1929</v>
      </c>
      <c r="B1930" s="10" t="s">
        <v>9</v>
      </c>
      <c r="C1930" s="10" t="s">
        <v>164</v>
      </c>
      <c r="D1930" s="10" t="s">
        <v>165</v>
      </c>
      <c r="E1930" s="11" t="str">
        <f>+HYPERLINK("http://trademark.i-assist.jp/data/china/image_1901th/79088988.pdf", "79088988")</f>
        <v>79088988</v>
      </c>
      <c r="F1930" s="10" t="s">
        <v>5461</v>
      </c>
      <c r="G1930" s="10" t="s">
        <v>5360</v>
      </c>
      <c r="H1930" s="10" t="s">
        <v>5462</v>
      </c>
      <c r="I1930" s="10" t="s">
        <v>5015</v>
      </c>
    </row>
    <row r="1931" spans="1:9" x14ac:dyDescent="0.15">
      <c r="A1931" s="9">
        <v>1930</v>
      </c>
      <c r="B1931" s="10" t="s">
        <v>9</v>
      </c>
      <c r="C1931" s="10" t="s">
        <v>164</v>
      </c>
      <c r="D1931" s="10" t="s">
        <v>165</v>
      </c>
      <c r="E1931" s="11" t="str">
        <f>+HYPERLINK("http://trademark.i-assist.jp/data/china/image_1901th/79089213.pdf", "79089213")</f>
        <v>79089213</v>
      </c>
      <c r="F1931" s="10" t="s">
        <v>5463</v>
      </c>
      <c r="G1931" s="10" t="s">
        <v>5464</v>
      </c>
      <c r="H1931" s="10" t="s">
        <v>5465</v>
      </c>
      <c r="I1931" s="10" t="s">
        <v>5466</v>
      </c>
    </row>
    <row r="1932" spans="1:9" x14ac:dyDescent="0.15">
      <c r="A1932" s="9">
        <v>1931</v>
      </c>
      <c r="B1932" s="10" t="s">
        <v>9</v>
      </c>
      <c r="C1932" s="10" t="s">
        <v>164</v>
      </c>
      <c r="D1932" s="10" t="s">
        <v>165</v>
      </c>
      <c r="E1932" s="11" t="str">
        <f>+HYPERLINK("http://trademark.i-assist.jp/data/china/image_1901th/79089232.pdf", "79089232")</f>
        <v>79089232</v>
      </c>
      <c r="F1932" s="10" t="s">
        <v>5467</v>
      </c>
      <c r="G1932" s="10" t="s">
        <v>5468</v>
      </c>
      <c r="H1932" s="10" t="s">
        <v>5469</v>
      </c>
      <c r="I1932" s="10" t="s">
        <v>5466</v>
      </c>
    </row>
    <row r="1933" spans="1:9" x14ac:dyDescent="0.15">
      <c r="A1933" s="9">
        <v>1932</v>
      </c>
      <c r="B1933" s="10" t="s">
        <v>9</v>
      </c>
      <c r="C1933" s="10" t="s">
        <v>164</v>
      </c>
      <c r="D1933" s="10" t="s">
        <v>165</v>
      </c>
      <c r="E1933" s="11" t="str">
        <f>+HYPERLINK("http://trademark.i-assist.jp/data/china/image_1901th/79089392.pdf", "79089392")</f>
        <v>79089392</v>
      </c>
      <c r="F1933" s="10" t="s">
        <v>5470</v>
      </c>
      <c r="G1933" s="10" t="s">
        <v>5471</v>
      </c>
      <c r="H1933" s="10" t="s">
        <v>5472</v>
      </c>
      <c r="I1933" s="10" t="s">
        <v>5466</v>
      </c>
    </row>
    <row r="1934" spans="1:9" x14ac:dyDescent="0.15">
      <c r="A1934" s="9">
        <v>1933</v>
      </c>
      <c r="B1934" s="10" t="s">
        <v>9</v>
      </c>
      <c r="C1934" s="10" t="s">
        <v>164</v>
      </c>
      <c r="D1934" s="10" t="s">
        <v>165</v>
      </c>
      <c r="E1934" s="11" t="str">
        <f>+HYPERLINK("http://trademark.i-assist.jp/data/china/image_1901th/79089431.pdf", "79089431")</f>
        <v>79089431</v>
      </c>
      <c r="F1934" s="10" t="s">
        <v>5473</v>
      </c>
      <c r="G1934" s="10" t="s">
        <v>5474</v>
      </c>
      <c r="H1934" s="10" t="s">
        <v>5475</v>
      </c>
      <c r="I1934" s="10" t="s">
        <v>5466</v>
      </c>
    </row>
    <row r="1935" spans="1:9" x14ac:dyDescent="0.15">
      <c r="A1935" s="9">
        <v>1934</v>
      </c>
      <c r="B1935" s="10" t="s">
        <v>9</v>
      </c>
      <c r="C1935" s="10" t="s">
        <v>164</v>
      </c>
      <c r="D1935" s="10" t="s">
        <v>165</v>
      </c>
      <c r="E1935" s="11" t="str">
        <f>+HYPERLINK("http://trademark.i-assist.jp/data/china/image_1901th/79089458.pdf", "79089458")</f>
        <v>79089458</v>
      </c>
      <c r="F1935" s="10" t="s">
        <v>5476</v>
      </c>
      <c r="G1935" s="10" t="s">
        <v>5477</v>
      </c>
      <c r="H1935" s="10" t="s">
        <v>5478</v>
      </c>
      <c r="I1935" s="10" t="s">
        <v>5466</v>
      </c>
    </row>
    <row r="1936" spans="1:9" x14ac:dyDescent="0.15">
      <c r="A1936" s="9">
        <v>1935</v>
      </c>
      <c r="B1936" s="10" t="s">
        <v>9</v>
      </c>
      <c r="C1936" s="10" t="s">
        <v>164</v>
      </c>
      <c r="D1936" s="10" t="s">
        <v>165</v>
      </c>
      <c r="E1936" s="11" t="str">
        <f>+HYPERLINK("http://trademark.i-assist.jp/data/china/image_1901th/79089471.pdf", "79089471")</f>
        <v>79089471</v>
      </c>
      <c r="F1936" s="10" t="s">
        <v>5479</v>
      </c>
      <c r="G1936" s="10" t="s">
        <v>5480</v>
      </c>
      <c r="H1936" s="10" t="s">
        <v>5481</v>
      </c>
      <c r="I1936" s="10" t="s">
        <v>5466</v>
      </c>
    </row>
    <row r="1937" spans="1:9" x14ac:dyDescent="0.15">
      <c r="A1937" s="9">
        <v>1936</v>
      </c>
      <c r="B1937" s="10" t="s">
        <v>9</v>
      </c>
      <c r="C1937" s="10" t="s">
        <v>164</v>
      </c>
      <c r="D1937" s="10" t="s">
        <v>165</v>
      </c>
      <c r="E1937" s="11" t="str">
        <f>+HYPERLINK("http://trademark.i-assist.jp/data/china/image_1901th/79089502.pdf", "79089502")</f>
        <v>79089502</v>
      </c>
      <c r="F1937" s="10" t="s">
        <v>5482</v>
      </c>
      <c r="G1937" s="10" t="s">
        <v>5477</v>
      </c>
      <c r="H1937" s="10" t="s">
        <v>5483</v>
      </c>
      <c r="I1937" s="10" t="s">
        <v>5466</v>
      </c>
    </row>
    <row r="1938" spans="1:9" x14ac:dyDescent="0.15">
      <c r="A1938" s="9">
        <v>1937</v>
      </c>
      <c r="B1938" s="10" t="s">
        <v>9</v>
      </c>
      <c r="C1938" s="10" t="s">
        <v>164</v>
      </c>
      <c r="D1938" s="10" t="s">
        <v>165</v>
      </c>
      <c r="E1938" s="11" t="str">
        <f>+HYPERLINK("http://trademark.i-assist.jp/data/china/image_1901th/79089615.pdf", "79089615")</f>
        <v>79089615</v>
      </c>
      <c r="F1938" s="10" t="s">
        <v>5484</v>
      </c>
      <c r="G1938" s="10" t="s">
        <v>5485</v>
      </c>
      <c r="H1938" s="10" t="s">
        <v>5486</v>
      </c>
      <c r="I1938" s="10" t="s">
        <v>5466</v>
      </c>
    </row>
    <row r="1939" spans="1:9" x14ac:dyDescent="0.15">
      <c r="A1939" s="9">
        <v>1938</v>
      </c>
      <c r="B1939" s="10" t="s">
        <v>9</v>
      </c>
      <c r="C1939" s="10" t="s">
        <v>164</v>
      </c>
      <c r="D1939" s="10" t="s">
        <v>165</v>
      </c>
      <c r="E1939" s="11" t="str">
        <f>+HYPERLINK("http://trademark.i-assist.jp/data/china/image_1901th/79089811.pdf", "79089811")</f>
        <v>79089811</v>
      </c>
      <c r="F1939" s="10" t="s">
        <v>5487</v>
      </c>
      <c r="G1939" s="10" t="s">
        <v>5488</v>
      </c>
      <c r="H1939" s="10" t="s">
        <v>5489</v>
      </c>
      <c r="I1939" s="10" t="s">
        <v>5466</v>
      </c>
    </row>
    <row r="1940" spans="1:9" x14ac:dyDescent="0.15">
      <c r="A1940" s="9">
        <v>1939</v>
      </c>
      <c r="B1940" s="10" t="s">
        <v>9</v>
      </c>
      <c r="C1940" s="10" t="s">
        <v>164</v>
      </c>
      <c r="D1940" s="10" t="s">
        <v>165</v>
      </c>
      <c r="E1940" s="11" t="str">
        <f>+HYPERLINK("http://trademark.i-assist.jp/data/china/image_1901th/79089948.pdf", "79089948")</f>
        <v>79089948</v>
      </c>
      <c r="F1940" s="10" t="s">
        <v>5490</v>
      </c>
      <c r="G1940" s="10" t="s">
        <v>5491</v>
      </c>
      <c r="H1940" s="10" t="s">
        <v>5492</v>
      </c>
      <c r="I1940" s="10" t="s">
        <v>5466</v>
      </c>
    </row>
    <row r="1941" spans="1:9" x14ac:dyDescent="0.15">
      <c r="A1941" s="9">
        <v>1940</v>
      </c>
      <c r="B1941" s="10" t="s">
        <v>9</v>
      </c>
      <c r="C1941" s="10" t="s">
        <v>164</v>
      </c>
      <c r="D1941" s="10" t="s">
        <v>165</v>
      </c>
      <c r="E1941" s="11" t="str">
        <f>+HYPERLINK("http://trademark.i-assist.jp/data/china/image_1901th/79090093.pdf", "79090093")</f>
        <v>79090093</v>
      </c>
      <c r="F1941" s="10" t="s">
        <v>5493</v>
      </c>
      <c r="G1941" s="10" t="s">
        <v>5494</v>
      </c>
      <c r="H1941" s="10" t="s">
        <v>5495</v>
      </c>
      <c r="I1941" s="10" t="s">
        <v>5466</v>
      </c>
    </row>
    <row r="1942" spans="1:9" x14ac:dyDescent="0.15">
      <c r="A1942" s="9">
        <v>1941</v>
      </c>
      <c r="B1942" s="10" t="s">
        <v>9</v>
      </c>
      <c r="C1942" s="10" t="s">
        <v>164</v>
      </c>
      <c r="D1942" s="10" t="s">
        <v>165</v>
      </c>
      <c r="E1942" s="11" t="str">
        <f>+HYPERLINK("http://trademark.i-assist.jp/data/china/image_1901th/79090143.pdf", "79090143")</f>
        <v>79090143</v>
      </c>
      <c r="F1942" s="10" t="s">
        <v>5496</v>
      </c>
      <c r="G1942" s="10" t="s">
        <v>4315</v>
      </c>
      <c r="H1942" s="10" t="s">
        <v>5497</v>
      </c>
      <c r="I1942" s="10" t="s">
        <v>5466</v>
      </c>
    </row>
    <row r="1943" spans="1:9" x14ac:dyDescent="0.15">
      <c r="A1943" s="9">
        <v>1942</v>
      </c>
      <c r="B1943" s="10" t="s">
        <v>9</v>
      </c>
      <c r="C1943" s="10" t="s">
        <v>164</v>
      </c>
      <c r="D1943" s="10" t="s">
        <v>165</v>
      </c>
      <c r="E1943" s="11" t="str">
        <f>+HYPERLINK("http://trademark.i-assist.jp/data/china/image_1901th/79090266.pdf", "79090266")</f>
        <v>79090266</v>
      </c>
      <c r="F1943" s="10" t="s">
        <v>5498</v>
      </c>
      <c r="G1943" s="10" t="s">
        <v>5499</v>
      </c>
      <c r="H1943" s="10" t="s">
        <v>5500</v>
      </c>
      <c r="I1943" s="10" t="s">
        <v>5466</v>
      </c>
    </row>
    <row r="1944" spans="1:9" x14ac:dyDescent="0.15">
      <c r="A1944" s="9">
        <v>1943</v>
      </c>
      <c r="B1944" s="10" t="s">
        <v>9</v>
      </c>
      <c r="C1944" s="10" t="s">
        <v>164</v>
      </c>
      <c r="D1944" s="10" t="s">
        <v>165</v>
      </c>
      <c r="E1944" s="11" t="str">
        <f>+HYPERLINK("http://trademark.i-assist.jp/data/china/image_1901th/79090310.pdf", "79090310")</f>
        <v>79090310</v>
      </c>
      <c r="F1944" s="10" t="s">
        <v>5501</v>
      </c>
      <c r="G1944" s="10" t="s">
        <v>5502</v>
      </c>
      <c r="H1944" s="10" t="s">
        <v>5503</v>
      </c>
      <c r="I1944" s="10" t="s">
        <v>5466</v>
      </c>
    </row>
    <row r="1945" spans="1:9" x14ac:dyDescent="0.15">
      <c r="A1945" s="9">
        <v>1944</v>
      </c>
      <c r="B1945" s="10" t="s">
        <v>9</v>
      </c>
      <c r="C1945" s="10" t="s">
        <v>164</v>
      </c>
      <c r="D1945" s="10" t="s">
        <v>165</v>
      </c>
      <c r="E1945" s="11" t="str">
        <f>+HYPERLINK("http://trademark.i-assist.jp/data/china/image_1901th/79090607.pdf", "79090607")</f>
        <v>79090607</v>
      </c>
      <c r="F1945" s="10" t="s">
        <v>5504</v>
      </c>
      <c r="G1945" s="10" t="s">
        <v>5505</v>
      </c>
      <c r="H1945" s="10" t="s">
        <v>5506</v>
      </c>
      <c r="I1945" s="10" t="s">
        <v>5466</v>
      </c>
    </row>
    <row r="1946" spans="1:9" x14ac:dyDescent="0.15">
      <c r="A1946" s="9">
        <v>1945</v>
      </c>
      <c r="B1946" s="10" t="s">
        <v>9</v>
      </c>
      <c r="C1946" s="10" t="s">
        <v>164</v>
      </c>
      <c r="D1946" s="10" t="s">
        <v>165</v>
      </c>
      <c r="E1946" s="11" t="str">
        <f>+HYPERLINK("http://trademark.i-assist.jp/data/china/image_1901th/79090663.pdf", "79090663")</f>
        <v>79090663</v>
      </c>
      <c r="F1946" s="10" t="s">
        <v>5507</v>
      </c>
      <c r="G1946" s="10" t="s">
        <v>5508</v>
      </c>
      <c r="H1946" s="10" t="s">
        <v>5509</v>
      </c>
      <c r="I1946" s="10" t="s">
        <v>5466</v>
      </c>
    </row>
    <row r="1947" spans="1:9" x14ac:dyDescent="0.15">
      <c r="A1947" s="9">
        <v>1946</v>
      </c>
      <c r="B1947" s="10" t="s">
        <v>9</v>
      </c>
      <c r="C1947" s="10" t="s">
        <v>164</v>
      </c>
      <c r="D1947" s="10" t="s">
        <v>165</v>
      </c>
      <c r="E1947" s="11" t="str">
        <f>+HYPERLINK("http://trademark.i-assist.jp/data/china/image_1901th/79090756.pdf", "79090756")</f>
        <v>79090756</v>
      </c>
      <c r="F1947" s="10" t="s">
        <v>5510</v>
      </c>
      <c r="G1947" s="10" t="s">
        <v>5511</v>
      </c>
      <c r="H1947" s="10" t="s">
        <v>5512</v>
      </c>
      <c r="I1947" s="10" t="s">
        <v>5466</v>
      </c>
    </row>
    <row r="1948" spans="1:9" x14ac:dyDescent="0.15">
      <c r="A1948" s="9">
        <v>1947</v>
      </c>
      <c r="B1948" s="10" t="s">
        <v>9</v>
      </c>
      <c r="C1948" s="10" t="s">
        <v>164</v>
      </c>
      <c r="D1948" s="10" t="s">
        <v>165</v>
      </c>
      <c r="E1948" s="11" t="str">
        <f>+HYPERLINK("http://trademark.i-assist.jp/data/china/image_1901th/79090949.pdf", "79090949")</f>
        <v>79090949</v>
      </c>
      <c r="F1948" s="10" t="s">
        <v>5513</v>
      </c>
      <c r="G1948" s="10" t="s">
        <v>5514</v>
      </c>
      <c r="H1948" s="10" t="s">
        <v>5515</v>
      </c>
      <c r="I1948" s="10" t="s">
        <v>5466</v>
      </c>
    </row>
    <row r="1949" spans="1:9" x14ac:dyDescent="0.15">
      <c r="A1949" s="9">
        <v>1948</v>
      </c>
      <c r="B1949" s="10" t="s">
        <v>9</v>
      </c>
      <c r="C1949" s="10" t="s">
        <v>164</v>
      </c>
      <c r="D1949" s="10" t="s">
        <v>165</v>
      </c>
      <c r="E1949" s="11" t="str">
        <f>+HYPERLINK("http://trademark.i-assist.jp/data/china/image_1901th/79090953.pdf", "79090953")</f>
        <v>79090953</v>
      </c>
      <c r="F1949" s="10" t="s">
        <v>5516</v>
      </c>
      <c r="G1949" s="10" t="s">
        <v>5477</v>
      </c>
      <c r="H1949" s="10" t="s">
        <v>5517</v>
      </c>
      <c r="I1949" s="10" t="s">
        <v>5466</v>
      </c>
    </row>
    <row r="1950" spans="1:9" x14ac:dyDescent="0.15">
      <c r="A1950" s="9">
        <v>1949</v>
      </c>
      <c r="B1950" s="10" t="s">
        <v>9</v>
      </c>
      <c r="C1950" s="10" t="s">
        <v>164</v>
      </c>
      <c r="D1950" s="10" t="s">
        <v>165</v>
      </c>
      <c r="E1950" s="11" t="str">
        <f>+HYPERLINK("http://trademark.i-assist.jp/data/china/image_1901th/79090973.pdf", "79090973")</f>
        <v>79090973</v>
      </c>
      <c r="F1950" s="10" t="s">
        <v>5518</v>
      </c>
      <c r="G1950" s="10" t="s">
        <v>5519</v>
      </c>
      <c r="H1950" s="10" t="s">
        <v>5520</v>
      </c>
      <c r="I1950" s="10" t="s">
        <v>5466</v>
      </c>
    </row>
    <row r="1951" spans="1:9" x14ac:dyDescent="0.15">
      <c r="A1951" s="9">
        <v>1950</v>
      </c>
      <c r="B1951" s="10" t="s">
        <v>9</v>
      </c>
      <c r="C1951" s="10" t="s">
        <v>164</v>
      </c>
      <c r="D1951" s="10" t="s">
        <v>165</v>
      </c>
      <c r="E1951" s="11" t="str">
        <f>+HYPERLINK("http://trademark.i-assist.jp/data/china/image_1901th/79090987.pdf", "79090987")</f>
        <v>79090987</v>
      </c>
      <c r="F1951" s="10" t="s">
        <v>5521</v>
      </c>
      <c r="G1951" s="10" t="s">
        <v>5519</v>
      </c>
      <c r="H1951" s="10" t="s">
        <v>5522</v>
      </c>
      <c r="I1951" s="10" t="s">
        <v>5466</v>
      </c>
    </row>
    <row r="1952" spans="1:9" x14ac:dyDescent="0.15">
      <c r="A1952" s="9">
        <v>1951</v>
      </c>
      <c r="B1952" s="10" t="s">
        <v>9</v>
      </c>
      <c r="C1952" s="10" t="s">
        <v>164</v>
      </c>
      <c r="D1952" s="10" t="s">
        <v>165</v>
      </c>
      <c r="E1952" s="11" t="str">
        <f>+HYPERLINK("http://trademark.i-assist.jp/data/china/image_1901th/79091030.pdf", "79091030")</f>
        <v>79091030</v>
      </c>
      <c r="F1952" s="10" t="s">
        <v>5523</v>
      </c>
      <c r="G1952" s="10" t="s">
        <v>5524</v>
      </c>
      <c r="H1952" s="10" t="s">
        <v>5525</v>
      </c>
      <c r="I1952" s="10" t="s">
        <v>5466</v>
      </c>
    </row>
    <row r="1953" spans="1:9" x14ac:dyDescent="0.15">
      <c r="A1953" s="9">
        <v>1952</v>
      </c>
      <c r="B1953" s="10" t="s">
        <v>9</v>
      </c>
      <c r="C1953" s="10" t="s">
        <v>164</v>
      </c>
      <c r="D1953" s="10" t="s">
        <v>165</v>
      </c>
      <c r="E1953" s="11" t="str">
        <f>+HYPERLINK("http://trademark.i-assist.jp/data/china/image_1901th/79091153.pdf", "79091153")</f>
        <v>79091153</v>
      </c>
      <c r="F1953" s="10" t="s">
        <v>5526</v>
      </c>
      <c r="G1953" s="10" t="s">
        <v>5527</v>
      </c>
      <c r="H1953" s="10" t="s">
        <v>5528</v>
      </c>
      <c r="I1953" s="10" t="s">
        <v>5466</v>
      </c>
    </row>
    <row r="1954" spans="1:9" x14ac:dyDescent="0.15">
      <c r="A1954" s="9">
        <v>1953</v>
      </c>
      <c r="B1954" s="10" t="s">
        <v>9</v>
      </c>
      <c r="C1954" s="10" t="s">
        <v>164</v>
      </c>
      <c r="D1954" s="10" t="s">
        <v>165</v>
      </c>
      <c r="E1954" s="11" t="str">
        <f>+HYPERLINK("http://trademark.i-assist.jp/data/china/image_1901th/79091299.pdf", "79091299")</f>
        <v>79091299</v>
      </c>
      <c r="F1954" s="10" t="s">
        <v>5529</v>
      </c>
      <c r="G1954" s="10" t="s">
        <v>5530</v>
      </c>
      <c r="H1954" s="10" t="s">
        <v>5531</v>
      </c>
      <c r="I1954" s="10" t="s">
        <v>5466</v>
      </c>
    </row>
    <row r="1955" spans="1:9" x14ac:dyDescent="0.15">
      <c r="A1955" s="9">
        <v>1954</v>
      </c>
      <c r="B1955" s="10" t="s">
        <v>9</v>
      </c>
      <c r="C1955" s="10" t="s">
        <v>164</v>
      </c>
      <c r="D1955" s="10" t="s">
        <v>165</v>
      </c>
      <c r="E1955" s="11" t="str">
        <f>+HYPERLINK("http://trademark.i-assist.jp/data/china/image_1901th/79091356.pdf", "79091356")</f>
        <v>79091356</v>
      </c>
      <c r="F1955" s="10" t="s">
        <v>5532</v>
      </c>
      <c r="G1955" s="10" t="s">
        <v>5533</v>
      </c>
      <c r="H1955" s="10" t="s">
        <v>5534</v>
      </c>
      <c r="I1955" s="10" t="s">
        <v>5466</v>
      </c>
    </row>
    <row r="1956" spans="1:9" x14ac:dyDescent="0.15">
      <c r="A1956" s="9">
        <v>1955</v>
      </c>
      <c r="B1956" s="10" t="s">
        <v>9</v>
      </c>
      <c r="C1956" s="10" t="s">
        <v>164</v>
      </c>
      <c r="D1956" s="10" t="s">
        <v>165</v>
      </c>
      <c r="E1956" s="11" t="str">
        <f>+HYPERLINK("http://trademark.i-assist.jp/data/china/image_1901th/79091425.pdf", "79091425")</f>
        <v>79091425</v>
      </c>
      <c r="F1956" s="10" t="s">
        <v>5535</v>
      </c>
      <c r="G1956" s="10" t="s">
        <v>5536</v>
      </c>
      <c r="H1956" s="10" t="s">
        <v>5537</v>
      </c>
      <c r="I1956" s="10" t="s">
        <v>5466</v>
      </c>
    </row>
    <row r="1957" spans="1:9" x14ac:dyDescent="0.15">
      <c r="A1957" s="9">
        <v>1956</v>
      </c>
      <c r="B1957" s="10" t="s">
        <v>9</v>
      </c>
      <c r="C1957" s="10" t="s">
        <v>164</v>
      </c>
      <c r="D1957" s="10" t="s">
        <v>165</v>
      </c>
      <c r="E1957" s="11" t="str">
        <f>+HYPERLINK("http://trademark.i-assist.jp/data/china/image_1901th/79091449.pdf", "79091449")</f>
        <v>79091449</v>
      </c>
      <c r="F1957" s="10" t="s">
        <v>5538</v>
      </c>
      <c r="G1957" s="10" t="s">
        <v>5539</v>
      </c>
      <c r="H1957" s="10" t="s">
        <v>5540</v>
      </c>
      <c r="I1957" s="10" t="s">
        <v>5466</v>
      </c>
    </row>
    <row r="1958" spans="1:9" x14ac:dyDescent="0.15">
      <c r="A1958" s="9">
        <v>1957</v>
      </c>
      <c r="B1958" s="10" t="s">
        <v>9</v>
      </c>
      <c r="C1958" s="10" t="s">
        <v>164</v>
      </c>
      <c r="D1958" s="10" t="s">
        <v>165</v>
      </c>
      <c r="E1958" s="11" t="str">
        <f>+HYPERLINK("http://trademark.i-assist.jp/data/china/image_1901th/79091548.pdf", "79091548")</f>
        <v>79091548</v>
      </c>
      <c r="F1958" s="10" t="s">
        <v>5541</v>
      </c>
      <c r="G1958" s="10" t="s">
        <v>5542</v>
      </c>
      <c r="H1958" s="10" t="s">
        <v>5543</v>
      </c>
      <c r="I1958" s="10" t="s">
        <v>5466</v>
      </c>
    </row>
    <row r="1959" spans="1:9" x14ac:dyDescent="0.15">
      <c r="A1959" s="9">
        <v>1958</v>
      </c>
      <c r="B1959" s="10" t="s">
        <v>9</v>
      </c>
      <c r="C1959" s="10" t="s">
        <v>164</v>
      </c>
      <c r="D1959" s="10" t="s">
        <v>165</v>
      </c>
      <c r="E1959" s="11" t="str">
        <f>+HYPERLINK("http://trademark.i-assist.jp/data/china/image_1901th/79091855.pdf", "79091855")</f>
        <v>79091855</v>
      </c>
      <c r="F1959" s="10" t="s">
        <v>5544</v>
      </c>
      <c r="G1959" s="10" t="s">
        <v>5545</v>
      </c>
      <c r="H1959" s="10" t="s">
        <v>5546</v>
      </c>
      <c r="I1959" s="10" t="s">
        <v>5466</v>
      </c>
    </row>
    <row r="1960" spans="1:9" x14ac:dyDescent="0.15">
      <c r="A1960" s="9">
        <v>1959</v>
      </c>
      <c r="B1960" s="10" t="s">
        <v>9</v>
      </c>
      <c r="C1960" s="10" t="s">
        <v>164</v>
      </c>
      <c r="D1960" s="10" t="s">
        <v>165</v>
      </c>
      <c r="E1960" s="11" t="str">
        <f>+HYPERLINK("http://trademark.i-assist.jp/data/china/image_1901th/79091966.pdf", "79091966")</f>
        <v>79091966</v>
      </c>
      <c r="F1960" s="10" t="s">
        <v>5547</v>
      </c>
      <c r="G1960" s="10" t="s">
        <v>5548</v>
      </c>
      <c r="H1960" s="10" t="s">
        <v>5549</v>
      </c>
      <c r="I1960" s="10" t="s">
        <v>5466</v>
      </c>
    </row>
    <row r="1961" spans="1:9" x14ac:dyDescent="0.15">
      <c r="A1961" s="9">
        <v>1960</v>
      </c>
      <c r="B1961" s="10" t="s">
        <v>9</v>
      </c>
      <c r="C1961" s="10" t="s">
        <v>164</v>
      </c>
      <c r="D1961" s="10" t="s">
        <v>165</v>
      </c>
      <c r="E1961" s="11" t="str">
        <f>+HYPERLINK("http://trademark.i-assist.jp/data/china/image_1901th/79092024.pdf", "79092024")</f>
        <v>79092024</v>
      </c>
      <c r="F1961" s="10" t="s">
        <v>5550</v>
      </c>
      <c r="G1961" s="10" t="s">
        <v>5551</v>
      </c>
      <c r="H1961" s="10" t="s">
        <v>5552</v>
      </c>
      <c r="I1961" s="10" t="s">
        <v>5466</v>
      </c>
    </row>
    <row r="1962" spans="1:9" x14ac:dyDescent="0.15">
      <c r="A1962" s="9">
        <v>1961</v>
      </c>
      <c r="B1962" s="10" t="s">
        <v>9</v>
      </c>
      <c r="C1962" s="10" t="s">
        <v>164</v>
      </c>
      <c r="D1962" s="10" t="s">
        <v>165</v>
      </c>
      <c r="E1962" s="11" t="str">
        <f>+HYPERLINK("http://trademark.i-assist.jp/data/china/image_1901th/79092029.pdf", "79092029")</f>
        <v>79092029</v>
      </c>
      <c r="F1962" s="10" t="s">
        <v>5553</v>
      </c>
      <c r="G1962" s="10" t="s">
        <v>5554</v>
      </c>
      <c r="H1962" s="10" t="s">
        <v>5555</v>
      </c>
      <c r="I1962" s="10" t="s">
        <v>5466</v>
      </c>
    </row>
    <row r="1963" spans="1:9" x14ac:dyDescent="0.15">
      <c r="A1963" s="9">
        <v>1962</v>
      </c>
      <c r="B1963" s="10" t="s">
        <v>9</v>
      </c>
      <c r="C1963" s="10" t="s">
        <v>164</v>
      </c>
      <c r="D1963" s="10" t="s">
        <v>165</v>
      </c>
      <c r="E1963" s="11" t="str">
        <f>+HYPERLINK("http://trademark.i-assist.jp/data/china/image_1901th/79092061.pdf", "79092061")</f>
        <v>79092061</v>
      </c>
      <c r="F1963" s="10" t="s">
        <v>5556</v>
      </c>
      <c r="G1963" s="10" t="s">
        <v>5557</v>
      </c>
      <c r="H1963" s="10" t="s">
        <v>5558</v>
      </c>
      <c r="I1963" s="10" t="s">
        <v>5466</v>
      </c>
    </row>
    <row r="1964" spans="1:9" x14ac:dyDescent="0.15">
      <c r="A1964" s="9">
        <v>1963</v>
      </c>
      <c r="B1964" s="10" t="s">
        <v>9</v>
      </c>
      <c r="C1964" s="10" t="s">
        <v>164</v>
      </c>
      <c r="D1964" s="10" t="s">
        <v>165</v>
      </c>
      <c r="E1964" s="11" t="str">
        <f>+HYPERLINK("http://trademark.i-assist.jp/data/china/image_1901th/79092165.pdf", "79092165")</f>
        <v>79092165</v>
      </c>
      <c r="F1964" s="10" t="s">
        <v>5559</v>
      </c>
      <c r="G1964" s="10" t="s">
        <v>5502</v>
      </c>
      <c r="H1964" s="10" t="s">
        <v>5560</v>
      </c>
      <c r="I1964" s="10" t="s">
        <v>5466</v>
      </c>
    </row>
    <row r="1965" spans="1:9" x14ac:dyDescent="0.15">
      <c r="A1965" s="9">
        <v>1964</v>
      </c>
      <c r="B1965" s="10" t="s">
        <v>9</v>
      </c>
      <c r="C1965" s="10" t="s">
        <v>164</v>
      </c>
      <c r="D1965" s="10" t="s">
        <v>165</v>
      </c>
      <c r="E1965" s="11" t="str">
        <f>+HYPERLINK("http://trademark.i-assist.jp/data/china/image_1901th/79092188.pdf", "79092188")</f>
        <v>79092188</v>
      </c>
      <c r="F1965" s="10" t="s">
        <v>5561</v>
      </c>
      <c r="G1965" s="10" t="s">
        <v>5562</v>
      </c>
      <c r="H1965" s="10" t="s">
        <v>5563</v>
      </c>
      <c r="I1965" s="10" t="s">
        <v>5466</v>
      </c>
    </row>
    <row r="1966" spans="1:9" x14ac:dyDescent="0.15">
      <c r="A1966" s="9">
        <v>1965</v>
      </c>
      <c r="B1966" s="10" t="s">
        <v>9</v>
      </c>
      <c r="C1966" s="10" t="s">
        <v>164</v>
      </c>
      <c r="D1966" s="10" t="s">
        <v>165</v>
      </c>
      <c r="E1966" s="11" t="str">
        <f>+HYPERLINK("http://trademark.i-assist.jp/data/china/image_1901th/79092271.pdf", "79092271")</f>
        <v>79092271</v>
      </c>
      <c r="F1966" s="10" t="s">
        <v>5564</v>
      </c>
      <c r="G1966" s="10" t="s">
        <v>5565</v>
      </c>
      <c r="H1966" s="10" t="s">
        <v>5566</v>
      </c>
      <c r="I1966" s="10" t="s">
        <v>5466</v>
      </c>
    </row>
    <row r="1967" spans="1:9" x14ac:dyDescent="0.15">
      <c r="A1967" s="9">
        <v>1966</v>
      </c>
      <c r="B1967" s="10" t="s">
        <v>9</v>
      </c>
      <c r="C1967" s="10" t="s">
        <v>164</v>
      </c>
      <c r="D1967" s="10" t="s">
        <v>165</v>
      </c>
      <c r="E1967" s="11" t="str">
        <f>+HYPERLINK("http://trademark.i-assist.jp/data/china/image_1901th/79092663.pdf", "79092663")</f>
        <v>79092663</v>
      </c>
      <c r="F1967" s="10" t="s">
        <v>5567</v>
      </c>
      <c r="G1967" s="10" t="s">
        <v>5568</v>
      </c>
      <c r="H1967" s="10" t="s">
        <v>5569</v>
      </c>
      <c r="I1967" s="10" t="s">
        <v>5466</v>
      </c>
    </row>
    <row r="1968" spans="1:9" x14ac:dyDescent="0.15">
      <c r="A1968" s="9">
        <v>1967</v>
      </c>
      <c r="B1968" s="10" t="s">
        <v>9</v>
      </c>
      <c r="C1968" s="10" t="s">
        <v>164</v>
      </c>
      <c r="D1968" s="10" t="s">
        <v>165</v>
      </c>
      <c r="E1968" s="11" t="str">
        <f>+HYPERLINK("http://trademark.i-assist.jp/data/china/image_1901th/79092676.pdf", "79092676")</f>
        <v>79092676</v>
      </c>
      <c r="F1968" s="10" t="s">
        <v>5570</v>
      </c>
      <c r="G1968" s="10" t="s">
        <v>5477</v>
      </c>
      <c r="H1968" s="10" t="s">
        <v>5571</v>
      </c>
      <c r="I1968" s="10" t="s">
        <v>5466</v>
      </c>
    </row>
    <row r="1969" spans="1:9" x14ac:dyDescent="0.15">
      <c r="A1969" s="9">
        <v>1968</v>
      </c>
      <c r="B1969" s="10" t="s">
        <v>9</v>
      </c>
      <c r="C1969" s="10" t="s">
        <v>164</v>
      </c>
      <c r="D1969" s="10" t="s">
        <v>165</v>
      </c>
      <c r="E1969" s="11" t="str">
        <f>+HYPERLINK("http://trademark.i-assist.jp/data/china/image_1901th/79092915.pdf", "79092915")</f>
        <v>79092915</v>
      </c>
      <c r="F1969" s="10" t="s">
        <v>5572</v>
      </c>
      <c r="G1969" s="10" t="s">
        <v>5533</v>
      </c>
      <c r="H1969" s="10" t="s">
        <v>5573</v>
      </c>
      <c r="I1969" s="10" t="s">
        <v>5466</v>
      </c>
    </row>
    <row r="1970" spans="1:9" x14ac:dyDescent="0.15">
      <c r="A1970" s="9">
        <v>1969</v>
      </c>
      <c r="B1970" s="10" t="s">
        <v>9</v>
      </c>
      <c r="C1970" s="10" t="s">
        <v>164</v>
      </c>
      <c r="D1970" s="10" t="s">
        <v>165</v>
      </c>
      <c r="E1970" s="11" t="str">
        <f>+HYPERLINK("http://trademark.i-assist.jp/data/china/image_1901th/79092919.pdf", "79092919")</f>
        <v>79092919</v>
      </c>
      <c r="F1970" s="10" t="s">
        <v>5574</v>
      </c>
      <c r="G1970" s="10" t="s">
        <v>5533</v>
      </c>
      <c r="H1970" s="10" t="s">
        <v>5575</v>
      </c>
      <c r="I1970" s="10" t="s">
        <v>5466</v>
      </c>
    </row>
    <row r="1971" spans="1:9" x14ac:dyDescent="0.15">
      <c r="A1971" s="9">
        <v>1970</v>
      </c>
      <c r="B1971" s="10" t="s">
        <v>9</v>
      </c>
      <c r="C1971" s="10" t="s">
        <v>164</v>
      </c>
      <c r="D1971" s="10" t="s">
        <v>165</v>
      </c>
      <c r="E1971" s="11" t="str">
        <f>+HYPERLINK("http://trademark.i-assist.jp/data/china/image_1901th/79093183.pdf", "79093183")</f>
        <v>79093183</v>
      </c>
      <c r="F1971" s="10" t="s">
        <v>5576</v>
      </c>
      <c r="G1971" s="10" t="s">
        <v>5577</v>
      </c>
      <c r="H1971" s="10" t="s">
        <v>5578</v>
      </c>
      <c r="I1971" s="10" t="s">
        <v>5466</v>
      </c>
    </row>
    <row r="1972" spans="1:9" x14ac:dyDescent="0.15">
      <c r="A1972" s="9">
        <v>1971</v>
      </c>
      <c r="B1972" s="10" t="s">
        <v>9</v>
      </c>
      <c r="C1972" s="10" t="s">
        <v>164</v>
      </c>
      <c r="D1972" s="10" t="s">
        <v>165</v>
      </c>
      <c r="E1972" s="11" t="str">
        <f>+HYPERLINK("http://trademark.i-assist.jp/data/china/image_1901th/79093571.pdf", "79093571")</f>
        <v>79093571</v>
      </c>
      <c r="F1972" s="10" t="s">
        <v>5579</v>
      </c>
      <c r="G1972" s="10" t="s">
        <v>5580</v>
      </c>
      <c r="H1972" s="10" t="s">
        <v>5581</v>
      </c>
      <c r="I1972" s="10" t="s">
        <v>5466</v>
      </c>
    </row>
    <row r="1973" spans="1:9" x14ac:dyDescent="0.15">
      <c r="A1973" s="9">
        <v>1972</v>
      </c>
      <c r="B1973" s="10" t="s">
        <v>9</v>
      </c>
      <c r="C1973" s="10" t="s">
        <v>164</v>
      </c>
      <c r="D1973" s="10" t="s">
        <v>165</v>
      </c>
      <c r="E1973" s="11" t="str">
        <f>+HYPERLINK("http://trademark.i-assist.jp/data/china/image_1901th/79093744.pdf", "79093744")</f>
        <v>79093744</v>
      </c>
      <c r="F1973" s="10" t="s">
        <v>5582</v>
      </c>
      <c r="G1973" s="10" t="s">
        <v>5583</v>
      </c>
      <c r="H1973" s="10" t="s">
        <v>19</v>
      </c>
      <c r="I1973" s="10" t="s">
        <v>5466</v>
      </c>
    </row>
    <row r="1974" spans="1:9" x14ac:dyDescent="0.15">
      <c r="A1974" s="9">
        <v>1973</v>
      </c>
      <c r="B1974" s="10" t="s">
        <v>9</v>
      </c>
      <c r="C1974" s="10" t="s">
        <v>164</v>
      </c>
      <c r="D1974" s="10" t="s">
        <v>165</v>
      </c>
      <c r="E1974" s="11" t="str">
        <f>+HYPERLINK("http://trademark.i-assist.jp/data/china/image_1901th/79093745.pdf", "79093745")</f>
        <v>79093745</v>
      </c>
      <c r="F1974" s="10" t="s">
        <v>5584</v>
      </c>
      <c r="G1974" s="10" t="s">
        <v>4132</v>
      </c>
      <c r="H1974" s="10" t="s">
        <v>5585</v>
      </c>
      <c r="I1974" s="10" t="s">
        <v>5466</v>
      </c>
    </row>
    <row r="1975" spans="1:9" x14ac:dyDescent="0.15">
      <c r="A1975" s="9">
        <v>1974</v>
      </c>
      <c r="B1975" s="10" t="s">
        <v>9</v>
      </c>
      <c r="C1975" s="10" t="s">
        <v>164</v>
      </c>
      <c r="D1975" s="10" t="s">
        <v>165</v>
      </c>
      <c r="E1975" s="11" t="str">
        <f>+HYPERLINK("http://trademark.i-assist.jp/data/china/image_1901th/79093927.pdf", "79093927")</f>
        <v>79093927</v>
      </c>
      <c r="F1975" s="10" t="s">
        <v>5586</v>
      </c>
      <c r="G1975" s="10" t="s">
        <v>5587</v>
      </c>
      <c r="H1975" s="10" t="s">
        <v>5588</v>
      </c>
      <c r="I1975" s="10" t="s">
        <v>5466</v>
      </c>
    </row>
    <row r="1976" spans="1:9" x14ac:dyDescent="0.15">
      <c r="A1976" s="9">
        <v>1975</v>
      </c>
      <c r="B1976" s="10" t="s">
        <v>9</v>
      </c>
      <c r="C1976" s="10" t="s">
        <v>164</v>
      </c>
      <c r="D1976" s="10" t="s">
        <v>165</v>
      </c>
      <c r="E1976" s="11" t="str">
        <f>+HYPERLINK("http://trademark.i-assist.jp/data/china/image_1901th/79094201.pdf", "79094201")</f>
        <v>79094201</v>
      </c>
      <c r="F1976" s="10" t="s">
        <v>5589</v>
      </c>
      <c r="G1976" s="10" t="s">
        <v>5524</v>
      </c>
      <c r="H1976" s="10" t="s">
        <v>5590</v>
      </c>
      <c r="I1976" s="10" t="s">
        <v>5466</v>
      </c>
    </row>
    <row r="1977" spans="1:9" x14ac:dyDescent="0.15">
      <c r="A1977" s="9">
        <v>1976</v>
      </c>
      <c r="B1977" s="10" t="s">
        <v>9</v>
      </c>
      <c r="C1977" s="10" t="s">
        <v>164</v>
      </c>
      <c r="D1977" s="10" t="s">
        <v>165</v>
      </c>
      <c r="E1977" s="11" t="str">
        <f>+HYPERLINK("http://trademark.i-assist.jp/data/china/image_1901th/79094224.pdf", "79094224")</f>
        <v>79094224</v>
      </c>
      <c r="F1977" s="10" t="s">
        <v>5591</v>
      </c>
      <c r="G1977" s="10" t="s">
        <v>5524</v>
      </c>
      <c r="H1977" s="10" t="s">
        <v>5592</v>
      </c>
      <c r="I1977" s="10" t="s">
        <v>5466</v>
      </c>
    </row>
    <row r="1978" spans="1:9" x14ac:dyDescent="0.15">
      <c r="A1978" s="9">
        <v>1977</v>
      </c>
      <c r="B1978" s="10" t="s">
        <v>9</v>
      </c>
      <c r="C1978" s="10" t="s">
        <v>164</v>
      </c>
      <c r="D1978" s="10" t="s">
        <v>165</v>
      </c>
      <c r="E1978" s="11" t="str">
        <f>+HYPERLINK("http://trademark.i-assist.jp/data/china/image_1901th/79094352.pdf", "79094352")</f>
        <v>79094352</v>
      </c>
      <c r="F1978" s="10" t="s">
        <v>5593</v>
      </c>
      <c r="G1978" s="10" t="s">
        <v>5594</v>
      </c>
      <c r="H1978" s="10" t="s">
        <v>5595</v>
      </c>
      <c r="I1978" s="10" t="s">
        <v>5466</v>
      </c>
    </row>
    <row r="1979" spans="1:9" x14ac:dyDescent="0.15">
      <c r="A1979" s="9">
        <v>1978</v>
      </c>
      <c r="B1979" s="10" t="s">
        <v>9</v>
      </c>
      <c r="C1979" s="10" t="s">
        <v>164</v>
      </c>
      <c r="D1979" s="10" t="s">
        <v>165</v>
      </c>
      <c r="E1979" s="11" t="str">
        <f>+HYPERLINK("http://trademark.i-assist.jp/data/china/image_1901th/79094354.pdf", "79094354")</f>
        <v>79094354</v>
      </c>
      <c r="F1979" s="10" t="s">
        <v>5596</v>
      </c>
      <c r="G1979" s="10" t="s">
        <v>5597</v>
      </c>
      <c r="H1979" s="10" t="s">
        <v>5598</v>
      </c>
      <c r="I1979" s="10" t="s">
        <v>5466</v>
      </c>
    </row>
    <row r="1980" spans="1:9" x14ac:dyDescent="0.15">
      <c r="A1980" s="9">
        <v>1979</v>
      </c>
      <c r="B1980" s="10" t="s">
        <v>9</v>
      </c>
      <c r="C1980" s="10" t="s">
        <v>164</v>
      </c>
      <c r="D1980" s="10" t="s">
        <v>165</v>
      </c>
      <c r="E1980" s="11" t="str">
        <f>+HYPERLINK("http://trademark.i-assist.jp/data/china/image_1901th/79094454.pdf", "79094454")</f>
        <v>79094454</v>
      </c>
      <c r="F1980" s="10" t="s">
        <v>5599</v>
      </c>
      <c r="G1980" s="10" t="s">
        <v>5600</v>
      </c>
      <c r="H1980" s="10" t="s">
        <v>5601</v>
      </c>
      <c r="I1980" s="10" t="s">
        <v>5466</v>
      </c>
    </row>
    <row r="1981" spans="1:9" x14ac:dyDescent="0.15">
      <c r="A1981" s="9">
        <v>1980</v>
      </c>
      <c r="B1981" s="10" t="s">
        <v>9</v>
      </c>
      <c r="C1981" s="10" t="s">
        <v>164</v>
      </c>
      <c r="D1981" s="10" t="s">
        <v>165</v>
      </c>
      <c r="E1981" s="11" t="str">
        <f>+HYPERLINK("http://trademark.i-assist.jp/data/china/image_1901th/79094471.pdf", "79094471")</f>
        <v>79094471</v>
      </c>
      <c r="F1981" s="10" t="s">
        <v>5602</v>
      </c>
      <c r="G1981" s="10" t="s">
        <v>5600</v>
      </c>
      <c r="H1981" s="10" t="s">
        <v>5603</v>
      </c>
      <c r="I1981" s="10" t="s">
        <v>5466</v>
      </c>
    </row>
    <row r="1982" spans="1:9" x14ac:dyDescent="0.15">
      <c r="A1982" s="9">
        <v>1981</v>
      </c>
      <c r="B1982" s="10" t="s">
        <v>9</v>
      </c>
      <c r="C1982" s="10" t="s">
        <v>164</v>
      </c>
      <c r="D1982" s="10" t="s">
        <v>165</v>
      </c>
      <c r="E1982" s="11" t="str">
        <f>+HYPERLINK("http://trademark.i-assist.jp/data/china/image_1901th/79094676.pdf", "79094676")</f>
        <v>79094676</v>
      </c>
      <c r="F1982" s="10" t="s">
        <v>5604</v>
      </c>
      <c r="G1982" s="10" t="s">
        <v>5605</v>
      </c>
      <c r="H1982" s="10" t="s">
        <v>5606</v>
      </c>
      <c r="I1982" s="10" t="s">
        <v>5466</v>
      </c>
    </row>
    <row r="1983" spans="1:9" x14ac:dyDescent="0.15">
      <c r="A1983" s="9">
        <v>1982</v>
      </c>
      <c r="B1983" s="10" t="s">
        <v>9</v>
      </c>
      <c r="C1983" s="10" t="s">
        <v>164</v>
      </c>
      <c r="D1983" s="10" t="s">
        <v>165</v>
      </c>
      <c r="E1983" s="11" t="str">
        <f>+HYPERLINK("http://trademark.i-assist.jp/data/china/image_1901th/79094774.pdf", "79094774")</f>
        <v>79094774</v>
      </c>
      <c r="F1983" s="10" t="s">
        <v>5607</v>
      </c>
      <c r="G1983" s="10" t="s">
        <v>5608</v>
      </c>
      <c r="H1983" s="10" t="s">
        <v>5609</v>
      </c>
      <c r="I1983" s="10" t="s">
        <v>5466</v>
      </c>
    </row>
    <row r="1984" spans="1:9" x14ac:dyDescent="0.15">
      <c r="A1984" s="9">
        <v>1983</v>
      </c>
      <c r="B1984" s="10" t="s">
        <v>9</v>
      </c>
      <c r="C1984" s="10" t="s">
        <v>164</v>
      </c>
      <c r="D1984" s="10" t="s">
        <v>165</v>
      </c>
      <c r="E1984" s="11" t="str">
        <f>+HYPERLINK("http://trademark.i-assist.jp/data/china/image_1901th/79094780.pdf", "79094780")</f>
        <v>79094780</v>
      </c>
      <c r="F1984" s="10" t="s">
        <v>5610</v>
      </c>
      <c r="G1984" s="10" t="s">
        <v>5557</v>
      </c>
      <c r="H1984" s="10" t="s">
        <v>5611</v>
      </c>
      <c r="I1984" s="10" t="s">
        <v>5466</v>
      </c>
    </row>
    <row r="1985" spans="1:9" x14ac:dyDescent="0.15">
      <c r="A1985" s="9">
        <v>1984</v>
      </c>
      <c r="B1985" s="10" t="s">
        <v>9</v>
      </c>
      <c r="C1985" s="10" t="s">
        <v>164</v>
      </c>
      <c r="D1985" s="10" t="s">
        <v>165</v>
      </c>
      <c r="E1985" s="11" t="str">
        <f>+HYPERLINK("http://trademark.i-assist.jp/data/china/image_1901th/79094827.pdf", "79094827")</f>
        <v>79094827</v>
      </c>
      <c r="F1985" s="10" t="s">
        <v>5612</v>
      </c>
      <c r="G1985" s="10" t="s">
        <v>5613</v>
      </c>
      <c r="H1985" s="10" t="s">
        <v>5614</v>
      </c>
      <c r="I1985" s="10" t="s">
        <v>5466</v>
      </c>
    </row>
    <row r="1986" spans="1:9" x14ac:dyDescent="0.15">
      <c r="A1986" s="9">
        <v>1985</v>
      </c>
      <c r="B1986" s="10" t="s">
        <v>9</v>
      </c>
      <c r="C1986" s="10" t="s">
        <v>164</v>
      </c>
      <c r="D1986" s="10" t="s">
        <v>165</v>
      </c>
      <c r="E1986" s="11" t="str">
        <f>+HYPERLINK("http://trademark.i-assist.jp/data/china/image_1901th/79095076.pdf", "79095076")</f>
        <v>79095076</v>
      </c>
      <c r="F1986" s="10" t="s">
        <v>5615</v>
      </c>
      <c r="G1986" s="10" t="s">
        <v>5616</v>
      </c>
      <c r="H1986" s="10" t="s">
        <v>5617</v>
      </c>
      <c r="I1986" s="10" t="s">
        <v>5466</v>
      </c>
    </row>
    <row r="1987" spans="1:9" x14ac:dyDescent="0.15">
      <c r="A1987" s="9">
        <v>1986</v>
      </c>
      <c r="B1987" s="10" t="s">
        <v>9</v>
      </c>
      <c r="C1987" s="10" t="s">
        <v>164</v>
      </c>
      <c r="D1987" s="10" t="s">
        <v>165</v>
      </c>
      <c r="E1987" s="11" t="str">
        <f>+HYPERLINK("http://trademark.i-assist.jp/data/china/image_1901th/79095090.pdf", "79095090")</f>
        <v>79095090</v>
      </c>
      <c r="F1987" s="10" t="s">
        <v>5618</v>
      </c>
      <c r="G1987" s="10" t="s">
        <v>5619</v>
      </c>
      <c r="H1987" s="10" t="s">
        <v>5620</v>
      </c>
      <c r="I1987" s="10" t="s">
        <v>5466</v>
      </c>
    </row>
    <row r="1988" spans="1:9" x14ac:dyDescent="0.15">
      <c r="A1988" s="9">
        <v>1987</v>
      </c>
      <c r="B1988" s="10" t="s">
        <v>9</v>
      </c>
      <c r="C1988" s="10" t="s">
        <v>164</v>
      </c>
      <c r="D1988" s="10" t="s">
        <v>165</v>
      </c>
      <c r="E1988" s="11" t="str">
        <f>+HYPERLINK("http://trademark.i-assist.jp/data/china/image_1901th/79095112.pdf", "79095112")</f>
        <v>79095112</v>
      </c>
      <c r="F1988" s="10" t="s">
        <v>5621</v>
      </c>
      <c r="G1988" s="10" t="s">
        <v>5622</v>
      </c>
      <c r="H1988" s="10" t="s">
        <v>5623</v>
      </c>
      <c r="I1988" s="10" t="s">
        <v>5466</v>
      </c>
    </row>
    <row r="1989" spans="1:9" x14ac:dyDescent="0.15">
      <c r="A1989" s="9">
        <v>1988</v>
      </c>
      <c r="B1989" s="10" t="s">
        <v>9</v>
      </c>
      <c r="C1989" s="10" t="s">
        <v>164</v>
      </c>
      <c r="D1989" s="10" t="s">
        <v>165</v>
      </c>
      <c r="E1989" s="11" t="str">
        <f>+HYPERLINK("http://trademark.i-assist.jp/data/china/image_1901th/79095151.pdf", "79095151")</f>
        <v>79095151</v>
      </c>
      <c r="F1989" s="10" t="s">
        <v>5624</v>
      </c>
      <c r="G1989" s="10" t="s">
        <v>5625</v>
      </c>
      <c r="H1989" s="10" t="s">
        <v>5626</v>
      </c>
      <c r="I1989" s="10" t="s">
        <v>5466</v>
      </c>
    </row>
    <row r="1990" spans="1:9" x14ac:dyDescent="0.15">
      <c r="A1990" s="9">
        <v>1989</v>
      </c>
      <c r="B1990" s="10" t="s">
        <v>9</v>
      </c>
      <c r="C1990" s="10" t="s">
        <v>164</v>
      </c>
      <c r="D1990" s="10" t="s">
        <v>165</v>
      </c>
      <c r="E1990" s="11" t="str">
        <f>+HYPERLINK("http://trademark.i-assist.jp/data/china/image_1901th/79095408.pdf", "79095408")</f>
        <v>79095408</v>
      </c>
      <c r="F1990" s="10" t="s">
        <v>5627</v>
      </c>
      <c r="G1990" s="10" t="s">
        <v>5536</v>
      </c>
      <c r="H1990" s="10" t="s">
        <v>5628</v>
      </c>
      <c r="I1990" s="10" t="s">
        <v>5466</v>
      </c>
    </row>
    <row r="1991" spans="1:9" x14ac:dyDescent="0.15">
      <c r="A1991" s="9">
        <v>1990</v>
      </c>
      <c r="B1991" s="10" t="s">
        <v>9</v>
      </c>
      <c r="C1991" s="10" t="s">
        <v>164</v>
      </c>
      <c r="D1991" s="10" t="s">
        <v>165</v>
      </c>
      <c r="E1991" s="11" t="str">
        <f>+HYPERLINK("http://trademark.i-assist.jp/data/china/image_1901th/79095414.pdf", "79095414")</f>
        <v>79095414</v>
      </c>
      <c r="F1991" s="10" t="s">
        <v>5629</v>
      </c>
      <c r="G1991" s="10" t="s">
        <v>154</v>
      </c>
      <c r="H1991" s="10" t="s">
        <v>5630</v>
      </c>
      <c r="I1991" s="10" t="s">
        <v>5466</v>
      </c>
    </row>
    <row r="1992" spans="1:9" x14ac:dyDescent="0.15">
      <c r="A1992" s="9">
        <v>1991</v>
      </c>
      <c r="B1992" s="10" t="s">
        <v>9</v>
      </c>
      <c r="C1992" s="10" t="s">
        <v>164</v>
      </c>
      <c r="D1992" s="10" t="s">
        <v>165</v>
      </c>
      <c r="E1992" s="11" t="str">
        <f>+HYPERLINK("http://trademark.i-assist.jp/data/china/image_1901th/79095552.pdf", "79095552")</f>
        <v>79095552</v>
      </c>
      <c r="F1992" s="10" t="s">
        <v>5631</v>
      </c>
      <c r="G1992" s="10" t="s">
        <v>5632</v>
      </c>
      <c r="H1992" s="10" t="s">
        <v>5633</v>
      </c>
      <c r="I1992" s="10" t="s">
        <v>5466</v>
      </c>
    </row>
    <row r="1993" spans="1:9" x14ac:dyDescent="0.15">
      <c r="A1993" s="9">
        <v>1992</v>
      </c>
      <c r="B1993" s="10" t="s">
        <v>9</v>
      </c>
      <c r="C1993" s="10" t="s">
        <v>164</v>
      </c>
      <c r="D1993" s="10" t="s">
        <v>165</v>
      </c>
      <c r="E1993" s="11" t="str">
        <f>+HYPERLINK("http://trademark.i-assist.jp/data/china/image_1901th/79095939.pdf", "79095939")</f>
        <v>79095939</v>
      </c>
      <c r="F1993" s="10" t="s">
        <v>5634</v>
      </c>
      <c r="G1993" s="10" t="s">
        <v>153</v>
      </c>
      <c r="H1993" s="10" t="s">
        <v>5635</v>
      </c>
      <c r="I1993" s="10" t="s">
        <v>5466</v>
      </c>
    </row>
    <row r="1994" spans="1:9" x14ac:dyDescent="0.15">
      <c r="A1994" s="9">
        <v>1993</v>
      </c>
      <c r="B1994" s="10" t="s">
        <v>9</v>
      </c>
      <c r="C1994" s="10" t="s">
        <v>164</v>
      </c>
      <c r="D1994" s="10" t="s">
        <v>165</v>
      </c>
      <c r="E1994" s="11" t="str">
        <f>+HYPERLINK("http://trademark.i-assist.jp/data/china/image_1901th/79096298.pdf", "79096298")</f>
        <v>79096298</v>
      </c>
      <c r="F1994" s="10" t="s">
        <v>5636</v>
      </c>
      <c r="G1994" s="10" t="s">
        <v>5637</v>
      </c>
      <c r="H1994" s="10" t="s">
        <v>5638</v>
      </c>
      <c r="I1994" s="10" t="s">
        <v>5466</v>
      </c>
    </row>
    <row r="1995" spans="1:9" x14ac:dyDescent="0.15">
      <c r="A1995" s="9">
        <v>1994</v>
      </c>
      <c r="B1995" s="10" t="s">
        <v>9</v>
      </c>
      <c r="C1995" s="10" t="s">
        <v>164</v>
      </c>
      <c r="D1995" s="10" t="s">
        <v>165</v>
      </c>
      <c r="E1995" s="11" t="str">
        <f>+HYPERLINK("http://trademark.i-assist.jp/data/china/image_1901th/79096442.pdf", "79096442")</f>
        <v>79096442</v>
      </c>
      <c r="F1995" s="10" t="s">
        <v>5639</v>
      </c>
      <c r="G1995" s="10" t="s">
        <v>5640</v>
      </c>
      <c r="H1995" s="10" t="s">
        <v>5641</v>
      </c>
      <c r="I1995" s="10" t="s">
        <v>5466</v>
      </c>
    </row>
    <row r="1996" spans="1:9" x14ac:dyDescent="0.15">
      <c r="A1996" s="9">
        <v>1995</v>
      </c>
      <c r="B1996" s="10" t="s">
        <v>9</v>
      </c>
      <c r="C1996" s="10" t="s">
        <v>164</v>
      </c>
      <c r="D1996" s="10" t="s">
        <v>165</v>
      </c>
      <c r="E1996" s="11" t="str">
        <f>+HYPERLINK("http://trademark.i-assist.jp/data/china/image_1901th/79096745.pdf", "79096745")</f>
        <v>79096745</v>
      </c>
      <c r="F1996" s="10" t="s">
        <v>5642</v>
      </c>
      <c r="G1996" s="10" t="s">
        <v>5643</v>
      </c>
      <c r="H1996" s="10" t="s">
        <v>5644</v>
      </c>
      <c r="I1996" s="10" t="s">
        <v>5466</v>
      </c>
    </row>
    <row r="1997" spans="1:9" x14ac:dyDescent="0.15">
      <c r="A1997" s="9">
        <v>1996</v>
      </c>
      <c r="B1997" s="10" t="s">
        <v>9</v>
      </c>
      <c r="C1997" s="10" t="s">
        <v>164</v>
      </c>
      <c r="D1997" s="10" t="s">
        <v>165</v>
      </c>
      <c r="E1997" s="11" t="str">
        <f>+HYPERLINK("http://trademark.i-assist.jp/data/china/image_1901th/79096777.pdf", "79096777")</f>
        <v>79096777</v>
      </c>
      <c r="F1997" s="10" t="s">
        <v>5645</v>
      </c>
      <c r="G1997" s="10" t="s">
        <v>5646</v>
      </c>
      <c r="H1997" s="10" t="s">
        <v>5647</v>
      </c>
      <c r="I1997" s="10" t="s">
        <v>5466</v>
      </c>
    </row>
    <row r="1998" spans="1:9" x14ac:dyDescent="0.15">
      <c r="A1998" s="9">
        <v>1997</v>
      </c>
      <c r="B1998" s="10" t="s">
        <v>9</v>
      </c>
      <c r="C1998" s="10" t="s">
        <v>164</v>
      </c>
      <c r="D1998" s="10" t="s">
        <v>165</v>
      </c>
      <c r="E1998" s="11" t="str">
        <f>+HYPERLINK("http://trademark.i-assist.jp/data/china/image_1901th/79096802.pdf", "79096802")</f>
        <v>79096802</v>
      </c>
      <c r="F1998" s="10" t="s">
        <v>5648</v>
      </c>
      <c r="G1998" s="10" t="s">
        <v>5477</v>
      </c>
      <c r="H1998" s="10" t="s">
        <v>5649</v>
      </c>
      <c r="I1998" s="10" t="s">
        <v>5466</v>
      </c>
    </row>
    <row r="1999" spans="1:9" x14ac:dyDescent="0.15">
      <c r="A1999" s="9">
        <v>1998</v>
      </c>
      <c r="B1999" s="10" t="s">
        <v>9</v>
      </c>
      <c r="C1999" s="10" t="s">
        <v>164</v>
      </c>
      <c r="D1999" s="10" t="s">
        <v>165</v>
      </c>
      <c r="E1999" s="11" t="str">
        <f>+HYPERLINK("http://trademark.i-assist.jp/data/china/image_1901th/79096804.pdf", "79096804")</f>
        <v>79096804</v>
      </c>
      <c r="F1999" s="10" t="s">
        <v>5650</v>
      </c>
      <c r="G1999" s="10" t="s">
        <v>5651</v>
      </c>
      <c r="H1999" s="10" t="s">
        <v>5652</v>
      </c>
      <c r="I1999" s="10" t="s">
        <v>5466</v>
      </c>
    </row>
    <row r="2000" spans="1:9" x14ac:dyDescent="0.15">
      <c r="A2000" s="9">
        <v>1999</v>
      </c>
      <c r="B2000" s="10" t="s">
        <v>9</v>
      </c>
      <c r="C2000" s="10" t="s">
        <v>164</v>
      </c>
      <c r="D2000" s="10" t="s">
        <v>165</v>
      </c>
      <c r="E2000" s="11" t="str">
        <f>+HYPERLINK("http://trademark.i-assist.jp/data/china/image_1901th/79096846.pdf", "79096846")</f>
        <v>79096846</v>
      </c>
      <c r="F2000" s="10" t="s">
        <v>5653</v>
      </c>
      <c r="G2000" s="10" t="s">
        <v>5654</v>
      </c>
      <c r="H2000" s="10" t="s">
        <v>5655</v>
      </c>
      <c r="I2000" s="10" t="s">
        <v>5466</v>
      </c>
    </row>
    <row r="2001" spans="1:9" x14ac:dyDescent="0.15">
      <c r="A2001" s="9">
        <v>2000</v>
      </c>
      <c r="B2001" s="10" t="s">
        <v>9</v>
      </c>
      <c r="C2001" s="10" t="s">
        <v>164</v>
      </c>
      <c r="D2001" s="10" t="s">
        <v>165</v>
      </c>
      <c r="E2001" s="11" t="str">
        <f>+HYPERLINK("http://trademark.i-assist.jp/data/china/image_1901th/79096962.pdf", "79096962")</f>
        <v>79096962</v>
      </c>
      <c r="F2001" s="10" t="s">
        <v>5656</v>
      </c>
      <c r="G2001" s="10" t="s">
        <v>5657</v>
      </c>
      <c r="H2001" s="10" t="s">
        <v>5658</v>
      </c>
      <c r="I2001" s="10" t="s">
        <v>5466</v>
      </c>
    </row>
    <row r="2002" spans="1:9" x14ac:dyDescent="0.15">
      <c r="A2002" s="9">
        <v>2001</v>
      </c>
      <c r="B2002" s="10" t="s">
        <v>9</v>
      </c>
      <c r="C2002" s="10" t="s">
        <v>164</v>
      </c>
      <c r="D2002" s="10" t="s">
        <v>165</v>
      </c>
      <c r="E2002" s="11" t="str">
        <f>+HYPERLINK("http://trademark.i-assist.jp/data/china/image_1901th/79096977.pdf", "79096977")</f>
        <v>79096977</v>
      </c>
      <c r="F2002" s="10" t="s">
        <v>5659</v>
      </c>
      <c r="G2002" s="10" t="s">
        <v>5659</v>
      </c>
      <c r="H2002" s="10" t="s">
        <v>5660</v>
      </c>
      <c r="I2002" s="10" t="s">
        <v>5466</v>
      </c>
    </row>
    <row r="2003" spans="1:9" x14ac:dyDescent="0.15">
      <c r="A2003" s="9">
        <v>2002</v>
      </c>
      <c r="B2003" s="10" t="s">
        <v>9</v>
      </c>
      <c r="C2003" s="10" t="s">
        <v>164</v>
      </c>
      <c r="D2003" s="10" t="s">
        <v>165</v>
      </c>
      <c r="E2003" s="11" t="str">
        <f>+HYPERLINK("http://trademark.i-assist.jp/data/china/image_1901th/79097115.pdf", "79097115")</f>
        <v>79097115</v>
      </c>
      <c r="F2003" s="10" t="s">
        <v>5661</v>
      </c>
      <c r="G2003" s="10" t="s">
        <v>107</v>
      </c>
      <c r="H2003" s="10" t="s">
        <v>5662</v>
      </c>
      <c r="I2003" s="10" t="s">
        <v>5466</v>
      </c>
    </row>
    <row r="2004" spans="1:9" x14ac:dyDescent="0.15">
      <c r="A2004" s="9">
        <v>2003</v>
      </c>
      <c r="B2004" s="10" t="s">
        <v>9</v>
      </c>
      <c r="C2004" s="10" t="s">
        <v>164</v>
      </c>
      <c r="D2004" s="10" t="s">
        <v>165</v>
      </c>
      <c r="E2004" s="11" t="str">
        <f>+HYPERLINK("http://trademark.i-assist.jp/data/china/image_1901th/79097521.pdf", "79097521")</f>
        <v>79097521</v>
      </c>
      <c r="F2004" s="10" t="s">
        <v>5663</v>
      </c>
      <c r="G2004" s="10" t="s">
        <v>113</v>
      </c>
      <c r="H2004" s="10" t="s">
        <v>5664</v>
      </c>
      <c r="I2004" s="10" t="s">
        <v>5466</v>
      </c>
    </row>
    <row r="2005" spans="1:9" x14ac:dyDescent="0.15">
      <c r="A2005" s="9">
        <v>2004</v>
      </c>
      <c r="B2005" s="10" t="s">
        <v>9</v>
      </c>
      <c r="C2005" s="10" t="s">
        <v>164</v>
      </c>
      <c r="D2005" s="10" t="s">
        <v>165</v>
      </c>
      <c r="E2005" s="11" t="str">
        <f>+HYPERLINK("http://trademark.i-assist.jp/data/china/image_1901th/79097605.pdf", "79097605")</f>
        <v>79097605</v>
      </c>
      <c r="F2005" s="10" t="s">
        <v>5665</v>
      </c>
      <c r="G2005" s="10" t="s">
        <v>5666</v>
      </c>
      <c r="H2005" s="10" t="s">
        <v>5667</v>
      </c>
      <c r="I2005" s="10" t="s">
        <v>5466</v>
      </c>
    </row>
    <row r="2006" spans="1:9" x14ac:dyDescent="0.15">
      <c r="A2006" s="9">
        <v>2005</v>
      </c>
      <c r="B2006" s="10" t="s">
        <v>9</v>
      </c>
      <c r="C2006" s="10" t="s">
        <v>164</v>
      </c>
      <c r="D2006" s="10" t="s">
        <v>165</v>
      </c>
      <c r="E2006" s="11" t="str">
        <f>+HYPERLINK("http://trademark.i-assist.jp/data/china/image_1901th/79097693.pdf", "79097693")</f>
        <v>79097693</v>
      </c>
      <c r="F2006" s="10" t="s">
        <v>5668</v>
      </c>
      <c r="G2006" s="10" t="s">
        <v>5668</v>
      </c>
      <c r="H2006" s="10" t="s">
        <v>5669</v>
      </c>
      <c r="I2006" s="10" t="s">
        <v>5466</v>
      </c>
    </row>
    <row r="2007" spans="1:9" x14ac:dyDescent="0.15">
      <c r="A2007" s="9">
        <v>2006</v>
      </c>
      <c r="B2007" s="10" t="s">
        <v>9</v>
      </c>
      <c r="C2007" s="10" t="s">
        <v>164</v>
      </c>
      <c r="D2007" s="10" t="s">
        <v>165</v>
      </c>
      <c r="E2007" s="11" t="str">
        <f>+HYPERLINK("http://trademark.i-assist.jp/data/china/image_1901th/79097798.pdf", "79097798")</f>
        <v>79097798</v>
      </c>
      <c r="F2007" s="10" t="s">
        <v>5670</v>
      </c>
      <c r="G2007" s="10" t="s">
        <v>5511</v>
      </c>
      <c r="H2007" s="10" t="s">
        <v>5671</v>
      </c>
      <c r="I2007" s="10" t="s">
        <v>5466</v>
      </c>
    </row>
    <row r="2008" spans="1:9" x14ac:dyDescent="0.15">
      <c r="A2008" s="9">
        <v>2007</v>
      </c>
      <c r="B2008" s="10" t="s">
        <v>9</v>
      </c>
      <c r="C2008" s="10" t="s">
        <v>164</v>
      </c>
      <c r="D2008" s="10" t="s">
        <v>165</v>
      </c>
      <c r="E2008" s="11" t="str">
        <f>+HYPERLINK("http://trademark.i-assist.jp/data/china/image_1901th/79097952.pdf", "79097952")</f>
        <v>79097952</v>
      </c>
      <c r="F2008" s="10" t="s">
        <v>12</v>
      </c>
      <c r="G2008" s="10" t="s">
        <v>5672</v>
      </c>
      <c r="H2008" s="10" t="s">
        <v>5673</v>
      </c>
      <c r="I2008" s="10" t="s">
        <v>5466</v>
      </c>
    </row>
    <row r="2009" spans="1:9" x14ac:dyDescent="0.15">
      <c r="A2009" s="9">
        <v>2008</v>
      </c>
      <c r="B2009" s="10" t="s">
        <v>9</v>
      </c>
      <c r="C2009" s="10" t="s">
        <v>164</v>
      </c>
      <c r="D2009" s="10" t="s">
        <v>165</v>
      </c>
      <c r="E2009" s="11" t="str">
        <f>+HYPERLINK("http://trademark.i-assist.jp/data/china/image_1901th/79097967.pdf", "79097967")</f>
        <v>79097967</v>
      </c>
      <c r="F2009" s="10" t="s">
        <v>5674</v>
      </c>
      <c r="G2009" s="10" t="s">
        <v>5675</v>
      </c>
      <c r="H2009" s="10" t="s">
        <v>5676</v>
      </c>
      <c r="I2009" s="10" t="s">
        <v>5466</v>
      </c>
    </row>
    <row r="2010" spans="1:9" x14ac:dyDescent="0.15">
      <c r="A2010" s="9">
        <v>2009</v>
      </c>
      <c r="B2010" s="10" t="s">
        <v>9</v>
      </c>
      <c r="C2010" s="10" t="s">
        <v>164</v>
      </c>
      <c r="D2010" s="10" t="s">
        <v>165</v>
      </c>
      <c r="E2010" s="11" t="str">
        <f>+HYPERLINK("http://trademark.i-assist.jp/data/china/image_1901th/79097987.pdf", "79097987")</f>
        <v>79097987</v>
      </c>
      <c r="F2010" s="10" t="s">
        <v>5677</v>
      </c>
      <c r="G2010" s="10" t="s">
        <v>5678</v>
      </c>
      <c r="H2010" s="10" t="s">
        <v>5679</v>
      </c>
      <c r="I2010" s="10" t="s">
        <v>5466</v>
      </c>
    </row>
    <row r="2011" spans="1:9" x14ac:dyDescent="0.15">
      <c r="A2011" s="9">
        <v>2010</v>
      </c>
      <c r="B2011" s="10" t="s">
        <v>9</v>
      </c>
      <c r="C2011" s="10" t="s">
        <v>164</v>
      </c>
      <c r="D2011" s="10" t="s">
        <v>165</v>
      </c>
      <c r="E2011" s="11" t="str">
        <f>+HYPERLINK("http://trademark.i-assist.jp/data/china/image_1901th/79098073.pdf", "79098073")</f>
        <v>79098073</v>
      </c>
      <c r="F2011" s="10" t="s">
        <v>5680</v>
      </c>
      <c r="G2011" s="10" t="s">
        <v>5681</v>
      </c>
      <c r="H2011" s="10" t="s">
        <v>5682</v>
      </c>
      <c r="I2011" s="10" t="s">
        <v>5466</v>
      </c>
    </row>
    <row r="2012" spans="1:9" x14ac:dyDescent="0.15">
      <c r="A2012" s="9">
        <v>2011</v>
      </c>
      <c r="B2012" s="10" t="s">
        <v>9</v>
      </c>
      <c r="C2012" s="10" t="s">
        <v>164</v>
      </c>
      <c r="D2012" s="10" t="s">
        <v>165</v>
      </c>
      <c r="E2012" s="11" t="str">
        <f>+HYPERLINK("http://trademark.i-assist.jp/data/china/image_1901th/79098221.pdf", "79098221")</f>
        <v>79098221</v>
      </c>
      <c r="F2012" s="10" t="s">
        <v>5683</v>
      </c>
      <c r="G2012" s="10" t="s">
        <v>5684</v>
      </c>
      <c r="H2012" s="10" t="s">
        <v>5685</v>
      </c>
      <c r="I2012" s="10" t="s">
        <v>5466</v>
      </c>
    </row>
    <row r="2013" spans="1:9" x14ac:dyDescent="0.15">
      <c r="A2013" s="9">
        <v>2012</v>
      </c>
      <c r="B2013" s="10" t="s">
        <v>9</v>
      </c>
      <c r="C2013" s="10" t="s">
        <v>164</v>
      </c>
      <c r="D2013" s="10" t="s">
        <v>165</v>
      </c>
      <c r="E2013" s="11" t="str">
        <f>+HYPERLINK("http://trademark.i-assist.jp/data/china/image_1901th/79098763.pdf", "79098763")</f>
        <v>79098763</v>
      </c>
      <c r="F2013" s="10" t="s">
        <v>5686</v>
      </c>
      <c r="G2013" s="10" t="s">
        <v>5687</v>
      </c>
      <c r="H2013" s="10" t="s">
        <v>5688</v>
      </c>
      <c r="I2013" s="10" t="s">
        <v>5466</v>
      </c>
    </row>
    <row r="2014" spans="1:9" x14ac:dyDescent="0.15">
      <c r="A2014" s="9">
        <v>2013</v>
      </c>
      <c r="B2014" s="10" t="s">
        <v>9</v>
      </c>
      <c r="C2014" s="10" t="s">
        <v>164</v>
      </c>
      <c r="D2014" s="10" t="s">
        <v>165</v>
      </c>
      <c r="E2014" s="11" t="str">
        <f>+HYPERLINK("http://trademark.i-assist.jp/data/china/image_1901th/79098912.pdf", "79098912")</f>
        <v>79098912</v>
      </c>
      <c r="F2014" s="10" t="s">
        <v>5689</v>
      </c>
      <c r="G2014" s="10" t="s">
        <v>5690</v>
      </c>
      <c r="H2014" s="10" t="s">
        <v>5691</v>
      </c>
      <c r="I2014" s="10" t="s">
        <v>5466</v>
      </c>
    </row>
    <row r="2015" spans="1:9" x14ac:dyDescent="0.15">
      <c r="A2015" s="9">
        <v>2014</v>
      </c>
      <c r="B2015" s="10" t="s">
        <v>9</v>
      </c>
      <c r="C2015" s="10" t="s">
        <v>164</v>
      </c>
      <c r="D2015" s="10" t="s">
        <v>165</v>
      </c>
      <c r="E2015" s="11" t="str">
        <f>+HYPERLINK("http://trademark.i-assist.jp/data/china/image_1901th/79099590.pdf", "79099590")</f>
        <v>79099590</v>
      </c>
      <c r="F2015" s="10" t="s">
        <v>5692</v>
      </c>
      <c r="G2015" s="10" t="s">
        <v>5693</v>
      </c>
      <c r="H2015" s="10" t="s">
        <v>5694</v>
      </c>
      <c r="I2015" s="10" t="s">
        <v>5466</v>
      </c>
    </row>
    <row r="2016" spans="1:9" x14ac:dyDescent="0.15">
      <c r="A2016" s="9">
        <v>2015</v>
      </c>
      <c r="B2016" s="10" t="s">
        <v>9</v>
      </c>
      <c r="C2016" s="10" t="s">
        <v>164</v>
      </c>
      <c r="D2016" s="10" t="s">
        <v>165</v>
      </c>
      <c r="E2016" s="11" t="str">
        <f>+HYPERLINK("http://trademark.i-assist.jp/data/china/image_1901th/79099695.pdf", "79099695")</f>
        <v>79099695</v>
      </c>
      <c r="F2016" s="10" t="s">
        <v>5695</v>
      </c>
      <c r="G2016" s="10" t="s">
        <v>5640</v>
      </c>
      <c r="H2016" s="10" t="s">
        <v>5696</v>
      </c>
      <c r="I2016" s="10" t="s">
        <v>5466</v>
      </c>
    </row>
    <row r="2017" spans="1:9" x14ac:dyDescent="0.15">
      <c r="A2017" s="9">
        <v>2016</v>
      </c>
      <c r="B2017" s="10" t="s">
        <v>9</v>
      </c>
      <c r="C2017" s="10" t="s">
        <v>164</v>
      </c>
      <c r="D2017" s="10" t="s">
        <v>165</v>
      </c>
      <c r="E2017" s="11" t="str">
        <f>+HYPERLINK("http://trademark.i-assist.jp/data/china/image_1901th/79099754.pdf", "79099754")</f>
        <v>79099754</v>
      </c>
      <c r="F2017" s="10" t="s">
        <v>5697</v>
      </c>
      <c r="G2017" s="10" t="s">
        <v>5651</v>
      </c>
      <c r="H2017" s="10" t="s">
        <v>5698</v>
      </c>
      <c r="I2017" s="10" t="s">
        <v>5466</v>
      </c>
    </row>
    <row r="2018" spans="1:9" x14ac:dyDescent="0.15">
      <c r="A2018" s="9">
        <v>2017</v>
      </c>
      <c r="B2018" s="10" t="s">
        <v>9</v>
      </c>
      <c r="C2018" s="10" t="s">
        <v>164</v>
      </c>
      <c r="D2018" s="10" t="s">
        <v>165</v>
      </c>
      <c r="E2018" s="11" t="str">
        <f>+HYPERLINK("http://trademark.i-assist.jp/data/china/image_1901th/79099987.pdf", "79099987")</f>
        <v>79099987</v>
      </c>
      <c r="F2018" s="10" t="s">
        <v>5699</v>
      </c>
      <c r="G2018" s="10" t="s">
        <v>5477</v>
      </c>
      <c r="H2018" s="10" t="s">
        <v>5700</v>
      </c>
      <c r="I2018" s="10" t="s">
        <v>5466</v>
      </c>
    </row>
    <row r="2019" spans="1:9" x14ac:dyDescent="0.15">
      <c r="A2019" s="9">
        <v>2018</v>
      </c>
      <c r="B2019" s="10" t="s">
        <v>9</v>
      </c>
      <c r="C2019" s="10" t="s">
        <v>164</v>
      </c>
      <c r="D2019" s="10" t="s">
        <v>165</v>
      </c>
      <c r="E2019" s="11" t="str">
        <f>+HYPERLINK("http://trademark.i-assist.jp/data/china/image_1901th/79100498.pdf", "79100498")</f>
        <v>79100498</v>
      </c>
      <c r="F2019" s="10" t="s">
        <v>5701</v>
      </c>
      <c r="G2019" s="10" t="s">
        <v>5702</v>
      </c>
      <c r="H2019" s="10" t="s">
        <v>5703</v>
      </c>
      <c r="I2019" s="10" t="s">
        <v>5466</v>
      </c>
    </row>
    <row r="2020" spans="1:9" x14ac:dyDescent="0.15">
      <c r="A2020" s="9">
        <v>2019</v>
      </c>
      <c r="B2020" s="10" t="s">
        <v>9</v>
      </c>
      <c r="C2020" s="10" t="s">
        <v>164</v>
      </c>
      <c r="D2020" s="10" t="s">
        <v>165</v>
      </c>
      <c r="E2020" s="11" t="str">
        <f>+HYPERLINK("http://trademark.i-assist.jp/data/china/image_1901th/79101155.pdf", "79101155")</f>
        <v>79101155</v>
      </c>
      <c r="F2020" s="10" t="s">
        <v>5704</v>
      </c>
      <c r="G2020" s="10" t="s">
        <v>5705</v>
      </c>
      <c r="H2020" s="10" t="s">
        <v>5706</v>
      </c>
      <c r="I2020" s="10" t="s">
        <v>5466</v>
      </c>
    </row>
    <row r="2021" spans="1:9" x14ac:dyDescent="0.15">
      <c r="A2021" s="9">
        <v>2020</v>
      </c>
      <c r="B2021" s="10" t="s">
        <v>9</v>
      </c>
      <c r="C2021" s="10" t="s">
        <v>164</v>
      </c>
      <c r="D2021" s="10" t="s">
        <v>165</v>
      </c>
      <c r="E2021" s="11" t="str">
        <f>+HYPERLINK("http://trademark.i-assist.jp/data/china/image_1901th/79101636.pdf", "79101636")</f>
        <v>79101636</v>
      </c>
      <c r="F2021" s="10" t="s">
        <v>5707</v>
      </c>
      <c r="G2021" s="10" t="s">
        <v>5708</v>
      </c>
      <c r="H2021" s="10" t="s">
        <v>5709</v>
      </c>
      <c r="I2021" s="10" t="s">
        <v>5466</v>
      </c>
    </row>
    <row r="2022" spans="1:9" x14ac:dyDescent="0.15">
      <c r="A2022" s="9">
        <v>2021</v>
      </c>
      <c r="B2022" s="10" t="s">
        <v>9</v>
      </c>
      <c r="C2022" s="10" t="s">
        <v>164</v>
      </c>
      <c r="D2022" s="10" t="s">
        <v>165</v>
      </c>
      <c r="E2022" s="11" t="str">
        <f>+HYPERLINK("http://trademark.i-assist.jp/data/china/image_1901th/79101699.pdf", "79101699")</f>
        <v>79101699</v>
      </c>
      <c r="F2022" s="10" t="s">
        <v>5710</v>
      </c>
      <c r="G2022" s="10" t="s">
        <v>5711</v>
      </c>
      <c r="H2022" s="10" t="s">
        <v>5712</v>
      </c>
      <c r="I2022" s="10" t="s">
        <v>5466</v>
      </c>
    </row>
    <row r="2023" spans="1:9" x14ac:dyDescent="0.15">
      <c r="A2023" s="9">
        <v>2022</v>
      </c>
      <c r="B2023" s="10" t="s">
        <v>9</v>
      </c>
      <c r="C2023" s="10" t="s">
        <v>164</v>
      </c>
      <c r="D2023" s="10" t="s">
        <v>165</v>
      </c>
      <c r="E2023" s="11" t="str">
        <f>+HYPERLINK("http://trademark.i-assist.jp/data/china/image_1901th/79101990.pdf", "79101990")</f>
        <v>79101990</v>
      </c>
      <c r="F2023" s="10" t="s">
        <v>5713</v>
      </c>
      <c r="G2023" s="10" t="s">
        <v>5477</v>
      </c>
      <c r="H2023" s="10" t="s">
        <v>19</v>
      </c>
      <c r="I2023" s="10" t="s">
        <v>19</v>
      </c>
    </row>
    <row r="2024" spans="1:9" x14ac:dyDescent="0.15">
      <c r="A2024" s="9">
        <v>2023</v>
      </c>
      <c r="B2024" s="10" t="s">
        <v>9</v>
      </c>
      <c r="C2024" s="10" t="s">
        <v>164</v>
      </c>
      <c r="D2024" s="10" t="s">
        <v>165</v>
      </c>
      <c r="E2024" s="11" t="str">
        <f>+HYPERLINK("http://trademark.i-assist.jp/data/china/image_1901th/79101994.pdf", "79101994")</f>
        <v>79101994</v>
      </c>
      <c r="F2024" s="10" t="s">
        <v>5714</v>
      </c>
      <c r="G2024" s="10" t="s">
        <v>5519</v>
      </c>
      <c r="H2024" s="10" t="s">
        <v>5715</v>
      </c>
      <c r="I2024" s="10" t="s">
        <v>5466</v>
      </c>
    </row>
    <row r="2025" spans="1:9" x14ac:dyDescent="0.15">
      <c r="A2025" s="9">
        <v>2024</v>
      </c>
      <c r="B2025" s="10" t="s">
        <v>9</v>
      </c>
      <c r="C2025" s="10" t="s">
        <v>164</v>
      </c>
      <c r="D2025" s="10" t="s">
        <v>165</v>
      </c>
      <c r="E2025" s="11" t="str">
        <f>+HYPERLINK("http://trademark.i-assist.jp/data/china/image_1901th/79102196.pdf", "79102196")</f>
        <v>79102196</v>
      </c>
      <c r="F2025" s="10" t="s">
        <v>5716</v>
      </c>
      <c r="G2025" s="10" t="s">
        <v>5499</v>
      </c>
      <c r="H2025" s="10" t="s">
        <v>5717</v>
      </c>
      <c r="I2025" s="10" t="s">
        <v>5466</v>
      </c>
    </row>
    <row r="2026" spans="1:9" x14ac:dyDescent="0.15">
      <c r="A2026" s="9">
        <v>2025</v>
      </c>
      <c r="B2026" s="10" t="s">
        <v>9</v>
      </c>
      <c r="C2026" s="10" t="s">
        <v>164</v>
      </c>
      <c r="D2026" s="10" t="s">
        <v>165</v>
      </c>
      <c r="E2026" s="11" t="str">
        <f>+HYPERLINK("http://trademark.i-assist.jp/data/china/image_1901th/79102306.pdf", "79102306")</f>
        <v>79102306</v>
      </c>
      <c r="F2026" s="10" t="s">
        <v>5718</v>
      </c>
      <c r="G2026" s="10" t="s">
        <v>5719</v>
      </c>
      <c r="H2026" s="10" t="s">
        <v>5720</v>
      </c>
      <c r="I2026" s="10" t="s">
        <v>5466</v>
      </c>
    </row>
    <row r="2027" spans="1:9" x14ac:dyDescent="0.15">
      <c r="A2027" s="9">
        <v>2026</v>
      </c>
      <c r="B2027" s="10" t="s">
        <v>9</v>
      </c>
      <c r="C2027" s="10" t="s">
        <v>164</v>
      </c>
      <c r="D2027" s="10" t="s">
        <v>165</v>
      </c>
      <c r="E2027" s="11" t="str">
        <f>+HYPERLINK("http://trademark.i-assist.jp/data/china/image_1901th/79102348.pdf", "79102348")</f>
        <v>79102348</v>
      </c>
      <c r="F2027" s="10" t="s">
        <v>5721</v>
      </c>
      <c r="G2027" s="10" t="s">
        <v>5722</v>
      </c>
      <c r="H2027" s="10" t="s">
        <v>5723</v>
      </c>
      <c r="I2027" s="10" t="s">
        <v>5466</v>
      </c>
    </row>
    <row r="2028" spans="1:9" x14ac:dyDescent="0.15">
      <c r="A2028" s="9">
        <v>2027</v>
      </c>
      <c r="B2028" s="10" t="s">
        <v>9</v>
      </c>
      <c r="C2028" s="10" t="s">
        <v>164</v>
      </c>
      <c r="D2028" s="10" t="s">
        <v>165</v>
      </c>
      <c r="E2028" s="11" t="str">
        <f>+HYPERLINK("http://trademark.i-assist.jp/data/china/image_1901th/79102471.pdf", "79102471")</f>
        <v>79102471</v>
      </c>
      <c r="F2028" s="10" t="s">
        <v>5724</v>
      </c>
      <c r="G2028" s="10" t="s">
        <v>5725</v>
      </c>
      <c r="H2028" s="10" t="s">
        <v>5726</v>
      </c>
      <c r="I2028" s="10" t="s">
        <v>5466</v>
      </c>
    </row>
    <row r="2029" spans="1:9" x14ac:dyDescent="0.15">
      <c r="A2029" s="9">
        <v>2028</v>
      </c>
      <c r="B2029" s="10" t="s">
        <v>9</v>
      </c>
      <c r="C2029" s="10" t="s">
        <v>164</v>
      </c>
      <c r="D2029" s="10" t="s">
        <v>165</v>
      </c>
      <c r="E2029" s="11" t="str">
        <f>+HYPERLINK("http://trademark.i-assist.jp/data/china/image_1901th/79102501.pdf", "79102501")</f>
        <v>79102501</v>
      </c>
      <c r="F2029" s="10" t="s">
        <v>5727</v>
      </c>
      <c r="G2029" s="10" t="s">
        <v>5728</v>
      </c>
      <c r="H2029" s="10" t="s">
        <v>5729</v>
      </c>
      <c r="I2029" s="10" t="s">
        <v>5466</v>
      </c>
    </row>
    <row r="2030" spans="1:9" x14ac:dyDescent="0.15">
      <c r="A2030" s="9">
        <v>2029</v>
      </c>
      <c r="B2030" s="10" t="s">
        <v>9</v>
      </c>
      <c r="C2030" s="10" t="s">
        <v>164</v>
      </c>
      <c r="D2030" s="10" t="s">
        <v>165</v>
      </c>
      <c r="E2030" s="11" t="str">
        <f>+HYPERLINK("http://trademark.i-assist.jp/data/china/image_1901th/79102535.pdf", "79102535")</f>
        <v>79102535</v>
      </c>
      <c r="F2030" s="10" t="s">
        <v>5730</v>
      </c>
      <c r="G2030" s="10" t="s">
        <v>5731</v>
      </c>
      <c r="H2030" s="10" t="s">
        <v>5732</v>
      </c>
      <c r="I2030" s="10" t="s">
        <v>5466</v>
      </c>
    </row>
    <row r="2031" spans="1:9" x14ac:dyDescent="0.15">
      <c r="A2031" s="9">
        <v>2030</v>
      </c>
      <c r="B2031" s="10" t="s">
        <v>9</v>
      </c>
      <c r="C2031" s="10" t="s">
        <v>164</v>
      </c>
      <c r="D2031" s="10" t="s">
        <v>165</v>
      </c>
      <c r="E2031" s="11" t="str">
        <f>+HYPERLINK("http://trademark.i-assist.jp/data/china/image_1901th/79102548.pdf", "79102548")</f>
        <v>79102548</v>
      </c>
      <c r="F2031" s="10" t="s">
        <v>5733</v>
      </c>
      <c r="G2031" s="10" t="s">
        <v>5734</v>
      </c>
      <c r="H2031" s="10" t="s">
        <v>5735</v>
      </c>
      <c r="I2031" s="10" t="s">
        <v>5466</v>
      </c>
    </row>
    <row r="2032" spans="1:9" x14ac:dyDescent="0.15">
      <c r="A2032" s="9">
        <v>2031</v>
      </c>
      <c r="B2032" s="10" t="s">
        <v>9</v>
      </c>
      <c r="C2032" s="10" t="s">
        <v>164</v>
      </c>
      <c r="D2032" s="10" t="s">
        <v>165</v>
      </c>
      <c r="E2032" s="11" t="str">
        <f>+HYPERLINK("http://trademark.i-assist.jp/data/china/image_1901th/79102956.pdf", "79102956")</f>
        <v>79102956</v>
      </c>
      <c r="F2032" s="10" t="s">
        <v>5736</v>
      </c>
      <c r="G2032" s="10" t="s">
        <v>5737</v>
      </c>
      <c r="H2032" s="10" t="s">
        <v>5738</v>
      </c>
      <c r="I2032" s="10" t="s">
        <v>5466</v>
      </c>
    </row>
    <row r="2033" spans="1:9" x14ac:dyDescent="0.15">
      <c r="A2033" s="9">
        <v>2032</v>
      </c>
      <c r="B2033" s="10" t="s">
        <v>9</v>
      </c>
      <c r="C2033" s="10" t="s">
        <v>164</v>
      </c>
      <c r="D2033" s="10" t="s">
        <v>165</v>
      </c>
      <c r="E2033" s="11" t="str">
        <f>+HYPERLINK("http://trademark.i-assist.jp/data/china/image_1901th/79103257.pdf", "79103257")</f>
        <v>79103257</v>
      </c>
      <c r="F2033" s="10" t="s">
        <v>5739</v>
      </c>
      <c r="G2033" s="10" t="s">
        <v>4222</v>
      </c>
      <c r="H2033" s="10" t="s">
        <v>5740</v>
      </c>
      <c r="I2033" s="10" t="s">
        <v>5466</v>
      </c>
    </row>
    <row r="2034" spans="1:9" x14ac:dyDescent="0.15">
      <c r="A2034" s="9">
        <v>2033</v>
      </c>
      <c r="B2034" s="10" t="s">
        <v>9</v>
      </c>
      <c r="C2034" s="10" t="s">
        <v>164</v>
      </c>
      <c r="D2034" s="10" t="s">
        <v>165</v>
      </c>
      <c r="E2034" s="11" t="str">
        <f>+HYPERLINK("http://trademark.i-assist.jp/data/china/image_1901th/79103382.pdf", "79103382")</f>
        <v>79103382</v>
      </c>
      <c r="F2034" s="10" t="s">
        <v>5741</v>
      </c>
      <c r="G2034" s="10" t="s">
        <v>5742</v>
      </c>
      <c r="H2034" s="10" t="s">
        <v>5743</v>
      </c>
      <c r="I2034" s="10" t="s">
        <v>5466</v>
      </c>
    </row>
    <row r="2035" spans="1:9" x14ac:dyDescent="0.15">
      <c r="A2035" s="9">
        <v>2034</v>
      </c>
      <c r="B2035" s="10" t="s">
        <v>9</v>
      </c>
      <c r="C2035" s="10" t="s">
        <v>164</v>
      </c>
      <c r="D2035" s="10" t="s">
        <v>165</v>
      </c>
      <c r="E2035" s="11" t="str">
        <f>+HYPERLINK("http://trademark.i-assist.jp/data/china/image_1901th/79103496.pdf", "79103496")</f>
        <v>79103496</v>
      </c>
      <c r="F2035" s="10" t="s">
        <v>5744</v>
      </c>
      <c r="G2035" s="10" t="s">
        <v>5063</v>
      </c>
      <c r="H2035" s="10" t="s">
        <v>5745</v>
      </c>
      <c r="I2035" s="10" t="s">
        <v>5466</v>
      </c>
    </row>
    <row r="2036" spans="1:9" x14ac:dyDescent="0.15">
      <c r="A2036" s="9">
        <v>2035</v>
      </c>
      <c r="B2036" s="10" t="s">
        <v>9</v>
      </c>
      <c r="C2036" s="10" t="s">
        <v>164</v>
      </c>
      <c r="D2036" s="10" t="s">
        <v>165</v>
      </c>
      <c r="E2036" s="11" t="str">
        <f>+HYPERLINK("http://trademark.i-assist.jp/data/china/image_1901th/79103638.pdf", "79103638")</f>
        <v>79103638</v>
      </c>
      <c r="F2036" s="10" t="s">
        <v>5746</v>
      </c>
      <c r="G2036" s="10" t="s">
        <v>5622</v>
      </c>
      <c r="H2036" s="10" t="s">
        <v>5747</v>
      </c>
      <c r="I2036" s="10" t="s">
        <v>5466</v>
      </c>
    </row>
    <row r="2037" spans="1:9" x14ac:dyDescent="0.15">
      <c r="A2037" s="9">
        <v>2036</v>
      </c>
      <c r="B2037" s="10" t="s">
        <v>9</v>
      </c>
      <c r="C2037" s="10" t="s">
        <v>164</v>
      </c>
      <c r="D2037" s="10" t="s">
        <v>165</v>
      </c>
      <c r="E2037" s="11" t="str">
        <f>+HYPERLINK("http://trademark.i-assist.jp/data/china/image_1901th/79103788.pdf", "79103788")</f>
        <v>79103788</v>
      </c>
      <c r="F2037" s="10" t="s">
        <v>5748</v>
      </c>
      <c r="G2037" s="10" t="s">
        <v>5749</v>
      </c>
      <c r="H2037" s="10" t="s">
        <v>5750</v>
      </c>
      <c r="I2037" s="10" t="s">
        <v>5466</v>
      </c>
    </row>
    <row r="2038" spans="1:9" x14ac:dyDescent="0.15">
      <c r="A2038" s="9">
        <v>2037</v>
      </c>
      <c r="B2038" s="10" t="s">
        <v>9</v>
      </c>
      <c r="C2038" s="10" t="s">
        <v>164</v>
      </c>
      <c r="D2038" s="10" t="s">
        <v>165</v>
      </c>
      <c r="E2038" s="11" t="str">
        <f>+HYPERLINK("http://trademark.i-assist.jp/data/china/image_1901th/79103861.pdf", "79103861")</f>
        <v>79103861</v>
      </c>
      <c r="F2038" s="10" t="s">
        <v>5751</v>
      </c>
      <c r="G2038" s="10" t="s">
        <v>5622</v>
      </c>
      <c r="H2038" s="10" t="s">
        <v>5752</v>
      </c>
      <c r="I2038" s="10" t="s">
        <v>5466</v>
      </c>
    </row>
    <row r="2039" spans="1:9" x14ac:dyDescent="0.15">
      <c r="A2039" s="9">
        <v>2038</v>
      </c>
      <c r="B2039" s="10" t="s">
        <v>9</v>
      </c>
      <c r="C2039" s="10" t="s">
        <v>164</v>
      </c>
      <c r="D2039" s="10" t="s">
        <v>165</v>
      </c>
      <c r="E2039" s="11" t="str">
        <f>+HYPERLINK("http://trademark.i-assist.jp/data/china/image_1901th/79103892.pdf", "79103892")</f>
        <v>79103892</v>
      </c>
      <c r="F2039" s="10" t="s">
        <v>5753</v>
      </c>
      <c r="G2039" s="10" t="s">
        <v>137</v>
      </c>
      <c r="H2039" s="10" t="s">
        <v>5754</v>
      </c>
      <c r="I2039" s="10" t="s">
        <v>5466</v>
      </c>
    </row>
    <row r="2040" spans="1:9" x14ac:dyDescent="0.15">
      <c r="A2040" s="9">
        <v>2039</v>
      </c>
      <c r="B2040" s="10" t="s">
        <v>9</v>
      </c>
      <c r="C2040" s="10" t="s">
        <v>164</v>
      </c>
      <c r="D2040" s="10" t="s">
        <v>165</v>
      </c>
      <c r="E2040" s="11" t="str">
        <f>+HYPERLINK("http://trademark.i-assist.jp/data/china/image_1901th/79104126.pdf", "79104126")</f>
        <v>79104126</v>
      </c>
      <c r="F2040" s="10" t="s">
        <v>5755</v>
      </c>
      <c r="G2040" s="10" t="s">
        <v>5477</v>
      </c>
      <c r="H2040" s="10" t="s">
        <v>5756</v>
      </c>
      <c r="I2040" s="10" t="s">
        <v>5466</v>
      </c>
    </row>
    <row r="2041" spans="1:9" x14ac:dyDescent="0.15">
      <c r="A2041" s="9">
        <v>2040</v>
      </c>
      <c r="B2041" s="10" t="s">
        <v>9</v>
      </c>
      <c r="C2041" s="10" t="s">
        <v>164</v>
      </c>
      <c r="D2041" s="10" t="s">
        <v>165</v>
      </c>
      <c r="E2041" s="11" t="str">
        <f>+HYPERLINK("http://trademark.i-assist.jp/data/china/image_1901th/79104138.pdf", "79104138")</f>
        <v>79104138</v>
      </c>
      <c r="F2041" s="10" t="s">
        <v>5757</v>
      </c>
      <c r="G2041" s="10" t="s">
        <v>5519</v>
      </c>
      <c r="H2041" s="10" t="s">
        <v>5758</v>
      </c>
      <c r="I2041" s="10" t="s">
        <v>5466</v>
      </c>
    </row>
    <row r="2042" spans="1:9" x14ac:dyDescent="0.15">
      <c r="A2042" s="9">
        <v>2041</v>
      </c>
      <c r="B2042" s="10" t="s">
        <v>9</v>
      </c>
      <c r="C2042" s="10" t="s">
        <v>164</v>
      </c>
      <c r="D2042" s="10" t="s">
        <v>165</v>
      </c>
      <c r="E2042" s="11" t="str">
        <f>+HYPERLINK("http://trademark.i-assist.jp/data/china/image_1901th/79104356.pdf", "79104356")</f>
        <v>79104356</v>
      </c>
      <c r="F2042" s="10" t="s">
        <v>5759</v>
      </c>
      <c r="G2042" s="10" t="s">
        <v>5760</v>
      </c>
      <c r="H2042" s="10" t="s">
        <v>5761</v>
      </c>
      <c r="I2042" s="10" t="s">
        <v>5466</v>
      </c>
    </row>
    <row r="2043" spans="1:9" x14ac:dyDescent="0.15">
      <c r="A2043" s="9">
        <v>2042</v>
      </c>
      <c r="B2043" s="10" t="s">
        <v>9</v>
      </c>
      <c r="C2043" s="10" t="s">
        <v>164</v>
      </c>
      <c r="D2043" s="10" t="s">
        <v>165</v>
      </c>
      <c r="E2043" s="11" t="str">
        <f>+HYPERLINK("http://trademark.i-assist.jp/data/china/image_1901th/79104565.pdf", "79104565")</f>
        <v>79104565</v>
      </c>
      <c r="F2043" s="10" t="s">
        <v>5762</v>
      </c>
      <c r="G2043" s="10" t="s">
        <v>113</v>
      </c>
      <c r="H2043" s="10" t="s">
        <v>5763</v>
      </c>
      <c r="I2043" s="10" t="s">
        <v>5466</v>
      </c>
    </row>
    <row r="2044" spans="1:9" x14ac:dyDescent="0.15">
      <c r="A2044" s="9">
        <v>2043</v>
      </c>
      <c r="B2044" s="10" t="s">
        <v>9</v>
      </c>
      <c r="C2044" s="10" t="s">
        <v>164</v>
      </c>
      <c r="D2044" s="10" t="s">
        <v>165</v>
      </c>
      <c r="E2044" s="11" t="str">
        <f>+HYPERLINK("http://trademark.i-assist.jp/data/china/image_1901th/79104622.pdf", "79104622")</f>
        <v>79104622</v>
      </c>
      <c r="F2044" s="10" t="s">
        <v>5764</v>
      </c>
      <c r="G2044" s="10" t="s">
        <v>113</v>
      </c>
      <c r="H2044" s="10" t="s">
        <v>5765</v>
      </c>
      <c r="I2044" s="10" t="s">
        <v>5466</v>
      </c>
    </row>
    <row r="2045" spans="1:9" x14ac:dyDescent="0.15">
      <c r="A2045" s="9">
        <v>2044</v>
      </c>
      <c r="B2045" s="10" t="s">
        <v>9</v>
      </c>
      <c r="C2045" s="10" t="s">
        <v>164</v>
      </c>
      <c r="D2045" s="10" t="s">
        <v>165</v>
      </c>
      <c r="E2045" s="11" t="str">
        <f>+HYPERLINK("http://trademark.i-assist.jp/data/china/image_1901th/79104650.pdf", "79104650")</f>
        <v>79104650</v>
      </c>
      <c r="F2045" s="10" t="s">
        <v>5766</v>
      </c>
      <c r="G2045" s="10" t="s">
        <v>5767</v>
      </c>
      <c r="H2045" s="10" t="s">
        <v>5768</v>
      </c>
      <c r="I2045" s="10" t="s">
        <v>5466</v>
      </c>
    </row>
    <row r="2046" spans="1:9" x14ac:dyDescent="0.15">
      <c r="A2046" s="9">
        <v>2045</v>
      </c>
      <c r="B2046" s="10" t="s">
        <v>9</v>
      </c>
      <c r="C2046" s="10" t="s">
        <v>164</v>
      </c>
      <c r="D2046" s="10" t="s">
        <v>165</v>
      </c>
      <c r="E2046" s="11" t="str">
        <f>+HYPERLINK("http://trademark.i-assist.jp/data/china/image_1901th/79105001.pdf", "79105001")</f>
        <v>79105001</v>
      </c>
      <c r="F2046" s="10" t="s">
        <v>5769</v>
      </c>
      <c r="G2046" s="10" t="s">
        <v>5770</v>
      </c>
      <c r="H2046" s="10" t="s">
        <v>5771</v>
      </c>
      <c r="I2046" s="10" t="s">
        <v>5466</v>
      </c>
    </row>
    <row r="2047" spans="1:9" x14ac:dyDescent="0.15">
      <c r="A2047" s="9">
        <v>2046</v>
      </c>
      <c r="B2047" s="10" t="s">
        <v>9</v>
      </c>
      <c r="C2047" s="10" t="s">
        <v>164</v>
      </c>
      <c r="D2047" s="10" t="s">
        <v>165</v>
      </c>
      <c r="E2047" s="11" t="str">
        <f>+HYPERLINK("http://trademark.i-assist.jp/data/china/image_1901th/79105266.pdf", "79105266")</f>
        <v>79105266</v>
      </c>
      <c r="F2047" s="10" t="s">
        <v>5772</v>
      </c>
      <c r="G2047" s="10" t="s">
        <v>5773</v>
      </c>
      <c r="H2047" s="10" t="s">
        <v>5774</v>
      </c>
      <c r="I2047" s="10" t="s">
        <v>5466</v>
      </c>
    </row>
    <row r="2048" spans="1:9" x14ac:dyDescent="0.15">
      <c r="A2048" s="9">
        <v>2047</v>
      </c>
      <c r="B2048" s="10" t="s">
        <v>9</v>
      </c>
      <c r="C2048" s="10" t="s">
        <v>164</v>
      </c>
      <c r="D2048" s="10" t="s">
        <v>165</v>
      </c>
      <c r="E2048" s="11" t="str">
        <f>+HYPERLINK("http://trademark.i-assist.jp/data/china/image_1901th/79105474.pdf", "79105474")</f>
        <v>79105474</v>
      </c>
      <c r="F2048" s="10" t="s">
        <v>5775</v>
      </c>
      <c r="G2048" s="10" t="s">
        <v>5776</v>
      </c>
      <c r="H2048" s="10" t="s">
        <v>19</v>
      </c>
      <c r="I2048" s="10" t="s">
        <v>5466</v>
      </c>
    </row>
    <row r="2049" spans="1:9" x14ac:dyDescent="0.15">
      <c r="A2049" s="9">
        <v>2048</v>
      </c>
      <c r="B2049" s="10" t="s">
        <v>9</v>
      </c>
      <c r="C2049" s="10" t="s">
        <v>164</v>
      </c>
      <c r="D2049" s="10" t="s">
        <v>165</v>
      </c>
      <c r="E2049" s="11" t="str">
        <f>+HYPERLINK("http://trademark.i-assist.jp/data/china/image_1901th/79105628.pdf", "79105628")</f>
        <v>79105628</v>
      </c>
      <c r="F2049" s="10" t="s">
        <v>5777</v>
      </c>
      <c r="G2049" s="10" t="s">
        <v>5477</v>
      </c>
      <c r="H2049" s="10" t="s">
        <v>5778</v>
      </c>
      <c r="I2049" s="10" t="s">
        <v>5466</v>
      </c>
    </row>
    <row r="2050" spans="1:9" x14ac:dyDescent="0.15">
      <c r="A2050" s="9">
        <v>2049</v>
      </c>
      <c r="B2050" s="10" t="s">
        <v>9</v>
      </c>
      <c r="C2050" s="10" t="s">
        <v>164</v>
      </c>
      <c r="D2050" s="10" t="s">
        <v>165</v>
      </c>
      <c r="E2050" s="11" t="str">
        <f>+HYPERLINK("http://trademark.i-assist.jp/data/china/image_1901th/79105637.pdf", "79105637")</f>
        <v>79105637</v>
      </c>
      <c r="F2050" s="10" t="s">
        <v>5779</v>
      </c>
      <c r="G2050" s="10" t="s">
        <v>5524</v>
      </c>
      <c r="H2050" s="10" t="s">
        <v>5780</v>
      </c>
      <c r="I2050" s="10" t="s">
        <v>5466</v>
      </c>
    </row>
    <row r="2051" spans="1:9" x14ac:dyDescent="0.15">
      <c r="A2051" s="9">
        <v>2050</v>
      </c>
      <c r="B2051" s="10" t="s">
        <v>9</v>
      </c>
      <c r="C2051" s="10" t="s">
        <v>164</v>
      </c>
      <c r="D2051" s="10" t="s">
        <v>165</v>
      </c>
      <c r="E2051" s="11" t="str">
        <f>+HYPERLINK("http://trademark.i-assist.jp/data/china/image_1901th/79105725.pdf", "79105725")</f>
        <v>79105725</v>
      </c>
      <c r="F2051" s="10" t="s">
        <v>5781</v>
      </c>
      <c r="G2051" s="10" t="s">
        <v>5782</v>
      </c>
      <c r="H2051" s="10" t="s">
        <v>5783</v>
      </c>
      <c r="I2051" s="10" t="s">
        <v>5466</v>
      </c>
    </row>
    <row r="2052" spans="1:9" x14ac:dyDescent="0.15">
      <c r="A2052" s="9">
        <v>2051</v>
      </c>
      <c r="B2052" s="10" t="s">
        <v>9</v>
      </c>
      <c r="C2052" s="10" t="s">
        <v>164</v>
      </c>
      <c r="D2052" s="10" t="s">
        <v>165</v>
      </c>
      <c r="E2052" s="11" t="str">
        <f>+HYPERLINK("http://trademark.i-assist.jp/data/china/image_1901th/79105786.pdf", "79105786")</f>
        <v>79105786</v>
      </c>
      <c r="F2052" s="10" t="s">
        <v>5784</v>
      </c>
      <c r="G2052" s="10" t="s">
        <v>113</v>
      </c>
      <c r="H2052" s="10" t="s">
        <v>5785</v>
      </c>
      <c r="I2052" s="10" t="s">
        <v>5466</v>
      </c>
    </row>
    <row r="2053" spans="1:9" x14ac:dyDescent="0.15">
      <c r="A2053" s="9">
        <v>2052</v>
      </c>
      <c r="B2053" s="10" t="s">
        <v>9</v>
      </c>
      <c r="C2053" s="10" t="s">
        <v>164</v>
      </c>
      <c r="D2053" s="10" t="s">
        <v>165</v>
      </c>
      <c r="E2053" s="11" t="str">
        <f>+HYPERLINK("http://trademark.i-assist.jp/data/china/image_1901th/79105932.pdf", "79105932")</f>
        <v>79105932</v>
      </c>
      <c r="F2053" s="10" t="s">
        <v>5786</v>
      </c>
      <c r="G2053" s="10" t="s">
        <v>5787</v>
      </c>
      <c r="H2053" s="10" t="s">
        <v>5788</v>
      </c>
      <c r="I2053" s="10" t="s">
        <v>5466</v>
      </c>
    </row>
    <row r="2054" spans="1:9" x14ac:dyDescent="0.15">
      <c r="A2054" s="9">
        <v>2053</v>
      </c>
      <c r="B2054" s="10" t="s">
        <v>9</v>
      </c>
      <c r="C2054" s="10" t="s">
        <v>164</v>
      </c>
      <c r="D2054" s="10" t="s">
        <v>165</v>
      </c>
      <c r="E2054" s="11" t="str">
        <f>+HYPERLINK("http://trademark.i-assist.jp/data/china/image_1901th/79106038.pdf", "79106038")</f>
        <v>79106038</v>
      </c>
      <c r="F2054" s="10" t="s">
        <v>5789</v>
      </c>
      <c r="G2054" s="10" t="s">
        <v>5790</v>
      </c>
      <c r="H2054" s="10" t="s">
        <v>5791</v>
      </c>
      <c r="I2054" s="10" t="s">
        <v>5466</v>
      </c>
    </row>
    <row r="2055" spans="1:9" x14ac:dyDescent="0.15">
      <c r="A2055" s="9">
        <v>2054</v>
      </c>
      <c r="B2055" s="10" t="s">
        <v>9</v>
      </c>
      <c r="C2055" s="10" t="s">
        <v>164</v>
      </c>
      <c r="D2055" s="10" t="s">
        <v>165</v>
      </c>
      <c r="E2055" s="11" t="str">
        <f>+HYPERLINK("http://trademark.i-assist.jp/data/china/image_1901th/79106141.pdf", "79106141")</f>
        <v>79106141</v>
      </c>
      <c r="F2055" s="10" t="s">
        <v>5792</v>
      </c>
      <c r="G2055" s="10" t="s">
        <v>5793</v>
      </c>
      <c r="H2055" s="10" t="s">
        <v>5794</v>
      </c>
      <c r="I2055" s="10" t="s">
        <v>5466</v>
      </c>
    </row>
    <row r="2056" spans="1:9" x14ac:dyDescent="0.15">
      <c r="A2056" s="9">
        <v>2055</v>
      </c>
      <c r="B2056" s="10" t="s">
        <v>9</v>
      </c>
      <c r="C2056" s="10" t="s">
        <v>164</v>
      </c>
      <c r="D2056" s="10" t="s">
        <v>165</v>
      </c>
      <c r="E2056" s="11" t="str">
        <f>+HYPERLINK("http://trademark.i-assist.jp/data/china/image_1901th/79106270.pdf", "79106270")</f>
        <v>79106270</v>
      </c>
      <c r="F2056" s="10" t="s">
        <v>5795</v>
      </c>
      <c r="G2056" s="10" t="s">
        <v>5796</v>
      </c>
      <c r="H2056" s="10" t="s">
        <v>5797</v>
      </c>
      <c r="I2056" s="10" t="s">
        <v>5466</v>
      </c>
    </row>
    <row r="2057" spans="1:9" x14ac:dyDescent="0.15">
      <c r="A2057" s="9">
        <v>2056</v>
      </c>
      <c r="B2057" s="10" t="s">
        <v>9</v>
      </c>
      <c r="C2057" s="10" t="s">
        <v>164</v>
      </c>
      <c r="D2057" s="10" t="s">
        <v>165</v>
      </c>
      <c r="E2057" s="11" t="str">
        <f>+HYPERLINK("http://trademark.i-assist.jp/data/china/image_1901th/79106300.pdf", "79106300")</f>
        <v>79106300</v>
      </c>
      <c r="F2057" s="10" t="s">
        <v>5798</v>
      </c>
      <c r="G2057" s="10" t="s">
        <v>5799</v>
      </c>
      <c r="H2057" s="10" t="s">
        <v>5800</v>
      </c>
      <c r="I2057" s="10" t="s">
        <v>5466</v>
      </c>
    </row>
    <row r="2058" spans="1:9" x14ac:dyDescent="0.15">
      <c r="A2058" s="9">
        <v>2057</v>
      </c>
      <c r="B2058" s="10" t="s">
        <v>9</v>
      </c>
      <c r="C2058" s="10" t="s">
        <v>164</v>
      </c>
      <c r="D2058" s="10" t="s">
        <v>165</v>
      </c>
      <c r="E2058" s="11" t="str">
        <f>+HYPERLINK("http://trademark.i-assist.jp/data/china/image_1901th/79106301.pdf", "79106301")</f>
        <v>79106301</v>
      </c>
      <c r="F2058" s="10" t="s">
        <v>5801</v>
      </c>
      <c r="G2058" s="10" t="s">
        <v>5802</v>
      </c>
      <c r="H2058" s="10" t="s">
        <v>5803</v>
      </c>
      <c r="I2058" s="10" t="s">
        <v>5466</v>
      </c>
    </row>
    <row r="2059" spans="1:9" x14ac:dyDescent="0.15">
      <c r="A2059" s="9">
        <v>2058</v>
      </c>
      <c r="B2059" s="10" t="s">
        <v>9</v>
      </c>
      <c r="C2059" s="10" t="s">
        <v>164</v>
      </c>
      <c r="D2059" s="10" t="s">
        <v>165</v>
      </c>
      <c r="E2059" s="11" t="str">
        <f>+HYPERLINK("http://trademark.i-assist.jp/data/china/image_1901th/79106336.pdf", "79106336")</f>
        <v>79106336</v>
      </c>
      <c r="F2059" s="10" t="s">
        <v>5804</v>
      </c>
      <c r="G2059" s="10" t="s">
        <v>5477</v>
      </c>
      <c r="H2059" s="10" t="s">
        <v>5805</v>
      </c>
      <c r="I2059" s="10" t="s">
        <v>5466</v>
      </c>
    </row>
    <row r="2060" spans="1:9" x14ac:dyDescent="0.15">
      <c r="A2060" s="9">
        <v>2059</v>
      </c>
      <c r="B2060" s="10" t="s">
        <v>9</v>
      </c>
      <c r="C2060" s="10" t="s">
        <v>164</v>
      </c>
      <c r="D2060" s="10" t="s">
        <v>165</v>
      </c>
      <c r="E2060" s="11" t="str">
        <f>+HYPERLINK("http://trademark.i-assist.jp/data/china/image_1901th/79106520.pdf", "79106520")</f>
        <v>79106520</v>
      </c>
      <c r="F2060" s="10" t="s">
        <v>5806</v>
      </c>
      <c r="G2060" s="10" t="s">
        <v>5807</v>
      </c>
      <c r="H2060" s="10" t="s">
        <v>5808</v>
      </c>
      <c r="I2060" s="10" t="s">
        <v>5466</v>
      </c>
    </row>
    <row r="2061" spans="1:9" x14ac:dyDescent="0.15">
      <c r="A2061" s="9">
        <v>2060</v>
      </c>
      <c r="B2061" s="10" t="s">
        <v>9</v>
      </c>
      <c r="C2061" s="10" t="s">
        <v>164</v>
      </c>
      <c r="D2061" s="10" t="s">
        <v>165</v>
      </c>
      <c r="E2061" s="11" t="str">
        <f>+HYPERLINK("http://trademark.i-assist.jp/data/china/image_1901th/79106630.pdf", "79106630")</f>
        <v>79106630</v>
      </c>
      <c r="F2061" s="10" t="s">
        <v>5809</v>
      </c>
      <c r="G2061" s="10" t="s">
        <v>5810</v>
      </c>
      <c r="H2061" s="10" t="s">
        <v>5811</v>
      </c>
      <c r="I2061" s="10" t="s">
        <v>5466</v>
      </c>
    </row>
    <row r="2062" spans="1:9" x14ac:dyDescent="0.15">
      <c r="A2062" s="9">
        <v>2061</v>
      </c>
      <c r="B2062" s="10" t="s">
        <v>9</v>
      </c>
      <c r="C2062" s="10" t="s">
        <v>164</v>
      </c>
      <c r="D2062" s="10" t="s">
        <v>165</v>
      </c>
      <c r="E2062" s="11" t="str">
        <f>+HYPERLINK("http://trademark.i-assist.jp/data/china/image_1901th/79106796.pdf", "79106796")</f>
        <v>79106796</v>
      </c>
      <c r="F2062" s="10" t="s">
        <v>12</v>
      </c>
      <c r="G2062" s="10" t="s">
        <v>5812</v>
      </c>
      <c r="H2062" s="10" t="s">
        <v>5813</v>
      </c>
      <c r="I2062" s="10" t="s">
        <v>5466</v>
      </c>
    </row>
    <row r="2063" spans="1:9" x14ac:dyDescent="0.15">
      <c r="A2063" s="9">
        <v>2062</v>
      </c>
      <c r="B2063" s="10" t="s">
        <v>9</v>
      </c>
      <c r="C2063" s="10" t="s">
        <v>164</v>
      </c>
      <c r="D2063" s="10" t="s">
        <v>165</v>
      </c>
      <c r="E2063" s="11" t="str">
        <f>+HYPERLINK("http://trademark.i-assist.jp/data/china/image_1901th/79106926.pdf", "79106926")</f>
        <v>79106926</v>
      </c>
      <c r="F2063" s="10" t="s">
        <v>5814</v>
      </c>
      <c r="G2063" s="10" t="s">
        <v>5477</v>
      </c>
      <c r="H2063" s="10" t="s">
        <v>5815</v>
      </c>
      <c r="I2063" s="10" t="s">
        <v>5466</v>
      </c>
    </row>
    <row r="2064" spans="1:9" x14ac:dyDescent="0.15">
      <c r="A2064" s="9">
        <v>2063</v>
      </c>
      <c r="B2064" s="10" t="s">
        <v>9</v>
      </c>
      <c r="C2064" s="10" t="s">
        <v>164</v>
      </c>
      <c r="D2064" s="10" t="s">
        <v>165</v>
      </c>
      <c r="E2064" s="11" t="str">
        <f>+HYPERLINK("http://trademark.i-assist.jp/data/china/image_1901th/79107245.pdf", "79107245")</f>
        <v>79107245</v>
      </c>
      <c r="F2064" s="10" t="s">
        <v>5816</v>
      </c>
      <c r="G2064" s="10" t="s">
        <v>5817</v>
      </c>
      <c r="H2064" s="10" t="s">
        <v>5818</v>
      </c>
      <c r="I2064" s="10" t="s">
        <v>5466</v>
      </c>
    </row>
    <row r="2065" spans="1:9" x14ac:dyDescent="0.15">
      <c r="A2065" s="9">
        <v>2064</v>
      </c>
      <c r="B2065" s="10" t="s">
        <v>9</v>
      </c>
      <c r="C2065" s="10" t="s">
        <v>164</v>
      </c>
      <c r="D2065" s="10" t="s">
        <v>165</v>
      </c>
      <c r="E2065" s="11" t="str">
        <f>+HYPERLINK("http://trademark.i-assist.jp/data/china/image_1901th/79107292.pdf", "79107292")</f>
        <v>79107292</v>
      </c>
      <c r="F2065" s="10" t="s">
        <v>5819</v>
      </c>
      <c r="G2065" s="10" t="s">
        <v>5760</v>
      </c>
      <c r="H2065" s="10" t="s">
        <v>5820</v>
      </c>
      <c r="I2065" s="10" t="s">
        <v>5466</v>
      </c>
    </row>
    <row r="2066" spans="1:9" x14ac:dyDescent="0.15">
      <c r="A2066" s="9">
        <v>2065</v>
      </c>
      <c r="B2066" s="10" t="s">
        <v>9</v>
      </c>
      <c r="C2066" s="10" t="s">
        <v>164</v>
      </c>
      <c r="D2066" s="10" t="s">
        <v>165</v>
      </c>
      <c r="E2066" s="11" t="str">
        <f>+HYPERLINK("http://trademark.i-assist.jp/data/china/image_1901th/79107362.pdf", "79107362")</f>
        <v>79107362</v>
      </c>
      <c r="F2066" s="10" t="s">
        <v>5821</v>
      </c>
      <c r="G2066" s="10" t="s">
        <v>5822</v>
      </c>
      <c r="H2066" s="10" t="s">
        <v>5823</v>
      </c>
      <c r="I2066" s="10" t="s">
        <v>5466</v>
      </c>
    </row>
    <row r="2067" spans="1:9" x14ac:dyDescent="0.15">
      <c r="A2067" s="9">
        <v>2066</v>
      </c>
      <c r="B2067" s="10" t="s">
        <v>9</v>
      </c>
      <c r="C2067" s="10" t="s">
        <v>164</v>
      </c>
      <c r="D2067" s="10" t="s">
        <v>165</v>
      </c>
      <c r="E2067" s="11" t="str">
        <f>+HYPERLINK("http://trademark.i-assist.jp/data/china/image_1901th/79107841.pdf", "79107841")</f>
        <v>79107841</v>
      </c>
      <c r="F2067" s="10" t="s">
        <v>5824</v>
      </c>
      <c r="G2067" s="10" t="s">
        <v>5577</v>
      </c>
      <c r="H2067" s="10" t="s">
        <v>5825</v>
      </c>
      <c r="I2067" s="10" t="s">
        <v>5466</v>
      </c>
    </row>
    <row r="2068" spans="1:9" x14ac:dyDescent="0.15">
      <c r="A2068" s="9">
        <v>2067</v>
      </c>
      <c r="B2068" s="10" t="s">
        <v>9</v>
      </c>
      <c r="C2068" s="10" t="s">
        <v>164</v>
      </c>
      <c r="D2068" s="10" t="s">
        <v>165</v>
      </c>
      <c r="E2068" s="11" t="str">
        <f>+HYPERLINK("http://trademark.i-assist.jp/data/china/image_1901th/79107955.pdf", "79107955")</f>
        <v>79107955</v>
      </c>
      <c r="F2068" s="10" t="s">
        <v>5826</v>
      </c>
      <c r="G2068" s="10" t="s">
        <v>5827</v>
      </c>
      <c r="H2068" s="10" t="s">
        <v>5828</v>
      </c>
      <c r="I2068" s="10" t="s">
        <v>5466</v>
      </c>
    </row>
    <row r="2069" spans="1:9" x14ac:dyDescent="0.15">
      <c r="A2069" s="9">
        <v>2068</v>
      </c>
      <c r="B2069" s="10" t="s">
        <v>9</v>
      </c>
      <c r="C2069" s="10" t="s">
        <v>164</v>
      </c>
      <c r="D2069" s="10" t="s">
        <v>165</v>
      </c>
      <c r="E2069" s="11" t="str">
        <f>+HYPERLINK("http://trademark.i-assist.jp/data/china/image_1901th/79108004.pdf", "79108004")</f>
        <v>79108004</v>
      </c>
      <c r="F2069" s="10" t="s">
        <v>5829</v>
      </c>
      <c r="G2069" s="10" t="s">
        <v>5830</v>
      </c>
      <c r="H2069" s="10" t="s">
        <v>5831</v>
      </c>
      <c r="I2069" s="10" t="s">
        <v>5466</v>
      </c>
    </row>
    <row r="2070" spans="1:9" x14ac:dyDescent="0.15">
      <c r="A2070" s="9">
        <v>2069</v>
      </c>
      <c r="B2070" s="10" t="s">
        <v>9</v>
      </c>
      <c r="C2070" s="10" t="s">
        <v>164</v>
      </c>
      <c r="D2070" s="10" t="s">
        <v>165</v>
      </c>
      <c r="E2070" s="11" t="str">
        <f>+HYPERLINK("http://trademark.i-assist.jp/data/china/image_1901th/79108100.pdf", "79108100")</f>
        <v>79108100</v>
      </c>
      <c r="F2070" s="10" t="s">
        <v>5832</v>
      </c>
      <c r="G2070" s="10" t="s">
        <v>5833</v>
      </c>
      <c r="H2070" s="10" t="s">
        <v>5834</v>
      </c>
      <c r="I2070" s="10" t="s">
        <v>5466</v>
      </c>
    </row>
    <row r="2071" spans="1:9" x14ac:dyDescent="0.15">
      <c r="A2071" s="9">
        <v>2070</v>
      </c>
      <c r="B2071" s="10" t="s">
        <v>9</v>
      </c>
      <c r="C2071" s="10" t="s">
        <v>164</v>
      </c>
      <c r="D2071" s="10" t="s">
        <v>165</v>
      </c>
      <c r="E2071" s="11" t="str">
        <f>+HYPERLINK("http://trademark.i-assist.jp/data/china/image_1901th/79108234.pdf", "79108234")</f>
        <v>79108234</v>
      </c>
      <c r="F2071" s="10" t="s">
        <v>5835</v>
      </c>
      <c r="G2071" s="10" t="s">
        <v>5533</v>
      </c>
      <c r="H2071" s="10" t="s">
        <v>5836</v>
      </c>
      <c r="I2071" s="10" t="s">
        <v>5466</v>
      </c>
    </row>
    <row r="2072" spans="1:9" x14ac:dyDescent="0.15">
      <c r="A2072" s="9">
        <v>2071</v>
      </c>
      <c r="B2072" s="10" t="s">
        <v>9</v>
      </c>
      <c r="C2072" s="10" t="s">
        <v>164</v>
      </c>
      <c r="D2072" s="10" t="s">
        <v>165</v>
      </c>
      <c r="E2072" s="11" t="str">
        <f>+HYPERLINK("http://trademark.i-assist.jp/data/china/image_1901th/79108370.pdf", "79108370")</f>
        <v>79108370</v>
      </c>
      <c r="F2072" s="10" t="s">
        <v>5837</v>
      </c>
      <c r="G2072" s="10" t="s">
        <v>5760</v>
      </c>
      <c r="H2072" s="10" t="s">
        <v>5838</v>
      </c>
      <c r="I2072" s="10" t="s">
        <v>5466</v>
      </c>
    </row>
    <row r="2073" spans="1:9" x14ac:dyDescent="0.15">
      <c r="A2073" s="9">
        <v>2072</v>
      </c>
      <c r="B2073" s="10" t="s">
        <v>9</v>
      </c>
      <c r="C2073" s="10" t="s">
        <v>164</v>
      </c>
      <c r="D2073" s="10" t="s">
        <v>165</v>
      </c>
      <c r="E2073" s="11" t="str">
        <f>+HYPERLINK("http://trademark.i-assist.jp/data/china/image_1901th/79108431.pdf", "79108431")</f>
        <v>79108431</v>
      </c>
      <c r="F2073" s="10" t="s">
        <v>5839</v>
      </c>
      <c r="G2073" s="10" t="s">
        <v>5840</v>
      </c>
      <c r="H2073" s="10" t="s">
        <v>5841</v>
      </c>
      <c r="I2073" s="10" t="s">
        <v>5466</v>
      </c>
    </row>
    <row r="2074" spans="1:9" x14ac:dyDescent="0.15">
      <c r="A2074" s="9">
        <v>2073</v>
      </c>
      <c r="B2074" s="10" t="s">
        <v>9</v>
      </c>
      <c r="C2074" s="10" t="s">
        <v>164</v>
      </c>
      <c r="D2074" s="10" t="s">
        <v>165</v>
      </c>
      <c r="E2074" s="11" t="str">
        <f>+HYPERLINK("http://trademark.i-assist.jp/data/china/image_1901th/79108436.pdf", "79108436")</f>
        <v>79108436</v>
      </c>
      <c r="F2074" s="10" t="s">
        <v>5842</v>
      </c>
      <c r="G2074" s="10" t="s">
        <v>5477</v>
      </c>
      <c r="H2074" s="10" t="s">
        <v>5843</v>
      </c>
      <c r="I2074" s="10" t="s">
        <v>5466</v>
      </c>
    </row>
    <row r="2075" spans="1:9" x14ac:dyDescent="0.15">
      <c r="A2075" s="9">
        <v>2074</v>
      </c>
      <c r="B2075" s="10" t="s">
        <v>9</v>
      </c>
      <c r="C2075" s="10" t="s">
        <v>164</v>
      </c>
      <c r="D2075" s="10" t="s">
        <v>165</v>
      </c>
      <c r="E2075" s="11" t="str">
        <f>+HYPERLINK("http://trademark.i-assist.jp/data/china/image_1901th/79108444.pdf", "79108444")</f>
        <v>79108444</v>
      </c>
      <c r="F2075" s="10" t="s">
        <v>5844</v>
      </c>
      <c r="G2075" s="10" t="s">
        <v>5477</v>
      </c>
      <c r="H2075" s="10" t="s">
        <v>5845</v>
      </c>
      <c r="I2075" s="10" t="s">
        <v>5466</v>
      </c>
    </row>
    <row r="2076" spans="1:9" x14ac:dyDescent="0.15">
      <c r="A2076" s="9">
        <v>2075</v>
      </c>
      <c r="B2076" s="10" t="s">
        <v>9</v>
      </c>
      <c r="C2076" s="10" t="s">
        <v>164</v>
      </c>
      <c r="D2076" s="10" t="s">
        <v>165</v>
      </c>
      <c r="E2076" s="11" t="str">
        <f>+HYPERLINK("http://trademark.i-assist.jp/data/china/image_1901th/79108500.pdf", "79108500")</f>
        <v>79108500</v>
      </c>
      <c r="F2076" s="10" t="s">
        <v>5846</v>
      </c>
      <c r="G2076" s="10" t="s">
        <v>5847</v>
      </c>
      <c r="H2076" s="10" t="s">
        <v>5848</v>
      </c>
      <c r="I2076" s="10" t="s">
        <v>5466</v>
      </c>
    </row>
    <row r="2077" spans="1:9" x14ac:dyDescent="0.15">
      <c r="A2077" s="9">
        <v>2076</v>
      </c>
      <c r="B2077" s="10" t="s">
        <v>9</v>
      </c>
      <c r="C2077" s="10" t="s">
        <v>164</v>
      </c>
      <c r="D2077" s="10" t="s">
        <v>165</v>
      </c>
      <c r="E2077" s="11" t="str">
        <f>+HYPERLINK("http://trademark.i-assist.jp/data/china/image_1901th/79108510.pdf", "79108510")</f>
        <v>79108510</v>
      </c>
      <c r="F2077" s="10" t="s">
        <v>5849</v>
      </c>
      <c r="G2077" s="10" t="s">
        <v>5850</v>
      </c>
      <c r="H2077" s="10" t="s">
        <v>5851</v>
      </c>
      <c r="I2077" s="10" t="s">
        <v>5466</v>
      </c>
    </row>
    <row r="2078" spans="1:9" x14ac:dyDescent="0.15">
      <c r="A2078" s="9">
        <v>2077</v>
      </c>
      <c r="B2078" s="10" t="s">
        <v>9</v>
      </c>
      <c r="C2078" s="10" t="s">
        <v>164</v>
      </c>
      <c r="D2078" s="10" t="s">
        <v>165</v>
      </c>
      <c r="E2078" s="11" t="str">
        <f>+HYPERLINK("http://trademark.i-assist.jp/data/china/image_1901th/79108527.pdf", "79108527")</f>
        <v>79108527</v>
      </c>
      <c r="F2078" s="10" t="s">
        <v>5852</v>
      </c>
      <c r="G2078" s="10" t="s">
        <v>5853</v>
      </c>
      <c r="H2078" s="10" t="s">
        <v>5854</v>
      </c>
      <c r="I2078" s="10" t="s">
        <v>5466</v>
      </c>
    </row>
    <row r="2079" spans="1:9" x14ac:dyDescent="0.15">
      <c r="A2079" s="9">
        <v>2078</v>
      </c>
      <c r="B2079" s="10" t="s">
        <v>9</v>
      </c>
      <c r="C2079" s="10" t="s">
        <v>164</v>
      </c>
      <c r="D2079" s="10" t="s">
        <v>165</v>
      </c>
      <c r="E2079" s="11" t="str">
        <f>+HYPERLINK("http://trademark.i-assist.jp/data/china/image_1901th/79108572.pdf", "79108572")</f>
        <v>79108572</v>
      </c>
      <c r="F2079" s="10" t="s">
        <v>5855</v>
      </c>
      <c r="G2079" s="10" t="s">
        <v>5856</v>
      </c>
      <c r="H2079" s="10" t="s">
        <v>5857</v>
      </c>
      <c r="I2079" s="10" t="s">
        <v>5466</v>
      </c>
    </row>
    <row r="2080" spans="1:9" x14ac:dyDescent="0.15">
      <c r="A2080" s="9">
        <v>2079</v>
      </c>
      <c r="B2080" s="10" t="s">
        <v>9</v>
      </c>
      <c r="C2080" s="10" t="s">
        <v>164</v>
      </c>
      <c r="D2080" s="10" t="s">
        <v>165</v>
      </c>
      <c r="E2080" s="11" t="str">
        <f>+HYPERLINK("http://trademark.i-assist.jp/data/china/image_1901th/79108774.pdf", "79108774")</f>
        <v>79108774</v>
      </c>
      <c r="F2080" s="10" t="s">
        <v>5858</v>
      </c>
      <c r="G2080" s="10" t="s">
        <v>5859</v>
      </c>
      <c r="H2080" s="10" t="s">
        <v>5860</v>
      </c>
      <c r="I2080" s="10" t="s">
        <v>5466</v>
      </c>
    </row>
    <row r="2081" spans="1:9" x14ac:dyDescent="0.15">
      <c r="A2081" s="9">
        <v>2080</v>
      </c>
      <c r="B2081" s="10" t="s">
        <v>9</v>
      </c>
      <c r="C2081" s="10" t="s">
        <v>164</v>
      </c>
      <c r="D2081" s="10" t="s">
        <v>165</v>
      </c>
      <c r="E2081" s="11" t="str">
        <f>+HYPERLINK("http://trademark.i-assist.jp/data/china/image_1901th/79108793.pdf", "79108793")</f>
        <v>79108793</v>
      </c>
      <c r="F2081" s="10" t="s">
        <v>5861</v>
      </c>
      <c r="G2081" s="10" t="s">
        <v>5862</v>
      </c>
      <c r="H2081" s="10" t="s">
        <v>5863</v>
      </c>
      <c r="I2081" s="10" t="s">
        <v>5466</v>
      </c>
    </row>
    <row r="2082" spans="1:9" x14ac:dyDescent="0.15">
      <c r="A2082" s="9">
        <v>2081</v>
      </c>
      <c r="B2082" s="10" t="s">
        <v>9</v>
      </c>
      <c r="C2082" s="10" t="s">
        <v>164</v>
      </c>
      <c r="D2082" s="10" t="s">
        <v>165</v>
      </c>
      <c r="E2082" s="11" t="str">
        <f>+HYPERLINK("http://trademark.i-assist.jp/data/china/image_1901th/79109102.pdf", "79109102")</f>
        <v>79109102</v>
      </c>
      <c r="F2082" s="10" t="s">
        <v>5864</v>
      </c>
      <c r="G2082" s="10" t="s">
        <v>5865</v>
      </c>
      <c r="H2082" s="10" t="s">
        <v>5866</v>
      </c>
      <c r="I2082" s="10" t="s">
        <v>5466</v>
      </c>
    </row>
    <row r="2083" spans="1:9" x14ac:dyDescent="0.15">
      <c r="A2083" s="9">
        <v>2082</v>
      </c>
      <c r="B2083" s="10" t="s">
        <v>9</v>
      </c>
      <c r="C2083" s="10" t="s">
        <v>164</v>
      </c>
      <c r="D2083" s="10" t="s">
        <v>165</v>
      </c>
      <c r="E2083" s="11" t="str">
        <f>+HYPERLINK("http://trademark.i-assist.jp/data/china/image_1901th/79109127.pdf", "79109127")</f>
        <v>79109127</v>
      </c>
      <c r="F2083" s="10" t="s">
        <v>5867</v>
      </c>
      <c r="G2083" s="10" t="s">
        <v>5868</v>
      </c>
      <c r="H2083" s="10" t="s">
        <v>5869</v>
      </c>
      <c r="I2083" s="10" t="s">
        <v>5466</v>
      </c>
    </row>
    <row r="2084" spans="1:9" x14ac:dyDescent="0.15">
      <c r="A2084" s="9">
        <v>2083</v>
      </c>
      <c r="B2084" s="10" t="s">
        <v>9</v>
      </c>
      <c r="C2084" s="10" t="s">
        <v>164</v>
      </c>
      <c r="D2084" s="10" t="s">
        <v>165</v>
      </c>
      <c r="E2084" s="11" t="str">
        <f>+HYPERLINK("http://trademark.i-assist.jp/data/china/image_1901th/79109135.pdf", "79109135")</f>
        <v>79109135</v>
      </c>
      <c r="F2084" s="10" t="s">
        <v>5870</v>
      </c>
      <c r="G2084" s="10" t="s">
        <v>5871</v>
      </c>
      <c r="H2084" s="10" t="s">
        <v>5872</v>
      </c>
      <c r="I2084" s="10" t="s">
        <v>5466</v>
      </c>
    </row>
    <row r="2085" spans="1:9" x14ac:dyDescent="0.15">
      <c r="A2085" s="9">
        <v>2084</v>
      </c>
      <c r="B2085" s="10" t="s">
        <v>9</v>
      </c>
      <c r="C2085" s="10" t="s">
        <v>164</v>
      </c>
      <c r="D2085" s="10" t="s">
        <v>165</v>
      </c>
      <c r="E2085" s="11" t="str">
        <f>+HYPERLINK("http://trademark.i-assist.jp/data/china/image_1901th/79109217.pdf", "79109217")</f>
        <v>79109217</v>
      </c>
      <c r="F2085" s="10" t="s">
        <v>5873</v>
      </c>
      <c r="G2085" s="10" t="s">
        <v>3017</v>
      </c>
      <c r="H2085" s="10" t="s">
        <v>5874</v>
      </c>
      <c r="I2085" s="10" t="s">
        <v>5466</v>
      </c>
    </row>
    <row r="2086" spans="1:9" x14ac:dyDescent="0.15">
      <c r="A2086" s="9">
        <v>2085</v>
      </c>
      <c r="B2086" s="10" t="s">
        <v>9</v>
      </c>
      <c r="C2086" s="10" t="s">
        <v>164</v>
      </c>
      <c r="D2086" s="10" t="s">
        <v>165</v>
      </c>
      <c r="E2086" s="11" t="str">
        <f>+HYPERLINK("http://trademark.i-assist.jp/data/china/image_1901th/79109328.pdf", "79109328")</f>
        <v>79109328</v>
      </c>
      <c r="F2086" s="10" t="s">
        <v>5875</v>
      </c>
      <c r="G2086" s="10" t="s">
        <v>5876</v>
      </c>
      <c r="H2086" s="10" t="s">
        <v>5877</v>
      </c>
      <c r="I2086" s="10" t="s">
        <v>5466</v>
      </c>
    </row>
    <row r="2087" spans="1:9" x14ac:dyDescent="0.15">
      <c r="A2087" s="9">
        <v>2086</v>
      </c>
      <c r="B2087" s="10" t="s">
        <v>9</v>
      </c>
      <c r="C2087" s="10" t="s">
        <v>164</v>
      </c>
      <c r="D2087" s="10" t="s">
        <v>165</v>
      </c>
      <c r="E2087" s="11" t="str">
        <f>+HYPERLINK("http://trademark.i-assist.jp/data/china/image_1901th/79109358.pdf", "79109358")</f>
        <v>79109358</v>
      </c>
      <c r="F2087" s="10" t="s">
        <v>5878</v>
      </c>
      <c r="G2087" s="10" t="s">
        <v>5879</v>
      </c>
      <c r="H2087" s="10" t="s">
        <v>5880</v>
      </c>
      <c r="I2087" s="10" t="s">
        <v>5466</v>
      </c>
    </row>
    <row r="2088" spans="1:9" x14ac:dyDescent="0.15">
      <c r="A2088" s="9">
        <v>2087</v>
      </c>
      <c r="B2088" s="10" t="s">
        <v>9</v>
      </c>
      <c r="C2088" s="10" t="s">
        <v>164</v>
      </c>
      <c r="D2088" s="10" t="s">
        <v>165</v>
      </c>
      <c r="E2088" s="11" t="str">
        <f>+HYPERLINK("http://trademark.i-assist.jp/data/china/image_1901th/79109590.pdf", "79109590")</f>
        <v>79109590</v>
      </c>
      <c r="F2088" s="10" t="s">
        <v>5881</v>
      </c>
      <c r="G2088" s="10" t="s">
        <v>5882</v>
      </c>
      <c r="H2088" s="10" t="s">
        <v>5883</v>
      </c>
      <c r="I2088" s="10" t="s">
        <v>5466</v>
      </c>
    </row>
    <row r="2089" spans="1:9" x14ac:dyDescent="0.15">
      <c r="A2089" s="9">
        <v>2088</v>
      </c>
      <c r="B2089" s="10" t="s">
        <v>9</v>
      </c>
      <c r="C2089" s="10" t="s">
        <v>164</v>
      </c>
      <c r="D2089" s="10" t="s">
        <v>165</v>
      </c>
      <c r="E2089" s="11" t="str">
        <f>+HYPERLINK("http://trademark.i-assist.jp/data/china/image_1901th/79109755.pdf", "79109755")</f>
        <v>79109755</v>
      </c>
      <c r="F2089" s="10" t="s">
        <v>5884</v>
      </c>
      <c r="G2089" s="10" t="s">
        <v>5859</v>
      </c>
      <c r="H2089" s="10" t="s">
        <v>5885</v>
      </c>
      <c r="I2089" s="10" t="s">
        <v>5466</v>
      </c>
    </row>
    <row r="2090" spans="1:9" x14ac:dyDescent="0.15">
      <c r="A2090" s="9">
        <v>2089</v>
      </c>
      <c r="B2090" s="10" t="s">
        <v>9</v>
      </c>
      <c r="C2090" s="10" t="s">
        <v>164</v>
      </c>
      <c r="D2090" s="10" t="s">
        <v>165</v>
      </c>
      <c r="E2090" s="11" t="str">
        <f>+HYPERLINK("http://trademark.i-assist.jp/data/china/image_1901th/79109906.pdf", "79109906")</f>
        <v>79109906</v>
      </c>
      <c r="F2090" s="10" t="s">
        <v>5886</v>
      </c>
      <c r="G2090" s="10" t="s">
        <v>5182</v>
      </c>
      <c r="H2090" s="10" t="s">
        <v>5887</v>
      </c>
      <c r="I2090" s="10" t="s">
        <v>5466</v>
      </c>
    </row>
    <row r="2091" spans="1:9" x14ac:dyDescent="0.15">
      <c r="A2091" s="9">
        <v>2090</v>
      </c>
      <c r="B2091" s="10" t="s">
        <v>9</v>
      </c>
      <c r="C2091" s="10" t="s">
        <v>164</v>
      </c>
      <c r="D2091" s="10" t="s">
        <v>165</v>
      </c>
      <c r="E2091" s="11" t="str">
        <f>+HYPERLINK("http://trademark.i-assist.jp/data/china/image_1901th/79110153.pdf", "79110153")</f>
        <v>79110153</v>
      </c>
      <c r="F2091" s="10" t="s">
        <v>5888</v>
      </c>
      <c r="G2091" s="10" t="s">
        <v>5477</v>
      </c>
      <c r="H2091" s="10" t="s">
        <v>5889</v>
      </c>
      <c r="I2091" s="10" t="s">
        <v>5466</v>
      </c>
    </row>
    <row r="2092" spans="1:9" x14ac:dyDescent="0.15">
      <c r="A2092" s="9">
        <v>2091</v>
      </c>
      <c r="B2092" s="10" t="s">
        <v>9</v>
      </c>
      <c r="C2092" s="10" t="s">
        <v>164</v>
      </c>
      <c r="D2092" s="10" t="s">
        <v>165</v>
      </c>
      <c r="E2092" s="11" t="str">
        <f>+HYPERLINK("http://trademark.i-assist.jp/data/china/image_1901th/79110561.pdf", "79110561")</f>
        <v>79110561</v>
      </c>
      <c r="F2092" s="10" t="s">
        <v>5890</v>
      </c>
      <c r="G2092" s="10" t="s">
        <v>5891</v>
      </c>
      <c r="H2092" s="10" t="s">
        <v>5892</v>
      </c>
      <c r="I2092" s="10" t="s">
        <v>5466</v>
      </c>
    </row>
    <row r="2093" spans="1:9" x14ac:dyDescent="0.15">
      <c r="A2093" s="9">
        <v>2092</v>
      </c>
      <c r="B2093" s="10" t="s">
        <v>9</v>
      </c>
      <c r="C2093" s="10" t="s">
        <v>164</v>
      </c>
      <c r="D2093" s="10" t="s">
        <v>165</v>
      </c>
      <c r="E2093" s="11" t="str">
        <f>+HYPERLINK("http://trademark.i-assist.jp/data/china/image_1901th/79110647.pdf", "79110647")</f>
        <v>79110647</v>
      </c>
      <c r="F2093" s="10" t="s">
        <v>5893</v>
      </c>
      <c r="G2093" s="10" t="s">
        <v>5519</v>
      </c>
      <c r="H2093" s="10" t="s">
        <v>5894</v>
      </c>
      <c r="I2093" s="10" t="s">
        <v>5466</v>
      </c>
    </row>
    <row r="2094" spans="1:9" x14ac:dyDescent="0.15">
      <c r="A2094" s="9">
        <v>2093</v>
      </c>
      <c r="B2094" s="10" t="s">
        <v>9</v>
      </c>
      <c r="C2094" s="10" t="s">
        <v>164</v>
      </c>
      <c r="D2094" s="10" t="s">
        <v>165</v>
      </c>
      <c r="E2094" s="11" t="str">
        <f>+HYPERLINK("http://trademark.i-assist.jp/data/china/image_1901th/79110982.pdf", "79110982")</f>
        <v>79110982</v>
      </c>
      <c r="F2094" s="10" t="s">
        <v>5895</v>
      </c>
      <c r="G2094" s="10" t="s">
        <v>4537</v>
      </c>
      <c r="H2094" s="10" t="s">
        <v>5896</v>
      </c>
      <c r="I2094" s="10" t="s">
        <v>5466</v>
      </c>
    </row>
    <row r="2095" spans="1:9" x14ac:dyDescent="0.15">
      <c r="A2095" s="9">
        <v>2094</v>
      </c>
      <c r="B2095" s="10" t="s">
        <v>9</v>
      </c>
      <c r="C2095" s="10" t="s">
        <v>164</v>
      </c>
      <c r="D2095" s="10" t="s">
        <v>165</v>
      </c>
      <c r="E2095" s="11" t="str">
        <f>+HYPERLINK("http://trademark.i-assist.jp/data/china/image_1901th/79111155.pdf", "79111155")</f>
        <v>79111155</v>
      </c>
      <c r="F2095" s="10" t="s">
        <v>5897</v>
      </c>
      <c r="G2095" s="10" t="s">
        <v>5859</v>
      </c>
      <c r="H2095" s="10" t="s">
        <v>5898</v>
      </c>
      <c r="I2095" s="10" t="s">
        <v>5466</v>
      </c>
    </row>
    <row r="2096" spans="1:9" x14ac:dyDescent="0.15">
      <c r="A2096" s="9">
        <v>2095</v>
      </c>
      <c r="B2096" s="10" t="s">
        <v>9</v>
      </c>
      <c r="C2096" s="10" t="s">
        <v>164</v>
      </c>
      <c r="D2096" s="10" t="s">
        <v>165</v>
      </c>
      <c r="E2096" s="11" t="str">
        <f>+HYPERLINK("http://trademark.i-assist.jp/data/china/image_1901th/79111162.pdf", "79111162")</f>
        <v>79111162</v>
      </c>
      <c r="F2096" s="10" t="s">
        <v>12</v>
      </c>
      <c r="G2096" s="10" t="s">
        <v>5899</v>
      </c>
      <c r="H2096" s="10" t="s">
        <v>5900</v>
      </c>
      <c r="I2096" s="10" t="s">
        <v>5466</v>
      </c>
    </row>
    <row r="2097" spans="1:9" x14ac:dyDescent="0.15">
      <c r="A2097" s="9">
        <v>2096</v>
      </c>
      <c r="B2097" s="10" t="s">
        <v>9</v>
      </c>
      <c r="C2097" s="10" t="s">
        <v>164</v>
      </c>
      <c r="D2097" s="10" t="s">
        <v>165</v>
      </c>
      <c r="E2097" s="11" t="str">
        <f>+HYPERLINK("http://trademark.i-assist.jp/data/china/image_1901th/79111199.pdf", "79111199")</f>
        <v>79111199</v>
      </c>
      <c r="F2097" s="10" t="s">
        <v>5901</v>
      </c>
      <c r="G2097" s="10" t="s">
        <v>5902</v>
      </c>
      <c r="H2097" s="10" t="s">
        <v>5903</v>
      </c>
      <c r="I2097" s="10" t="s">
        <v>5466</v>
      </c>
    </row>
    <row r="2098" spans="1:9" x14ac:dyDescent="0.15">
      <c r="A2098" s="9">
        <v>2097</v>
      </c>
      <c r="B2098" s="10" t="s">
        <v>9</v>
      </c>
      <c r="C2098" s="10" t="s">
        <v>164</v>
      </c>
      <c r="D2098" s="10" t="s">
        <v>165</v>
      </c>
      <c r="E2098" s="11" t="str">
        <f>+HYPERLINK("http://trademark.i-assist.jp/data/china/image_1901th/79111200.pdf", "79111200")</f>
        <v>79111200</v>
      </c>
      <c r="F2098" s="10" t="s">
        <v>5904</v>
      </c>
      <c r="G2098" s="10" t="s">
        <v>5905</v>
      </c>
      <c r="H2098" s="10" t="s">
        <v>5906</v>
      </c>
      <c r="I2098" s="10" t="s">
        <v>5466</v>
      </c>
    </row>
    <row r="2099" spans="1:9" x14ac:dyDescent="0.15">
      <c r="A2099" s="9">
        <v>2098</v>
      </c>
      <c r="B2099" s="10" t="s">
        <v>9</v>
      </c>
      <c r="C2099" s="10" t="s">
        <v>164</v>
      </c>
      <c r="D2099" s="10" t="s">
        <v>165</v>
      </c>
      <c r="E2099" s="11" t="str">
        <f>+HYPERLINK("http://trademark.i-assist.jp/data/china/image_1901th/79111387.pdf", "79111387")</f>
        <v>79111387</v>
      </c>
      <c r="F2099" s="10" t="s">
        <v>5907</v>
      </c>
      <c r="G2099" s="10" t="s">
        <v>5767</v>
      </c>
      <c r="H2099" s="10" t="s">
        <v>5908</v>
      </c>
      <c r="I2099" s="10" t="s">
        <v>5466</v>
      </c>
    </row>
    <row r="2100" spans="1:9" x14ac:dyDescent="0.15">
      <c r="A2100" s="9">
        <v>2099</v>
      </c>
      <c r="B2100" s="10" t="s">
        <v>9</v>
      </c>
      <c r="C2100" s="10" t="s">
        <v>164</v>
      </c>
      <c r="D2100" s="10" t="s">
        <v>165</v>
      </c>
      <c r="E2100" s="11" t="str">
        <f>+HYPERLINK("http://trademark.i-assist.jp/data/china/image_1901th/79111538.pdf", "79111538")</f>
        <v>79111538</v>
      </c>
      <c r="F2100" s="10" t="s">
        <v>5909</v>
      </c>
      <c r="G2100" s="10" t="s">
        <v>5760</v>
      </c>
      <c r="H2100" s="10" t="s">
        <v>5910</v>
      </c>
      <c r="I2100" s="10" t="s">
        <v>5466</v>
      </c>
    </row>
    <row r="2101" spans="1:9" x14ac:dyDescent="0.15">
      <c r="A2101" s="9">
        <v>2100</v>
      </c>
      <c r="B2101" s="10" t="s">
        <v>9</v>
      </c>
      <c r="C2101" s="10" t="s">
        <v>164</v>
      </c>
      <c r="D2101" s="10" t="s">
        <v>165</v>
      </c>
      <c r="E2101" s="11" t="str">
        <f>+HYPERLINK("http://trademark.i-assist.jp/data/china/image_1901th/79111607.pdf", "79111607")</f>
        <v>79111607</v>
      </c>
      <c r="F2101" s="10" t="s">
        <v>5911</v>
      </c>
      <c r="G2101" s="10" t="s">
        <v>5681</v>
      </c>
      <c r="H2101" s="10" t="s">
        <v>5912</v>
      </c>
      <c r="I2101" s="10" t="s">
        <v>5466</v>
      </c>
    </row>
    <row r="2102" spans="1:9" x14ac:dyDescent="0.15">
      <c r="A2102" s="9">
        <v>2101</v>
      </c>
      <c r="B2102" s="10" t="s">
        <v>9</v>
      </c>
      <c r="C2102" s="10" t="s">
        <v>164</v>
      </c>
      <c r="D2102" s="10" t="s">
        <v>165</v>
      </c>
      <c r="E2102" s="11" t="str">
        <f>+HYPERLINK("http://trademark.i-assist.jp/data/china/image_1901th/79111749.pdf", "79111749")</f>
        <v>79111749</v>
      </c>
      <c r="F2102" s="10" t="s">
        <v>5913</v>
      </c>
      <c r="G2102" s="10" t="s">
        <v>5477</v>
      </c>
      <c r="H2102" s="10" t="s">
        <v>5914</v>
      </c>
      <c r="I2102" s="10" t="s">
        <v>5466</v>
      </c>
    </row>
    <row r="2103" spans="1:9" x14ac:dyDescent="0.15">
      <c r="A2103" s="9">
        <v>2102</v>
      </c>
      <c r="B2103" s="10" t="s">
        <v>9</v>
      </c>
      <c r="C2103" s="10" t="s">
        <v>164</v>
      </c>
      <c r="D2103" s="10" t="s">
        <v>165</v>
      </c>
      <c r="E2103" s="11" t="str">
        <f>+HYPERLINK("http://trademark.i-assist.jp/data/china/image_1901th/79111787.pdf", "79111787")</f>
        <v>79111787</v>
      </c>
      <c r="F2103" s="10" t="s">
        <v>5915</v>
      </c>
      <c r="G2103" s="10" t="s">
        <v>5533</v>
      </c>
      <c r="H2103" s="10" t="s">
        <v>5916</v>
      </c>
      <c r="I2103" s="10" t="s">
        <v>5466</v>
      </c>
    </row>
    <row r="2104" spans="1:9" x14ac:dyDescent="0.15">
      <c r="A2104" s="9">
        <v>2103</v>
      </c>
      <c r="B2104" s="10" t="s">
        <v>9</v>
      </c>
      <c r="C2104" s="10" t="s">
        <v>164</v>
      </c>
      <c r="D2104" s="10" t="s">
        <v>165</v>
      </c>
      <c r="E2104" s="11" t="str">
        <f>+HYPERLINK("http://trademark.i-assist.jp/data/china/image_1901th/79111873.pdf", "79111873")</f>
        <v>79111873</v>
      </c>
      <c r="F2104" s="10" t="s">
        <v>5917</v>
      </c>
      <c r="G2104" s="10" t="s">
        <v>5918</v>
      </c>
      <c r="H2104" s="10" t="s">
        <v>19</v>
      </c>
      <c r="I2104" s="10" t="s">
        <v>19</v>
      </c>
    </row>
    <row r="2105" spans="1:9" x14ac:dyDescent="0.15">
      <c r="A2105" s="9">
        <v>2104</v>
      </c>
      <c r="B2105" s="10" t="s">
        <v>9</v>
      </c>
      <c r="C2105" s="10" t="s">
        <v>164</v>
      </c>
      <c r="D2105" s="10" t="s">
        <v>165</v>
      </c>
      <c r="E2105" s="11" t="str">
        <f>+HYPERLINK("http://trademark.i-assist.jp/data/china/image_1901th/79111905.pdf", "79111905")</f>
        <v>79111905</v>
      </c>
      <c r="F2105" s="10" t="s">
        <v>5919</v>
      </c>
      <c r="G2105" s="10" t="s">
        <v>5551</v>
      </c>
      <c r="H2105" s="10" t="s">
        <v>5920</v>
      </c>
      <c r="I2105" s="10" t="s">
        <v>5466</v>
      </c>
    </row>
    <row r="2106" spans="1:9" x14ac:dyDescent="0.15">
      <c r="A2106" s="9">
        <v>2105</v>
      </c>
      <c r="B2106" s="10" t="s">
        <v>9</v>
      </c>
      <c r="C2106" s="10" t="s">
        <v>164</v>
      </c>
      <c r="D2106" s="10" t="s">
        <v>165</v>
      </c>
      <c r="E2106" s="11" t="str">
        <f>+HYPERLINK("http://trademark.i-assist.jp/data/china/image_1901th/79111916.pdf", "79111916")</f>
        <v>79111916</v>
      </c>
      <c r="F2106" s="10" t="s">
        <v>5921</v>
      </c>
      <c r="G2106" s="10" t="s">
        <v>5922</v>
      </c>
      <c r="H2106" s="10" t="s">
        <v>5923</v>
      </c>
      <c r="I2106" s="10" t="s">
        <v>5466</v>
      </c>
    </row>
    <row r="2107" spans="1:9" x14ac:dyDescent="0.15">
      <c r="A2107" s="9">
        <v>2106</v>
      </c>
      <c r="B2107" s="10" t="s">
        <v>9</v>
      </c>
      <c r="C2107" s="10" t="s">
        <v>164</v>
      </c>
      <c r="D2107" s="10" t="s">
        <v>165</v>
      </c>
      <c r="E2107" s="11" t="str">
        <f>+HYPERLINK("http://trademark.i-assist.jp/data/china/image_1901th/79112219.pdf", "79112219")</f>
        <v>79112219</v>
      </c>
      <c r="F2107" s="10" t="s">
        <v>5924</v>
      </c>
      <c r="G2107" s="10" t="s">
        <v>4222</v>
      </c>
      <c r="H2107" s="10" t="s">
        <v>5925</v>
      </c>
      <c r="I2107" s="10" t="s">
        <v>5466</v>
      </c>
    </row>
    <row r="2108" spans="1:9" x14ac:dyDescent="0.15">
      <c r="A2108" s="9">
        <v>2107</v>
      </c>
      <c r="B2108" s="10" t="s">
        <v>9</v>
      </c>
      <c r="C2108" s="10" t="s">
        <v>164</v>
      </c>
      <c r="D2108" s="10" t="s">
        <v>165</v>
      </c>
      <c r="E2108" s="11" t="str">
        <f>+HYPERLINK("http://trademark.i-assist.jp/data/china/image_1901th/79112330.pdf", "79112330")</f>
        <v>79112330</v>
      </c>
      <c r="F2108" s="10" t="s">
        <v>5926</v>
      </c>
      <c r="G2108" s="10" t="s">
        <v>5927</v>
      </c>
      <c r="H2108" s="10" t="s">
        <v>5928</v>
      </c>
      <c r="I2108" s="10" t="s">
        <v>5466</v>
      </c>
    </row>
    <row r="2109" spans="1:9" x14ac:dyDescent="0.15">
      <c r="A2109" s="9">
        <v>2108</v>
      </c>
      <c r="B2109" s="10" t="s">
        <v>9</v>
      </c>
      <c r="C2109" s="10" t="s">
        <v>164</v>
      </c>
      <c r="D2109" s="10" t="s">
        <v>165</v>
      </c>
      <c r="E2109" s="11" t="str">
        <f>+HYPERLINK("http://trademark.i-assist.jp/data/china/image_1901th/79112440.pdf", "79112440")</f>
        <v>79112440</v>
      </c>
      <c r="F2109" s="10" t="s">
        <v>5929</v>
      </c>
      <c r="G2109" s="10" t="s">
        <v>5929</v>
      </c>
      <c r="H2109" s="10" t="s">
        <v>5930</v>
      </c>
      <c r="I2109" s="10" t="s">
        <v>5466</v>
      </c>
    </row>
    <row r="2110" spans="1:9" x14ac:dyDescent="0.15">
      <c r="A2110" s="9">
        <v>2109</v>
      </c>
      <c r="B2110" s="10" t="s">
        <v>9</v>
      </c>
      <c r="C2110" s="10" t="s">
        <v>164</v>
      </c>
      <c r="D2110" s="10" t="s">
        <v>165</v>
      </c>
      <c r="E2110" s="11" t="str">
        <f>+HYPERLINK("http://trademark.i-assist.jp/data/china/image_1901th/79112532.pdf", "79112532")</f>
        <v>79112532</v>
      </c>
      <c r="F2110" s="10" t="s">
        <v>5931</v>
      </c>
      <c r="G2110" s="10" t="s">
        <v>5477</v>
      </c>
      <c r="H2110" s="10" t="s">
        <v>5932</v>
      </c>
      <c r="I2110" s="10" t="s">
        <v>5466</v>
      </c>
    </row>
    <row r="2111" spans="1:9" x14ac:dyDescent="0.15">
      <c r="A2111" s="9">
        <v>2110</v>
      </c>
      <c r="B2111" s="10" t="s">
        <v>9</v>
      </c>
      <c r="C2111" s="10" t="s">
        <v>164</v>
      </c>
      <c r="D2111" s="10" t="s">
        <v>165</v>
      </c>
      <c r="E2111" s="11" t="str">
        <f>+HYPERLINK("http://trademark.i-assist.jp/data/china/image_1901th/79112542.pdf", "79112542")</f>
        <v>79112542</v>
      </c>
      <c r="F2111" s="10" t="s">
        <v>5933</v>
      </c>
      <c r="G2111" s="10" t="s">
        <v>5568</v>
      </c>
      <c r="H2111" s="10" t="s">
        <v>5934</v>
      </c>
      <c r="I2111" s="10" t="s">
        <v>5466</v>
      </c>
    </row>
    <row r="2112" spans="1:9" x14ac:dyDescent="0.15">
      <c r="A2112" s="9">
        <v>2111</v>
      </c>
      <c r="B2112" s="10" t="s">
        <v>9</v>
      </c>
      <c r="C2112" s="10" t="s">
        <v>164</v>
      </c>
      <c r="D2112" s="10" t="s">
        <v>165</v>
      </c>
      <c r="E2112" s="11" t="str">
        <f>+HYPERLINK("http://trademark.i-assist.jp/data/china/image_1901th/79112638.pdf", "79112638")</f>
        <v>79112638</v>
      </c>
      <c r="F2112" s="10" t="s">
        <v>5935</v>
      </c>
      <c r="G2112" s="10" t="s">
        <v>5936</v>
      </c>
      <c r="H2112" s="10" t="s">
        <v>5937</v>
      </c>
      <c r="I2112" s="10" t="s">
        <v>5466</v>
      </c>
    </row>
    <row r="2113" spans="1:9" x14ac:dyDescent="0.15">
      <c r="A2113" s="9">
        <v>2112</v>
      </c>
      <c r="B2113" s="10" t="s">
        <v>9</v>
      </c>
      <c r="C2113" s="10" t="s">
        <v>164</v>
      </c>
      <c r="D2113" s="10" t="s">
        <v>165</v>
      </c>
      <c r="E2113" s="11" t="str">
        <f>+HYPERLINK("http://trademark.i-assist.jp/data/china/image_1901th/79112644.pdf", "79112644")</f>
        <v>79112644</v>
      </c>
      <c r="F2113" s="10" t="s">
        <v>5938</v>
      </c>
      <c r="G2113" s="10" t="s">
        <v>5524</v>
      </c>
      <c r="H2113" s="10" t="s">
        <v>5939</v>
      </c>
      <c r="I2113" s="10" t="s">
        <v>5466</v>
      </c>
    </row>
    <row r="2114" spans="1:9" x14ac:dyDescent="0.15">
      <c r="A2114" s="9">
        <v>2113</v>
      </c>
      <c r="B2114" s="10" t="s">
        <v>9</v>
      </c>
      <c r="C2114" s="10" t="s">
        <v>164</v>
      </c>
      <c r="D2114" s="10" t="s">
        <v>165</v>
      </c>
      <c r="E2114" s="11" t="str">
        <f>+HYPERLINK("http://trademark.i-assist.jp/data/china/image_1901th/79112654.pdf", "79112654")</f>
        <v>79112654</v>
      </c>
      <c r="F2114" s="10" t="s">
        <v>5940</v>
      </c>
      <c r="G2114" s="10" t="s">
        <v>5477</v>
      </c>
      <c r="H2114" s="10" t="s">
        <v>5941</v>
      </c>
      <c r="I2114" s="10" t="s">
        <v>5466</v>
      </c>
    </row>
    <row r="2115" spans="1:9" x14ac:dyDescent="0.15">
      <c r="A2115" s="9">
        <v>2114</v>
      </c>
      <c r="B2115" s="10" t="s">
        <v>9</v>
      </c>
      <c r="C2115" s="10" t="s">
        <v>164</v>
      </c>
      <c r="D2115" s="10" t="s">
        <v>165</v>
      </c>
      <c r="E2115" s="11" t="str">
        <f>+HYPERLINK("http://trademark.i-assist.jp/data/china/image_1901th/79112803.pdf", "79112803")</f>
        <v>79112803</v>
      </c>
      <c r="F2115" s="10" t="s">
        <v>5942</v>
      </c>
      <c r="G2115" s="10" t="s">
        <v>5760</v>
      </c>
      <c r="H2115" s="10" t="s">
        <v>5943</v>
      </c>
      <c r="I2115" s="10" t="s">
        <v>5466</v>
      </c>
    </row>
    <row r="2116" spans="1:9" x14ac:dyDescent="0.15">
      <c r="A2116" s="9">
        <v>2115</v>
      </c>
      <c r="B2116" s="10" t="s">
        <v>9</v>
      </c>
      <c r="C2116" s="10" t="s">
        <v>164</v>
      </c>
      <c r="D2116" s="10" t="s">
        <v>165</v>
      </c>
      <c r="E2116" s="11" t="str">
        <f>+HYPERLINK("http://trademark.i-assist.jp/data/china/image_1901th/79112892.pdf", "79112892")</f>
        <v>79112892</v>
      </c>
      <c r="F2116" s="10" t="s">
        <v>5944</v>
      </c>
      <c r="G2116" s="10" t="s">
        <v>5657</v>
      </c>
      <c r="H2116" s="10" t="s">
        <v>5945</v>
      </c>
      <c r="I2116" s="10" t="s">
        <v>5466</v>
      </c>
    </row>
    <row r="2117" spans="1:9" x14ac:dyDescent="0.15">
      <c r="A2117" s="9">
        <v>2116</v>
      </c>
      <c r="B2117" s="10" t="s">
        <v>9</v>
      </c>
      <c r="C2117" s="10" t="s">
        <v>164</v>
      </c>
      <c r="D2117" s="10" t="s">
        <v>165</v>
      </c>
      <c r="E2117" s="11" t="str">
        <f>+HYPERLINK("http://trademark.i-assist.jp/data/china/image_1901th/79112909.pdf", "79112909")</f>
        <v>79112909</v>
      </c>
      <c r="F2117" s="10" t="s">
        <v>5946</v>
      </c>
      <c r="G2117" s="10" t="s">
        <v>5760</v>
      </c>
      <c r="H2117" s="10" t="s">
        <v>5947</v>
      </c>
      <c r="I2117" s="10" t="s">
        <v>5466</v>
      </c>
    </row>
    <row r="2118" spans="1:9" x14ac:dyDescent="0.15">
      <c r="A2118" s="9">
        <v>2117</v>
      </c>
      <c r="B2118" s="10" t="s">
        <v>9</v>
      </c>
      <c r="C2118" s="10" t="s">
        <v>164</v>
      </c>
      <c r="D2118" s="10" t="s">
        <v>165</v>
      </c>
      <c r="E2118" s="11" t="str">
        <f>+HYPERLINK("http://trademark.i-assist.jp/data/china/image_1901th/79113084.pdf", "79113084")</f>
        <v>79113084</v>
      </c>
      <c r="F2118" s="10" t="s">
        <v>5948</v>
      </c>
      <c r="G2118" s="10" t="s">
        <v>5949</v>
      </c>
      <c r="H2118" s="10" t="s">
        <v>5950</v>
      </c>
      <c r="I2118" s="10" t="s">
        <v>5466</v>
      </c>
    </row>
    <row r="2119" spans="1:9" x14ac:dyDescent="0.15">
      <c r="A2119" s="9">
        <v>2118</v>
      </c>
      <c r="B2119" s="10" t="s">
        <v>9</v>
      </c>
      <c r="C2119" s="10" t="s">
        <v>164</v>
      </c>
      <c r="D2119" s="10" t="s">
        <v>165</v>
      </c>
      <c r="E2119" s="11" t="str">
        <f>+HYPERLINK("http://trademark.i-assist.jp/data/china/image_1901th/79113102.pdf", "79113102")</f>
        <v>79113102</v>
      </c>
      <c r="F2119" s="10" t="s">
        <v>5951</v>
      </c>
      <c r="G2119" s="10" t="s">
        <v>5760</v>
      </c>
      <c r="H2119" s="10" t="s">
        <v>5952</v>
      </c>
      <c r="I2119" s="10" t="s">
        <v>5466</v>
      </c>
    </row>
    <row r="2120" spans="1:9" x14ac:dyDescent="0.15">
      <c r="A2120" s="9">
        <v>2119</v>
      </c>
      <c r="B2120" s="10" t="s">
        <v>9</v>
      </c>
      <c r="C2120" s="10" t="s">
        <v>164</v>
      </c>
      <c r="D2120" s="10" t="s">
        <v>165</v>
      </c>
      <c r="E2120" s="11" t="str">
        <f>+HYPERLINK("http://trademark.i-assist.jp/data/china/image_1901th/79113135.pdf", "79113135")</f>
        <v>79113135</v>
      </c>
      <c r="F2120" s="10" t="s">
        <v>5953</v>
      </c>
      <c r="G2120" s="10" t="s">
        <v>5954</v>
      </c>
      <c r="H2120" s="10" t="s">
        <v>5955</v>
      </c>
      <c r="I2120" s="10" t="s">
        <v>5466</v>
      </c>
    </row>
    <row r="2121" spans="1:9" x14ac:dyDescent="0.15">
      <c r="A2121" s="9">
        <v>2120</v>
      </c>
      <c r="B2121" s="10" t="s">
        <v>9</v>
      </c>
      <c r="C2121" s="10" t="s">
        <v>164</v>
      </c>
      <c r="D2121" s="10" t="s">
        <v>165</v>
      </c>
      <c r="E2121" s="11" t="str">
        <f>+HYPERLINK("http://trademark.i-assist.jp/data/china/image_1901th/79113224.pdf", "79113224")</f>
        <v>79113224</v>
      </c>
      <c r="F2121" s="10" t="s">
        <v>5956</v>
      </c>
      <c r="G2121" s="10" t="s">
        <v>5957</v>
      </c>
      <c r="H2121" s="10" t="s">
        <v>5958</v>
      </c>
      <c r="I2121" s="10" t="s">
        <v>5466</v>
      </c>
    </row>
    <row r="2122" spans="1:9" x14ac:dyDescent="0.15">
      <c r="A2122" s="9">
        <v>2121</v>
      </c>
      <c r="B2122" s="10" t="s">
        <v>9</v>
      </c>
      <c r="C2122" s="10" t="s">
        <v>164</v>
      </c>
      <c r="D2122" s="10" t="s">
        <v>165</v>
      </c>
      <c r="E2122" s="11" t="str">
        <f>+HYPERLINK("http://trademark.i-assist.jp/data/china/image_1901th/79113427.pdf", "79113427")</f>
        <v>79113427</v>
      </c>
      <c r="F2122" s="10" t="s">
        <v>5959</v>
      </c>
      <c r="G2122" s="10" t="s">
        <v>5960</v>
      </c>
      <c r="H2122" s="10" t="s">
        <v>5961</v>
      </c>
      <c r="I2122" s="10" t="s">
        <v>5466</v>
      </c>
    </row>
    <row r="2123" spans="1:9" x14ac:dyDescent="0.15">
      <c r="A2123" s="9">
        <v>2122</v>
      </c>
      <c r="B2123" s="10" t="s">
        <v>9</v>
      </c>
      <c r="C2123" s="10" t="s">
        <v>164</v>
      </c>
      <c r="D2123" s="10" t="s">
        <v>165</v>
      </c>
      <c r="E2123" s="11" t="str">
        <f>+HYPERLINK("http://trademark.i-assist.jp/data/china/image_1901th/79113503.pdf", "79113503")</f>
        <v>79113503</v>
      </c>
      <c r="F2123" s="10" t="s">
        <v>5962</v>
      </c>
      <c r="G2123" s="10" t="s">
        <v>5577</v>
      </c>
      <c r="H2123" s="10" t="s">
        <v>5963</v>
      </c>
      <c r="I2123" s="10" t="s">
        <v>5466</v>
      </c>
    </row>
    <row r="2124" spans="1:9" x14ac:dyDescent="0.15">
      <c r="A2124" s="9">
        <v>2123</v>
      </c>
      <c r="B2124" s="10" t="s">
        <v>9</v>
      </c>
      <c r="C2124" s="10" t="s">
        <v>164</v>
      </c>
      <c r="D2124" s="10" t="s">
        <v>165</v>
      </c>
      <c r="E2124" s="11" t="str">
        <f>+HYPERLINK("http://trademark.i-assist.jp/data/china/image_1901th/79113704.pdf", "79113704")</f>
        <v>79113704</v>
      </c>
      <c r="F2124" s="10" t="s">
        <v>5964</v>
      </c>
      <c r="G2124" s="10" t="s">
        <v>5965</v>
      </c>
      <c r="H2124" s="10" t="s">
        <v>5966</v>
      </c>
      <c r="I2124" s="10" t="s">
        <v>5466</v>
      </c>
    </row>
    <row r="2125" spans="1:9" x14ac:dyDescent="0.15">
      <c r="A2125" s="9">
        <v>2124</v>
      </c>
      <c r="B2125" s="10" t="s">
        <v>9</v>
      </c>
      <c r="C2125" s="10" t="s">
        <v>164</v>
      </c>
      <c r="D2125" s="10" t="s">
        <v>165</v>
      </c>
      <c r="E2125" s="11" t="str">
        <f>+HYPERLINK("http://trademark.i-assist.jp/data/china/image_1901th/79113726.pdf", "79113726")</f>
        <v>79113726</v>
      </c>
      <c r="F2125" s="10" t="s">
        <v>5967</v>
      </c>
      <c r="G2125" s="10" t="s">
        <v>5968</v>
      </c>
      <c r="H2125" s="10" t="s">
        <v>5969</v>
      </c>
      <c r="I2125" s="10" t="s">
        <v>5466</v>
      </c>
    </row>
    <row r="2126" spans="1:9" x14ac:dyDescent="0.15">
      <c r="A2126" s="9">
        <v>2125</v>
      </c>
      <c r="B2126" s="10" t="s">
        <v>9</v>
      </c>
      <c r="C2126" s="10" t="s">
        <v>164</v>
      </c>
      <c r="D2126" s="10" t="s">
        <v>165</v>
      </c>
      <c r="E2126" s="11" t="str">
        <f>+HYPERLINK("http://trademark.i-assist.jp/data/china/image_1901th/79113816.pdf", "79113816")</f>
        <v>79113816</v>
      </c>
      <c r="F2126" s="10" t="s">
        <v>5970</v>
      </c>
      <c r="G2126" s="10" t="s">
        <v>4537</v>
      </c>
      <c r="H2126" s="10" t="s">
        <v>5971</v>
      </c>
      <c r="I2126" s="10" t="s">
        <v>5466</v>
      </c>
    </row>
    <row r="2127" spans="1:9" x14ac:dyDescent="0.15">
      <c r="A2127" s="9">
        <v>2126</v>
      </c>
      <c r="B2127" s="10" t="s">
        <v>9</v>
      </c>
      <c r="C2127" s="10" t="s">
        <v>164</v>
      </c>
      <c r="D2127" s="10" t="s">
        <v>165</v>
      </c>
      <c r="E2127" s="11" t="str">
        <f>+HYPERLINK("http://trademark.i-assist.jp/data/china/image_1901th/79114386.pdf", "79114386")</f>
        <v>79114386</v>
      </c>
      <c r="F2127" s="10" t="s">
        <v>5972</v>
      </c>
      <c r="G2127" s="10" t="s">
        <v>5477</v>
      </c>
      <c r="H2127" s="10" t="s">
        <v>5973</v>
      </c>
      <c r="I2127" s="10" t="s">
        <v>5466</v>
      </c>
    </row>
    <row r="2128" spans="1:9" x14ac:dyDescent="0.15">
      <c r="A2128" s="9">
        <v>2127</v>
      </c>
      <c r="B2128" s="10" t="s">
        <v>9</v>
      </c>
      <c r="C2128" s="10" t="s">
        <v>164</v>
      </c>
      <c r="D2128" s="10" t="s">
        <v>165</v>
      </c>
      <c r="E2128" s="11" t="str">
        <f>+HYPERLINK("http://trademark.i-assist.jp/data/china/image_1901th/79114433.pdf", "79114433")</f>
        <v>79114433</v>
      </c>
      <c r="F2128" s="10" t="s">
        <v>5974</v>
      </c>
      <c r="G2128" s="10" t="s">
        <v>5975</v>
      </c>
      <c r="H2128" s="10" t="s">
        <v>5976</v>
      </c>
      <c r="I2128" s="10" t="s">
        <v>5466</v>
      </c>
    </row>
    <row r="2129" spans="1:9" x14ac:dyDescent="0.15">
      <c r="A2129" s="9">
        <v>2128</v>
      </c>
      <c r="B2129" s="10" t="s">
        <v>9</v>
      </c>
      <c r="C2129" s="10" t="s">
        <v>164</v>
      </c>
      <c r="D2129" s="10" t="s">
        <v>165</v>
      </c>
      <c r="E2129" s="11" t="str">
        <f>+HYPERLINK("http://trademark.i-assist.jp/data/china/image_1901th/79114442.pdf", "79114442")</f>
        <v>79114442</v>
      </c>
      <c r="F2129" s="10" t="s">
        <v>5977</v>
      </c>
      <c r="G2129" s="10" t="s">
        <v>5978</v>
      </c>
      <c r="H2129" s="10" t="s">
        <v>5979</v>
      </c>
      <c r="I2129" s="10" t="s">
        <v>5466</v>
      </c>
    </row>
    <row r="2130" spans="1:9" x14ac:dyDescent="0.15">
      <c r="A2130" s="9">
        <v>2129</v>
      </c>
      <c r="B2130" s="10" t="s">
        <v>9</v>
      </c>
      <c r="C2130" s="10" t="s">
        <v>164</v>
      </c>
      <c r="D2130" s="10" t="s">
        <v>165</v>
      </c>
      <c r="E2130" s="11" t="str">
        <f>+HYPERLINK("http://trademark.i-assist.jp/data/china/image_1901th/79114532.pdf", "79114532")</f>
        <v>79114532</v>
      </c>
      <c r="F2130" s="10" t="s">
        <v>5980</v>
      </c>
      <c r="G2130" s="10" t="s">
        <v>5981</v>
      </c>
      <c r="H2130" s="10" t="s">
        <v>5982</v>
      </c>
      <c r="I2130" s="10" t="s">
        <v>5466</v>
      </c>
    </row>
    <row r="2131" spans="1:9" x14ac:dyDescent="0.15">
      <c r="A2131" s="9">
        <v>2130</v>
      </c>
      <c r="B2131" s="10" t="s">
        <v>9</v>
      </c>
      <c r="C2131" s="10" t="s">
        <v>164</v>
      </c>
      <c r="D2131" s="10" t="s">
        <v>165</v>
      </c>
      <c r="E2131" s="11" t="str">
        <f>+HYPERLINK("http://trademark.i-assist.jp/data/china/image_1901th/79114579.pdf", "79114579")</f>
        <v>79114579</v>
      </c>
      <c r="F2131" s="10" t="s">
        <v>5983</v>
      </c>
      <c r="G2131" s="10" t="s">
        <v>5984</v>
      </c>
      <c r="H2131" s="10" t="s">
        <v>5985</v>
      </c>
      <c r="I2131" s="10" t="s">
        <v>5466</v>
      </c>
    </row>
    <row r="2132" spans="1:9" x14ac:dyDescent="0.15">
      <c r="A2132" s="9">
        <v>2131</v>
      </c>
      <c r="B2132" s="10" t="s">
        <v>9</v>
      </c>
      <c r="C2132" s="10" t="s">
        <v>164</v>
      </c>
      <c r="D2132" s="10" t="s">
        <v>165</v>
      </c>
      <c r="E2132" s="11" t="str">
        <f>+HYPERLINK("http://trademark.i-assist.jp/data/china/image_1901th/79114594.pdf", "79114594")</f>
        <v>79114594</v>
      </c>
      <c r="F2132" s="10" t="s">
        <v>5986</v>
      </c>
      <c r="G2132" s="10" t="s">
        <v>5984</v>
      </c>
      <c r="H2132" s="10" t="s">
        <v>5987</v>
      </c>
      <c r="I2132" s="10" t="s">
        <v>5466</v>
      </c>
    </row>
    <row r="2133" spans="1:9" x14ac:dyDescent="0.15">
      <c r="A2133" s="9">
        <v>2132</v>
      </c>
      <c r="B2133" s="10" t="s">
        <v>9</v>
      </c>
      <c r="C2133" s="10" t="s">
        <v>164</v>
      </c>
      <c r="D2133" s="10" t="s">
        <v>165</v>
      </c>
      <c r="E2133" s="11" t="str">
        <f>+HYPERLINK("http://trademark.i-assist.jp/data/china/image_1901th/79114697.pdf", "79114697")</f>
        <v>79114697</v>
      </c>
      <c r="F2133" s="10" t="s">
        <v>5988</v>
      </c>
      <c r="G2133" s="10" t="s">
        <v>5989</v>
      </c>
      <c r="H2133" s="10" t="s">
        <v>5990</v>
      </c>
      <c r="I2133" s="10" t="s">
        <v>5466</v>
      </c>
    </row>
    <row r="2134" spans="1:9" x14ac:dyDescent="0.15">
      <c r="A2134" s="9">
        <v>2133</v>
      </c>
      <c r="B2134" s="10" t="s">
        <v>9</v>
      </c>
      <c r="C2134" s="10" t="s">
        <v>164</v>
      </c>
      <c r="D2134" s="10" t="s">
        <v>165</v>
      </c>
      <c r="E2134" s="11" t="str">
        <f>+HYPERLINK("http://trademark.i-assist.jp/data/china/image_1901th/79114751.pdf", "79114751")</f>
        <v>79114751</v>
      </c>
      <c r="F2134" s="10" t="s">
        <v>5991</v>
      </c>
      <c r="G2134" s="10" t="s">
        <v>5992</v>
      </c>
      <c r="H2134" s="10" t="s">
        <v>5993</v>
      </c>
      <c r="I2134" s="10" t="s">
        <v>5466</v>
      </c>
    </row>
    <row r="2135" spans="1:9" x14ac:dyDescent="0.15">
      <c r="A2135" s="9">
        <v>2134</v>
      </c>
      <c r="B2135" s="10" t="s">
        <v>9</v>
      </c>
      <c r="C2135" s="10" t="s">
        <v>164</v>
      </c>
      <c r="D2135" s="10" t="s">
        <v>165</v>
      </c>
      <c r="E2135" s="11" t="str">
        <f>+HYPERLINK("http://trademark.i-assist.jp/data/china/image_1901th/79115128.pdf", "79115128")</f>
        <v>79115128</v>
      </c>
      <c r="F2135" s="10" t="s">
        <v>5994</v>
      </c>
      <c r="G2135" s="10" t="s">
        <v>5705</v>
      </c>
      <c r="H2135" s="10" t="s">
        <v>5995</v>
      </c>
      <c r="I2135" s="10" t="s">
        <v>5466</v>
      </c>
    </row>
    <row r="2136" spans="1:9" x14ac:dyDescent="0.15">
      <c r="A2136" s="9">
        <v>2135</v>
      </c>
      <c r="B2136" s="10" t="s">
        <v>9</v>
      </c>
      <c r="C2136" s="10" t="s">
        <v>164</v>
      </c>
      <c r="D2136" s="10" t="s">
        <v>165</v>
      </c>
      <c r="E2136" s="11" t="str">
        <f>+HYPERLINK("http://trademark.i-assist.jp/data/china/image_1901th/79115147.pdf", "79115147")</f>
        <v>79115147</v>
      </c>
      <c r="F2136" s="10" t="s">
        <v>5996</v>
      </c>
      <c r="G2136" s="10" t="s">
        <v>5997</v>
      </c>
      <c r="H2136" s="10" t="s">
        <v>5998</v>
      </c>
      <c r="I2136" s="10" t="s">
        <v>5466</v>
      </c>
    </row>
    <row r="2137" spans="1:9" x14ac:dyDescent="0.15">
      <c r="A2137" s="9">
        <v>2136</v>
      </c>
      <c r="B2137" s="10" t="s">
        <v>9</v>
      </c>
      <c r="C2137" s="10" t="s">
        <v>164</v>
      </c>
      <c r="D2137" s="10" t="s">
        <v>165</v>
      </c>
      <c r="E2137" s="11" t="str">
        <f>+HYPERLINK("http://trademark.i-assist.jp/data/china/image_1901th/79115338.pdf", "79115338")</f>
        <v>79115338</v>
      </c>
      <c r="F2137" s="10" t="s">
        <v>5999</v>
      </c>
      <c r="G2137" s="10" t="s">
        <v>6000</v>
      </c>
      <c r="H2137" s="10" t="s">
        <v>6001</v>
      </c>
      <c r="I2137" s="10" t="s">
        <v>5466</v>
      </c>
    </row>
    <row r="2138" spans="1:9" x14ac:dyDescent="0.15">
      <c r="A2138" s="9">
        <v>2137</v>
      </c>
      <c r="B2138" s="10" t="s">
        <v>9</v>
      </c>
      <c r="C2138" s="10" t="s">
        <v>164</v>
      </c>
      <c r="D2138" s="10" t="s">
        <v>165</v>
      </c>
      <c r="E2138" s="11" t="str">
        <f>+HYPERLINK("http://trademark.i-assist.jp/data/china/image_1901th/79115526.pdf", "79115526")</f>
        <v>79115526</v>
      </c>
      <c r="F2138" s="10" t="s">
        <v>6002</v>
      </c>
      <c r="G2138" s="10" t="s">
        <v>6003</v>
      </c>
      <c r="H2138" s="10" t="s">
        <v>6004</v>
      </c>
      <c r="I2138" s="10" t="s">
        <v>5466</v>
      </c>
    </row>
    <row r="2139" spans="1:9" x14ac:dyDescent="0.15">
      <c r="A2139" s="9">
        <v>2138</v>
      </c>
      <c r="B2139" s="10" t="s">
        <v>9</v>
      </c>
      <c r="C2139" s="10" t="s">
        <v>164</v>
      </c>
      <c r="D2139" s="10" t="s">
        <v>165</v>
      </c>
      <c r="E2139" s="11" t="str">
        <f>+HYPERLINK("http://trademark.i-assist.jp/data/china/image_1901th/79115573.pdf", "79115573")</f>
        <v>79115573</v>
      </c>
      <c r="F2139" s="10" t="s">
        <v>6005</v>
      </c>
      <c r="G2139" s="10" t="s">
        <v>6006</v>
      </c>
      <c r="H2139" s="10" t="s">
        <v>6007</v>
      </c>
      <c r="I2139" s="10" t="s">
        <v>5466</v>
      </c>
    </row>
    <row r="2140" spans="1:9" x14ac:dyDescent="0.15">
      <c r="A2140" s="9">
        <v>2139</v>
      </c>
      <c r="B2140" s="10" t="s">
        <v>9</v>
      </c>
      <c r="C2140" s="10" t="s">
        <v>164</v>
      </c>
      <c r="D2140" s="10" t="s">
        <v>165</v>
      </c>
      <c r="E2140" s="11" t="str">
        <f>+HYPERLINK("http://trademark.i-assist.jp/data/china/image_1901th/79115603.pdf", "79115603")</f>
        <v>79115603</v>
      </c>
      <c r="F2140" s="10" t="s">
        <v>6008</v>
      </c>
      <c r="G2140" s="10" t="s">
        <v>6009</v>
      </c>
      <c r="H2140" s="10" t="s">
        <v>6010</v>
      </c>
      <c r="I2140" s="10" t="s">
        <v>5466</v>
      </c>
    </row>
    <row r="2141" spans="1:9" x14ac:dyDescent="0.15">
      <c r="A2141" s="9">
        <v>2140</v>
      </c>
      <c r="B2141" s="10" t="s">
        <v>9</v>
      </c>
      <c r="C2141" s="10" t="s">
        <v>164</v>
      </c>
      <c r="D2141" s="10" t="s">
        <v>165</v>
      </c>
      <c r="E2141" s="11" t="str">
        <f>+HYPERLINK("http://trademark.i-assist.jp/data/china/image_1901th/79115771.pdf", "79115771")</f>
        <v>79115771</v>
      </c>
      <c r="F2141" s="10" t="s">
        <v>6011</v>
      </c>
      <c r="G2141" s="10" t="s">
        <v>5681</v>
      </c>
      <c r="H2141" s="10" t="s">
        <v>6012</v>
      </c>
      <c r="I2141" s="10" t="s">
        <v>5466</v>
      </c>
    </row>
    <row r="2142" spans="1:9" x14ac:dyDescent="0.15">
      <c r="A2142" s="9">
        <v>2141</v>
      </c>
      <c r="B2142" s="10" t="s">
        <v>9</v>
      </c>
      <c r="C2142" s="10" t="s">
        <v>164</v>
      </c>
      <c r="D2142" s="10" t="s">
        <v>165</v>
      </c>
      <c r="E2142" s="11" t="str">
        <f>+HYPERLINK("http://trademark.i-assist.jp/data/china/image_1901th/79116161.pdf", "79116161")</f>
        <v>79116161</v>
      </c>
      <c r="F2142" s="10" t="s">
        <v>6013</v>
      </c>
      <c r="G2142" s="10" t="s">
        <v>1739</v>
      </c>
      <c r="H2142" s="10" t="s">
        <v>6014</v>
      </c>
      <c r="I2142" s="10" t="s">
        <v>5466</v>
      </c>
    </row>
    <row r="2143" spans="1:9" x14ac:dyDescent="0.15">
      <c r="A2143" s="9">
        <v>2142</v>
      </c>
      <c r="B2143" s="10" t="s">
        <v>9</v>
      </c>
      <c r="C2143" s="10" t="s">
        <v>164</v>
      </c>
      <c r="D2143" s="10" t="s">
        <v>165</v>
      </c>
      <c r="E2143" s="11" t="str">
        <f>+HYPERLINK("http://trademark.i-assist.jp/data/china/image_1901th/79116353.pdf", "79116353")</f>
        <v>79116353</v>
      </c>
      <c r="F2143" s="10" t="s">
        <v>6015</v>
      </c>
      <c r="G2143" s="10" t="s">
        <v>5519</v>
      </c>
      <c r="H2143" s="10" t="s">
        <v>6016</v>
      </c>
      <c r="I2143" s="10" t="s">
        <v>5466</v>
      </c>
    </row>
    <row r="2144" spans="1:9" x14ac:dyDescent="0.15">
      <c r="A2144" s="9">
        <v>2143</v>
      </c>
      <c r="B2144" s="10" t="s">
        <v>9</v>
      </c>
      <c r="C2144" s="10" t="s">
        <v>164</v>
      </c>
      <c r="D2144" s="10" t="s">
        <v>165</v>
      </c>
      <c r="E2144" s="11" t="str">
        <f>+HYPERLINK("http://trademark.i-assist.jp/data/china/image_1901th/79116489.pdf", "79116489")</f>
        <v>79116489</v>
      </c>
      <c r="F2144" s="10" t="s">
        <v>12</v>
      </c>
      <c r="G2144" s="10" t="s">
        <v>6017</v>
      </c>
      <c r="H2144" s="10" t="s">
        <v>6018</v>
      </c>
      <c r="I2144" s="10" t="s">
        <v>5466</v>
      </c>
    </row>
    <row r="2145" spans="1:9" x14ac:dyDescent="0.15">
      <c r="A2145" s="9">
        <v>2144</v>
      </c>
      <c r="B2145" s="10" t="s">
        <v>9</v>
      </c>
      <c r="C2145" s="10" t="s">
        <v>164</v>
      </c>
      <c r="D2145" s="10" t="s">
        <v>165</v>
      </c>
      <c r="E2145" s="11" t="str">
        <f>+HYPERLINK("http://trademark.i-assist.jp/data/china/image_1901th/79116648.pdf", "79116648")</f>
        <v>79116648</v>
      </c>
      <c r="F2145" s="10" t="s">
        <v>6019</v>
      </c>
      <c r="G2145" s="10" t="s">
        <v>5640</v>
      </c>
      <c r="H2145" s="10" t="s">
        <v>6020</v>
      </c>
      <c r="I2145" s="10" t="s">
        <v>5466</v>
      </c>
    </row>
    <row r="2146" spans="1:9" x14ac:dyDescent="0.15">
      <c r="A2146" s="9">
        <v>2145</v>
      </c>
      <c r="B2146" s="10" t="s">
        <v>9</v>
      </c>
      <c r="C2146" s="10" t="s">
        <v>164</v>
      </c>
      <c r="D2146" s="10" t="s">
        <v>165</v>
      </c>
      <c r="E2146" s="11" t="str">
        <f>+HYPERLINK("http://trademark.i-assist.jp/data/china/image_1901th/79116723.pdf", "79116723")</f>
        <v>79116723</v>
      </c>
      <c r="F2146" s="10" t="s">
        <v>6021</v>
      </c>
      <c r="G2146" s="10" t="s">
        <v>6022</v>
      </c>
      <c r="H2146" s="10" t="s">
        <v>6023</v>
      </c>
      <c r="I2146" s="10" t="s">
        <v>5466</v>
      </c>
    </row>
    <row r="2147" spans="1:9" x14ac:dyDescent="0.15">
      <c r="A2147" s="9">
        <v>2146</v>
      </c>
      <c r="B2147" s="10" t="s">
        <v>9</v>
      </c>
      <c r="C2147" s="10" t="s">
        <v>164</v>
      </c>
      <c r="D2147" s="10" t="s">
        <v>165</v>
      </c>
      <c r="E2147" s="11" t="str">
        <f>+HYPERLINK("http://trademark.i-assist.jp/data/china/image_1901th/79116796.pdf", "79116796")</f>
        <v>79116796</v>
      </c>
      <c r="F2147" s="10" t="s">
        <v>6024</v>
      </c>
      <c r="G2147" s="10" t="s">
        <v>5827</v>
      </c>
      <c r="H2147" s="10" t="s">
        <v>6025</v>
      </c>
      <c r="I2147" s="10" t="s">
        <v>5466</v>
      </c>
    </row>
    <row r="2148" spans="1:9" x14ac:dyDescent="0.15">
      <c r="A2148" s="9">
        <v>2147</v>
      </c>
      <c r="B2148" s="10" t="s">
        <v>9</v>
      </c>
      <c r="C2148" s="10" t="s">
        <v>164</v>
      </c>
      <c r="D2148" s="10" t="s">
        <v>165</v>
      </c>
      <c r="E2148" s="11" t="str">
        <f>+HYPERLINK("http://trademark.i-assist.jp/data/china/image_1901th/79116999.pdf", "79116999")</f>
        <v>79116999</v>
      </c>
      <c r="F2148" s="10" t="s">
        <v>5849</v>
      </c>
      <c r="G2148" s="10" t="s">
        <v>5850</v>
      </c>
      <c r="H2148" s="10" t="s">
        <v>6026</v>
      </c>
      <c r="I2148" s="10" t="s">
        <v>5466</v>
      </c>
    </row>
    <row r="2149" spans="1:9" x14ac:dyDescent="0.15">
      <c r="A2149" s="9">
        <v>2148</v>
      </c>
      <c r="B2149" s="10" t="s">
        <v>9</v>
      </c>
      <c r="C2149" s="10" t="s">
        <v>164</v>
      </c>
      <c r="D2149" s="10" t="s">
        <v>165</v>
      </c>
      <c r="E2149" s="11" t="str">
        <f>+HYPERLINK("http://trademark.i-assist.jp/data/china/image_1901th/79117261.pdf", "79117261")</f>
        <v>79117261</v>
      </c>
      <c r="F2149" s="10" t="s">
        <v>6027</v>
      </c>
      <c r="G2149" s="10" t="s">
        <v>3017</v>
      </c>
      <c r="H2149" s="10" t="s">
        <v>6028</v>
      </c>
      <c r="I2149" s="10" t="s">
        <v>5466</v>
      </c>
    </row>
    <row r="2150" spans="1:9" x14ac:dyDescent="0.15">
      <c r="A2150" s="9">
        <v>2149</v>
      </c>
      <c r="B2150" s="10" t="s">
        <v>9</v>
      </c>
      <c r="C2150" s="10" t="s">
        <v>164</v>
      </c>
      <c r="D2150" s="10" t="s">
        <v>165</v>
      </c>
      <c r="E2150" s="11" t="str">
        <f>+HYPERLINK("http://trademark.i-assist.jp/data/china/image_1901th/79117341.pdf", "79117341")</f>
        <v>79117341</v>
      </c>
      <c r="F2150" s="10" t="s">
        <v>6029</v>
      </c>
      <c r="G2150" s="10" t="s">
        <v>6030</v>
      </c>
      <c r="H2150" s="10" t="s">
        <v>6031</v>
      </c>
      <c r="I2150" s="10" t="s">
        <v>5466</v>
      </c>
    </row>
    <row r="2151" spans="1:9" x14ac:dyDescent="0.15">
      <c r="A2151" s="9">
        <v>2150</v>
      </c>
      <c r="B2151" s="10" t="s">
        <v>9</v>
      </c>
      <c r="C2151" s="10" t="s">
        <v>164</v>
      </c>
      <c r="D2151" s="10" t="s">
        <v>165</v>
      </c>
      <c r="E2151" s="11" t="str">
        <f>+HYPERLINK("http://trademark.i-assist.jp/data/china/image_1901th/79117381.pdf", "79117381")</f>
        <v>79117381</v>
      </c>
      <c r="F2151" s="10" t="s">
        <v>6032</v>
      </c>
      <c r="G2151" s="10" t="s">
        <v>6033</v>
      </c>
      <c r="H2151" s="10" t="s">
        <v>6034</v>
      </c>
      <c r="I2151" s="10" t="s">
        <v>5466</v>
      </c>
    </row>
    <row r="2152" spans="1:9" x14ac:dyDescent="0.15">
      <c r="A2152" s="9">
        <v>2151</v>
      </c>
      <c r="B2152" s="10" t="s">
        <v>9</v>
      </c>
      <c r="C2152" s="10" t="s">
        <v>164</v>
      </c>
      <c r="D2152" s="10" t="s">
        <v>165</v>
      </c>
      <c r="E2152" s="11" t="str">
        <f>+HYPERLINK("http://trademark.i-assist.jp/data/china/image_1901th/79117454.pdf", "79117454")</f>
        <v>79117454</v>
      </c>
      <c r="F2152" s="10" t="s">
        <v>6035</v>
      </c>
      <c r="G2152" s="10" t="s">
        <v>5533</v>
      </c>
      <c r="H2152" s="10" t="s">
        <v>6036</v>
      </c>
      <c r="I2152" s="10" t="s">
        <v>5466</v>
      </c>
    </row>
    <row r="2153" spans="1:9" x14ac:dyDescent="0.15">
      <c r="A2153" s="9">
        <v>2152</v>
      </c>
      <c r="B2153" s="10" t="s">
        <v>9</v>
      </c>
      <c r="C2153" s="10" t="s">
        <v>164</v>
      </c>
      <c r="D2153" s="10" t="s">
        <v>165</v>
      </c>
      <c r="E2153" s="11" t="str">
        <f>+HYPERLINK("http://trademark.i-assist.jp/data/china/image_1901th/79117740.pdf", "79117740")</f>
        <v>79117740</v>
      </c>
      <c r="F2153" s="10" t="s">
        <v>6037</v>
      </c>
      <c r="G2153" s="10" t="s">
        <v>5965</v>
      </c>
      <c r="H2153" s="10" t="s">
        <v>6038</v>
      </c>
      <c r="I2153" s="10" t="s">
        <v>5466</v>
      </c>
    </row>
    <row r="2154" spans="1:9" x14ac:dyDescent="0.15">
      <c r="A2154" s="9">
        <v>2153</v>
      </c>
      <c r="B2154" s="10" t="s">
        <v>9</v>
      </c>
      <c r="C2154" s="10" t="s">
        <v>164</v>
      </c>
      <c r="D2154" s="10" t="s">
        <v>165</v>
      </c>
      <c r="E2154" s="11" t="str">
        <f>+HYPERLINK("http://trademark.i-assist.jp/data/china/image_1901th/79117766.pdf", "79117766")</f>
        <v>79117766</v>
      </c>
      <c r="F2154" s="10" t="s">
        <v>6039</v>
      </c>
      <c r="G2154" s="10" t="s">
        <v>6040</v>
      </c>
      <c r="H2154" s="10" t="s">
        <v>6041</v>
      </c>
      <c r="I2154" s="10" t="s">
        <v>5466</v>
      </c>
    </row>
    <row r="2155" spans="1:9" x14ac:dyDescent="0.15">
      <c r="A2155" s="9">
        <v>2154</v>
      </c>
      <c r="B2155" s="10" t="s">
        <v>9</v>
      </c>
      <c r="C2155" s="10" t="s">
        <v>164</v>
      </c>
      <c r="D2155" s="10" t="s">
        <v>165</v>
      </c>
      <c r="E2155" s="11" t="str">
        <f>+HYPERLINK("http://trademark.i-assist.jp/data/china/image_1901th/79117831.pdf", "79117831")</f>
        <v>79117831</v>
      </c>
      <c r="F2155" s="10" t="s">
        <v>6042</v>
      </c>
      <c r="G2155" s="10" t="s">
        <v>6043</v>
      </c>
      <c r="H2155" s="10" t="s">
        <v>6044</v>
      </c>
      <c r="I2155" s="10" t="s">
        <v>5466</v>
      </c>
    </row>
    <row r="2156" spans="1:9" x14ac:dyDescent="0.15">
      <c r="A2156" s="9">
        <v>2155</v>
      </c>
      <c r="B2156" s="10" t="s">
        <v>9</v>
      </c>
      <c r="C2156" s="10" t="s">
        <v>164</v>
      </c>
      <c r="D2156" s="10" t="s">
        <v>165</v>
      </c>
      <c r="E2156" s="11" t="str">
        <f>+HYPERLINK("http://trademark.i-assist.jp/data/china/image_1901th/79117873.pdf", "79117873")</f>
        <v>79117873</v>
      </c>
      <c r="F2156" s="10" t="s">
        <v>6045</v>
      </c>
      <c r="G2156" s="10" t="s">
        <v>145</v>
      </c>
      <c r="H2156" s="10" t="s">
        <v>6046</v>
      </c>
      <c r="I2156" s="10" t="s">
        <v>5466</v>
      </c>
    </row>
    <row r="2157" spans="1:9" x14ac:dyDescent="0.15">
      <c r="A2157" s="9">
        <v>2156</v>
      </c>
      <c r="B2157" s="10" t="s">
        <v>9</v>
      </c>
      <c r="C2157" s="10" t="s">
        <v>164</v>
      </c>
      <c r="D2157" s="10" t="s">
        <v>165</v>
      </c>
      <c r="E2157" s="11" t="str">
        <f>+HYPERLINK("http://trademark.i-assist.jp/data/china/image_1901th/79117896.pdf", "79117896")</f>
        <v>79117896</v>
      </c>
      <c r="F2157" s="10" t="s">
        <v>6047</v>
      </c>
      <c r="G2157" s="10" t="s">
        <v>6048</v>
      </c>
      <c r="H2157" s="10" t="s">
        <v>6049</v>
      </c>
      <c r="I2157" s="10" t="s">
        <v>5466</v>
      </c>
    </row>
    <row r="2158" spans="1:9" x14ac:dyDescent="0.15">
      <c r="A2158" s="9">
        <v>2157</v>
      </c>
      <c r="B2158" s="10" t="s">
        <v>9</v>
      </c>
      <c r="C2158" s="10" t="s">
        <v>164</v>
      </c>
      <c r="D2158" s="10" t="s">
        <v>165</v>
      </c>
      <c r="E2158" s="11" t="str">
        <f>+HYPERLINK("http://trademark.i-assist.jp/data/china/image_1901th/79118154.pdf", "79118154")</f>
        <v>79118154</v>
      </c>
      <c r="F2158" s="10" t="s">
        <v>6050</v>
      </c>
      <c r="G2158" s="10" t="s">
        <v>6051</v>
      </c>
      <c r="H2158" s="10" t="s">
        <v>6052</v>
      </c>
      <c r="I2158" s="10" t="s">
        <v>5466</v>
      </c>
    </row>
    <row r="2159" spans="1:9" x14ac:dyDescent="0.15">
      <c r="A2159" s="9">
        <v>2158</v>
      </c>
      <c r="B2159" s="10" t="s">
        <v>9</v>
      </c>
      <c r="C2159" s="10" t="s">
        <v>164</v>
      </c>
      <c r="D2159" s="10" t="s">
        <v>165</v>
      </c>
      <c r="E2159" s="11" t="str">
        <f>+HYPERLINK("http://trademark.i-assist.jp/data/china/image_1901th/79118232.pdf", "79118232")</f>
        <v>79118232</v>
      </c>
      <c r="F2159" s="10" t="s">
        <v>6053</v>
      </c>
      <c r="G2159" s="10" t="s">
        <v>6054</v>
      </c>
      <c r="H2159" s="10" t="s">
        <v>6055</v>
      </c>
      <c r="I2159" s="10" t="s">
        <v>5466</v>
      </c>
    </row>
    <row r="2160" spans="1:9" x14ac:dyDescent="0.15">
      <c r="A2160" s="9">
        <v>2159</v>
      </c>
      <c r="B2160" s="10" t="s">
        <v>9</v>
      </c>
      <c r="C2160" s="10" t="s">
        <v>164</v>
      </c>
      <c r="D2160" s="10" t="s">
        <v>165</v>
      </c>
      <c r="E2160" s="11" t="str">
        <f>+HYPERLINK("http://trademark.i-assist.jp/data/china/image_1901th/79118280.pdf", "79118280")</f>
        <v>79118280</v>
      </c>
      <c r="F2160" s="10" t="s">
        <v>6056</v>
      </c>
      <c r="G2160" s="10" t="s">
        <v>5577</v>
      </c>
      <c r="H2160" s="10" t="s">
        <v>6057</v>
      </c>
      <c r="I2160" s="10" t="s">
        <v>5466</v>
      </c>
    </row>
    <row r="2161" spans="1:9" x14ac:dyDescent="0.15">
      <c r="A2161" s="9">
        <v>2160</v>
      </c>
      <c r="B2161" s="10" t="s">
        <v>9</v>
      </c>
      <c r="C2161" s="10" t="s">
        <v>164</v>
      </c>
      <c r="D2161" s="10" t="s">
        <v>165</v>
      </c>
      <c r="E2161" s="11" t="str">
        <f>+HYPERLINK("http://trademark.i-assist.jp/data/china/image_1901th/79118342.pdf", "79118342")</f>
        <v>79118342</v>
      </c>
      <c r="F2161" s="10" t="s">
        <v>6058</v>
      </c>
      <c r="G2161" s="10" t="s">
        <v>5622</v>
      </c>
      <c r="H2161" s="10" t="s">
        <v>6059</v>
      </c>
      <c r="I2161" s="10" t="s">
        <v>5466</v>
      </c>
    </row>
    <row r="2162" spans="1:9" x14ac:dyDescent="0.15">
      <c r="A2162" s="9">
        <v>2161</v>
      </c>
      <c r="B2162" s="10" t="s">
        <v>9</v>
      </c>
      <c r="C2162" s="10" t="s">
        <v>164</v>
      </c>
      <c r="D2162" s="10" t="s">
        <v>165</v>
      </c>
      <c r="E2162" s="11" t="str">
        <f>+HYPERLINK("http://trademark.i-assist.jp/data/china/image_1901th/79118395.pdf", "79118395")</f>
        <v>79118395</v>
      </c>
      <c r="F2162" s="10" t="s">
        <v>6060</v>
      </c>
      <c r="G2162" s="10" t="s">
        <v>6061</v>
      </c>
      <c r="H2162" s="10" t="s">
        <v>6062</v>
      </c>
      <c r="I2162" s="10" t="s">
        <v>5466</v>
      </c>
    </row>
    <row r="2163" spans="1:9" x14ac:dyDescent="0.15">
      <c r="A2163" s="9">
        <v>2162</v>
      </c>
      <c r="B2163" s="10" t="s">
        <v>9</v>
      </c>
      <c r="C2163" s="10" t="s">
        <v>164</v>
      </c>
      <c r="D2163" s="10" t="s">
        <v>165</v>
      </c>
      <c r="E2163" s="11" t="str">
        <f>+HYPERLINK("http://trademark.i-assist.jp/data/china/image_1901th/79118521.pdf", "79118521")</f>
        <v>79118521</v>
      </c>
      <c r="F2163" s="10" t="s">
        <v>6063</v>
      </c>
      <c r="G2163" s="10" t="s">
        <v>6064</v>
      </c>
      <c r="H2163" s="10" t="s">
        <v>6065</v>
      </c>
      <c r="I2163" s="10" t="s">
        <v>6066</v>
      </c>
    </row>
    <row r="2164" spans="1:9" x14ac:dyDescent="0.15">
      <c r="A2164" s="9">
        <v>2163</v>
      </c>
      <c r="B2164" s="10" t="s">
        <v>9</v>
      </c>
      <c r="C2164" s="10" t="s">
        <v>164</v>
      </c>
      <c r="D2164" s="10" t="s">
        <v>165</v>
      </c>
      <c r="E2164" s="11" t="str">
        <f>+HYPERLINK("http://trademark.i-assist.jp/data/china/image_1901th/79118970.pdf", "79118970")</f>
        <v>79118970</v>
      </c>
      <c r="F2164" s="10" t="s">
        <v>6067</v>
      </c>
      <c r="G2164" s="10" t="s">
        <v>6068</v>
      </c>
      <c r="H2164" s="10" t="s">
        <v>6069</v>
      </c>
      <c r="I2164" s="10" t="s">
        <v>6066</v>
      </c>
    </row>
    <row r="2165" spans="1:9" x14ac:dyDescent="0.15">
      <c r="A2165" s="9">
        <v>2164</v>
      </c>
      <c r="B2165" s="10" t="s">
        <v>9</v>
      </c>
      <c r="C2165" s="10" t="s">
        <v>164</v>
      </c>
      <c r="D2165" s="10" t="s">
        <v>165</v>
      </c>
      <c r="E2165" s="11" t="str">
        <f>+HYPERLINK("http://trademark.i-assist.jp/data/china/image_1901th/79118987.pdf", "79118987")</f>
        <v>79118987</v>
      </c>
      <c r="F2165" s="10" t="s">
        <v>6070</v>
      </c>
      <c r="G2165" s="10" t="s">
        <v>6071</v>
      </c>
      <c r="H2165" s="10" t="s">
        <v>6072</v>
      </c>
      <c r="I2165" s="10" t="s">
        <v>6066</v>
      </c>
    </row>
    <row r="2166" spans="1:9" x14ac:dyDescent="0.15">
      <c r="A2166" s="9">
        <v>2165</v>
      </c>
      <c r="B2166" s="10" t="s">
        <v>9</v>
      </c>
      <c r="C2166" s="10" t="s">
        <v>164</v>
      </c>
      <c r="D2166" s="10" t="s">
        <v>165</v>
      </c>
      <c r="E2166" s="11" t="str">
        <f>+HYPERLINK("http://trademark.i-assist.jp/data/china/image_1901th/79119113.pdf", "79119113")</f>
        <v>79119113</v>
      </c>
      <c r="F2166" s="10" t="s">
        <v>6073</v>
      </c>
      <c r="G2166" s="10" t="s">
        <v>6074</v>
      </c>
      <c r="H2166" s="10" t="s">
        <v>6075</v>
      </c>
      <c r="I2166" s="10" t="s">
        <v>6066</v>
      </c>
    </row>
    <row r="2167" spans="1:9" x14ac:dyDescent="0.15">
      <c r="A2167" s="9">
        <v>2166</v>
      </c>
      <c r="B2167" s="10" t="s">
        <v>9</v>
      </c>
      <c r="C2167" s="10" t="s">
        <v>164</v>
      </c>
      <c r="D2167" s="10" t="s">
        <v>165</v>
      </c>
      <c r="E2167" s="11" t="str">
        <f>+HYPERLINK("http://trademark.i-assist.jp/data/china/image_1901th/79119431.pdf", "79119431")</f>
        <v>79119431</v>
      </c>
      <c r="F2167" s="10" t="s">
        <v>6076</v>
      </c>
      <c r="G2167" s="10" t="s">
        <v>6071</v>
      </c>
      <c r="H2167" s="10" t="s">
        <v>6077</v>
      </c>
      <c r="I2167" s="10" t="s">
        <v>6066</v>
      </c>
    </row>
    <row r="2168" spans="1:9" x14ac:dyDescent="0.15">
      <c r="A2168" s="9">
        <v>2167</v>
      </c>
      <c r="B2168" s="10" t="s">
        <v>9</v>
      </c>
      <c r="C2168" s="10" t="s">
        <v>164</v>
      </c>
      <c r="D2168" s="10" t="s">
        <v>165</v>
      </c>
      <c r="E2168" s="11" t="str">
        <f>+HYPERLINK("http://trademark.i-assist.jp/data/china/image_1901th/79119610.pdf", "79119610")</f>
        <v>79119610</v>
      </c>
      <c r="F2168" s="10" t="s">
        <v>6078</v>
      </c>
      <c r="G2168" s="10" t="s">
        <v>6079</v>
      </c>
      <c r="H2168" s="10" t="s">
        <v>6080</v>
      </c>
      <c r="I2168" s="10" t="s">
        <v>6066</v>
      </c>
    </row>
    <row r="2169" spans="1:9" x14ac:dyDescent="0.15">
      <c r="A2169" s="9">
        <v>2168</v>
      </c>
      <c r="B2169" s="10" t="s">
        <v>9</v>
      </c>
      <c r="C2169" s="10" t="s">
        <v>164</v>
      </c>
      <c r="D2169" s="10" t="s">
        <v>165</v>
      </c>
      <c r="E2169" s="11" t="str">
        <f>+HYPERLINK("http://trademark.i-assist.jp/data/china/image_1901th/79119814.pdf", "79119814")</f>
        <v>79119814</v>
      </c>
      <c r="F2169" s="10" t="s">
        <v>6081</v>
      </c>
      <c r="G2169" s="10" t="s">
        <v>6068</v>
      </c>
      <c r="H2169" s="10" t="s">
        <v>6082</v>
      </c>
      <c r="I2169" s="10" t="s">
        <v>6066</v>
      </c>
    </row>
    <row r="2170" spans="1:9" x14ac:dyDescent="0.15">
      <c r="A2170" s="9">
        <v>2169</v>
      </c>
      <c r="B2170" s="10" t="s">
        <v>9</v>
      </c>
      <c r="C2170" s="10" t="s">
        <v>164</v>
      </c>
      <c r="D2170" s="10" t="s">
        <v>165</v>
      </c>
      <c r="E2170" s="11" t="str">
        <f>+HYPERLINK("http://trademark.i-assist.jp/data/china/image_1901th/79119955.pdf", "79119955")</f>
        <v>79119955</v>
      </c>
      <c r="F2170" s="10" t="s">
        <v>6083</v>
      </c>
      <c r="G2170" s="10" t="s">
        <v>6074</v>
      </c>
      <c r="H2170" s="10" t="s">
        <v>6084</v>
      </c>
      <c r="I2170" s="10" t="s">
        <v>6066</v>
      </c>
    </row>
    <row r="2171" spans="1:9" x14ac:dyDescent="0.15">
      <c r="A2171" s="9">
        <v>2170</v>
      </c>
      <c r="B2171" s="10" t="s">
        <v>9</v>
      </c>
      <c r="C2171" s="10" t="s">
        <v>164</v>
      </c>
      <c r="D2171" s="10" t="s">
        <v>165</v>
      </c>
      <c r="E2171" s="11" t="str">
        <f>+HYPERLINK("http://trademark.i-assist.jp/data/china/image_1901th/79120663.pdf", "79120663")</f>
        <v>79120663</v>
      </c>
      <c r="F2171" s="10" t="s">
        <v>6085</v>
      </c>
      <c r="G2171" s="10" t="s">
        <v>6086</v>
      </c>
      <c r="H2171" s="10" t="s">
        <v>6087</v>
      </c>
      <c r="I2171" s="10" t="s">
        <v>6066</v>
      </c>
    </row>
    <row r="2172" spans="1:9" x14ac:dyDescent="0.15">
      <c r="A2172" s="9">
        <v>2171</v>
      </c>
      <c r="B2172" s="10" t="s">
        <v>9</v>
      </c>
      <c r="C2172" s="10" t="s">
        <v>164</v>
      </c>
      <c r="D2172" s="10" t="s">
        <v>165</v>
      </c>
      <c r="E2172" s="11" t="str">
        <f>+HYPERLINK("http://trademark.i-assist.jp/data/china/image_1901th/79120765.pdf", "79120765")</f>
        <v>79120765</v>
      </c>
      <c r="F2172" s="10" t="s">
        <v>6088</v>
      </c>
      <c r="G2172" s="10" t="s">
        <v>6089</v>
      </c>
      <c r="H2172" s="10" t="s">
        <v>6090</v>
      </c>
      <c r="I2172" s="10" t="s">
        <v>6066</v>
      </c>
    </row>
    <row r="2173" spans="1:9" x14ac:dyDescent="0.15">
      <c r="A2173" s="9">
        <v>2172</v>
      </c>
      <c r="B2173" s="10" t="s">
        <v>9</v>
      </c>
      <c r="C2173" s="10" t="s">
        <v>164</v>
      </c>
      <c r="D2173" s="10" t="s">
        <v>165</v>
      </c>
      <c r="E2173" s="11" t="str">
        <f>+HYPERLINK("http://trademark.i-assist.jp/data/china/image_1901th/79121033.pdf", "79121033")</f>
        <v>79121033</v>
      </c>
      <c r="F2173" s="10" t="s">
        <v>6091</v>
      </c>
      <c r="G2173" s="10" t="s">
        <v>6092</v>
      </c>
      <c r="H2173" s="10" t="s">
        <v>6093</v>
      </c>
      <c r="I2173" s="10" t="s">
        <v>6066</v>
      </c>
    </row>
    <row r="2174" spans="1:9" x14ac:dyDescent="0.15">
      <c r="A2174" s="9">
        <v>2173</v>
      </c>
      <c r="B2174" s="10" t="s">
        <v>9</v>
      </c>
      <c r="C2174" s="10" t="s">
        <v>164</v>
      </c>
      <c r="D2174" s="10" t="s">
        <v>165</v>
      </c>
      <c r="E2174" s="11" t="str">
        <f>+HYPERLINK("http://trademark.i-assist.jp/data/china/image_1901th/79121712.pdf", "79121712")</f>
        <v>79121712</v>
      </c>
      <c r="F2174" s="10" t="s">
        <v>6094</v>
      </c>
      <c r="G2174" s="10" t="s">
        <v>6095</v>
      </c>
      <c r="H2174" s="10" t="s">
        <v>6096</v>
      </c>
      <c r="I2174" s="10" t="s">
        <v>6066</v>
      </c>
    </row>
    <row r="2175" spans="1:9" x14ac:dyDescent="0.15">
      <c r="A2175" s="9">
        <v>2174</v>
      </c>
      <c r="B2175" s="10" t="s">
        <v>9</v>
      </c>
      <c r="C2175" s="10" t="s">
        <v>164</v>
      </c>
      <c r="D2175" s="10" t="s">
        <v>165</v>
      </c>
      <c r="E2175" s="11" t="str">
        <f>+HYPERLINK("http://trademark.i-assist.jp/data/china/image_1901th/79121902.pdf", "79121902")</f>
        <v>79121902</v>
      </c>
      <c r="F2175" s="10" t="s">
        <v>6097</v>
      </c>
      <c r="G2175" s="10" t="s">
        <v>6098</v>
      </c>
      <c r="H2175" s="10" t="s">
        <v>6099</v>
      </c>
      <c r="I2175" s="10" t="s">
        <v>6066</v>
      </c>
    </row>
    <row r="2176" spans="1:9" x14ac:dyDescent="0.15">
      <c r="A2176" s="9">
        <v>2175</v>
      </c>
      <c r="B2176" s="10" t="s">
        <v>9</v>
      </c>
      <c r="C2176" s="10" t="s">
        <v>164</v>
      </c>
      <c r="D2176" s="10" t="s">
        <v>165</v>
      </c>
      <c r="E2176" s="11" t="str">
        <f>+HYPERLINK("http://trademark.i-assist.jp/data/china/image_1901th/79122553.pdf", "79122553")</f>
        <v>79122553</v>
      </c>
      <c r="F2176" s="10" t="s">
        <v>6100</v>
      </c>
      <c r="G2176" s="10" t="s">
        <v>6074</v>
      </c>
      <c r="H2176" s="10" t="s">
        <v>6101</v>
      </c>
      <c r="I2176" s="10" t="s">
        <v>6066</v>
      </c>
    </row>
    <row r="2177" spans="1:9" x14ac:dyDescent="0.15">
      <c r="A2177" s="9">
        <v>2176</v>
      </c>
      <c r="B2177" s="10" t="s">
        <v>9</v>
      </c>
      <c r="C2177" s="10" t="s">
        <v>164</v>
      </c>
      <c r="D2177" s="10" t="s">
        <v>165</v>
      </c>
      <c r="E2177" s="11" t="str">
        <f>+HYPERLINK("http://trademark.i-assist.jp/data/china/image_1901th/79122618.pdf", "79122618")</f>
        <v>79122618</v>
      </c>
      <c r="F2177" s="10" t="s">
        <v>6102</v>
      </c>
      <c r="G2177" s="10" t="s">
        <v>6103</v>
      </c>
      <c r="H2177" s="10" t="s">
        <v>6104</v>
      </c>
      <c r="I2177" s="10" t="s">
        <v>6105</v>
      </c>
    </row>
    <row r="2178" spans="1:9" x14ac:dyDescent="0.15">
      <c r="A2178" s="9">
        <v>2177</v>
      </c>
      <c r="B2178" s="10" t="s">
        <v>9</v>
      </c>
      <c r="C2178" s="10" t="s">
        <v>164</v>
      </c>
      <c r="D2178" s="10" t="s">
        <v>165</v>
      </c>
      <c r="E2178" s="11" t="str">
        <f>+HYPERLINK("http://trademark.i-assist.jp/data/china/image_1901th/79122808.pdf", "79122808")</f>
        <v>79122808</v>
      </c>
      <c r="F2178" s="10" t="s">
        <v>6106</v>
      </c>
      <c r="G2178" s="10" t="s">
        <v>6107</v>
      </c>
      <c r="H2178" s="10" t="s">
        <v>6108</v>
      </c>
      <c r="I2178" s="10" t="s">
        <v>6105</v>
      </c>
    </row>
    <row r="2179" spans="1:9" x14ac:dyDescent="0.15">
      <c r="A2179" s="9">
        <v>2178</v>
      </c>
      <c r="B2179" s="10" t="s">
        <v>9</v>
      </c>
      <c r="C2179" s="10" t="s">
        <v>164</v>
      </c>
      <c r="D2179" s="10" t="s">
        <v>165</v>
      </c>
      <c r="E2179" s="11" t="str">
        <f>+HYPERLINK("http://trademark.i-assist.jp/data/china/image_1901th/79122944.pdf", "79122944")</f>
        <v>79122944</v>
      </c>
      <c r="F2179" s="10" t="s">
        <v>6109</v>
      </c>
      <c r="G2179" s="10" t="s">
        <v>6110</v>
      </c>
      <c r="H2179" s="10" t="s">
        <v>6111</v>
      </c>
      <c r="I2179" s="10" t="s">
        <v>6105</v>
      </c>
    </row>
    <row r="2180" spans="1:9" x14ac:dyDescent="0.15">
      <c r="A2180" s="9">
        <v>2179</v>
      </c>
      <c r="B2180" s="10" t="s">
        <v>9</v>
      </c>
      <c r="C2180" s="10" t="s">
        <v>164</v>
      </c>
      <c r="D2180" s="10" t="s">
        <v>165</v>
      </c>
      <c r="E2180" s="11" t="str">
        <f>+HYPERLINK("http://trademark.i-assist.jp/data/china/image_1901th/79122984.pdf", "79122984")</f>
        <v>79122984</v>
      </c>
      <c r="F2180" s="10" t="s">
        <v>6112</v>
      </c>
      <c r="G2180" s="10" t="s">
        <v>6110</v>
      </c>
      <c r="H2180" s="10" t="s">
        <v>6113</v>
      </c>
      <c r="I2180" s="10" t="s">
        <v>6105</v>
      </c>
    </row>
    <row r="2181" spans="1:9" x14ac:dyDescent="0.15">
      <c r="A2181" s="9">
        <v>2180</v>
      </c>
      <c r="B2181" s="10" t="s">
        <v>9</v>
      </c>
      <c r="C2181" s="10" t="s">
        <v>164</v>
      </c>
      <c r="D2181" s="10" t="s">
        <v>165</v>
      </c>
      <c r="E2181" s="11" t="str">
        <f>+HYPERLINK("http://trademark.i-assist.jp/data/china/image_1901th/79123007.pdf", "79123007")</f>
        <v>79123007</v>
      </c>
      <c r="F2181" s="10" t="s">
        <v>6114</v>
      </c>
      <c r="G2181" s="10" t="s">
        <v>6115</v>
      </c>
      <c r="H2181" s="10" t="s">
        <v>6116</v>
      </c>
      <c r="I2181" s="10" t="s">
        <v>6105</v>
      </c>
    </row>
    <row r="2182" spans="1:9" x14ac:dyDescent="0.15">
      <c r="A2182" s="9">
        <v>2181</v>
      </c>
      <c r="B2182" s="10" t="s">
        <v>9</v>
      </c>
      <c r="C2182" s="10" t="s">
        <v>164</v>
      </c>
      <c r="D2182" s="10" t="s">
        <v>165</v>
      </c>
      <c r="E2182" s="11" t="str">
        <f>+HYPERLINK("http://trademark.i-assist.jp/data/china/image_1901th/79123065.pdf", "79123065")</f>
        <v>79123065</v>
      </c>
      <c r="F2182" s="10" t="s">
        <v>6117</v>
      </c>
      <c r="G2182" s="10" t="s">
        <v>6118</v>
      </c>
      <c r="H2182" s="10" t="s">
        <v>6119</v>
      </c>
      <c r="I2182" s="10" t="s">
        <v>6105</v>
      </c>
    </row>
    <row r="2183" spans="1:9" x14ac:dyDescent="0.15">
      <c r="A2183" s="9">
        <v>2182</v>
      </c>
      <c r="B2183" s="10" t="s">
        <v>9</v>
      </c>
      <c r="C2183" s="10" t="s">
        <v>164</v>
      </c>
      <c r="D2183" s="10" t="s">
        <v>165</v>
      </c>
      <c r="E2183" s="11" t="str">
        <f>+HYPERLINK("http://trademark.i-assist.jp/data/china/image_1901th/79123100.pdf", "79123100")</f>
        <v>79123100</v>
      </c>
      <c r="F2183" s="10" t="s">
        <v>6120</v>
      </c>
      <c r="G2183" s="10" t="s">
        <v>6121</v>
      </c>
      <c r="H2183" s="10" t="s">
        <v>6122</v>
      </c>
      <c r="I2183" s="10" t="s">
        <v>6105</v>
      </c>
    </row>
    <row r="2184" spans="1:9" x14ac:dyDescent="0.15">
      <c r="A2184" s="9">
        <v>2183</v>
      </c>
      <c r="B2184" s="10" t="s">
        <v>9</v>
      </c>
      <c r="C2184" s="10" t="s">
        <v>164</v>
      </c>
      <c r="D2184" s="10" t="s">
        <v>165</v>
      </c>
      <c r="E2184" s="11" t="str">
        <f>+HYPERLINK("http://trademark.i-assist.jp/data/china/image_1901th/79123132.pdf", "79123132")</f>
        <v>79123132</v>
      </c>
      <c r="F2184" s="10" t="s">
        <v>6123</v>
      </c>
      <c r="G2184" s="10" t="s">
        <v>6110</v>
      </c>
      <c r="H2184" s="10" t="s">
        <v>6124</v>
      </c>
      <c r="I2184" s="10" t="s">
        <v>6105</v>
      </c>
    </row>
    <row r="2185" spans="1:9" x14ac:dyDescent="0.15">
      <c r="A2185" s="9">
        <v>2184</v>
      </c>
      <c r="B2185" s="10" t="s">
        <v>9</v>
      </c>
      <c r="C2185" s="10" t="s">
        <v>164</v>
      </c>
      <c r="D2185" s="10" t="s">
        <v>165</v>
      </c>
      <c r="E2185" s="11" t="str">
        <f>+HYPERLINK("http://trademark.i-assist.jp/data/china/image_1901th/79123178.pdf", "79123178")</f>
        <v>79123178</v>
      </c>
      <c r="F2185" s="10" t="s">
        <v>6125</v>
      </c>
      <c r="G2185" s="10" t="s">
        <v>6126</v>
      </c>
      <c r="H2185" s="10" t="s">
        <v>6127</v>
      </c>
      <c r="I2185" s="10" t="s">
        <v>6105</v>
      </c>
    </row>
    <row r="2186" spans="1:9" x14ac:dyDescent="0.15">
      <c r="A2186" s="9">
        <v>2185</v>
      </c>
      <c r="B2186" s="10" t="s">
        <v>9</v>
      </c>
      <c r="C2186" s="10" t="s">
        <v>164</v>
      </c>
      <c r="D2186" s="10" t="s">
        <v>165</v>
      </c>
      <c r="E2186" s="11" t="str">
        <f>+HYPERLINK("http://trademark.i-assist.jp/data/china/image_1901th/79123321.pdf", "79123321")</f>
        <v>79123321</v>
      </c>
      <c r="F2186" s="10" t="s">
        <v>6128</v>
      </c>
      <c r="G2186" s="10" t="s">
        <v>6129</v>
      </c>
      <c r="H2186" s="10" t="s">
        <v>19</v>
      </c>
      <c r="I2186" s="10" t="s">
        <v>19</v>
      </c>
    </row>
    <row r="2187" spans="1:9" x14ac:dyDescent="0.15">
      <c r="A2187" s="9">
        <v>2186</v>
      </c>
      <c r="B2187" s="10" t="s">
        <v>9</v>
      </c>
      <c r="C2187" s="10" t="s">
        <v>164</v>
      </c>
      <c r="D2187" s="10" t="s">
        <v>165</v>
      </c>
      <c r="E2187" s="11" t="str">
        <f>+HYPERLINK("http://trademark.i-assist.jp/data/china/image_1901th/79123815.pdf", "79123815")</f>
        <v>79123815</v>
      </c>
      <c r="F2187" s="10" t="s">
        <v>6130</v>
      </c>
      <c r="G2187" s="10" t="s">
        <v>6131</v>
      </c>
      <c r="H2187" s="10" t="s">
        <v>6132</v>
      </c>
      <c r="I2187" s="10" t="s">
        <v>6105</v>
      </c>
    </row>
    <row r="2188" spans="1:9" x14ac:dyDescent="0.15">
      <c r="A2188" s="9">
        <v>2187</v>
      </c>
      <c r="B2188" s="10" t="s">
        <v>9</v>
      </c>
      <c r="C2188" s="10" t="s">
        <v>164</v>
      </c>
      <c r="D2188" s="10" t="s">
        <v>165</v>
      </c>
      <c r="E2188" s="11" t="str">
        <f>+HYPERLINK("http://trademark.i-assist.jp/data/china/image_1901th/79123860.pdf", "79123860")</f>
        <v>79123860</v>
      </c>
      <c r="F2188" s="10" t="s">
        <v>6133</v>
      </c>
      <c r="G2188" s="10" t="s">
        <v>6110</v>
      </c>
      <c r="H2188" s="10" t="s">
        <v>6134</v>
      </c>
      <c r="I2188" s="10" t="s">
        <v>6105</v>
      </c>
    </row>
    <row r="2189" spans="1:9" x14ac:dyDescent="0.15">
      <c r="A2189" s="9">
        <v>2188</v>
      </c>
      <c r="B2189" s="10" t="s">
        <v>9</v>
      </c>
      <c r="C2189" s="10" t="s">
        <v>164</v>
      </c>
      <c r="D2189" s="10" t="s">
        <v>165</v>
      </c>
      <c r="E2189" s="11" t="str">
        <f>+HYPERLINK("http://trademark.i-assist.jp/data/china/image_1901th/79124070.pdf", "79124070")</f>
        <v>79124070</v>
      </c>
      <c r="F2189" s="10" t="s">
        <v>6135</v>
      </c>
      <c r="G2189" s="10" t="s">
        <v>6129</v>
      </c>
      <c r="H2189" s="10" t="s">
        <v>6136</v>
      </c>
      <c r="I2189" s="10" t="s">
        <v>6105</v>
      </c>
    </row>
    <row r="2190" spans="1:9" x14ac:dyDescent="0.15">
      <c r="A2190" s="9">
        <v>2189</v>
      </c>
      <c r="B2190" s="10" t="s">
        <v>9</v>
      </c>
      <c r="C2190" s="10" t="s">
        <v>164</v>
      </c>
      <c r="D2190" s="10" t="s">
        <v>165</v>
      </c>
      <c r="E2190" s="11" t="str">
        <f>+HYPERLINK("http://trademark.i-assist.jp/data/china/image_1901th/79124330.pdf", "79124330")</f>
        <v>79124330</v>
      </c>
      <c r="F2190" s="10" t="s">
        <v>6137</v>
      </c>
      <c r="G2190" s="10" t="s">
        <v>6138</v>
      </c>
      <c r="H2190" s="10" t="s">
        <v>6139</v>
      </c>
      <c r="I2190" s="10" t="s">
        <v>6105</v>
      </c>
    </row>
    <row r="2191" spans="1:9" x14ac:dyDescent="0.15">
      <c r="A2191" s="9">
        <v>2190</v>
      </c>
      <c r="B2191" s="10" t="s">
        <v>9</v>
      </c>
      <c r="C2191" s="10" t="s">
        <v>164</v>
      </c>
      <c r="D2191" s="10" t="s">
        <v>165</v>
      </c>
      <c r="E2191" s="11" t="str">
        <f>+HYPERLINK("http://trademark.i-assist.jp/data/china/image_1901th/79124461.pdf", "79124461")</f>
        <v>79124461</v>
      </c>
      <c r="F2191" s="10" t="s">
        <v>6140</v>
      </c>
      <c r="G2191" s="10" t="s">
        <v>6141</v>
      </c>
      <c r="H2191" s="10" t="s">
        <v>6142</v>
      </c>
      <c r="I2191" s="10" t="s">
        <v>6143</v>
      </c>
    </row>
    <row r="2192" spans="1:9" x14ac:dyDescent="0.15">
      <c r="A2192" s="9">
        <v>2191</v>
      </c>
      <c r="B2192" s="10" t="s">
        <v>9</v>
      </c>
      <c r="C2192" s="10" t="s">
        <v>164</v>
      </c>
      <c r="D2192" s="10" t="s">
        <v>165</v>
      </c>
      <c r="E2192" s="11" t="str">
        <f>+HYPERLINK("http://trademark.i-assist.jp/data/china/image_1901th/79124528.pdf", "79124528")</f>
        <v>79124528</v>
      </c>
      <c r="F2192" s="10" t="s">
        <v>6144</v>
      </c>
      <c r="G2192" s="10" t="s">
        <v>6145</v>
      </c>
      <c r="H2192" s="10" t="s">
        <v>6146</v>
      </c>
      <c r="I2192" s="10" t="s">
        <v>6143</v>
      </c>
    </row>
    <row r="2193" spans="1:9" x14ac:dyDescent="0.15">
      <c r="A2193" s="9">
        <v>2192</v>
      </c>
      <c r="B2193" s="10" t="s">
        <v>9</v>
      </c>
      <c r="C2193" s="10" t="s">
        <v>164</v>
      </c>
      <c r="D2193" s="10" t="s">
        <v>165</v>
      </c>
      <c r="E2193" s="11" t="str">
        <f>+HYPERLINK("http://trademark.i-assist.jp/data/china/image_1901th/79124687.pdf", "79124687")</f>
        <v>79124687</v>
      </c>
      <c r="F2193" s="10" t="s">
        <v>6147</v>
      </c>
      <c r="G2193" s="10" t="s">
        <v>6148</v>
      </c>
      <c r="H2193" s="10" t="s">
        <v>6149</v>
      </c>
      <c r="I2193" s="10" t="s">
        <v>6143</v>
      </c>
    </row>
    <row r="2194" spans="1:9" x14ac:dyDescent="0.15">
      <c r="A2194" s="9">
        <v>2193</v>
      </c>
      <c r="B2194" s="10" t="s">
        <v>9</v>
      </c>
      <c r="C2194" s="10" t="s">
        <v>164</v>
      </c>
      <c r="D2194" s="10" t="s">
        <v>165</v>
      </c>
      <c r="E2194" s="11" t="str">
        <f>+HYPERLINK("http://trademark.i-assist.jp/data/china/image_1901th/79124839.pdf", "79124839")</f>
        <v>79124839</v>
      </c>
      <c r="F2194" s="10" t="s">
        <v>6150</v>
      </c>
      <c r="G2194" s="10" t="s">
        <v>6151</v>
      </c>
      <c r="H2194" s="10" t="s">
        <v>6152</v>
      </c>
      <c r="I2194" s="10" t="s">
        <v>6143</v>
      </c>
    </row>
    <row r="2195" spans="1:9" x14ac:dyDescent="0.15">
      <c r="A2195" s="9">
        <v>2194</v>
      </c>
      <c r="B2195" s="10" t="s">
        <v>9</v>
      </c>
      <c r="C2195" s="10" t="s">
        <v>164</v>
      </c>
      <c r="D2195" s="10" t="s">
        <v>165</v>
      </c>
      <c r="E2195" s="11" t="str">
        <f>+HYPERLINK("http://trademark.i-assist.jp/data/china/image_1901th/79125635.pdf", "79125635")</f>
        <v>79125635</v>
      </c>
      <c r="F2195" s="10" t="s">
        <v>6153</v>
      </c>
      <c r="G2195" s="10" t="s">
        <v>6154</v>
      </c>
      <c r="H2195" s="10" t="s">
        <v>6155</v>
      </c>
      <c r="I2195" s="10" t="s">
        <v>6143</v>
      </c>
    </row>
    <row r="2196" spans="1:9" x14ac:dyDescent="0.15">
      <c r="A2196" s="9">
        <v>2195</v>
      </c>
      <c r="B2196" s="10" t="s">
        <v>9</v>
      </c>
      <c r="C2196" s="10" t="s">
        <v>164</v>
      </c>
      <c r="D2196" s="10" t="s">
        <v>165</v>
      </c>
      <c r="E2196" s="11" t="str">
        <f>+HYPERLINK("http://trademark.i-assist.jp/data/china/image_1901th/79125711.pdf", "79125711")</f>
        <v>79125711</v>
      </c>
      <c r="F2196" s="10" t="s">
        <v>6156</v>
      </c>
      <c r="G2196" s="10" t="s">
        <v>6157</v>
      </c>
      <c r="H2196" s="10" t="s">
        <v>6158</v>
      </c>
      <c r="I2196" s="10" t="s">
        <v>6143</v>
      </c>
    </row>
    <row r="2197" spans="1:9" x14ac:dyDescent="0.15">
      <c r="A2197" s="9">
        <v>2196</v>
      </c>
      <c r="B2197" s="10" t="s">
        <v>9</v>
      </c>
      <c r="C2197" s="10" t="s">
        <v>164</v>
      </c>
      <c r="D2197" s="10" t="s">
        <v>165</v>
      </c>
      <c r="E2197" s="11" t="str">
        <f>+HYPERLINK("http://trademark.i-assist.jp/data/china/image_1901th/79125828.pdf", "79125828")</f>
        <v>79125828</v>
      </c>
      <c r="F2197" s="10" t="s">
        <v>6159</v>
      </c>
      <c r="G2197" s="10" t="s">
        <v>6160</v>
      </c>
      <c r="H2197" s="10" t="s">
        <v>6161</v>
      </c>
      <c r="I2197" s="10" t="s">
        <v>6143</v>
      </c>
    </row>
    <row r="2198" spans="1:9" x14ac:dyDescent="0.15">
      <c r="A2198" s="9">
        <v>2197</v>
      </c>
      <c r="B2198" s="10" t="s">
        <v>9</v>
      </c>
      <c r="C2198" s="10" t="s">
        <v>164</v>
      </c>
      <c r="D2198" s="10" t="s">
        <v>165</v>
      </c>
      <c r="E2198" s="11" t="str">
        <f>+HYPERLINK("http://trademark.i-assist.jp/data/china/image_1901th/79126021.pdf", "79126021")</f>
        <v>79126021</v>
      </c>
      <c r="F2198" s="10" t="s">
        <v>6162</v>
      </c>
      <c r="G2198" s="10" t="s">
        <v>6163</v>
      </c>
      <c r="H2198" s="10" t="s">
        <v>6164</v>
      </c>
      <c r="I2198" s="10" t="s">
        <v>6143</v>
      </c>
    </row>
    <row r="2199" spans="1:9" x14ac:dyDescent="0.15">
      <c r="A2199" s="9">
        <v>2198</v>
      </c>
      <c r="B2199" s="10" t="s">
        <v>9</v>
      </c>
      <c r="C2199" s="10" t="s">
        <v>164</v>
      </c>
      <c r="D2199" s="10" t="s">
        <v>165</v>
      </c>
      <c r="E2199" s="11" t="str">
        <f>+HYPERLINK("http://trademark.i-assist.jp/data/china/image_1901th/79126513.pdf", "79126513")</f>
        <v>79126513</v>
      </c>
      <c r="F2199" s="10" t="s">
        <v>6165</v>
      </c>
      <c r="G2199" s="10" t="s">
        <v>6166</v>
      </c>
      <c r="H2199" s="10" t="s">
        <v>6167</v>
      </c>
      <c r="I2199" s="10" t="s">
        <v>6168</v>
      </c>
    </row>
    <row r="2200" spans="1:9" x14ac:dyDescent="0.15">
      <c r="A2200" s="9">
        <v>2199</v>
      </c>
      <c r="B2200" s="10" t="s">
        <v>9</v>
      </c>
      <c r="C2200" s="10" t="s">
        <v>164</v>
      </c>
      <c r="D2200" s="10" t="s">
        <v>165</v>
      </c>
      <c r="E2200" s="11" t="str">
        <f>+HYPERLINK("http://trademark.i-assist.jp/data/china/image_1901th/79126524.pdf", "79126524")</f>
        <v>79126524</v>
      </c>
      <c r="F2200" s="10" t="s">
        <v>6169</v>
      </c>
      <c r="G2200" s="10" t="s">
        <v>6170</v>
      </c>
      <c r="H2200" s="10" t="s">
        <v>6171</v>
      </c>
      <c r="I2200" s="10" t="s">
        <v>6168</v>
      </c>
    </row>
    <row r="2201" spans="1:9" x14ac:dyDescent="0.15">
      <c r="A2201" s="9">
        <v>2200</v>
      </c>
      <c r="B2201" s="10" t="s">
        <v>9</v>
      </c>
      <c r="C2201" s="10" t="s">
        <v>164</v>
      </c>
      <c r="D2201" s="10" t="s">
        <v>165</v>
      </c>
      <c r="E2201" s="11" t="str">
        <f>+HYPERLINK("http://trademark.i-assist.jp/data/china/image_1901th/79126530.pdf", "79126530")</f>
        <v>79126530</v>
      </c>
      <c r="F2201" s="10" t="s">
        <v>6172</v>
      </c>
      <c r="G2201" s="10" t="s">
        <v>6166</v>
      </c>
      <c r="H2201" s="10" t="s">
        <v>6173</v>
      </c>
      <c r="I2201" s="10" t="s">
        <v>6168</v>
      </c>
    </row>
    <row r="2202" spans="1:9" x14ac:dyDescent="0.15">
      <c r="A2202" s="9">
        <v>2201</v>
      </c>
      <c r="B2202" s="10" t="s">
        <v>9</v>
      </c>
      <c r="C2202" s="10" t="s">
        <v>164</v>
      </c>
      <c r="D2202" s="10" t="s">
        <v>165</v>
      </c>
      <c r="E2202" s="11" t="str">
        <f>+HYPERLINK("http://trademark.i-assist.jp/data/china/image_1901th/79126641.pdf", "79126641")</f>
        <v>79126641</v>
      </c>
      <c r="F2202" s="10" t="s">
        <v>6174</v>
      </c>
      <c r="G2202" s="10" t="s">
        <v>6175</v>
      </c>
      <c r="H2202" s="10" t="s">
        <v>6176</v>
      </c>
      <c r="I2202" s="10" t="s">
        <v>6168</v>
      </c>
    </row>
    <row r="2203" spans="1:9" x14ac:dyDescent="0.15">
      <c r="A2203" s="9">
        <v>2202</v>
      </c>
      <c r="B2203" s="10" t="s">
        <v>9</v>
      </c>
      <c r="C2203" s="10" t="s">
        <v>164</v>
      </c>
      <c r="D2203" s="10" t="s">
        <v>165</v>
      </c>
      <c r="E2203" s="11" t="str">
        <f>+HYPERLINK("http://trademark.i-assist.jp/data/china/image_1901th/79126720.pdf", "79126720")</f>
        <v>79126720</v>
      </c>
      <c r="F2203" s="10" t="s">
        <v>6177</v>
      </c>
      <c r="G2203" s="10" t="s">
        <v>6178</v>
      </c>
      <c r="H2203" s="10" t="s">
        <v>6179</v>
      </c>
      <c r="I2203" s="10" t="s">
        <v>6168</v>
      </c>
    </row>
    <row r="2204" spans="1:9" x14ac:dyDescent="0.15">
      <c r="A2204" s="9">
        <v>2203</v>
      </c>
      <c r="B2204" s="10" t="s">
        <v>9</v>
      </c>
      <c r="C2204" s="10" t="s">
        <v>164</v>
      </c>
      <c r="D2204" s="10" t="s">
        <v>165</v>
      </c>
      <c r="E2204" s="11" t="str">
        <f>+HYPERLINK("http://trademark.i-assist.jp/data/china/image_1901th/79126980.pdf", "79126980")</f>
        <v>79126980</v>
      </c>
      <c r="F2204" s="10" t="s">
        <v>6180</v>
      </c>
      <c r="G2204" s="10" t="s">
        <v>6181</v>
      </c>
      <c r="H2204" s="10" t="s">
        <v>6182</v>
      </c>
      <c r="I2204" s="10" t="s">
        <v>6168</v>
      </c>
    </row>
    <row r="2205" spans="1:9" x14ac:dyDescent="0.15">
      <c r="A2205" s="9">
        <v>2204</v>
      </c>
      <c r="B2205" s="10" t="s">
        <v>9</v>
      </c>
      <c r="C2205" s="10" t="s">
        <v>164</v>
      </c>
      <c r="D2205" s="10" t="s">
        <v>165</v>
      </c>
      <c r="E2205" s="11" t="str">
        <f>+HYPERLINK("http://trademark.i-assist.jp/data/china/image_1901th/79127083.pdf", "79127083")</f>
        <v>79127083</v>
      </c>
      <c r="F2205" s="10" t="s">
        <v>6183</v>
      </c>
      <c r="G2205" s="10" t="s">
        <v>6184</v>
      </c>
      <c r="H2205" s="10" t="s">
        <v>6185</v>
      </c>
      <c r="I2205" s="10" t="s">
        <v>6168</v>
      </c>
    </row>
    <row r="2206" spans="1:9" x14ac:dyDescent="0.15">
      <c r="A2206" s="9">
        <v>2205</v>
      </c>
      <c r="B2206" s="10" t="s">
        <v>9</v>
      </c>
      <c r="C2206" s="10" t="s">
        <v>164</v>
      </c>
      <c r="D2206" s="10" t="s">
        <v>165</v>
      </c>
      <c r="E2206" s="11" t="str">
        <f>+HYPERLINK("http://trademark.i-assist.jp/data/china/image_1901th/79127205.pdf", "79127205")</f>
        <v>79127205</v>
      </c>
      <c r="F2206" s="10" t="s">
        <v>6186</v>
      </c>
      <c r="G2206" s="10" t="s">
        <v>6187</v>
      </c>
      <c r="H2206" s="10" t="s">
        <v>6188</v>
      </c>
      <c r="I2206" s="10" t="s">
        <v>6168</v>
      </c>
    </row>
    <row r="2207" spans="1:9" x14ac:dyDescent="0.15">
      <c r="A2207" s="9">
        <v>2206</v>
      </c>
      <c r="B2207" s="10" t="s">
        <v>9</v>
      </c>
      <c r="C2207" s="10" t="s">
        <v>164</v>
      </c>
      <c r="D2207" s="10" t="s">
        <v>165</v>
      </c>
      <c r="E2207" s="11" t="str">
        <f>+HYPERLINK("http://trademark.i-assist.jp/data/china/image_1901th/79127279.pdf", "79127279")</f>
        <v>79127279</v>
      </c>
      <c r="F2207" s="10" t="s">
        <v>6189</v>
      </c>
      <c r="G2207" s="10" t="s">
        <v>5583</v>
      </c>
      <c r="H2207" s="10" t="s">
        <v>6190</v>
      </c>
      <c r="I2207" s="10" t="s">
        <v>6168</v>
      </c>
    </row>
    <row r="2208" spans="1:9" x14ac:dyDescent="0.15">
      <c r="A2208" s="9">
        <v>2207</v>
      </c>
      <c r="B2208" s="10" t="s">
        <v>9</v>
      </c>
      <c r="C2208" s="10" t="s">
        <v>164</v>
      </c>
      <c r="D2208" s="10" t="s">
        <v>165</v>
      </c>
      <c r="E2208" s="11" t="str">
        <f>+HYPERLINK("http://trademark.i-assist.jp/data/china/image_1901th/79127583.pdf", "79127583")</f>
        <v>79127583</v>
      </c>
      <c r="F2208" s="10" t="s">
        <v>6191</v>
      </c>
      <c r="G2208" s="10" t="s">
        <v>6192</v>
      </c>
      <c r="H2208" s="10" t="s">
        <v>6193</v>
      </c>
      <c r="I2208" s="10" t="s">
        <v>6168</v>
      </c>
    </row>
    <row r="2209" spans="1:9" x14ac:dyDescent="0.15">
      <c r="A2209" s="9">
        <v>2208</v>
      </c>
      <c r="B2209" s="10" t="s">
        <v>9</v>
      </c>
      <c r="C2209" s="10" t="s">
        <v>164</v>
      </c>
      <c r="D2209" s="10" t="s">
        <v>165</v>
      </c>
      <c r="E2209" s="11" t="str">
        <f>+HYPERLINK("http://trademark.i-assist.jp/data/china/image_1901th/79127606.pdf", "79127606")</f>
        <v>79127606</v>
      </c>
      <c r="F2209" s="10" t="s">
        <v>6194</v>
      </c>
      <c r="G2209" s="10" t="s">
        <v>6195</v>
      </c>
      <c r="H2209" s="10" t="s">
        <v>6196</v>
      </c>
      <c r="I2209" s="10" t="s">
        <v>6168</v>
      </c>
    </row>
    <row r="2210" spans="1:9" x14ac:dyDescent="0.15">
      <c r="A2210" s="9">
        <v>2209</v>
      </c>
      <c r="B2210" s="10" t="s">
        <v>9</v>
      </c>
      <c r="C2210" s="10" t="s">
        <v>164</v>
      </c>
      <c r="D2210" s="10" t="s">
        <v>165</v>
      </c>
      <c r="E2210" s="11" t="str">
        <f>+HYPERLINK("http://trademark.i-assist.jp/data/china/image_1901th/79127670.pdf", "79127670")</f>
        <v>79127670</v>
      </c>
      <c r="F2210" s="10" t="s">
        <v>6197</v>
      </c>
      <c r="G2210" s="10" t="s">
        <v>6074</v>
      </c>
      <c r="H2210" s="10" t="s">
        <v>6198</v>
      </c>
      <c r="I2210" s="10" t="s">
        <v>6168</v>
      </c>
    </row>
    <row r="2211" spans="1:9" x14ac:dyDescent="0.15">
      <c r="A2211" s="9">
        <v>2210</v>
      </c>
      <c r="B2211" s="10" t="s">
        <v>9</v>
      </c>
      <c r="C2211" s="10" t="s">
        <v>164</v>
      </c>
      <c r="D2211" s="10" t="s">
        <v>165</v>
      </c>
      <c r="E2211" s="11" t="str">
        <f>+HYPERLINK("http://trademark.i-assist.jp/data/china/image_1901th/79127899.pdf", "79127899")</f>
        <v>79127899</v>
      </c>
      <c r="F2211" s="10" t="s">
        <v>6199</v>
      </c>
      <c r="G2211" s="10" t="s">
        <v>6200</v>
      </c>
      <c r="H2211" s="10" t="s">
        <v>6201</v>
      </c>
      <c r="I2211" s="10" t="s">
        <v>6168</v>
      </c>
    </row>
    <row r="2212" spans="1:9" x14ac:dyDescent="0.15">
      <c r="A2212" s="9">
        <v>2211</v>
      </c>
      <c r="B2212" s="10" t="s">
        <v>9</v>
      </c>
      <c r="C2212" s="10" t="s">
        <v>164</v>
      </c>
      <c r="D2212" s="10" t="s">
        <v>165</v>
      </c>
      <c r="E2212" s="11" t="str">
        <f>+HYPERLINK("http://trademark.i-assist.jp/data/china/image_1901th/79128071.pdf", "79128071")</f>
        <v>79128071</v>
      </c>
      <c r="F2212" s="10" t="s">
        <v>6202</v>
      </c>
      <c r="G2212" s="10" t="s">
        <v>6203</v>
      </c>
      <c r="H2212" s="10" t="s">
        <v>6204</v>
      </c>
      <c r="I2212" s="10" t="s">
        <v>6168</v>
      </c>
    </row>
    <row r="2213" spans="1:9" x14ac:dyDescent="0.15">
      <c r="A2213" s="9">
        <v>2212</v>
      </c>
      <c r="B2213" s="10" t="s">
        <v>9</v>
      </c>
      <c r="C2213" s="10" t="s">
        <v>164</v>
      </c>
      <c r="D2213" s="10" t="s">
        <v>165</v>
      </c>
      <c r="E2213" s="11" t="str">
        <f>+HYPERLINK("http://trademark.i-assist.jp/data/china/image_1901th/79128089.pdf", "79128089")</f>
        <v>79128089</v>
      </c>
      <c r="F2213" s="10" t="s">
        <v>6205</v>
      </c>
      <c r="G2213" s="10" t="s">
        <v>6206</v>
      </c>
      <c r="H2213" s="10" t="s">
        <v>6207</v>
      </c>
      <c r="I2213" s="10" t="s">
        <v>6168</v>
      </c>
    </row>
    <row r="2214" spans="1:9" x14ac:dyDescent="0.15">
      <c r="A2214" s="9">
        <v>2213</v>
      </c>
      <c r="B2214" s="10" t="s">
        <v>9</v>
      </c>
      <c r="C2214" s="10" t="s">
        <v>164</v>
      </c>
      <c r="D2214" s="10" t="s">
        <v>165</v>
      </c>
      <c r="E2214" s="11" t="str">
        <f>+HYPERLINK("http://trademark.i-assist.jp/data/china/image_1901th/79128161.pdf", "79128161")</f>
        <v>79128161</v>
      </c>
      <c r="F2214" s="10" t="s">
        <v>6208</v>
      </c>
      <c r="G2214" s="10" t="s">
        <v>6209</v>
      </c>
      <c r="H2214" s="10" t="s">
        <v>6210</v>
      </c>
      <c r="I2214" s="10" t="s">
        <v>6168</v>
      </c>
    </row>
    <row r="2215" spans="1:9" x14ac:dyDescent="0.15">
      <c r="A2215" s="9">
        <v>2214</v>
      </c>
      <c r="B2215" s="10" t="s">
        <v>9</v>
      </c>
      <c r="C2215" s="10" t="s">
        <v>164</v>
      </c>
      <c r="D2215" s="10" t="s">
        <v>165</v>
      </c>
      <c r="E2215" s="11" t="str">
        <f>+HYPERLINK("http://trademark.i-assist.jp/data/china/image_1901th/79128235.pdf", "79128235")</f>
        <v>79128235</v>
      </c>
      <c r="F2215" s="10" t="s">
        <v>6211</v>
      </c>
      <c r="G2215" s="10" t="s">
        <v>6212</v>
      </c>
      <c r="H2215" s="10" t="s">
        <v>6213</v>
      </c>
      <c r="I2215" s="10" t="s">
        <v>6168</v>
      </c>
    </row>
    <row r="2216" spans="1:9" x14ac:dyDescent="0.15">
      <c r="A2216" s="9">
        <v>2215</v>
      </c>
      <c r="B2216" s="10" t="s">
        <v>9</v>
      </c>
      <c r="C2216" s="10" t="s">
        <v>164</v>
      </c>
      <c r="D2216" s="10" t="s">
        <v>165</v>
      </c>
      <c r="E2216" s="11" t="str">
        <f>+HYPERLINK("http://trademark.i-assist.jp/data/china/image_1901th/79128451.pdf", "79128451")</f>
        <v>79128451</v>
      </c>
      <c r="F2216" s="10" t="s">
        <v>6214</v>
      </c>
      <c r="G2216" s="10" t="s">
        <v>6215</v>
      </c>
      <c r="H2216" s="10" t="s">
        <v>6216</v>
      </c>
      <c r="I2216" s="10" t="s">
        <v>6168</v>
      </c>
    </row>
    <row r="2217" spans="1:9" x14ac:dyDescent="0.15">
      <c r="A2217" s="9">
        <v>2216</v>
      </c>
      <c r="B2217" s="10" t="s">
        <v>9</v>
      </c>
      <c r="C2217" s="10" t="s">
        <v>164</v>
      </c>
      <c r="D2217" s="10" t="s">
        <v>165</v>
      </c>
      <c r="E2217" s="11" t="str">
        <f>+HYPERLINK("http://trademark.i-assist.jp/data/china/image_1901th/79128454.pdf", "79128454")</f>
        <v>79128454</v>
      </c>
      <c r="F2217" s="10" t="s">
        <v>6217</v>
      </c>
      <c r="G2217" s="10" t="s">
        <v>6218</v>
      </c>
      <c r="H2217" s="10" t="s">
        <v>6219</v>
      </c>
      <c r="I2217" s="10" t="s">
        <v>6168</v>
      </c>
    </row>
    <row r="2218" spans="1:9" x14ac:dyDescent="0.15">
      <c r="A2218" s="9">
        <v>2217</v>
      </c>
      <c r="B2218" s="10" t="s">
        <v>9</v>
      </c>
      <c r="C2218" s="10" t="s">
        <v>164</v>
      </c>
      <c r="D2218" s="10" t="s">
        <v>165</v>
      </c>
      <c r="E2218" s="11" t="str">
        <f>+HYPERLINK("http://trademark.i-assist.jp/data/china/image_1901th/79128502.pdf", "79128502")</f>
        <v>79128502</v>
      </c>
      <c r="F2218" s="10" t="s">
        <v>6220</v>
      </c>
      <c r="G2218" s="10" t="s">
        <v>122</v>
      </c>
      <c r="H2218" s="10" t="s">
        <v>6221</v>
      </c>
      <c r="I2218" s="10" t="s">
        <v>6168</v>
      </c>
    </row>
    <row r="2219" spans="1:9" x14ac:dyDescent="0.15">
      <c r="A2219" s="9">
        <v>2218</v>
      </c>
      <c r="B2219" s="10" t="s">
        <v>9</v>
      </c>
      <c r="C2219" s="10" t="s">
        <v>164</v>
      </c>
      <c r="D2219" s="10" t="s">
        <v>165</v>
      </c>
      <c r="E2219" s="11" t="str">
        <f>+HYPERLINK("http://trademark.i-assist.jp/data/china/image_1901th/79128744.pdf", "79128744")</f>
        <v>79128744</v>
      </c>
      <c r="F2219" s="10" t="s">
        <v>6222</v>
      </c>
      <c r="G2219" s="10" t="s">
        <v>6223</v>
      </c>
      <c r="H2219" s="10" t="s">
        <v>6224</v>
      </c>
      <c r="I2219" s="10" t="s">
        <v>6168</v>
      </c>
    </row>
    <row r="2220" spans="1:9" x14ac:dyDescent="0.15">
      <c r="A2220" s="9">
        <v>2219</v>
      </c>
      <c r="B2220" s="10" t="s">
        <v>9</v>
      </c>
      <c r="C2220" s="10" t="s">
        <v>164</v>
      </c>
      <c r="D2220" s="10" t="s">
        <v>165</v>
      </c>
      <c r="E2220" s="11" t="str">
        <f>+HYPERLINK("http://trademark.i-assist.jp/data/china/image_1901th/79128964.pdf", "79128964")</f>
        <v>79128964</v>
      </c>
      <c r="F2220" s="10" t="s">
        <v>6225</v>
      </c>
      <c r="G2220" s="10" t="s">
        <v>6226</v>
      </c>
      <c r="H2220" s="10" t="s">
        <v>6227</v>
      </c>
      <c r="I2220" s="10" t="s">
        <v>6168</v>
      </c>
    </row>
    <row r="2221" spans="1:9" x14ac:dyDescent="0.15">
      <c r="A2221" s="9">
        <v>2220</v>
      </c>
      <c r="B2221" s="10" t="s">
        <v>9</v>
      </c>
      <c r="C2221" s="10" t="s">
        <v>164</v>
      </c>
      <c r="D2221" s="10" t="s">
        <v>165</v>
      </c>
      <c r="E2221" s="11" t="str">
        <f>+HYPERLINK("http://trademark.i-assist.jp/data/china/image_1901th/79129454.pdf", "79129454")</f>
        <v>79129454</v>
      </c>
      <c r="F2221" s="10" t="s">
        <v>6228</v>
      </c>
      <c r="G2221" s="10" t="s">
        <v>6229</v>
      </c>
      <c r="H2221" s="10" t="s">
        <v>6230</v>
      </c>
      <c r="I2221" s="10" t="s">
        <v>6168</v>
      </c>
    </row>
    <row r="2222" spans="1:9" x14ac:dyDescent="0.15">
      <c r="A2222" s="9">
        <v>2221</v>
      </c>
      <c r="B2222" s="10" t="s">
        <v>9</v>
      </c>
      <c r="C2222" s="10" t="s">
        <v>164</v>
      </c>
      <c r="D2222" s="10" t="s">
        <v>165</v>
      </c>
      <c r="E2222" s="11" t="str">
        <f>+HYPERLINK("http://trademark.i-assist.jp/data/china/image_1901th/79129541.pdf", "79129541")</f>
        <v>79129541</v>
      </c>
      <c r="F2222" s="10" t="s">
        <v>6231</v>
      </c>
      <c r="G2222" s="10" t="s">
        <v>6232</v>
      </c>
      <c r="H2222" s="10" t="s">
        <v>6233</v>
      </c>
      <c r="I2222" s="10" t="s">
        <v>6168</v>
      </c>
    </row>
    <row r="2223" spans="1:9" x14ac:dyDescent="0.15">
      <c r="A2223" s="9">
        <v>2222</v>
      </c>
      <c r="B2223" s="10" t="s">
        <v>9</v>
      </c>
      <c r="C2223" s="10" t="s">
        <v>164</v>
      </c>
      <c r="D2223" s="10" t="s">
        <v>165</v>
      </c>
      <c r="E2223" s="11" t="str">
        <f>+HYPERLINK("http://trademark.i-assist.jp/data/china/image_1901th/79129594.pdf", "79129594")</f>
        <v>79129594</v>
      </c>
      <c r="F2223" s="10" t="s">
        <v>6234</v>
      </c>
      <c r="G2223" s="10" t="s">
        <v>6235</v>
      </c>
      <c r="H2223" s="10" t="s">
        <v>6236</v>
      </c>
      <c r="I2223" s="10" t="s">
        <v>6168</v>
      </c>
    </row>
    <row r="2224" spans="1:9" x14ac:dyDescent="0.15">
      <c r="A2224" s="9">
        <v>2223</v>
      </c>
      <c r="B2224" s="10" t="s">
        <v>9</v>
      </c>
      <c r="C2224" s="10" t="s">
        <v>164</v>
      </c>
      <c r="D2224" s="10" t="s">
        <v>165</v>
      </c>
      <c r="E2224" s="11" t="str">
        <f>+HYPERLINK("http://trademark.i-assist.jp/data/china/image_1901th/79129753.pdf", "79129753")</f>
        <v>79129753</v>
      </c>
      <c r="F2224" s="10" t="s">
        <v>6237</v>
      </c>
      <c r="G2224" s="10" t="s">
        <v>6238</v>
      </c>
      <c r="H2224" s="10" t="s">
        <v>6239</v>
      </c>
      <c r="I2224" s="10" t="s">
        <v>6168</v>
      </c>
    </row>
    <row r="2225" spans="1:9" x14ac:dyDescent="0.15">
      <c r="A2225" s="9">
        <v>2224</v>
      </c>
      <c r="B2225" s="10" t="s">
        <v>9</v>
      </c>
      <c r="C2225" s="10" t="s">
        <v>164</v>
      </c>
      <c r="D2225" s="10" t="s">
        <v>165</v>
      </c>
      <c r="E2225" s="11" t="str">
        <f>+HYPERLINK("http://trademark.i-assist.jp/data/china/image_1901th/79129797.pdf", "79129797")</f>
        <v>79129797</v>
      </c>
      <c r="F2225" s="10" t="s">
        <v>6240</v>
      </c>
      <c r="G2225" s="10" t="s">
        <v>6241</v>
      </c>
      <c r="H2225" s="10" t="s">
        <v>6242</v>
      </c>
      <c r="I2225" s="10" t="s">
        <v>6168</v>
      </c>
    </row>
    <row r="2226" spans="1:9" x14ac:dyDescent="0.15">
      <c r="A2226" s="9">
        <v>2225</v>
      </c>
      <c r="B2226" s="10" t="s">
        <v>9</v>
      </c>
      <c r="C2226" s="10" t="s">
        <v>164</v>
      </c>
      <c r="D2226" s="10" t="s">
        <v>165</v>
      </c>
      <c r="E2226" s="11" t="str">
        <f>+HYPERLINK("http://trademark.i-assist.jp/data/china/image_1901th/79130055.pdf", "79130055")</f>
        <v>79130055</v>
      </c>
      <c r="F2226" s="10" t="s">
        <v>6243</v>
      </c>
      <c r="G2226" s="10" t="s">
        <v>92</v>
      </c>
      <c r="H2226" s="10" t="s">
        <v>6244</v>
      </c>
      <c r="I2226" s="10" t="s">
        <v>6168</v>
      </c>
    </row>
    <row r="2227" spans="1:9" x14ac:dyDescent="0.15">
      <c r="A2227" s="9">
        <v>2226</v>
      </c>
      <c r="B2227" s="10" t="s">
        <v>9</v>
      </c>
      <c r="C2227" s="10" t="s">
        <v>164</v>
      </c>
      <c r="D2227" s="10" t="s">
        <v>165</v>
      </c>
      <c r="E2227" s="11" t="str">
        <f>+HYPERLINK("http://trademark.i-assist.jp/data/china/image_1901th/79130234.pdf", "79130234")</f>
        <v>79130234</v>
      </c>
      <c r="F2227" s="10" t="s">
        <v>12</v>
      </c>
      <c r="G2227" s="10" t="s">
        <v>6245</v>
      </c>
      <c r="H2227" s="10" t="s">
        <v>6246</v>
      </c>
      <c r="I2227" s="10" t="s">
        <v>6168</v>
      </c>
    </row>
    <row r="2228" spans="1:9" x14ac:dyDescent="0.15">
      <c r="A2228" s="9">
        <v>2227</v>
      </c>
      <c r="B2228" s="10" t="s">
        <v>9</v>
      </c>
      <c r="C2228" s="10" t="s">
        <v>164</v>
      </c>
      <c r="D2228" s="10" t="s">
        <v>165</v>
      </c>
      <c r="E2228" s="11" t="str">
        <f>+HYPERLINK("http://trademark.i-assist.jp/data/china/image_1901th/79130338.pdf", "79130338")</f>
        <v>79130338</v>
      </c>
      <c r="F2228" s="10" t="s">
        <v>6247</v>
      </c>
      <c r="G2228" s="10" t="s">
        <v>6248</v>
      </c>
      <c r="H2228" s="10" t="s">
        <v>6249</v>
      </c>
      <c r="I2228" s="10" t="s">
        <v>6168</v>
      </c>
    </row>
    <row r="2229" spans="1:9" x14ac:dyDescent="0.15">
      <c r="A2229" s="9">
        <v>2228</v>
      </c>
      <c r="B2229" s="10" t="s">
        <v>9</v>
      </c>
      <c r="C2229" s="10" t="s">
        <v>164</v>
      </c>
      <c r="D2229" s="10" t="s">
        <v>165</v>
      </c>
      <c r="E2229" s="11" t="str">
        <f>+HYPERLINK("http://trademark.i-assist.jp/data/china/image_1901th/79130439.pdf", "79130439")</f>
        <v>79130439</v>
      </c>
      <c r="F2229" s="10" t="s">
        <v>6250</v>
      </c>
      <c r="G2229" s="10" t="s">
        <v>6251</v>
      </c>
      <c r="H2229" s="10" t="s">
        <v>6252</v>
      </c>
      <c r="I2229" s="10" t="s">
        <v>6168</v>
      </c>
    </row>
    <row r="2230" spans="1:9" x14ac:dyDescent="0.15">
      <c r="A2230" s="9">
        <v>2229</v>
      </c>
      <c r="B2230" s="10" t="s">
        <v>9</v>
      </c>
      <c r="C2230" s="10" t="s">
        <v>164</v>
      </c>
      <c r="D2230" s="10" t="s">
        <v>165</v>
      </c>
      <c r="E2230" s="11" t="str">
        <f>+HYPERLINK("http://trademark.i-assist.jp/data/china/image_1901th/79130601.pdf", "79130601")</f>
        <v>79130601</v>
      </c>
      <c r="F2230" s="10" t="s">
        <v>6253</v>
      </c>
      <c r="G2230" s="10" t="s">
        <v>6254</v>
      </c>
      <c r="H2230" s="10" t="s">
        <v>6255</v>
      </c>
      <c r="I2230" s="10" t="s">
        <v>6168</v>
      </c>
    </row>
    <row r="2231" spans="1:9" x14ac:dyDescent="0.15">
      <c r="A2231" s="9">
        <v>2230</v>
      </c>
      <c r="B2231" s="10" t="s">
        <v>9</v>
      </c>
      <c r="C2231" s="10" t="s">
        <v>164</v>
      </c>
      <c r="D2231" s="10" t="s">
        <v>165</v>
      </c>
      <c r="E2231" s="11" t="str">
        <f>+HYPERLINK("http://trademark.i-assist.jp/data/china/image_1901th/79130727.pdf", "79130727")</f>
        <v>79130727</v>
      </c>
      <c r="F2231" s="10" t="s">
        <v>6256</v>
      </c>
      <c r="G2231" s="10" t="s">
        <v>6257</v>
      </c>
      <c r="H2231" s="10" t="s">
        <v>6258</v>
      </c>
      <c r="I2231" s="10" t="s">
        <v>6168</v>
      </c>
    </row>
    <row r="2232" spans="1:9" x14ac:dyDescent="0.15">
      <c r="A2232" s="9">
        <v>2231</v>
      </c>
      <c r="B2232" s="10" t="s">
        <v>9</v>
      </c>
      <c r="C2232" s="10" t="s">
        <v>164</v>
      </c>
      <c r="D2232" s="10" t="s">
        <v>165</v>
      </c>
      <c r="E2232" s="11" t="str">
        <f>+HYPERLINK("http://trademark.i-assist.jp/data/china/image_1901th/79130929.pdf", "79130929")</f>
        <v>79130929</v>
      </c>
      <c r="F2232" s="10" t="s">
        <v>12</v>
      </c>
      <c r="G2232" s="10" t="s">
        <v>6259</v>
      </c>
      <c r="H2232" s="10" t="s">
        <v>6260</v>
      </c>
      <c r="I2232" s="10" t="s">
        <v>6168</v>
      </c>
    </row>
    <row r="2233" spans="1:9" x14ac:dyDescent="0.15">
      <c r="A2233" s="9">
        <v>2232</v>
      </c>
      <c r="B2233" s="10" t="s">
        <v>9</v>
      </c>
      <c r="C2233" s="10" t="s">
        <v>164</v>
      </c>
      <c r="D2233" s="10" t="s">
        <v>165</v>
      </c>
      <c r="E2233" s="11" t="str">
        <f>+HYPERLINK("http://trademark.i-assist.jp/data/china/image_1901th/79130938.pdf", "79130938")</f>
        <v>79130938</v>
      </c>
      <c r="F2233" s="10" t="s">
        <v>6261</v>
      </c>
      <c r="G2233" s="10" t="s">
        <v>6262</v>
      </c>
      <c r="H2233" s="10" t="s">
        <v>6263</v>
      </c>
      <c r="I2233" s="10" t="s">
        <v>6168</v>
      </c>
    </row>
    <row r="2234" spans="1:9" x14ac:dyDescent="0.15">
      <c r="A2234" s="9">
        <v>2233</v>
      </c>
      <c r="B2234" s="10" t="s">
        <v>9</v>
      </c>
      <c r="C2234" s="10" t="s">
        <v>164</v>
      </c>
      <c r="D2234" s="10" t="s">
        <v>165</v>
      </c>
      <c r="E2234" s="11" t="str">
        <f>+HYPERLINK("http://trademark.i-assist.jp/data/china/image_1901th/79131236.pdf", "79131236")</f>
        <v>79131236</v>
      </c>
      <c r="F2234" s="10" t="s">
        <v>6264</v>
      </c>
      <c r="G2234" s="10" t="s">
        <v>6265</v>
      </c>
      <c r="H2234" s="10" t="s">
        <v>6266</v>
      </c>
      <c r="I2234" s="10" t="s">
        <v>6168</v>
      </c>
    </row>
    <row r="2235" spans="1:9" x14ac:dyDescent="0.15">
      <c r="A2235" s="9">
        <v>2234</v>
      </c>
      <c r="B2235" s="10" t="s">
        <v>9</v>
      </c>
      <c r="C2235" s="10" t="s">
        <v>164</v>
      </c>
      <c r="D2235" s="10" t="s">
        <v>165</v>
      </c>
      <c r="E2235" s="11" t="str">
        <f>+HYPERLINK("http://trademark.i-assist.jp/data/china/image_1901th/79131459.pdf", "79131459")</f>
        <v>79131459</v>
      </c>
      <c r="F2235" s="10" t="s">
        <v>6267</v>
      </c>
      <c r="G2235" s="10" t="s">
        <v>6218</v>
      </c>
      <c r="H2235" s="10" t="s">
        <v>6268</v>
      </c>
      <c r="I2235" s="10" t="s">
        <v>6168</v>
      </c>
    </row>
    <row r="2236" spans="1:9" x14ac:dyDescent="0.15">
      <c r="A2236" s="9">
        <v>2235</v>
      </c>
      <c r="B2236" s="10" t="s">
        <v>9</v>
      </c>
      <c r="C2236" s="10" t="s">
        <v>164</v>
      </c>
      <c r="D2236" s="10" t="s">
        <v>165</v>
      </c>
      <c r="E2236" s="11" t="str">
        <f>+HYPERLINK("http://trademark.i-assist.jp/data/china/image_1901th/79131464.pdf", "79131464")</f>
        <v>79131464</v>
      </c>
      <c r="F2236" s="10" t="s">
        <v>6269</v>
      </c>
      <c r="G2236" s="10" t="s">
        <v>6212</v>
      </c>
      <c r="H2236" s="10" t="s">
        <v>6270</v>
      </c>
      <c r="I2236" s="10" t="s">
        <v>6168</v>
      </c>
    </row>
    <row r="2237" spans="1:9" x14ac:dyDescent="0.15">
      <c r="A2237" s="9">
        <v>2236</v>
      </c>
      <c r="B2237" s="10" t="s">
        <v>9</v>
      </c>
      <c r="C2237" s="10" t="s">
        <v>164</v>
      </c>
      <c r="D2237" s="10" t="s">
        <v>165</v>
      </c>
      <c r="E2237" s="11" t="str">
        <f>+HYPERLINK("http://trademark.i-assist.jp/data/china/image_1901th/79131726.pdf", "79131726")</f>
        <v>79131726</v>
      </c>
      <c r="F2237" s="10" t="s">
        <v>6271</v>
      </c>
      <c r="G2237" s="10" t="s">
        <v>6272</v>
      </c>
      <c r="H2237" s="10" t="s">
        <v>6273</v>
      </c>
      <c r="I2237" s="10" t="s">
        <v>6168</v>
      </c>
    </row>
    <row r="2238" spans="1:9" x14ac:dyDescent="0.15">
      <c r="A2238" s="9">
        <v>2237</v>
      </c>
      <c r="B2238" s="10" t="s">
        <v>9</v>
      </c>
      <c r="C2238" s="10" t="s">
        <v>164</v>
      </c>
      <c r="D2238" s="10" t="s">
        <v>165</v>
      </c>
      <c r="E2238" s="11" t="str">
        <f>+HYPERLINK("http://trademark.i-assist.jp/data/china/image_1901th/79132196.pdf", "79132196")</f>
        <v>79132196</v>
      </c>
      <c r="F2238" s="10" t="s">
        <v>6274</v>
      </c>
      <c r="G2238" s="10" t="s">
        <v>6275</v>
      </c>
      <c r="H2238" s="10" t="s">
        <v>6276</v>
      </c>
      <c r="I2238" s="10" t="s">
        <v>6168</v>
      </c>
    </row>
    <row r="2239" spans="1:9" x14ac:dyDescent="0.15">
      <c r="A2239" s="9">
        <v>2238</v>
      </c>
      <c r="B2239" s="10" t="s">
        <v>9</v>
      </c>
      <c r="C2239" s="10" t="s">
        <v>164</v>
      </c>
      <c r="D2239" s="10" t="s">
        <v>165</v>
      </c>
      <c r="E2239" s="11" t="str">
        <f>+HYPERLINK("http://trademark.i-assist.jp/data/china/image_1901th/79132299.pdf", "79132299")</f>
        <v>79132299</v>
      </c>
      <c r="F2239" s="10" t="s">
        <v>6277</v>
      </c>
      <c r="G2239" s="10" t="s">
        <v>6278</v>
      </c>
      <c r="H2239" s="10" t="s">
        <v>6279</v>
      </c>
      <c r="I2239" s="10" t="s">
        <v>6168</v>
      </c>
    </row>
    <row r="2240" spans="1:9" x14ac:dyDescent="0.15">
      <c r="A2240" s="9">
        <v>2239</v>
      </c>
      <c r="B2240" s="10" t="s">
        <v>9</v>
      </c>
      <c r="C2240" s="10" t="s">
        <v>164</v>
      </c>
      <c r="D2240" s="10" t="s">
        <v>165</v>
      </c>
      <c r="E2240" s="11" t="str">
        <f>+HYPERLINK("http://trademark.i-assist.jp/data/china/image_1901th/79132438.pdf", "79132438")</f>
        <v>79132438</v>
      </c>
      <c r="F2240" s="10" t="s">
        <v>6280</v>
      </c>
      <c r="G2240" s="10" t="s">
        <v>6281</v>
      </c>
      <c r="H2240" s="10" t="s">
        <v>6282</v>
      </c>
      <c r="I2240" s="10" t="s">
        <v>6168</v>
      </c>
    </row>
    <row r="2241" spans="1:9" x14ac:dyDescent="0.15">
      <c r="A2241" s="9">
        <v>2240</v>
      </c>
      <c r="B2241" s="10" t="s">
        <v>9</v>
      </c>
      <c r="C2241" s="10" t="s">
        <v>164</v>
      </c>
      <c r="D2241" s="10" t="s">
        <v>165</v>
      </c>
      <c r="E2241" s="11" t="str">
        <f>+HYPERLINK("http://trademark.i-assist.jp/data/china/image_1901th/79132474.pdf", "79132474")</f>
        <v>79132474</v>
      </c>
      <c r="F2241" s="10" t="s">
        <v>6283</v>
      </c>
      <c r="G2241" s="10" t="s">
        <v>6284</v>
      </c>
      <c r="H2241" s="10" t="s">
        <v>6285</v>
      </c>
      <c r="I2241" s="10" t="s">
        <v>6168</v>
      </c>
    </row>
    <row r="2242" spans="1:9" x14ac:dyDescent="0.15">
      <c r="A2242" s="9">
        <v>2241</v>
      </c>
      <c r="B2242" s="10" t="s">
        <v>9</v>
      </c>
      <c r="C2242" s="10" t="s">
        <v>164</v>
      </c>
      <c r="D2242" s="10" t="s">
        <v>165</v>
      </c>
      <c r="E2242" s="11" t="str">
        <f>+HYPERLINK("http://trademark.i-assist.jp/data/china/image_1901th/79132509.pdf", "79132509")</f>
        <v>79132509</v>
      </c>
      <c r="F2242" s="10" t="s">
        <v>6286</v>
      </c>
      <c r="G2242" s="10" t="s">
        <v>6287</v>
      </c>
      <c r="H2242" s="10" t="s">
        <v>19</v>
      </c>
      <c r="I2242" s="10" t="s">
        <v>19</v>
      </c>
    </row>
    <row r="2243" spans="1:9" x14ac:dyDescent="0.15">
      <c r="A2243" s="9">
        <v>2242</v>
      </c>
      <c r="B2243" s="10" t="s">
        <v>9</v>
      </c>
      <c r="C2243" s="10" t="s">
        <v>164</v>
      </c>
      <c r="D2243" s="10" t="s">
        <v>165</v>
      </c>
      <c r="E2243" s="11" t="str">
        <f>+HYPERLINK("http://trademark.i-assist.jp/data/china/image_1901th/79132579.pdf", "79132579")</f>
        <v>79132579</v>
      </c>
      <c r="F2243" s="10" t="s">
        <v>6288</v>
      </c>
      <c r="G2243" s="10" t="s">
        <v>6289</v>
      </c>
      <c r="H2243" s="10" t="s">
        <v>6290</v>
      </c>
      <c r="I2243" s="10" t="s">
        <v>6168</v>
      </c>
    </row>
    <row r="2244" spans="1:9" x14ac:dyDescent="0.15">
      <c r="A2244" s="9">
        <v>2243</v>
      </c>
      <c r="B2244" s="10" t="s">
        <v>9</v>
      </c>
      <c r="C2244" s="10" t="s">
        <v>164</v>
      </c>
      <c r="D2244" s="10" t="s">
        <v>165</v>
      </c>
      <c r="E2244" s="11" t="str">
        <f>+HYPERLINK("http://trademark.i-assist.jp/data/china/image_1901th/79132724.pdf", "79132724")</f>
        <v>79132724</v>
      </c>
      <c r="F2244" s="10" t="s">
        <v>6291</v>
      </c>
      <c r="G2244" s="10" t="s">
        <v>6292</v>
      </c>
      <c r="H2244" s="10" t="s">
        <v>6293</v>
      </c>
      <c r="I2244" s="10" t="s">
        <v>6168</v>
      </c>
    </row>
    <row r="2245" spans="1:9" x14ac:dyDescent="0.15">
      <c r="A2245" s="9">
        <v>2244</v>
      </c>
      <c r="B2245" s="10" t="s">
        <v>9</v>
      </c>
      <c r="C2245" s="10" t="s">
        <v>164</v>
      </c>
      <c r="D2245" s="10" t="s">
        <v>165</v>
      </c>
      <c r="E2245" s="11" t="str">
        <f>+HYPERLINK("http://trademark.i-assist.jp/data/china/image_1901th/79132780.pdf", "79132780")</f>
        <v>79132780</v>
      </c>
      <c r="F2245" s="10" t="s">
        <v>6294</v>
      </c>
      <c r="G2245" s="10" t="s">
        <v>6295</v>
      </c>
      <c r="H2245" s="10" t="s">
        <v>19</v>
      </c>
      <c r="I2245" s="10" t="s">
        <v>19</v>
      </c>
    </row>
    <row r="2246" spans="1:9" x14ac:dyDescent="0.15">
      <c r="A2246" s="9">
        <v>2245</v>
      </c>
      <c r="B2246" s="10" t="s">
        <v>9</v>
      </c>
      <c r="C2246" s="10" t="s">
        <v>164</v>
      </c>
      <c r="D2246" s="10" t="s">
        <v>165</v>
      </c>
      <c r="E2246" s="11" t="str">
        <f>+HYPERLINK("http://trademark.i-assist.jp/data/china/image_1901th/79132837.pdf", "79132837")</f>
        <v>79132837</v>
      </c>
      <c r="F2246" s="10" t="s">
        <v>6296</v>
      </c>
      <c r="G2246" s="10" t="s">
        <v>6297</v>
      </c>
      <c r="H2246" s="10" t="s">
        <v>6298</v>
      </c>
      <c r="I2246" s="10" t="s">
        <v>6168</v>
      </c>
    </row>
    <row r="2247" spans="1:9" x14ac:dyDescent="0.15">
      <c r="A2247" s="9">
        <v>2246</v>
      </c>
      <c r="B2247" s="10" t="s">
        <v>9</v>
      </c>
      <c r="C2247" s="10" t="s">
        <v>164</v>
      </c>
      <c r="D2247" s="10" t="s">
        <v>165</v>
      </c>
      <c r="E2247" s="11" t="str">
        <f>+HYPERLINK("http://trademark.i-assist.jp/data/china/image_1901th/79132930.pdf", "79132930")</f>
        <v>79132930</v>
      </c>
      <c r="F2247" s="10" t="s">
        <v>6299</v>
      </c>
      <c r="G2247" s="10" t="s">
        <v>6300</v>
      </c>
      <c r="H2247" s="10" t="s">
        <v>6301</v>
      </c>
      <c r="I2247" s="10" t="s">
        <v>6168</v>
      </c>
    </row>
    <row r="2248" spans="1:9" x14ac:dyDescent="0.15">
      <c r="A2248" s="9">
        <v>2247</v>
      </c>
      <c r="B2248" s="10" t="s">
        <v>9</v>
      </c>
      <c r="C2248" s="10" t="s">
        <v>164</v>
      </c>
      <c r="D2248" s="10" t="s">
        <v>165</v>
      </c>
      <c r="E2248" s="11" t="str">
        <f>+HYPERLINK("http://trademark.i-assist.jp/data/china/image_1901th/79133048.pdf", "79133048")</f>
        <v>79133048</v>
      </c>
      <c r="F2248" s="10" t="s">
        <v>6302</v>
      </c>
      <c r="G2248" s="10" t="s">
        <v>6303</v>
      </c>
      <c r="H2248" s="10" t="s">
        <v>6304</v>
      </c>
      <c r="I2248" s="10" t="s">
        <v>6168</v>
      </c>
    </row>
    <row r="2249" spans="1:9" x14ac:dyDescent="0.15">
      <c r="A2249" s="9">
        <v>2248</v>
      </c>
      <c r="B2249" s="10" t="s">
        <v>9</v>
      </c>
      <c r="C2249" s="10" t="s">
        <v>164</v>
      </c>
      <c r="D2249" s="10" t="s">
        <v>165</v>
      </c>
      <c r="E2249" s="11" t="str">
        <f>+HYPERLINK("http://trademark.i-assist.jp/data/china/image_1901th/79133104.pdf", "79133104")</f>
        <v>79133104</v>
      </c>
      <c r="F2249" s="10" t="s">
        <v>6305</v>
      </c>
      <c r="G2249" s="10" t="s">
        <v>122</v>
      </c>
      <c r="H2249" s="10" t="s">
        <v>6306</v>
      </c>
      <c r="I2249" s="10" t="s">
        <v>6168</v>
      </c>
    </row>
    <row r="2250" spans="1:9" x14ac:dyDescent="0.15">
      <c r="A2250" s="9">
        <v>2249</v>
      </c>
      <c r="B2250" s="10" t="s">
        <v>9</v>
      </c>
      <c r="C2250" s="10" t="s">
        <v>164</v>
      </c>
      <c r="D2250" s="10" t="s">
        <v>165</v>
      </c>
      <c r="E2250" s="11" t="str">
        <f>+HYPERLINK("http://trademark.i-assist.jp/data/china/image_1901th/79133170.pdf", "79133170")</f>
        <v>79133170</v>
      </c>
      <c r="F2250" s="10" t="s">
        <v>6307</v>
      </c>
      <c r="G2250" s="10" t="s">
        <v>6192</v>
      </c>
      <c r="H2250" s="10" t="s">
        <v>6308</v>
      </c>
      <c r="I2250" s="10" t="s">
        <v>6168</v>
      </c>
    </row>
    <row r="2251" spans="1:9" x14ac:dyDescent="0.15">
      <c r="A2251" s="9">
        <v>2250</v>
      </c>
      <c r="B2251" s="10" t="s">
        <v>9</v>
      </c>
      <c r="C2251" s="10" t="s">
        <v>164</v>
      </c>
      <c r="D2251" s="10" t="s">
        <v>165</v>
      </c>
      <c r="E2251" s="11" t="str">
        <f>+HYPERLINK("http://trademark.i-assist.jp/data/china/image_1901th/79133175.pdf", "79133175")</f>
        <v>79133175</v>
      </c>
      <c r="F2251" s="10" t="s">
        <v>6309</v>
      </c>
      <c r="G2251" s="10" t="s">
        <v>4156</v>
      </c>
      <c r="H2251" s="10" t="s">
        <v>6310</v>
      </c>
      <c r="I2251" s="10" t="s">
        <v>6168</v>
      </c>
    </row>
    <row r="2252" spans="1:9" x14ac:dyDescent="0.15">
      <c r="A2252" s="9">
        <v>2251</v>
      </c>
      <c r="B2252" s="10" t="s">
        <v>9</v>
      </c>
      <c r="C2252" s="10" t="s">
        <v>164</v>
      </c>
      <c r="D2252" s="10" t="s">
        <v>165</v>
      </c>
      <c r="E2252" s="11" t="str">
        <f>+HYPERLINK("http://trademark.i-assist.jp/data/china/image_1901th/79133273.pdf", "79133273")</f>
        <v>79133273</v>
      </c>
      <c r="F2252" s="10" t="s">
        <v>6311</v>
      </c>
      <c r="G2252" s="10" t="s">
        <v>6312</v>
      </c>
      <c r="H2252" s="10" t="s">
        <v>6313</v>
      </c>
      <c r="I2252" s="10" t="s">
        <v>6168</v>
      </c>
    </row>
    <row r="2253" spans="1:9" x14ac:dyDescent="0.15">
      <c r="A2253" s="9">
        <v>2252</v>
      </c>
      <c r="B2253" s="10" t="s">
        <v>9</v>
      </c>
      <c r="C2253" s="10" t="s">
        <v>164</v>
      </c>
      <c r="D2253" s="10" t="s">
        <v>165</v>
      </c>
      <c r="E2253" s="11" t="str">
        <f>+HYPERLINK("http://trademark.i-assist.jp/data/china/image_1901th/79133330.pdf", "79133330")</f>
        <v>79133330</v>
      </c>
      <c r="F2253" s="10" t="s">
        <v>6314</v>
      </c>
      <c r="G2253" s="10" t="s">
        <v>6315</v>
      </c>
      <c r="H2253" s="10" t="s">
        <v>6316</v>
      </c>
      <c r="I2253" s="10" t="s">
        <v>6168</v>
      </c>
    </row>
    <row r="2254" spans="1:9" x14ac:dyDescent="0.15">
      <c r="A2254" s="9">
        <v>2253</v>
      </c>
      <c r="B2254" s="10" t="s">
        <v>9</v>
      </c>
      <c r="C2254" s="10" t="s">
        <v>164</v>
      </c>
      <c r="D2254" s="10" t="s">
        <v>165</v>
      </c>
      <c r="E2254" s="11" t="str">
        <f>+HYPERLINK("http://trademark.i-assist.jp/data/china/image_1901th/79133358.pdf", "79133358")</f>
        <v>79133358</v>
      </c>
      <c r="F2254" s="10" t="s">
        <v>6317</v>
      </c>
      <c r="G2254" s="10" t="s">
        <v>6318</v>
      </c>
      <c r="H2254" s="10" t="s">
        <v>6319</v>
      </c>
      <c r="I2254" s="10" t="s">
        <v>6168</v>
      </c>
    </row>
    <row r="2255" spans="1:9" x14ac:dyDescent="0.15">
      <c r="A2255" s="9">
        <v>2254</v>
      </c>
      <c r="B2255" s="10" t="s">
        <v>9</v>
      </c>
      <c r="C2255" s="10" t="s">
        <v>164</v>
      </c>
      <c r="D2255" s="10" t="s">
        <v>165</v>
      </c>
      <c r="E2255" s="11" t="str">
        <f>+HYPERLINK("http://trademark.i-assist.jp/data/china/image_1901th/79133421.pdf", "79133421")</f>
        <v>79133421</v>
      </c>
      <c r="F2255" s="10" t="s">
        <v>6320</v>
      </c>
      <c r="G2255" s="10" t="s">
        <v>6321</v>
      </c>
      <c r="H2255" s="10" t="s">
        <v>6322</v>
      </c>
      <c r="I2255" s="10" t="s">
        <v>6168</v>
      </c>
    </row>
    <row r="2256" spans="1:9" x14ac:dyDescent="0.15">
      <c r="A2256" s="9">
        <v>2255</v>
      </c>
      <c r="B2256" s="10" t="s">
        <v>9</v>
      </c>
      <c r="C2256" s="10" t="s">
        <v>164</v>
      </c>
      <c r="D2256" s="10" t="s">
        <v>165</v>
      </c>
      <c r="E2256" s="11" t="str">
        <f>+HYPERLINK("http://trademark.i-assist.jp/data/china/image_1901th/79133455.pdf", "79133455")</f>
        <v>79133455</v>
      </c>
      <c r="F2256" s="10" t="s">
        <v>6323</v>
      </c>
      <c r="G2256" s="10" t="s">
        <v>6184</v>
      </c>
      <c r="H2256" s="10" t="s">
        <v>6324</v>
      </c>
      <c r="I2256" s="10" t="s">
        <v>6168</v>
      </c>
    </row>
    <row r="2257" spans="1:9" x14ac:dyDescent="0.15">
      <c r="A2257" s="9">
        <v>2256</v>
      </c>
      <c r="B2257" s="10" t="s">
        <v>9</v>
      </c>
      <c r="C2257" s="10" t="s">
        <v>164</v>
      </c>
      <c r="D2257" s="10" t="s">
        <v>165</v>
      </c>
      <c r="E2257" s="11" t="str">
        <f>+HYPERLINK("http://trademark.i-assist.jp/data/china/image_1901th/79133529.pdf", "79133529")</f>
        <v>79133529</v>
      </c>
      <c r="F2257" s="10" t="s">
        <v>6325</v>
      </c>
      <c r="G2257" s="10" t="s">
        <v>6326</v>
      </c>
      <c r="H2257" s="10" t="s">
        <v>6327</v>
      </c>
      <c r="I2257" s="10" t="s">
        <v>6168</v>
      </c>
    </row>
    <row r="2258" spans="1:9" x14ac:dyDescent="0.15">
      <c r="A2258" s="9">
        <v>2257</v>
      </c>
      <c r="B2258" s="10" t="s">
        <v>9</v>
      </c>
      <c r="C2258" s="10" t="s">
        <v>164</v>
      </c>
      <c r="D2258" s="10" t="s">
        <v>165</v>
      </c>
      <c r="E2258" s="11" t="str">
        <f>+HYPERLINK("http://trademark.i-assist.jp/data/china/image_1901th/79133608.pdf", "79133608")</f>
        <v>79133608</v>
      </c>
      <c r="F2258" s="10" t="s">
        <v>6328</v>
      </c>
      <c r="G2258" s="10" t="s">
        <v>6329</v>
      </c>
      <c r="H2258" s="10" t="s">
        <v>6330</v>
      </c>
      <c r="I2258" s="10" t="s">
        <v>6168</v>
      </c>
    </row>
    <row r="2259" spans="1:9" x14ac:dyDescent="0.15">
      <c r="A2259" s="9">
        <v>2258</v>
      </c>
      <c r="B2259" s="10" t="s">
        <v>9</v>
      </c>
      <c r="C2259" s="10" t="s">
        <v>164</v>
      </c>
      <c r="D2259" s="10" t="s">
        <v>165</v>
      </c>
      <c r="E2259" s="11" t="str">
        <f>+HYPERLINK("http://trademark.i-assist.jp/data/china/image_1901th/79133611.pdf", "79133611")</f>
        <v>79133611</v>
      </c>
      <c r="F2259" s="10" t="s">
        <v>6331</v>
      </c>
      <c r="G2259" s="10" t="s">
        <v>6332</v>
      </c>
      <c r="H2259" s="10" t="s">
        <v>6333</v>
      </c>
      <c r="I2259" s="10" t="s">
        <v>6168</v>
      </c>
    </row>
    <row r="2260" spans="1:9" x14ac:dyDescent="0.15">
      <c r="A2260" s="9">
        <v>2259</v>
      </c>
      <c r="B2260" s="10" t="s">
        <v>9</v>
      </c>
      <c r="C2260" s="10" t="s">
        <v>164</v>
      </c>
      <c r="D2260" s="10" t="s">
        <v>165</v>
      </c>
      <c r="E2260" s="11" t="str">
        <f>+HYPERLINK("http://trademark.i-assist.jp/data/china/image_1901th/79133616.pdf", "79133616")</f>
        <v>79133616</v>
      </c>
      <c r="F2260" s="10" t="s">
        <v>6334</v>
      </c>
      <c r="G2260" s="10" t="s">
        <v>6329</v>
      </c>
      <c r="H2260" s="10" t="s">
        <v>6335</v>
      </c>
      <c r="I2260" s="10" t="s">
        <v>6168</v>
      </c>
    </row>
    <row r="2261" spans="1:9" x14ac:dyDescent="0.15">
      <c r="A2261" s="9">
        <v>2260</v>
      </c>
      <c r="B2261" s="10" t="s">
        <v>9</v>
      </c>
      <c r="C2261" s="10" t="s">
        <v>164</v>
      </c>
      <c r="D2261" s="10" t="s">
        <v>165</v>
      </c>
      <c r="E2261" s="11" t="str">
        <f>+HYPERLINK("http://trademark.i-assist.jp/data/china/image_1901th/79133689.pdf", "79133689")</f>
        <v>79133689</v>
      </c>
      <c r="F2261" s="10" t="s">
        <v>6336</v>
      </c>
      <c r="G2261" s="10" t="s">
        <v>6184</v>
      </c>
      <c r="H2261" s="10" t="s">
        <v>6337</v>
      </c>
      <c r="I2261" s="10" t="s">
        <v>6168</v>
      </c>
    </row>
    <row r="2262" spans="1:9" x14ac:dyDescent="0.15">
      <c r="A2262" s="9">
        <v>2261</v>
      </c>
      <c r="B2262" s="10" t="s">
        <v>9</v>
      </c>
      <c r="C2262" s="10" t="s">
        <v>164</v>
      </c>
      <c r="D2262" s="10" t="s">
        <v>165</v>
      </c>
      <c r="E2262" s="11" t="str">
        <f>+HYPERLINK("http://trademark.i-assist.jp/data/china/image_1901th/79133731.pdf", "79133731")</f>
        <v>79133731</v>
      </c>
      <c r="F2262" s="10" t="s">
        <v>6338</v>
      </c>
      <c r="G2262" s="10" t="s">
        <v>141</v>
      </c>
      <c r="H2262" s="10" t="s">
        <v>6339</v>
      </c>
      <c r="I2262" s="10" t="s">
        <v>6168</v>
      </c>
    </row>
    <row r="2263" spans="1:9" x14ac:dyDescent="0.15">
      <c r="A2263" s="9">
        <v>2262</v>
      </c>
      <c r="B2263" s="10" t="s">
        <v>9</v>
      </c>
      <c r="C2263" s="10" t="s">
        <v>164</v>
      </c>
      <c r="D2263" s="10" t="s">
        <v>165</v>
      </c>
      <c r="E2263" s="11" t="str">
        <f>+HYPERLINK("http://trademark.i-assist.jp/data/china/image_1901th/79133897.pdf", "79133897")</f>
        <v>79133897</v>
      </c>
      <c r="F2263" s="10" t="s">
        <v>6340</v>
      </c>
      <c r="G2263" s="10" t="s">
        <v>6212</v>
      </c>
      <c r="H2263" s="10" t="s">
        <v>6341</v>
      </c>
      <c r="I2263" s="10" t="s">
        <v>6168</v>
      </c>
    </row>
    <row r="2264" spans="1:9" x14ac:dyDescent="0.15">
      <c r="A2264" s="9">
        <v>2263</v>
      </c>
      <c r="B2264" s="10" t="s">
        <v>9</v>
      </c>
      <c r="C2264" s="10" t="s">
        <v>164</v>
      </c>
      <c r="D2264" s="10" t="s">
        <v>165</v>
      </c>
      <c r="E2264" s="11" t="str">
        <f>+HYPERLINK("http://trademark.i-assist.jp/data/china/image_1901th/79133910.pdf", "79133910")</f>
        <v>79133910</v>
      </c>
      <c r="F2264" s="10" t="s">
        <v>6342</v>
      </c>
      <c r="G2264" s="10" t="s">
        <v>6343</v>
      </c>
      <c r="H2264" s="10" t="s">
        <v>6344</v>
      </c>
      <c r="I2264" s="10" t="s">
        <v>6168</v>
      </c>
    </row>
    <row r="2265" spans="1:9" x14ac:dyDescent="0.15">
      <c r="A2265" s="9">
        <v>2264</v>
      </c>
      <c r="B2265" s="10" t="s">
        <v>9</v>
      </c>
      <c r="C2265" s="10" t="s">
        <v>164</v>
      </c>
      <c r="D2265" s="10" t="s">
        <v>165</v>
      </c>
      <c r="E2265" s="11" t="str">
        <f>+HYPERLINK("http://trademark.i-assist.jp/data/china/image_1901th/79134150.pdf", "79134150")</f>
        <v>79134150</v>
      </c>
      <c r="F2265" s="10" t="s">
        <v>6345</v>
      </c>
      <c r="G2265" s="10" t="s">
        <v>6346</v>
      </c>
      <c r="H2265" s="10" t="s">
        <v>6347</v>
      </c>
      <c r="I2265" s="10" t="s">
        <v>6168</v>
      </c>
    </row>
    <row r="2266" spans="1:9" x14ac:dyDescent="0.15">
      <c r="A2266" s="9">
        <v>2265</v>
      </c>
      <c r="B2266" s="10" t="s">
        <v>9</v>
      </c>
      <c r="C2266" s="10" t="s">
        <v>164</v>
      </c>
      <c r="D2266" s="10" t="s">
        <v>165</v>
      </c>
      <c r="E2266" s="11" t="str">
        <f>+HYPERLINK("http://trademark.i-assist.jp/data/china/image_1901th/79134460.pdf", "79134460")</f>
        <v>79134460</v>
      </c>
      <c r="F2266" s="10" t="s">
        <v>6348</v>
      </c>
      <c r="G2266" s="10" t="s">
        <v>3046</v>
      </c>
      <c r="H2266" s="10" t="s">
        <v>6349</v>
      </c>
      <c r="I2266" s="10" t="s">
        <v>6168</v>
      </c>
    </row>
    <row r="2267" spans="1:9" x14ac:dyDescent="0.15">
      <c r="A2267" s="9">
        <v>2266</v>
      </c>
      <c r="B2267" s="10" t="s">
        <v>9</v>
      </c>
      <c r="C2267" s="10" t="s">
        <v>164</v>
      </c>
      <c r="D2267" s="10" t="s">
        <v>165</v>
      </c>
      <c r="E2267" s="11" t="str">
        <f>+HYPERLINK("http://trademark.i-assist.jp/data/china/image_1901th/79134488.pdf", "79134488")</f>
        <v>79134488</v>
      </c>
      <c r="F2267" s="10" t="s">
        <v>6350</v>
      </c>
      <c r="G2267" s="10" t="s">
        <v>6351</v>
      </c>
      <c r="H2267" s="10" t="s">
        <v>6352</v>
      </c>
      <c r="I2267" s="10" t="s">
        <v>6168</v>
      </c>
    </row>
    <row r="2268" spans="1:9" x14ac:dyDescent="0.15">
      <c r="A2268" s="9">
        <v>2267</v>
      </c>
      <c r="B2268" s="10" t="s">
        <v>9</v>
      </c>
      <c r="C2268" s="10" t="s">
        <v>164</v>
      </c>
      <c r="D2268" s="10" t="s">
        <v>165</v>
      </c>
      <c r="E2268" s="11" t="str">
        <f>+HYPERLINK("http://trademark.i-assist.jp/data/china/image_1901th/79134530.pdf", "79134530")</f>
        <v>79134530</v>
      </c>
      <c r="F2268" s="10" t="s">
        <v>6353</v>
      </c>
      <c r="G2268" s="10" t="s">
        <v>4156</v>
      </c>
      <c r="H2268" s="10" t="s">
        <v>6354</v>
      </c>
      <c r="I2268" s="10" t="s">
        <v>6168</v>
      </c>
    </row>
    <row r="2269" spans="1:9" x14ac:dyDescent="0.15">
      <c r="A2269" s="9">
        <v>2268</v>
      </c>
      <c r="B2269" s="10" t="s">
        <v>9</v>
      </c>
      <c r="C2269" s="10" t="s">
        <v>164</v>
      </c>
      <c r="D2269" s="10" t="s">
        <v>165</v>
      </c>
      <c r="E2269" s="11" t="str">
        <f>+HYPERLINK("http://trademark.i-assist.jp/data/china/image_1901th/79134538.pdf", "79134538")</f>
        <v>79134538</v>
      </c>
      <c r="F2269" s="10" t="s">
        <v>6355</v>
      </c>
      <c r="G2269" s="10" t="s">
        <v>4156</v>
      </c>
      <c r="H2269" s="10" t="s">
        <v>6356</v>
      </c>
      <c r="I2269" s="10" t="s">
        <v>6168</v>
      </c>
    </row>
    <row r="2270" spans="1:9" x14ac:dyDescent="0.15">
      <c r="A2270" s="9">
        <v>2269</v>
      </c>
      <c r="B2270" s="10" t="s">
        <v>9</v>
      </c>
      <c r="C2270" s="10" t="s">
        <v>164</v>
      </c>
      <c r="D2270" s="10" t="s">
        <v>165</v>
      </c>
      <c r="E2270" s="11" t="str">
        <f>+HYPERLINK("http://trademark.i-assist.jp/data/china/image_1901th/79134789.pdf", "79134789")</f>
        <v>79134789</v>
      </c>
      <c r="F2270" s="10" t="s">
        <v>6357</v>
      </c>
      <c r="G2270" s="10" t="s">
        <v>6358</v>
      </c>
      <c r="H2270" s="10" t="s">
        <v>6359</v>
      </c>
      <c r="I2270" s="10" t="s">
        <v>6168</v>
      </c>
    </row>
    <row r="2271" spans="1:9" x14ac:dyDescent="0.15">
      <c r="A2271" s="9">
        <v>2270</v>
      </c>
      <c r="B2271" s="10" t="s">
        <v>9</v>
      </c>
      <c r="C2271" s="10" t="s">
        <v>164</v>
      </c>
      <c r="D2271" s="10" t="s">
        <v>165</v>
      </c>
      <c r="E2271" s="11" t="str">
        <f>+HYPERLINK("http://trademark.i-assist.jp/data/china/image_1901th/79134925.pdf", "79134925")</f>
        <v>79134925</v>
      </c>
      <c r="F2271" s="10" t="s">
        <v>6360</v>
      </c>
      <c r="G2271" s="10" t="s">
        <v>6361</v>
      </c>
      <c r="H2271" s="10" t="s">
        <v>6362</v>
      </c>
      <c r="I2271" s="10" t="s">
        <v>6168</v>
      </c>
    </row>
    <row r="2272" spans="1:9" x14ac:dyDescent="0.15">
      <c r="A2272" s="9">
        <v>2271</v>
      </c>
      <c r="B2272" s="10" t="s">
        <v>9</v>
      </c>
      <c r="C2272" s="10" t="s">
        <v>164</v>
      </c>
      <c r="D2272" s="10" t="s">
        <v>165</v>
      </c>
      <c r="E2272" s="11" t="str">
        <f>+HYPERLINK("http://trademark.i-assist.jp/data/china/image_1901th/79135079.pdf", "79135079")</f>
        <v>79135079</v>
      </c>
      <c r="F2272" s="10" t="s">
        <v>6363</v>
      </c>
      <c r="G2272" s="10" t="s">
        <v>6364</v>
      </c>
      <c r="H2272" s="10" t="s">
        <v>6365</v>
      </c>
      <c r="I2272" s="10" t="s">
        <v>6168</v>
      </c>
    </row>
    <row r="2273" spans="1:9" x14ac:dyDescent="0.15">
      <c r="A2273" s="9">
        <v>2272</v>
      </c>
      <c r="B2273" s="10" t="s">
        <v>9</v>
      </c>
      <c r="C2273" s="10" t="s">
        <v>164</v>
      </c>
      <c r="D2273" s="10" t="s">
        <v>165</v>
      </c>
      <c r="E2273" s="11" t="str">
        <f>+HYPERLINK("http://trademark.i-assist.jp/data/china/image_1901th/79135131.pdf", "79135131")</f>
        <v>79135131</v>
      </c>
      <c r="F2273" s="10" t="s">
        <v>6366</v>
      </c>
      <c r="G2273" s="10" t="s">
        <v>6367</v>
      </c>
      <c r="H2273" s="10" t="s">
        <v>6368</v>
      </c>
      <c r="I2273" s="10" t="s">
        <v>6168</v>
      </c>
    </row>
    <row r="2274" spans="1:9" x14ac:dyDescent="0.15">
      <c r="A2274" s="9">
        <v>2273</v>
      </c>
      <c r="B2274" s="10" t="s">
        <v>9</v>
      </c>
      <c r="C2274" s="10" t="s">
        <v>164</v>
      </c>
      <c r="D2274" s="10" t="s">
        <v>165</v>
      </c>
      <c r="E2274" s="11" t="str">
        <f>+HYPERLINK("http://trademark.i-assist.jp/data/china/image_1901th/79135226.pdf", "79135226")</f>
        <v>79135226</v>
      </c>
      <c r="F2274" s="10" t="s">
        <v>6369</v>
      </c>
      <c r="G2274" s="10" t="s">
        <v>6370</v>
      </c>
      <c r="H2274" s="10" t="s">
        <v>6371</v>
      </c>
      <c r="I2274" s="10" t="s">
        <v>6168</v>
      </c>
    </row>
    <row r="2275" spans="1:9" x14ac:dyDescent="0.15">
      <c r="A2275" s="9">
        <v>2274</v>
      </c>
      <c r="B2275" s="10" t="s">
        <v>9</v>
      </c>
      <c r="C2275" s="10" t="s">
        <v>164</v>
      </c>
      <c r="D2275" s="10" t="s">
        <v>165</v>
      </c>
      <c r="E2275" s="11" t="str">
        <f>+HYPERLINK("http://trademark.i-assist.jp/data/china/image_1901th/79135233.pdf", "79135233")</f>
        <v>79135233</v>
      </c>
      <c r="F2275" s="10" t="s">
        <v>6372</v>
      </c>
      <c r="G2275" s="10" t="s">
        <v>6373</v>
      </c>
      <c r="H2275" s="10" t="s">
        <v>6374</v>
      </c>
      <c r="I2275" s="10" t="s">
        <v>6168</v>
      </c>
    </row>
    <row r="2276" spans="1:9" x14ac:dyDescent="0.15">
      <c r="A2276" s="9">
        <v>2275</v>
      </c>
      <c r="B2276" s="10" t="s">
        <v>9</v>
      </c>
      <c r="C2276" s="10" t="s">
        <v>164</v>
      </c>
      <c r="D2276" s="10" t="s">
        <v>165</v>
      </c>
      <c r="E2276" s="11" t="str">
        <f>+HYPERLINK("http://trademark.i-assist.jp/data/china/image_1901th/79135538.pdf", "79135538")</f>
        <v>79135538</v>
      </c>
      <c r="F2276" s="10" t="s">
        <v>6375</v>
      </c>
      <c r="G2276" s="10" t="s">
        <v>6376</v>
      </c>
      <c r="H2276" s="10" t="s">
        <v>6377</v>
      </c>
      <c r="I2276" s="10" t="s">
        <v>6168</v>
      </c>
    </row>
    <row r="2277" spans="1:9" x14ac:dyDescent="0.15">
      <c r="A2277" s="9">
        <v>2276</v>
      </c>
      <c r="B2277" s="10" t="s">
        <v>9</v>
      </c>
      <c r="C2277" s="10" t="s">
        <v>164</v>
      </c>
      <c r="D2277" s="10" t="s">
        <v>165</v>
      </c>
      <c r="E2277" s="11" t="str">
        <f>+HYPERLINK("http://trademark.i-assist.jp/data/china/image_1901th/79136078.pdf", "79136078")</f>
        <v>79136078</v>
      </c>
      <c r="F2277" s="10" t="s">
        <v>6378</v>
      </c>
      <c r="G2277" s="10" t="s">
        <v>6379</v>
      </c>
      <c r="H2277" s="10" t="s">
        <v>6380</v>
      </c>
      <c r="I2277" s="10" t="s">
        <v>6168</v>
      </c>
    </row>
    <row r="2278" spans="1:9" x14ac:dyDescent="0.15">
      <c r="A2278" s="9">
        <v>2277</v>
      </c>
      <c r="B2278" s="10" t="s">
        <v>9</v>
      </c>
      <c r="C2278" s="10" t="s">
        <v>164</v>
      </c>
      <c r="D2278" s="10" t="s">
        <v>165</v>
      </c>
      <c r="E2278" s="11" t="str">
        <f>+HYPERLINK("http://trademark.i-assist.jp/data/china/image_1901th/79136098.pdf", "79136098")</f>
        <v>79136098</v>
      </c>
      <c r="F2278" s="10" t="s">
        <v>6381</v>
      </c>
      <c r="G2278" s="10" t="s">
        <v>6382</v>
      </c>
      <c r="H2278" s="10" t="s">
        <v>6383</v>
      </c>
      <c r="I2278" s="10" t="s">
        <v>6168</v>
      </c>
    </row>
    <row r="2279" spans="1:9" x14ac:dyDescent="0.15">
      <c r="A2279" s="9">
        <v>2278</v>
      </c>
      <c r="B2279" s="10" t="s">
        <v>9</v>
      </c>
      <c r="C2279" s="10" t="s">
        <v>164</v>
      </c>
      <c r="D2279" s="10" t="s">
        <v>165</v>
      </c>
      <c r="E2279" s="11" t="str">
        <f>+HYPERLINK("http://trademark.i-assist.jp/data/china/image_1901th/79136158.pdf", "79136158")</f>
        <v>79136158</v>
      </c>
      <c r="F2279" s="10" t="s">
        <v>6384</v>
      </c>
      <c r="G2279" s="10" t="s">
        <v>6385</v>
      </c>
      <c r="H2279" s="10" t="s">
        <v>6386</v>
      </c>
      <c r="I2279" s="10" t="s">
        <v>6168</v>
      </c>
    </row>
    <row r="2280" spans="1:9" x14ac:dyDescent="0.15">
      <c r="A2280" s="9">
        <v>2279</v>
      </c>
      <c r="B2280" s="10" t="s">
        <v>9</v>
      </c>
      <c r="C2280" s="10" t="s">
        <v>164</v>
      </c>
      <c r="D2280" s="10" t="s">
        <v>165</v>
      </c>
      <c r="E2280" s="11" t="str">
        <f>+HYPERLINK("http://trademark.i-assist.jp/data/china/image_1901th/79136215.pdf", "79136215")</f>
        <v>79136215</v>
      </c>
      <c r="F2280" s="10" t="s">
        <v>6387</v>
      </c>
      <c r="G2280" s="10" t="s">
        <v>6257</v>
      </c>
      <c r="H2280" s="10" t="s">
        <v>6388</v>
      </c>
      <c r="I2280" s="10" t="s">
        <v>6168</v>
      </c>
    </row>
    <row r="2281" spans="1:9" x14ac:dyDescent="0.15">
      <c r="A2281" s="9">
        <v>2280</v>
      </c>
      <c r="B2281" s="10" t="s">
        <v>9</v>
      </c>
      <c r="C2281" s="10" t="s">
        <v>164</v>
      </c>
      <c r="D2281" s="10" t="s">
        <v>165</v>
      </c>
      <c r="E2281" s="11" t="str">
        <f>+HYPERLINK("http://trademark.i-assist.jp/data/china/image_1901th/79136218.pdf", "79136218")</f>
        <v>79136218</v>
      </c>
      <c r="F2281" s="10" t="s">
        <v>6389</v>
      </c>
      <c r="G2281" s="10" t="s">
        <v>6390</v>
      </c>
      <c r="H2281" s="10" t="s">
        <v>6391</v>
      </c>
      <c r="I2281" s="10" t="s">
        <v>6168</v>
      </c>
    </row>
    <row r="2282" spans="1:9" x14ac:dyDescent="0.15">
      <c r="A2282" s="9">
        <v>2281</v>
      </c>
      <c r="B2282" s="10" t="s">
        <v>9</v>
      </c>
      <c r="C2282" s="10" t="s">
        <v>164</v>
      </c>
      <c r="D2282" s="10" t="s">
        <v>165</v>
      </c>
      <c r="E2282" s="11" t="str">
        <f>+HYPERLINK("http://trademark.i-assist.jp/data/china/image_1901th/79136219.pdf", "79136219")</f>
        <v>79136219</v>
      </c>
      <c r="F2282" s="10" t="s">
        <v>6392</v>
      </c>
      <c r="G2282" s="10" t="s">
        <v>6385</v>
      </c>
      <c r="H2282" s="10" t="s">
        <v>6393</v>
      </c>
      <c r="I2282" s="10" t="s">
        <v>6168</v>
      </c>
    </row>
    <row r="2283" spans="1:9" x14ac:dyDescent="0.15">
      <c r="A2283" s="9">
        <v>2282</v>
      </c>
      <c r="B2283" s="10" t="s">
        <v>9</v>
      </c>
      <c r="C2283" s="10" t="s">
        <v>164</v>
      </c>
      <c r="D2283" s="10" t="s">
        <v>165</v>
      </c>
      <c r="E2283" s="11" t="str">
        <f>+HYPERLINK("http://trademark.i-assist.jp/data/china/image_1901th/79136426.pdf", "79136426")</f>
        <v>79136426</v>
      </c>
      <c r="F2283" s="10" t="s">
        <v>6394</v>
      </c>
      <c r="G2283" s="10" t="s">
        <v>6395</v>
      </c>
      <c r="H2283" s="10" t="s">
        <v>6396</v>
      </c>
      <c r="I2283" s="10" t="s">
        <v>6168</v>
      </c>
    </row>
    <row r="2284" spans="1:9" x14ac:dyDescent="0.15">
      <c r="A2284" s="9">
        <v>2283</v>
      </c>
      <c r="B2284" s="10" t="s">
        <v>9</v>
      </c>
      <c r="C2284" s="10" t="s">
        <v>164</v>
      </c>
      <c r="D2284" s="10" t="s">
        <v>165</v>
      </c>
      <c r="E2284" s="11" t="str">
        <f>+HYPERLINK("http://trademark.i-assist.jp/data/china/image_1901th/79136571.pdf", "79136571")</f>
        <v>79136571</v>
      </c>
      <c r="F2284" s="10" t="s">
        <v>6397</v>
      </c>
      <c r="G2284" s="10" t="s">
        <v>6398</v>
      </c>
      <c r="H2284" s="10" t="s">
        <v>6399</v>
      </c>
      <c r="I2284" s="10" t="s">
        <v>6168</v>
      </c>
    </row>
    <row r="2285" spans="1:9" x14ac:dyDescent="0.15">
      <c r="A2285" s="9">
        <v>2284</v>
      </c>
      <c r="B2285" s="10" t="s">
        <v>9</v>
      </c>
      <c r="C2285" s="10" t="s">
        <v>164</v>
      </c>
      <c r="D2285" s="10" t="s">
        <v>165</v>
      </c>
      <c r="E2285" s="11" t="str">
        <f>+HYPERLINK("http://trademark.i-assist.jp/data/china/image_1901th/79136651.pdf", "79136651")</f>
        <v>79136651</v>
      </c>
      <c r="F2285" s="10" t="s">
        <v>6400</v>
      </c>
      <c r="G2285" s="10" t="s">
        <v>6401</v>
      </c>
      <c r="H2285" s="10" t="s">
        <v>6402</v>
      </c>
      <c r="I2285" s="10" t="s">
        <v>6168</v>
      </c>
    </row>
    <row r="2286" spans="1:9" x14ac:dyDescent="0.15">
      <c r="A2286" s="9">
        <v>2285</v>
      </c>
      <c r="B2286" s="10" t="s">
        <v>9</v>
      </c>
      <c r="C2286" s="10" t="s">
        <v>164</v>
      </c>
      <c r="D2286" s="10" t="s">
        <v>165</v>
      </c>
      <c r="E2286" s="11" t="str">
        <f>+HYPERLINK("http://trademark.i-assist.jp/data/china/image_1901th/79137103.pdf", "79137103")</f>
        <v>79137103</v>
      </c>
      <c r="F2286" s="10" t="s">
        <v>6403</v>
      </c>
      <c r="G2286" s="10" t="s">
        <v>6404</v>
      </c>
      <c r="H2286" s="10" t="s">
        <v>6405</v>
      </c>
      <c r="I2286" s="10" t="s">
        <v>6168</v>
      </c>
    </row>
    <row r="2287" spans="1:9" x14ac:dyDescent="0.15">
      <c r="A2287" s="9">
        <v>2286</v>
      </c>
      <c r="B2287" s="10" t="s">
        <v>9</v>
      </c>
      <c r="C2287" s="10" t="s">
        <v>164</v>
      </c>
      <c r="D2287" s="10" t="s">
        <v>165</v>
      </c>
      <c r="E2287" s="11" t="str">
        <f>+HYPERLINK("http://trademark.i-assist.jp/data/china/image_1901th/79137166.pdf", "79137166")</f>
        <v>79137166</v>
      </c>
      <c r="F2287" s="10" t="s">
        <v>6406</v>
      </c>
      <c r="G2287" s="10" t="s">
        <v>6407</v>
      </c>
      <c r="H2287" s="10" t="s">
        <v>6408</v>
      </c>
      <c r="I2287" s="10" t="s">
        <v>6168</v>
      </c>
    </row>
    <row r="2288" spans="1:9" x14ac:dyDescent="0.15">
      <c r="A2288" s="9">
        <v>2287</v>
      </c>
      <c r="B2288" s="10" t="s">
        <v>9</v>
      </c>
      <c r="C2288" s="10" t="s">
        <v>164</v>
      </c>
      <c r="D2288" s="10" t="s">
        <v>165</v>
      </c>
      <c r="E2288" s="11" t="str">
        <f>+HYPERLINK("http://trademark.i-assist.jp/data/china/image_1901th/79137206.pdf", "79137206")</f>
        <v>79137206</v>
      </c>
      <c r="F2288" s="10" t="s">
        <v>6409</v>
      </c>
      <c r="G2288" s="10" t="s">
        <v>6218</v>
      </c>
      <c r="H2288" s="10" t="s">
        <v>6410</v>
      </c>
      <c r="I2288" s="10" t="s">
        <v>6168</v>
      </c>
    </row>
    <row r="2289" spans="1:9" x14ac:dyDescent="0.15">
      <c r="A2289" s="9">
        <v>2288</v>
      </c>
      <c r="B2289" s="10" t="s">
        <v>9</v>
      </c>
      <c r="C2289" s="10" t="s">
        <v>164</v>
      </c>
      <c r="D2289" s="10" t="s">
        <v>165</v>
      </c>
      <c r="E2289" s="11" t="str">
        <f>+HYPERLINK("http://trademark.i-assist.jp/data/china/image_1901th/79137258.pdf", "79137258")</f>
        <v>79137258</v>
      </c>
      <c r="F2289" s="10" t="s">
        <v>6411</v>
      </c>
      <c r="G2289" s="10" t="s">
        <v>6412</v>
      </c>
      <c r="H2289" s="10" t="s">
        <v>6413</v>
      </c>
      <c r="I2289" s="10" t="s">
        <v>6168</v>
      </c>
    </row>
    <row r="2290" spans="1:9" x14ac:dyDescent="0.15">
      <c r="A2290" s="9">
        <v>2289</v>
      </c>
      <c r="B2290" s="10" t="s">
        <v>9</v>
      </c>
      <c r="C2290" s="10" t="s">
        <v>164</v>
      </c>
      <c r="D2290" s="10" t="s">
        <v>165</v>
      </c>
      <c r="E2290" s="11" t="str">
        <f>+HYPERLINK("http://trademark.i-assist.jp/data/china/image_1901th/79137424.pdf", "79137424")</f>
        <v>79137424</v>
      </c>
      <c r="F2290" s="10" t="s">
        <v>6414</v>
      </c>
      <c r="G2290" s="10" t="s">
        <v>6192</v>
      </c>
      <c r="H2290" s="10" t="s">
        <v>6415</v>
      </c>
      <c r="I2290" s="10" t="s">
        <v>6168</v>
      </c>
    </row>
    <row r="2291" spans="1:9" x14ac:dyDescent="0.15">
      <c r="A2291" s="9">
        <v>2290</v>
      </c>
      <c r="B2291" s="10" t="s">
        <v>9</v>
      </c>
      <c r="C2291" s="10" t="s">
        <v>164</v>
      </c>
      <c r="D2291" s="10" t="s">
        <v>165</v>
      </c>
      <c r="E2291" s="11" t="str">
        <f>+HYPERLINK("http://trademark.i-assist.jp/data/china/image_1901th/79137513.pdf", "79137513")</f>
        <v>79137513</v>
      </c>
      <c r="F2291" s="10" t="s">
        <v>6416</v>
      </c>
      <c r="G2291" s="10" t="s">
        <v>6417</v>
      </c>
      <c r="H2291" s="10" t="s">
        <v>6418</v>
      </c>
      <c r="I2291" s="10" t="s">
        <v>6168</v>
      </c>
    </row>
    <row r="2292" spans="1:9" x14ac:dyDescent="0.15">
      <c r="A2292" s="9">
        <v>2291</v>
      </c>
      <c r="B2292" s="10" t="s">
        <v>9</v>
      </c>
      <c r="C2292" s="10" t="s">
        <v>164</v>
      </c>
      <c r="D2292" s="10" t="s">
        <v>165</v>
      </c>
      <c r="E2292" s="11" t="str">
        <f>+HYPERLINK("http://trademark.i-assist.jp/data/china/image_1901th/79137592.pdf", "79137592")</f>
        <v>79137592</v>
      </c>
      <c r="F2292" s="10" t="s">
        <v>6419</v>
      </c>
      <c r="G2292" s="10" t="s">
        <v>6420</v>
      </c>
      <c r="H2292" s="10" t="s">
        <v>6421</v>
      </c>
      <c r="I2292" s="10" t="s">
        <v>6168</v>
      </c>
    </row>
    <row r="2293" spans="1:9" x14ac:dyDescent="0.15">
      <c r="A2293" s="9">
        <v>2292</v>
      </c>
      <c r="B2293" s="10" t="s">
        <v>9</v>
      </c>
      <c r="C2293" s="10" t="s">
        <v>164</v>
      </c>
      <c r="D2293" s="10" t="s">
        <v>165</v>
      </c>
      <c r="E2293" s="11" t="str">
        <f>+HYPERLINK("http://trademark.i-assist.jp/data/china/image_1901th/79137749.pdf", "79137749")</f>
        <v>79137749</v>
      </c>
      <c r="F2293" s="10" t="s">
        <v>6422</v>
      </c>
      <c r="G2293" s="10" t="s">
        <v>5583</v>
      </c>
      <c r="H2293" s="10" t="s">
        <v>6423</v>
      </c>
      <c r="I2293" s="10" t="s">
        <v>6168</v>
      </c>
    </row>
    <row r="2294" spans="1:9" x14ac:dyDescent="0.15">
      <c r="A2294" s="9">
        <v>2293</v>
      </c>
      <c r="B2294" s="10" t="s">
        <v>9</v>
      </c>
      <c r="C2294" s="10" t="s">
        <v>164</v>
      </c>
      <c r="D2294" s="10" t="s">
        <v>165</v>
      </c>
      <c r="E2294" s="11" t="str">
        <f>+HYPERLINK("http://trademark.i-assist.jp/data/china/image_1901th/79138291.pdf", "79138291")</f>
        <v>79138291</v>
      </c>
      <c r="F2294" s="10" t="s">
        <v>6424</v>
      </c>
      <c r="G2294" s="10" t="s">
        <v>6425</v>
      </c>
      <c r="H2294" s="10" t="s">
        <v>6426</v>
      </c>
      <c r="I2294" s="10" t="s">
        <v>6168</v>
      </c>
    </row>
    <row r="2295" spans="1:9" x14ac:dyDescent="0.15">
      <c r="A2295" s="9">
        <v>2294</v>
      </c>
      <c r="B2295" s="10" t="s">
        <v>9</v>
      </c>
      <c r="C2295" s="10" t="s">
        <v>164</v>
      </c>
      <c r="D2295" s="10" t="s">
        <v>165</v>
      </c>
      <c r="E2295" s="11" t="str">
        <f>+HYPERLINK("http://trademark.i-assist.jp/data/china/image_1901th/79138293.pdf", "79138293")</f>
        <v>79138293</v>
      </c>
      <c r="F2295" s="10" t="s">
        <v>6427</v>
      </c>
      <c r="G2295" s="10" t="s">
        <v>6385</v>
      </c>
      <c r="H2295" s="10" t="s">
        <v>6428</v>
      </c>
      <c r="I2295" s="10" t="s">
        <v>6168</v>
      </c>
    </row>
    <row r="2296" spans="1:9" x14ac:dyDescent="0.15">
      <c r="A2296" s="9">
        <v>2295</v>
      </c>
      <c r="B2296" s="10" t="s">
        <v>9</v>
      </c>
      <c r="C2296" s="10" t="s">
        <v>164</v>
      </c>
      <c r="D2296" s="10" t="s">
        <v>165</v>
      </c>
      <c r="E2296" s="11" t="str">
        <f>+HYPERLINK("http://trademark.i-assist.jp/data/china/image_1901th/79138598.pdf", "79138598")</f>
        <v>79138598</v>
      </c>
      <c r="F2296" s="10" t="s">
        <v>6429</v>
      </c>
      <c r="G2296" s="10" t="s">
        <v>6430</v>
      </c>
      <c r="H2296" s="10" t="s">
        <v>6431</v>
      </c>
      <c r="I2296" s="10" t="s">
        <v>6168</v>
      </c>
    </row>
    <row r="2297" spans="1:9" x14ac:dyDescent="0.15">
      <c r="A2297" s="9">
        <v>2296</v>
      </c>
      <c r="B2297" s="10" t="s">
        <v>9</v>
      </c>
      <c r="C2297" s="10" t="s">
        <v>164</v>
      </c>
      <c r="D2297" s="10" t="s">
        <v>165</v>
      </c>
      <c r="E2297" s="11" t="str">
        <f>+HYPERLINK("http://trademark.i-assist.jp/data/china/image_1901th/79138718.pdf", "79138718")</f>
        <v>79138718</v>
      </c>
      <c r="F2297" s="10" t="s">
        <v>6432</v>
      </c>
      <c r="G2297" s="10" t="s">
        <v>6433</v>
      </c>
      <c r="H2297" s="10" t="s">
        <v>6434</v>
      </c>
      <c r="I2297" s="10" t="s">
        <v>6168</v>
      </c>
    </row>
    <row r="2298" spans="1:9" x14ac:dyDescent="0.15">
      <c r="A2298" s="9">
        <v>2297</v>
      </c>
      <c r="B2298" s="10" t="s">
        <v>9</v>
      </c>
      <c r="C2298" s="10" t="s">
        <v>164</v>
      </c>
      <c r="D2298" s="10" t="s">
        <v>165</v>
      </c>
      <c r="E2298" s="11" t="str">
        <f>+HYPERLINK("http://trademark.i-assist.jp/data/china/image_1901th/79138726.pdf", "79138726")</f>
        <v>79138726</v>
      </c>
      <c r="F2298" s="10" t="s">
        <v>6435</v>
      </c>
      <c r="G2298" s="10" t="s">
        <v>6436</v>
      </c>
      <c r="H2298" s="10" t="s">
        <v>6437</v>
      </c>
      <c r="I2298" s="10" t="s">
        <v>6168</v>
      </c>
    </row>
    <row r="2299" spans="1:9" x14ac:dyDescent="0.15">
      <c r="A2299" s="9">
        <v>2298</v>
      </c>
      <c r="B2299" s="10" t="s">
        <v>9</v>
      </c>
      <c r="C2299" s="10" t="s">
        <v>164</v>
      </c>
      <c r="D2299" s="10" t="s">
        <v>165</v>
      </c>
      <c r="E2299" s="11" t="str">
        <f>+HYPERLINK("http://trademark.i-assist.jp/data/china/image_1901th/79138989.pdf", "79138989")</f>
        <v>79138989</v>
      </c>
      <c r="F2299" s="10" t="s">
        <v>6438</v>
      </c>
      <c r="G2299" s="10" t="s">
        <v>6439</v>
      </c>
      <c r="H2299" s="10" t="s">
        <v>6440</v>
      </c>
      <c r="I2299" s="10" t="s">
        <v>6168</v>
      </c>
    </row>
    <row r="2300" spans="1:9" x14ac:dyDescent="0.15">
      <c r="A2300" s="9">
        <v>2299</v>
      </c>
      <c r="B2300" s="10" t="s">
        <v>9</v>
      </c>
      <c r="C2300" s="10" t="s">
        <v>164</v>
      </c>
      <c r="D2300" s="10" t="s">
        <v>165</v>
      </c>
      <c r="E2300" s="11" t="str">
        <f>+HYPERLINK("http://trademark.i-assist.jp/data/china/image_1901th/79139005.pdf", "79139005")</f>
        <v>79139005</v>
      </c>
      <c r="F2300" s="10" t="s">
        <v>6441</v>
      </c>
      <c r="G2300" s="10" t="s">
        <v>6442</v>
      </c>
      <c r="H2300" s="10" t="s">
        <v>6443</v>
      </c>
      <c r="I2300" s="10" t="s">
        <v>6168</v>
      </c>
    </row>
    <row r="2301" spans="1:9" x14ac:dyDescent="0.15">
      <c r="A2301" s="9">
        <v>2300</v>
      </c>
      <c r="B2301" s="10" t="s">
        <v>9</v>
      </c>
      <c r="C2301" s="10" t="s">
        <v>164</v>
      </c>
      <c r="D2301" s="10" t="s">
        <v>165</v>
      </c>
      <c r="E2301" s="11" t="str">
        <f>+HYPERLINK("http://trademark.i-assist.jp/data/china/image_1901th/79139706.pdf", "79139706")</f>
        <v>79139706</v>
      </c>
      <c r="F2301" s="10" t="s">
        <v>6444</v>
      </c>
      <c r="G2301" s="10" t="s">
        <v>6445</v>
      </c>
      <c r="H2301" s="10" t="s">
        <v>6446</v>
      </c>
      <c r="I2301" s="10" t="s">
        <v>6168</v>
      </c>
    </row>
    <row r="2302" spans="1:9" x14ac:dyDescent="0.15">
      <c r="A2302" s="9">
        <v>2301</v>
      </c>
      <c r="B2302" s="10" t="s">
        <v>9</v>
      </c>
      <c r="C2302" s="10" t="s">
        <v>164</v>
      </c>
      <c r="D2302" s="10" t="s">
        <v>165</v>
      </c>
      <c r="E2302" s="11" t="str">
        <f>+HYPERLINK("http://trademark.i-assist.jp/data/china/image_1901th/79139754.pdf", "79139754")</f>
        <v>79139754</v>
      </c>
      <c r="F2302" s="10" t="s">
        <v>6447</v>
      </c>
      <c r="G2302" s="10" t="s">
        <v>6448</v>
      </c>
      <c r="H2302" s="10" t="s">
        <v>6449</v>
      </c>
      <c r="I2302" s="10" t="s">
        <v>6168</v>
      </c>
    </row>
    <row r="2303" spans="1:9" x14ac:dyDescent="0.15">
      <c r="A2303" s="9">
        <v>2302</v>
      </c>
      <c r="B2303" s="10" t="s">
        <v>9</v>
      </c>
      <c r="C2303" s="10" t="s">
        <v>164</v>
      </c>
      <c r="D2303" s="10" t="s">
        <v>165</v>
      </c>
      <c r="E2303" s="11" t="str">
        <f>+HYPERLINK("http://trademark.i-assist.jp/data/china/image_1901th/79139791.pdf", "79139791")</f>
        <v>79139791</v>
      </c>
      <c r="F2303" s="10" t="s">
        <v>6450</v>
      </c>
      <c r="G2303" s="10" t="s">
        <v>6451</v>
      </c>
      <c r="H2303" s="10" t="s">
        <v>87</v>
      </c>
      <c r="I2303" s="10" t="s">
        <v>6168</v>
      </c>
    </row>
    <row r="2304" spans="1:9" x14ac:dyDescent="0.15">
      <c r="A2304" s="9">
        <v>2303</v>
      </c>
      <c r="B2304" s="10" t="s">
        <v>9</v>
      </c>
      <c r="C2304" s="10" t="s">
        <v>164</v>
      </c>
      <c r="D2304" s="10" t="s">
        <v>165</v>
      </c>
      <c r="E2304" s="11" t="str">
        <f>+HYPERLINK("http://trademark.i-assist.jp/data/china/image_1901th/79140086.pdf", "79140086")</f>
        <v>79140086</v>
      </c>
      <c r="F2304" s="10" t="s">
        <v>6452</v>
      </c>
      <c r="G2304" s="10" t="s">
        <v>6453</v>
      </c>
      <c r="H2304" s="10" t="s">
        <v>6454</v>
      </c>
      <c r="I2304" s="10" t="s">
        <v>6168</v>
      </c>
    </row>
    <row r="2305" spans="1:9" x14ac:dyDescent="0.15">
      <c r="A2305" s="9">
        <v>2304</v>
      </c>
      <c r="B2305" s="10" t="s">
        <v>9</v>
      </c>
      <c r="C2305" s="10" t="s">
        <v>164</v>
      </c>
      <c r="D2305" s="10" t="s">
        <v>165</v>
      </c>
      <c r="E2305" s="11" t="str">
        <f>+HYPERLINK("http://trademark.i-assist.jp/data/china/image_1901th/79140095.pdf", "79140095")</f>
        <v>79140095</v>
      </c>
      <c r="F2305" s="10" t="s">
        <v>6455</v>
      </c>
      <c r="G2305" s="10" t="s">
        <v>6456</v>
      </c>
      <c r="H2305" s="10" t="s">
        <v>6457</v>
      </c>
      <c r="I2305" s="10" t="s">
        <v>6168</v>
      </c>
    </row>
    <row r="2306" spans="1:9" x14ac:dyDescent="0.15">
      <c r="A2306" s="9">
        <v>2305</v>
      </c>
      <c r="B2306" s="10" t="s">
        <v>9</v>
      </c>
      <c r="C2306" s="10" t="s">
        <v>164</v>
      </c>
      <c r="D2306" s="10" t="s">
        <v>165</v>
      </c>
      <c r="E2306" s="11" t="str">
        <f>+HYPERLINK("http://trademark.i-assist.jp/data/china/image_1901th/79140184.pdf", "79140184")</f>
        <v>79140184</v>
      </c>
      <c r="F2306" s="10" t="s">
        <v>6458</v>
      </c>
      <c r="G2306" s="10" t="s">
        <v>6459</v>
      </c>
      <c r="H2306" s="10" t="s">
        <v>6460</v>
      </c>
      <c r="I2306" s="10" t="s">
        <v>6168</v>
      </c>
    </row>
    <row r="2307" spans="1:9" x14ac:dyDescent="0.15">
      <c r="A2307" s="9">
        <v>2306</v>
      </c>
      <c r="B2307" s="10" t="s">
        <v>9</v>
      </c>
      <c r="C2307" s="10" t="s">
        <v>164</v>
      </c>
      <c r="D2307" s="10" t="s">
        <v>165</v>
      </c>
      <c r="E2307" s="11" t="str">
        <f>+HYPERLINK("http://trademark.i-assist.jp/data/china/image_1901th/79140211.pdf", "79140211")</f>
        <v>79140211</v>
      </c>
      <c r="F2307" s="10" t="s">
        <v>6461</v>
      </c>
      <c r="G2307" s="10" t="s">
        <v>6462</v>
      </c>
      <c r="H2307" s="10" t="s">
        <v>6463</v>
      </c>
      <c r="I2307" s="10" t="s">
        <v>6168</v>
      </c>
    </row>
    <row r="2308" spans="1:9" x14ac:dyDescent="0.15">
      <c r="A2308" s="9">
        <v>2307</v>
      </c>
      <c r="B2308" s="10" t="s">
        <v>9</v>
      </c>
      <c r="C2308" s="10" t="s">
        <v>164</v>
      </c>
      <c r="D2308" s="10" t="s">
        <v>165</v>
      </c>
      <c r="E2308" s="11" t="str">
        <f>+HYPERLINK("http://trademark.i-assist.jp/data/china/image_1901th/79140347.pdf", "79140347")</f>
        <v>79140347</v>
      </c>
      <c r="F2308" s="10" t="s">
        <v>6464</v>
      </c>
      <c r="G2308" s="10" t="s">
        <v>6465</v>
      </c>
      <c r="H2308" s="10" t="s">
        <v>6466</v>
      </c>
      <c r="I2308" s="10" t="s">
        <v>6168</v>
      </c>
    </row>
    <row r="2309" spans="1:9" x14ac:dyDescent="0.15">
      <c r="A2309" s="9">
        <v>2308</v>
      </c>
      <c r="B2309" s="10" t="s">
        <v>9</v>
      </c>
      <c r="C2309" s="10" t="s">
        <v>164</v>
      </c>
      <c r="D2309" s="10" t="s">
        <v>165</v>
      </c>
      <c r="E2309" s="11" t="str">
        <f>+HYPERLINK("http://trademark.i-assist.jp/data/china/image_1901th/79140464.pdf", "79140464")</f>
        <v>79140464</v>
      </c>
      <c r="F2309" s="10" t="s">
        <v>6467</v>
      </c>
      <c r="G2309" s="10" t="s">
        <v>6212</v>
      </c>
      <c r="H2309" s="10" t="s">
        <v>6468</v>
      </c>
      <c r="I2309" s="10" t="s">
        <v>6168</v>
      </c>
    </row>
    <row r="2310" spans="1:9" x14ac:dyDescent="0.15">
      <c r="A2310" s="9">
        <v>2309</v>
      </c>
      <c r="B2310" s="10" t="s">
        <v>9</v>
      </c>
      <c r="C2310" s="10" t="s">
        <v>164</v>
      </c>
      <c r="D2310" s="10" t="s">
        <v>165</v>
      </c>
      <c r="E2310" s="11" t="str">
        <f>+HYPERLINK("http://trademark.i-assist.jp/data/china/image_1901th/79140469.pdf", "79140469")</f>
        <v>79140469</v>
      </c>
      <c r="F2310" s="10" t="s">
        <v>6469</v>
      </c>
      <c r="G2310" s="10" t="s">
        <v>6212</v>
      </c>
      <c r="H2310" s="10" t="s">
        <v>6470</v>
      </c>
      <c r="I2310" s="10" t="s">
        <v>6168</v>
      </c>
    </row>
    <row r="2311" spans="1:9" x14ac:dyDescent="0.15">
      <c r="A2311" s="9">
        <v>2310</v>
      </c>
      <c r="B2311" s="10" t="s">
        <v>9</v>
      </c>
      <c r="C2311" s="10" t="s">
        <v>164</v>
      </c>
      <c r="D2311" s="10" t="s">
        <v>165</v>
      </c>
      <c r="E2311" s="11" t="str">
        <f>+HYPERLINK("http://trademark.i-assist.jp/data/china/image_1901th/79140494.pdf", "79140494")</f>
        <v>79140494</v>
      </c>
      <c r="F2311" s="10" t="s">
        <v>6471</v>
      </c>
      <c r="G2311" s="10" t="s">
        <v>6472</v>
      </c>
      <c r="H2311" s="10" t="s">
        <v>6473</v>
      </c>
      <c r="I2311" s="10" t="s">
        <v>6168</v>
      </c>
    </row>
    <row r="2312" spans="1:9" x14ac:dyDescent="0.15">
      <c r="A2312" s="9">
        <v>2311</v>
      </c>
      <c r="B2312" s="10" t="s">
        <v>9</v>
      </c>
      <c r="C2312" s="10" t="s">
        <v>164</v>
      </c>
      <c r="D2312" s="10" t="s">
        <v>165</v>
      </c>
      <c r="E2312" s="11" t="str">
        <f>+HYPERLINK("http://trademark.i-assist.jp/data/china/image_1901th/79140832.pdf", "79140832")</f>
        <v>79140832</v>
      </c>
      <c r="F2312" s="10" t="s">
        <v>6474</v>
      </c>
      <c r="G2312" s="10" t="s">
        <v>6475</v>
      </c>
      <c r="H2312" s="10" t="s">
        <v>6476</v>
      </c>
      <c r="I2312" s="10" t="s">
        <v>6168</v>
      </c>
    </row>
    <row r="2313" spans="1:9" x14ac:dyDescent="0.15">
      <c r="A2313" s="9">
        <v>2312</v>
      </c>
      <c r="B2313" s="10" t="s">
        <v>9</v>
      </c>
      <c r="C2313" s="10" t="s">
        <v>164</v>
      </c>
      <c r="D2313" s="10" t="s">
        <v>165</v>
      </c>
      <c r="E2313" s="11" t="str">
        <f>+HYPERLINK("http://trademark.i-assist.jp/data/china/image_1901th/79141225.pdf", "79141225")</f>
        <v>79141225</v>
      </c>
      <c r="F2313" s="10" t="s">
        <v>6477</v>
      </c>
      <c r="G2313" s="10" t="s">
        <v>6478</v>
      </c>
      <c r="H2313" s="10" t="s">
        <v>6479</v>
      </c>
      <c r="I2313" s="10" t="s">
        <v>6168</v>
      </c>
    </row>
    <row r="2314" spans="1:9" x14ac:dyDescent="0.15">
      <c r="A2314" s="9">
        <v>2313</v>
      </c>
      <c r="B2314" s="10" t="s">
        <v>9</v>
      </c>
      <c r="C2314" s="10" t="s">
        <v>164</v>
      </c>
      <c r="D2314" s="10" t="s">
        <v>165</v>
      </c>
      <c r="E2314" s="11" t="str">
        <f>+HYPERLINK("http://trademark.i-assist.jp/data/china/image_1901th/79141258.pdf", "79141258")</f>
        <v>79141258</v>
      </c>
      <c r="F2314" s="10" t="s">
        <v>6480</v>
      </c>
      <c r="G2314" s="10" t="s">
        <v>6481</v>
      </c>
      <c r="H2314" s="10" t="s">
        <v>6482</v>
      </c>
      <c r="I2314" s="10" t="s">
        <v>6168</v>
      </c>
    </row>
    <row r="2315" spans="1:9" x14ac:dyDescent="0.15">
      <c r="A2315" s="9">
        <v>2314</v>
      </c>
      <c r="B2315" s="10" t="s">
        <v>9</v>
      </c>
      <c r="C2315" s="10" t="s">
        <v>164</v>
      </c>
      <c r="D2315" s="10" t="s">
        <v>165</v>
      </c>
      <c r="E2315" s="11" t="str">
        <f>+HYPERLINK("http://trademark.i-assist.jp/data/china/image_1901th/79141413.pdf", "79141413")</f>
        <v>79141413</v>
      </c>
      <c r="F2315" s="10" t="s">
        <v>6483</v>
      </c>
      <c r="G2315" s="10" t="s">
        <v>6459</v>
      </c>
      <c r="H2315" s="10" t="s">
        <v>6484</v>
      </c>
      <c r="I2315" s="10" t="s">
        <v>6168</v>
      </c>
    </row>
    <row r="2316" spans="1:9" x14ac:dyDescent="0.15">
      <c r="A2316" s="9">
        <v>2315</v>
      </c>
      <c r="B2316" s="10" t="s">
        <v>9</v>
      </c>
      <c r="C2316" s="10" t="s">
        <v>164</v>
      </c>
      <c r="D2316" s="10" t="s">
        <v>165</v>
      </c>
      <c r="E2316" s="11" t="str">
        <f>+HYPERLINK("http://trademark.i-assist.jp/data/china/image_1901th/79141508.pdf", "79141508")</f>
        <v>79141508</v>
      </c>
      <c r="F2316" s="10" t="s">
        <v>6485</v>
      </c>
      <c r="G2316" s="10" t="s">
        <v>6486</v>
      </c>
      <c r="H2316" s="10" t="s">
        <v>6487</v>
      </c>
      <c r="I2316" s="10" t="s">
        <v>6168</v>
      </c>
    </row>
    <row r="2317" spans="1:9" x14ac:dyDescent="0.15">
      <c r="A2317" s="9">
        <v>2316</v>
      </c>
      <c r="B2317" s="10" t="s">
        <v>9</v>
      </c>
      <c r="C2317" s="10" t="s">
        <v>164</v>
      </c>
      <c r="D2317" s="10" t="s">
        <v>165</v>
      </c>
      <c r="E2317" s="11" t="str">
        <f>+HYPERLINK("http://trademark.i-assist.jp/data/china/image_1901th/79141563.pdf", "79141563")</f>
        <v>79141563</v>
      </c>
      <c r="F2317" s="10" t="s">
        <v>6488</v>
      </c>
      <c r="G2317" s="10" t="s">
        <v>6292</v>
      </c>
      <c r="H2317" s="10" t="s">
        <v>6489</v>
      </c>
      <c r="I2317" s="10" t="s">
        <v>6168</v>
      </c>
    </row>
    <row r="2318" spans="1:9" x14ac:dyDescent="0.15">
      <c r="A2318" s="9">
        <v>2317</v>
      </c>
      <c r="B2318" s="10" t="s">
        <v>9</v>
      </c>
      <c r="C2318" s="10" t="s">
        <v>164</v>
      </c>
      <c r="D2318" s="10" t="s">
        <v>165</v>
      </c>
      <c r="E2318" s="11" t="str">
        <f>+HYPERLINK("http://trademark.i-assist.jp/data/china/image_1901th/79141593.pdf", "79141593")</f>
        <v>79141593</v>
      </c>
      <c r="F2318" s="10" t="s">
        <v>6490</v>
      </c>
      <c r="G2318" s="10" t="s">
        <v>6212</v>
      </c>
      <c r="H2318" s="10" t="s">
        <v>6491</v>
      </c>
      <c r="I2318" s="10" t="s">
        <v>6168</v>
      </c>
    </row>
    <row r="2319" spans="1:9" x14ac:dyDescent="0.15">
      <c r="A2319" s="9">
        <v>2318</v>
      </c>
      <c r="B2319" s="10" t="s">
        <v>9</v>
      </c>
      <c r="C2319" s="10" t="s">
        <v>164</v>
      </c>
      <c r="D2319" s="10" t="s">
        <v>165</v>
      </c>
      <c r="E2319" s="11" t="str">
        <f>+HYPERLINK("http://trademark.i-assist.jp/data/china/image_1901th/79141714.pdf", "79141714")</f>
        <v>79141714</v>
      </c>
      <c r="F2319" s="10" t="s">
        <v>6492</v>
      </c>
      <c r="G2319" s="10" t="s">
        <v>6493</v>
      </c>
      <c r="H2319" s="10" t="s">
        <v>6494</v>
      </c>
      <c r="I2319" s="10" t="s">
        <v>6168</v>
      </c>
    </row>
    <row r="2320" spans="1:9" x14ac:dyDescent="0.15">
      <c r="A2320" s="9">
        <v>2319</v>
      </c>
      <c r="B2320" s="10" t="s">
        <v>9</v>
      </c>
      <c r="C2320" s="10" t="s">
        <v>164</v>
      </c>
      <c r="D2320" s="10" t="s">
        <v>165</v>
      </c>
      <c r="E2320" s="11" t="str">
        <f>+HYPERLINK("http://trademark.i-assist.jp/data/china/image_1901th/79142040.pdf", "79142040")</f>
        <v>79142040</v>
      </c>
      <c r="F2320" s="10" t="s">
        <v>6495</v>
      </c>
      <c r="G2320" s="10" t="s">
        <v>4156</v>
      </c>
      <c r="H2320" s="10" t="s">
        <v>6496</v>
      </c>
      <c r="I2320" s="10" t="s">
        <v>6168</v>
      </c>
    </row>
    <row r="2321" spans="1:9" x14ac:dyDescent="0.15">
      <c r="A2321" s="9">
        <v>2320</v>
      </c>
      <c r="B2321" s="10" t="s">
        <v>9</v>
      </c>
      <c r="C2321" s="10" t="s">
        <v>164</v>
      </c>
      <c r="D2321" s="10" t="s">
        <v>165</v>
      </c>
      <c r="E2321" s="11" t="str">
        <f>+HYPERLINK("http://trademark.i-assist.jp/data/china/image_1901th/79142146.pdf", "79142146")</f>
        <v>79142146</v>
      </c>
      <c r="F2321" s="10" t="s">
        <v>6497</v>
      </c>
      <c r="G2321" s="10" t="s">
        <v>6251</v>
      </c>
      <c r="H2321" s="10" t="s">
        <v>6498</v>
      </c>
      <c r="I2321" s="10" t="s">
        <v>6168</v>
      </c>
    </row>
    <row r="2322" spans="1:9" x14ac:dyDescent="0.15">
      <c r="A2322" s="9">
        <v>2321</v>
      </c>
      <c r="B2322" s="10" t="s">
        <v>9</v>
      </c>
      <c r="C2322" s="10" t="s">
        <v>164</v>
      </c>
      <c r="D2322" s="10" t="s">
        <v>165</v>
      </c>
      <c r="E2322" s="11" t="str">
        <f>+HYPERLINK("http://trademark.i-assist.jp/data/china/image_1901th/79142312.pdf", "79142312")</f>
        <v>79142312</v>
      </c>
      <c r="F2322" s="10" t="s">
        <v>6499</v>
      </c>
      <c r="G2322" s="10" t="s">
        <v>6184</v>
      </c>
      <c r="H2322" s="10" t="s">
        <v>6500</v>
      </c>
      <c r="I2322" s="10" t="s">
        <v>6168</v>
      </c>
    </row>
    <row r="2323" spans="1:9" x14ac:dyDescent="0.15">
      <c r="A2323" s="9">
        <v>2322</v>
      </c>
      <c r="B2323" s="10" t="s">
        <v>9</v>
      </c>
      <c r="C2323" s="10" t="s">
        <v>164</v>
      </c>
      <c r="D2323" s="10" t="s">
        <v>165</v>
      </c>
      <c r="E2323" s="11" t="str">
        <f>+HYPERLINK("http://trademark.i-assist.jp/data/china/image_1901th/79142590.pdf", "79142590")</f>
        <v>79142590</v>
      </c>
      <c r="F2323" s="10" t="s">
        <v>6501</v>
      </c>
      <c r="G2323" s="10" t="s">
        <v>6502</v>
      </c>
      <c r="H2323" s="10" t="s">
        <v>6503</v>
      </c>
      <c r="I2323" s="10" t="s">
        <v>6168</v>
      </c>
    </row>
    <row r="2324" spans="1:9" x14ac:dyDescent="0.15">
      <c r="A2324" s="9">
        <v>2323</v>
      </c>
      <c r="B2324" s="10" t="s">
        <v>9</v>
      </c>
      <c r="C2324" s="10" t="s">
        <v>164</v>
      </c>
      <c r="D2324" s="10" t="s">
        <v>165</v>
      </c>
      <c r="E2324" s="11" t="str">
        <f>+HYPERLINK("http://trademark.i-assist.jp/data/china/image_1901th/79142851.pdf", "79142851")</f>
        <v>79142851</v>
      </c>
      <c r="F2324" s="10" t="s">
        <v>6504</v>
      </c>
      <c r="G2324" s="10" t="s">
        <v>5583</v>
      </c>
      <c r="H2324" s="10" t="s">
        <v>6505</v>
      </c>
      <c r="I2324" s="10" t="s">
        <v>6168</v>
      </c>
    </row>
    <row r="2325" spans="1:9" x14ac:dyDescent="0.15">
      <c r="A2325" s="9">
        <v>2324</v>
      </c>
      <c r="B2325" s="10" t="s">
        <v>9</v>
      </c>
      <c r="C2325" s="10" t="s">
        <v>164</v>
      </c>
      <c r="D2325" s="10" t="s">
        <v>165</v>
      </c>
      <c r="E2325" s="11" t="str">
        <f>+HYPERLINK("http://trademark.i-assist.jp/data/china/image_1901th/79142873.pdf", "79142873")</f>
        <v>79142873</v>
      </c>
      <c r="F2325" s="10" t="s">
        <v>6506</v>
      </c>
      <c r="G2325" s="10" t="s">
        <v>6507</v>
      </c>
      <c r="H2325" s="10" t="s">
        <v>6508</v>
      </c>
      <c r="I2325" s="10" t="s">
        <v>6168</v>
      </c>
    </row>
    <row r="2326" spans="1:9" x14ac:dyDescent="0.15">
      <c r="A2326" s="9">
        <v>2325</v>
      </c>
      <c r="B2326" s="10" t="s">
        <v>9</v>
      </c>
      <c r="C2326" s="10" t="s">
        <v>164</v>
      </c>
      <c r="D2326" s="10" t="s">
        <v>165</v>
      </c>
      <c r="E2326" s="11" t="str">
        <f>+HYPERLINK("http://trademark.i-assist.jp/data/china/image_1901th/79143646.pdf", "79143646")</f>
        <v>79143646</v>
      </c>
      <c r="F2326" s="10" t="s">
        <v>6509</v>
      </c>
      <c r="G2326" s="10" t="s">
        <v>6257</v>
      </c>
      <c r="H2326" s="10" t="s">
        <v>6510</v>
      </c>
      <c r="I2326" s="10" t="s">
        <v>6168</v>
      </c>
    </row>
    <row r="2327" spans="1:9" x14ac:dyDescent="0.15">
      <c r="A2327" s="9">
        <v>2326</v>
      </c>
      <c r="B2327" s="10" t="s">
        <v>9</v>
      </c>
      <c r="C2327" s="10" t="s">
        <v>164</v>
      </c>
      <c r="D2327" s="10" t="s">
        <v>165</v>
      </c>
      <c r="E2327" s="11" t="str">
        <f>+HYPERLINK("http://trademark.i-assist.jp/data/china/image_1901th/79143664.pdf", "79143664")</f>
        <v>79143664</v>
      </c>
      <c r="F2327" s="10" t="s">
        <v>6511</v>
      </c>
      <c r="G2327" s="10" t="s">
        <v>6512</v>
      </c>
      <c r="H2327" s="10" t="s">
        <v>19</v>
      </c>
      <c r="I2327" s="10" t="s">
        <v>6168</v>
      </c>
    </row>
    <row r="2328" spans="1:9" x14ac:dyDescent="0.15">
      <c r="A2328" s="9">
        <v>2327</v>
      </c>
      <c r="B2328" s="10" t="s">
        <v>9</v>
      </c>
      <c r="C2328" s="10" t="s">
        <v>164</v>
      </c>
      <c r="D2328" s="10" t="s">
        <v>165</v>
      </c>
      <c r="E2328" s="11" t="str">
        <f>+HYPERLINK("http://trademark.i-assist.jp/data/china/image_1901th/79143801.pdf", "79143801")</f>
        <v>79143801</v>
      </c>
      <c r="F2328" s="10" t="s">
        <v>6513</v>
      </c>
      <c r="G2328" s="10" t="s">
        <v>6514</v>
      </c>
      <c r="H2328" s="10" t="s">
        <v>6515</v>
      </c>
      <c r="I2328" s="10" t="s">
        <v>6168</v>
      </c>
    </row>
    <row r="2329" spans="1:9" x14ac:dyDescent="0.15">
      <c r="A2329" s="9">
        <v>2328</v>
      </c>
      <c r="B2329" s="10" t="s">
        <v>9</v>
      </c>
      <c r="C2329" s="10" t="s">
        <v>164</v>
      </c>
      <c r="D2329" s="10" t="s">
        <v>165</v>
      </c>
      <c r="E2329" s="11" t="str">
        <f>+HYPERLINK("http://trademark.i-assist.jp/data/china/image_1901th/79144042.pdf", "79144042")</f>
        <v>79144042</v>
      </c>
      <c r="F2329" s="10" t="s">
        <v>6516</v>
      </c>
      <c r="G2329" s="10" t="s">
        <v>6517</v>
      </c>
      <c r="H2329" s="10" t="s">
        <v>6518</v>
      </c>
      <c r="I2329" s="10" t="s">
        <v>6168</v>
      </c>
    </row>
    <row r="2330" spans="1:9" x14ac:dyDescent="0.15">
      <c r="A2330" s="9">
        <v>2329</v>
      </c>
      <c r="B2330" s="10" t="s">
        <v>9</v>
      </c>
      <c r="C2330" s="10" t="s">
        <v>164</v>
      </c>
      <c r="D2330" s="10" t="s">
        <v>165</v>
      </c>
      <c r="E2330" s="11" t="str">
        <f>+HYPERLINK("http://trademark.i-assist.jp/data/china/image_1901th/79144080.pdf", "79144080")</f>
        <v>79144080</v>
      </c>
      <c r="F2330" s="10" t="s">
        <v>6519</v>
      </c>
      <c r="G2330" s="10" t="s">
        <v>6520</v>
      </c>
      <c r="H2330" s="10" t="s">
        <v>6521</v>
      </c>
      <c r="I2330" s="10" t="s">
        <v>6168</v>
      </c>
    </row>
    <row r="2331" spans="1:9" x14ac:dyDescent="0.15">
      <c r="A2331" s="9">
        <v>2330</v>
      </c>
      <c r="B2331" s="10" t="s">
        <v>9</v>
      </c>
      <c r="C2331" s="10" t="s">
        <v>164</v>
      </c>
      <c r="D2331" s="10" t="s">
        <v>165</v>
      </c>
      <c r="E2331" s="11" t="str">
        <f>+HYPERLINK("http://trademark.i-assist.jp/data/china/image_1901th/79144408.pdf", "79144408")</f>
        <v>79144408</v>
      </c>
      <c r="F2331" s="10" t="s">
        <v>6522</v>
      </c>
      <c r="G2331" s="10" t="s">
        <v>6523</v>
      </c>
      <c r="H2331" s="10" t="s">
        <v>6524</v>
      </c>
      <c r="I2331" s="10" t="s">
        <v>6168</v>
      </c>
    </row>
    <row r="2332" spans="1:9" x14ac:dyDescent="0.15">
      <c r="A2332" s="9">
        <v>2331</v>
      </c>
      <c r="B2332" s="10" t="s">
        <v>9</v>
      </c>
      <c r="C2332" s="10" t="s">
        <v>164</v>
      </c>
      <c r="D2332" s="10" t="s">
        <v>165</v>
      </c>
      <c r="E2332" s="11" t="str">
        <f>+HYPERLINK("http://trademark.i-assist.jp/data/china/image_1901th/79144470.pdf", "79144470")</f>
        <v>79144470</v>
      </c>
      <c r="F2332" s="10" t="s">
        <v>12</v>
      </c>
      <c r="G2332" s="10" t="s">
        <v>1403</v>
      </c>
      <c r="H2332" s="10" t="s">
        <v>6525</v>
      </c>
      <c r="I2332" s="10" t="s">
        <v>6168</v>
      </c>
    </row>
    <row r="2333" spans="1:9" x14ac:dyDescent="0.15">
      <c r="A2333" s="9">
        <v>2332</v>
      </c>
      <c r="B2333" s="10" t="s">
        <v>9</v>
      </c>
      <c r="C2333" s="10" t="s">
        <v>164</v>
      </c>
      <c r="D2333" s="10" t="s">
        <v>165</v>
      </c>
      <c r="E2333" s="11" t="str">
        <f>+HYPERLINK("http://trademark.i-assist.jp/data/china/image_1901th/79144661.pdf", "79144661")</f>
        <v>79144661</v>
      </c>
      <c r="F2333" s="10" t="s">
        <v>6526</v>
      </c>
      <c r="G2333" s="10" t="s">
        <v>56</v>
      </c>
      <c r="H2333" s="10" t="s">
        <v>6527</v>
      </c>
      <c r="I2333" s="10" t="s">
        <v>6168</v>
      </c>
    </row>
    <row r="2334" spans="1:9" x14ac:dyDescent="0.15">
      <c r="A2334" s="9">
        <v>2333</v>
      </c>
      <c r="B2334" s="10" t="s">
        <v>9</v>
      </c>
      <c r="C2334" s="10" t="s">
        <v>164</v>
      </c>
      <c r="D2334" s="10" t="s">
        <v>165</v>
      </c>
      <c r="E2334" s="11" t="str">
        <f>+HYPERLINK("http://trademark.i-assist.jp/data/china/image_1901th/79144790.pdf", "79144790")</f>
        <v>79144790</v>
      </c>
      <c r="F2334" s="10" t="s">
        <v>6528</v>
      </c>
      <c r="G2334" s="10" t="s">
        <v>6439</v>
      </c>
      <c r="H2334" s="10" t="s">
        <v>6529</v>
      </c>
      <c r="I2334" s="10" t="s">
        <v>6168</v>
      </c>
    </row>
    <row r="2335" spans="1:9" x14ac:dyDescent="0.15">
      <c r="A2335" s="9">
        <v>2334</v>
      </c>
      <c r="B2335" s="10" t="s">
        <v>9</v>
      </c>
      <c r="C2335" s="10" t="s">
        <v>164</v>
      </c>
      <c r="D2335" s="10" t="s">
        <v>165</v>
      </c>
      <c r="E2335" s="11" t="str">
        <f>+HYPERLINK("http://trademark.i-assist.jp/data/china/image_1901th/79144809.pdf", "79144809")</f>
        <v>79144809</v>
      </c>
      <c r="F2335" s="10" t="s">
        <v>6530</v>
      </c>
      <c r="G2335" s="10" t="s">
        <v>6439</v>
      </c>
      <c r="H2335" s="10" t="s">
        <v>6531</v>
      </c>
      <c r="I2335" s="10" t="s">
        <v>6168</v>
      </c>
    </row>
    <row r="2336" spans="1:9" x14ac:dyDescent="0.15">
      <c r="A2336" s="9">
        <v>2335</v>
      </c>
      <c r="B2336" s="10" t="s">
        <v>9</v>
      </c>
      <c r="C2336" s="10" t="s">
        <v>164</v>
      </c>
      <c r="D2336" s="10" t="s">
        <v>165</v>
      </c>
      <c r="E2336" s="11" t="str">
        <f>+HYPERLINK("http://trademark.i-assist.jp/data/china/image_1901th/79144894.pdf", "79144894")</f>
        <v>79144894</v>
      </c>
      <c r="F2336" s="10" t="s">
        <v>6532</v>
      </c>
      <c r="G2336" s="10" t="s">
        <v>6192</v>
      </c>
      <c r="H2336" s="10" t="s">
        <v>6533</v>
      </c>
      <c r="I2336" s="10" t="s">
        <v>6168</v>
      </c>
    </row>
    <row r="2337" spans="1:9" x14ac:dyDescent="0.15">
      <c r="A2337" s="9">
        <v>2336</v>
      </c>
      <c r="B2337" s="10" t="s">
        <v>9</v>
      </c>
      <c r="C2337" s="10" t="s">
        <v>164</v>
      </c>
      <c r="D2337" s="10" t="s">
        <v>165</v>
      </c>
      <c r="E2337" s="11" t="str">
        <f>+HYPERLINK("http://trademark.i-assist.jp/data/china/image_1901th/79145558.pdf", "79145558")</f>
        <v>79145558</v>
      </c>
      <c r="F2337" s="10" t="s">
        <v>12</v>
      </c>
      <c r="G2337" s="10" t="s">
        <v>6534</v>
      </c>
      <c r="H2337" s="10" t="s">
        <v>6535</v>
      </c>
      <c r="I2337" s="10" t="s">
        <v>6168</v>
      </c>
    </row>
    <row r="2338" spans="1:9" x14ac:dyDescent="0.15">
      <c r="A2338" s="9">
        <v>2337</v>
      </c>
      <c r="B2338" s="10" t="s">
        <v>9</v>
      </c>
      <c r="C2338" s="10" t="s">
        <v>164</v>
      </c>
      <c r="D2338" s="10" t="s">
        <v>165</v>
      </c>
      <c r="E2338" s="11" t="str">
        <f>+HYPERLINK("http://trademark.i-assist.jp/data/china/image_1901th/79145774.pdf", "79145774")</f>
        <v>79145774</v>
      </c>
      <c r="F2338" s="10" t="s">
        <v>12</v>
      </c>
      <c r="G2338" s="10" t="s">
        <v>6536</v>
      </c>
      <c r="H2338" s="10" t="s">
        <v>6537</v>
      </c>
      <c r="I2338" s="10" t="s">
        <v>6168</v>
      </c>
    </row>
    <row r="2339" spans="1:9" x14ac:dyDescent="0.15">
      <c r="A2339" s="9">
        <v>2338</v>
      </c>
      <c r="B2339" s="10" t="s">
        <v>9</v>
      </c>
      <c r="C2339" s="10" t="s">
        <v>164</v>
      </c>
      <c r="D2339" s="10" t="s">
        <v>165</v>
      </c>
      <c r="E2339" s="11" t="str">
        <f>+HYPERLINK("http://trademark.i-assist.jp/data/china/image_1901th/79145935.pdf", "79145935")</f>
        <v>79145935</v>
      </c>
      <c r="F2339" s="10" t="s">
        <v>6538</v>
      </c>
      <c r="G2339" s="10" t="s">
        <v>6539</v>
      </c>
      <c r="H2339" s="10" t="s">
        <v>6540</v>
      </c>
      <c r="I2339" s="10" t="s">
        <v>6168</v>
      </c>
    </row>
    <row r="2340" spans="1:9" x14ac:dyDescent="0.15">
      <c r="A2340" s="9">
        <v>2339</v>
      </c>
      <c r="B2340" s="10" t="s">
        <v>9</v>
      </c>
      <c r="C2340" s="10" t="s">
        <v>164</v>
      </c>
      <c r="D2340" s="10" t="s">
        <v>165</v>
      </c>
      <c r="E2340" s="11" t="str">
        <f>+HYPERLINK("http://trademark.i-assist.jp/data/china/image_1901th/79146668.pdf", "79146668")</f>
        <v>79146668</v>
      </c>
      <c r="F2340" s="10" t="s">
        <v>6541</v>
      </c>
      <c r="G2340" s="10" t="s">
        <v>6272</v>
      </c>
      <c r="H2340" s="10" t="s">
        <v>6542</v>
      </c>
      <c r="I2340" s="10" t="s">
        <v>6168</v>
      </c>
    </row>
    <row r="2341" spans="1:9" x14ac:dyDescent="0.15">
      <c r="A2341" s="9">
        <v>2340</v>
      </c>
      <c r="B2341" s="10" t="s">
        <v>9</v>
      </c>
      <c r="C2341" s="10" t="s">
        <v>164</v>
      </c>
      <c r="D2341" s="10" t="s">
        <v>165</v>
      </c>
      <c r="E2341" s="11" t="str">
        <f>+HYPERLINK("http://trademark.i-assist.jp/data/china/image_1901th/79146748.pdf", "79146748")</f>
        <v>79146748</v>
      </c>
      <c r="F2341" s="10" t="s">
        <v>6543</v>
      </c>
      <c r="G2341" s="10" t="s">
        <v>6544</v>
      </c>
      <c r="H2341" s="10" t="s">
        <v>6545</v>
      </c>
      <c r="I2341" s="10" t="s">
        <v>6168</v>
      </c>
    </row>
    <row r="2342" spans="1:9" x14ac:dyDescent="0.15">
      <c r="A2342" s="9">
        <v>2341</v>
      </c>
      <c r="B2342" s="10" t="s">
        <v>9</v>
      </c>
      <c r="C2342" s="10" t="s">
        <v>164</v>
      </c>
      <c r="D2342" s="10" t="s">
        <v>165</v>
      </c>
      <c r="E2342" s="11" t="str">
        <f>+HYPERLINK("http://trademark.i-assist.jp/data/china/image_1901th/79146987.pdf", "79146987")</f>
        <v>79146987</v>
      </c>
      <c r="F2342" s="10" t="s">
        <v>6546</v>
      </c>
      <c r="G2342" s="10" t="s">
        <v>6547</v>
      </c>
      <c r="H2342" s="10" t="s">
        <v>6548</v>
      </c>
      <c r="I2342" s="10" t="s">
        <v>6168</v>
      </c>
    </row>
    <row r="2343" spans="1:9" x14ac:dyDescent="0.15">
      <c r="A2343" s="9">
        <v>2342</v>
      </c>
      <c r="B2343" s="10" t="s">
        <v>9</v>
      </c>
      <c r="C2343" s="10" t="s">
        <v>164</v>
      </c>
      <c r="D2343" s="10" t="s">
        <v>165</v>
      </c>
      <c r="E2343" s="11" t="str">
        <f>+HYPERLINK("http://trademark.i-assist.jp/data/china/image_1901th/79146992.pdf", "79146992")</f>
        <v>79146992</v>
      </c>
      <c r="F2343" s="10" t="s">
        <v>6549</v>
      </c>
      <c r="G2343" s="10" t="s">
        <v>6550</v>
      </c>
      <c r="H2343" s="10" t="s">
        <v>6551</v>
      </c>
      <c r="I2343" s="10" t="s">
        <v>6168</v>
      </c>
    </row>
    <row r="2344" spans="1:9" x14ac:dyDescent="0.15">
      <c r="A2344" s="9">
        <v>2343</v>
      </c>
      <c r="B2344" s="10" t="s">
        <v>9</v>
      </c>
      <c r="C2344" s="10" t="s">
        <v>164</v>
      </c>
      <c r="D2344" s="10" t="s">
        <v>165</v>
      </c>
      <c r="E2344" s="11" t="str">
        <f>+HYPERLINK("http://trademark.i-assist.jp/data/china/image_1901th/79147157.pdf", "79147157")</f>
        <v>79147157</v>
      </c>
      <c r="F2344" s="10" t="s">
        <v>6552</v>
      </c>
      <c r="G2344" s="10" t="s">
        <v>6553</v>
      </c>
      <c r="H2344" s="10" t="s">
        <v>6554</v>
      </c>
      <c r="I2344" s="10" t="s">
        <v>6168</v>
      </c>
    </row>
    <row r="2345" spans="1:9" x14ac:dyDescent="0.15">
      <c r="A2345" s="9">
        <v>2344</v>
      </c>
      <c r="B2345" s="10" t="s">
        <v>9</v>
      </c>
      <c r="C2345" s="10" t="s">
        <v>164</v>
      </c>
      <c r="D2345" s="10" t="s">
        <v>165</v>
      </c>
      <c r="E2345" s="11" t="str">
        <f>+HYPERLINK("http://trademark.i-assist.jp/data/china/image_1901th/79147348.pdf", "79147348")</f>
        <v>79147348</v>
      </c>
      <c r="F2345" s="10" t="s">
        <v>6555</v>
      </c>
      <c r="G2345" s="10" t="s">
        <v>6556</v>
      </c>
      <c r="H2345" s="10" t="s">
        <v>6557</v>
      </c>
      <c r="I2345" s="10" t="s">
        <v>6168</v>
      </c>
    </row>
    <row r="2346" spans="1:9" x14ac:dyDescent="0.15">
      <c r="A2346" s="9">
        <v>2345</v>
      </c>
      <c r="B2346" s="10" t="s">
        <v>9</v>
      </c>
      <c r="C2346" s="10" t="s">
        <v>164</v>
      </c>
      <c r="D2346" s="10" t="s">
        <v>165</v>
      </c>
      <c r="E2346" s="11" t="str">
        <f>+HYPERLINK("http://trademark.i-assist.jp/data/china/image_1901th/79147487.pdf", "79147487")</f>
        <v>79147487</v>
      </c>
      <c r="F2346" s="10" t="s">
        <v>6558</v>
      </c>
      <c r="G2346" s="10" t="s">
        <v>6559</v>
      </c>
      <c r="H2346" s="10" t="s">
        <v>6560</v>
      </c>
      <c r="I2346" s="10" t="s">
        <v>6168</v>
      </c>
    </row>
    <row r="2347" spans="1:9" x14ac:dyDescent="0.15">
      <c r="A2347" s="9">
        <v>2346</v>
      </c>
      <c r="B2347" s="10" t="s">
        <v>9</v>
      </c>
      <c r="C2347" s="10" t="s">
        <v>164</v>
      </c>
      <c r="D2347" s="10" t="s">
        <v>165</v>
      </c>
      <c r="E2347" s="11" t="str">
        <f>+HYPERLINK("http://trademark.i-assist.jp/data/china/image_1901th/79147587.pdf", "79147587")</f>
        <v>79147587</v>
      </c>
      <c r="F2347" s="10" t="s">
        <v>6561</v>
      </c>
      <c r="G2347" s="10" t="s">
        <v>6562</v>
      </c>
      <c r="H2347" s="10" t="s">
        <v>6563</v>
      </c>
      <c r="I2347" s="10" t="s">
        <v>6168</v>
      </c>
    </row>
    <row r="2348" spans="1:9" x14ac:dyDescent="0.15">
      <c r="A2348" s="9">
        <v>2347</v>
      </c>
      <c r="B2348" s="10" t="s">
        <v>9</v>
      </c>
      <c r="C2348" s="10" t="s">
        <v>164</v>
      </c>
      <c r="D2348" s="10" t="s">
        <v>165</v>
      </c>
      <c r="E2348" s="11" t="str">
        <f>+HYPERLINK("http://trademark.i-assist.jp/data/china/image_1901th/79147633.pdf", "79147633")</f>
        <v>79147633</v>
      </c>
      <c r="F2348" s="10" t="s">
        <v>6564</v>
      </c>
      <c r="G2348" s="10" t="s">
        <v>6379</v>
      </c>
      <c r="H2348" s="10" t="s">
        <v>6565</v>
      </c>
      <c r="I2348" s="10" t="s">
        <v>6168</v>
      </c>
    </row>
    <row r="2349" spans="1:9" x14ac:dyDescent="0.15">
      <c r="A2349" s="9">
        <v>2348</v>
      </c>
      <c r="B2349" s="10" t="s">
        <v>9</v>
      </c>
      <c r="C2349" s="10" t="s">
        <v>164</v>
      </c>
      <c r="D2349" s="10" t="s">
        <v>165</v>
      </c>
      <c r="E2349" s="11" t="str">
        <f>+HYPERLINK("http://trademark.i-assist.jp/data/china/image_1901th/79147658.pdf", "79147658")</f>
        <v>79147658</v>
      </c>
      <c r="F2349" s="10" t="s">
        <v>6566</v>
      </c>
      <c r="G2349" s="10" t="s">
        <v>6567</v>
      </c>
      <c r="H2349" s="10" t="s">
        <v>6568</v>
      </c>
      <c r="I2349" s="10" t="s">
        <v>6168</v>
      </c>
    </row>
    <row r="2350" spans="1:9" x14ac:dyDescent="0.15">
      <c r="A2350" s="9">
        <v>2349</v>
      </c>
      <c r="B2350" s="10" t="s">
        <v>9</v>
      </c>
      <c r="C2350" s="10" t="s">
        <v>164</v>
      </c>
      <c r="D2350" s="10" t="s">
        <v>165</v>
      </c>
      <c r="E2350" s="11" t="str">
        <f>+HYPERLINK("http://trademark.i-assist.jp/data/china/image_1901th/79148095.pdf", "79148095")</f>
        <v>79148095</v>
      </c>
      <c r="F2350" s="10" t="s">
        <v>6569</v>
      </c>
      <c r="G2350" s="10" t="s">
        <v>6212</v>
      </c>
      <c r="H2350" s="10" t="s">
        <v>6570</v>
      </c>
      <c r="I2350" s="10" t="s">
        <v>6168</v>
      </c>
    </row>
    <row r="2351" spans="1:9" x14ac:dyDescent="0.15">
      <c r="A2351" s="9">
        <v>2350</v>
      </c>
      <c r="B2351" s="10" t="s">
        <v>9</v>
      </c>
      <c r="C2351" s="10" t="s">
        <v>164</v>
      </c>
      <c r="D2351" s="10" t="s">
        <v>165</v>
      </c>
      <c r="E2351" s="11" t="str">
        <f>+HYPERLINK("http://trademark.i-assist.jp/data/china/image_1901th/79148128.pdf", "79148128")</f>
        <v>79148128</v>
      </c>
      <c r="F2351" s="10" t="s">
        <v>6571</v>
      </c>
      <c r="G2351" s="10" t="s">
        <v>6404</v>
      </c>
      <c r="H2351" s="10" t="s">
        <v>6572</v>
      </c>
      <c r="I2351" s="10" t="s">
        <v>6168</v>
      </c>
    </row>
    <row r="2352" spans="1:9" x14ac:dyDescent="0.15">
      <c r="A2352" s="9">
        <v>2351</v>
      </c>
      <c r="B2352" s="10" t="s">
        <v>9</v>
      </c>
      <c r="C2352" s="10" t="s">
        <v>164</v>
      </c>
      <c r="D2352" s="10" t="s">
        <v>165</v>
      </c>
      <c r="E2352" s="11" t="str">
        <f>+HYPERLINK("http://trademark.i-assist.jp/data/china/image_1901th/79148222.pdf", "79148222")</f>
        <v>79148222</v>
      </c>
      <c r="F2352" s="10" t="s">
        <v>6573</v>
      </c>
      <c r="G2352" s="10" t="s">
        <v>6574</v>
      </c>
      <c r="H2352" s="10" t="s">
        <v>6575</v>
      </c>
      <c r="I2352" s="10" t="s">
        <v>6168</v>
      </c>
    </row>
    <row r="2353" spans="1:9" x14ac:dyDescent="0.15">
      <c r="A2353" s="9">
        <v>2352</v>
      </c>
      <c r="B2353" s="10" t="s">
        <v>9</v>
      </c>
      <c r="C2353" s="10" t="s">
        <v>164</v>
      </c>
      <c r="D2353" s="10" t="s">
        <v>165</v>
      </c>
      <c r="E2353" s="11" t="str">
        <f>+HYPERLINK("http://trademark.i-assist.jp/data/china/image_1901th/79148432.pdf", "79148432")</f>
        <v>79148432</v>
      </c>
      <c r="F2353" s="10" t="s">
        <v>6576</v>
      </c>
      <c r="G2353" s="10" t="s">
        <v>6218</v>
      </c>
      <c r="H2353" s="10" t="s">
        <v>6577</v>
      </c>
      <c r="I2353" s="10" t="s">
        <v>6168</v>
      </c>
    </row>
    <row r="2354" spans="1:9" x14ac:dyDescent="0.15">
      <c r="A2354" s="9">
        <v>2353</v>
      </c>
      <c r="B2354" s="10" t="s">
        <v>9</v>
      </c>
      <c r="C2354" s="10" t="s">
        <v>164</v>
      </c>
      <c r="D2354" s="10" t="s">
        <v>165</v>
      </c>
      <c r="E2354" s="11" t="str">
        <f>+HYPERLINK("http://trademark.i-assist.jp/data/china/image_1901th/79148863.pdf", "79148863")</f>
        <v>79148863</v>
      </c>
      <c r="F2354" s="10" t="s">
        <v>6578</v>
      </c>
      <c r="G2354" s="10" t="s">
        <v>6579</v>
      </c>
      <c r="H2354" s="10" t="s">
        <v>6580</v>
      </c>
      <c r="I2354" s="10" t="s">
        <v>6168</v>
      </c>
    </row>
    <row r="2355" spans="1:9" x14ac:dyDescent="0.15">
      <c r="A2355" s="9">
        <v>2354</v>
      </c>
      <c r="B2355" s="10" t="s">
        <v>9</v>
      </c>
      <c r="C2355" s="10" t="s">
        <v>164</v>
      </c>
      <c r="D2355" s="10" t="s">
        <v>165</v>
      </c>
      <c r="E2355" s="11" t="str">
        <f>+HYPERLINK("http://trademark.i-assist.jp/data/china/image_1901th/79149105.pdf", "79149105")</f>
        <v>79149105</v>
      </c>
      <c r="F2355" s="10" t="s">
        <v>6581</v>
      </c>
      <c r="G2355" s="10" t="s">
        <v>6582</v>
      </c>
      <c r="H2355" s="10" t="s">
        <v>6583</v>
      </c>
      <c r="I2355" s="10" t="s">
        <v>6168</v>
      </c>
    </row>
    <row r="2356" spans="1:9" x14ac:dyDescent="0.15">
      <c r="A2356" s="9">
        <v>2355</v>
      </c>
      <c r="B2356" s="10" t="s">
        <v>9</v>
      </c>
      <c r="C2356" s="10" t="s">
        <v>164</v>
      </c>
      <c r="D2356" s="10" t="s">
        <v>165</v>
      </c>
      <c r="E2356" s="11" t="str">
        <f>+HYPERLINK("http://trademark.i-assist.jp/data/china/image_1901th/79149108.pdf", "79149108")</f>
        <v>79149108</v>
      </c>
      <c r="F2356" s="10" t="s">
        <v>6584</v>
      </c>
      <c r="G2356" s="10" t="s">
        <v>6585</v>
      </c>
      <c r="H2356" s="10" t="s">
        <v>6586</v>
      </c>
      <c r="I2356" s="10" t="s">
        <v>6168</v>
      </c>
    </row>
    <row r="2357" spans="1:9" x14ac:dyDescent="0.15">
      <c r="A2357" s="9">
        <v>2356</v>
      </c>
      <c r="B2357" s="10" t="s">
        <v>9</v>
      </c>
      <c r="C2357" s="10" t="s">
        <v>164</v>
      </c>
      <c r="D2357" s="10" t="s">
        <v>165</v>
      </c>
      <c r="E2357" s="11" t="str">
        <f>+HYPERLINK("http://trademark.i-assist.jp/data/china/image_1901th/79149125.pdf", "79149125")</f>
        <v>79149125</v>
      </c>
      <c r="F2357" s="10" t="s">
        <v>6587</v>
      </c>
      <c r="G2357" s="10" t="s">
        <v>6582</v>
      </c>
      <c r="H2357" s="10" t="s">
        <v>6588</v>
      </c>
      <c r="I2357" s="10" t="s">
        <v>6168</v>
      </c>
    </row>
    <row r="2358" spans="1:9" x14ac:dyDescent="0.15">
      <c r="A2358" s="9">
        <v>2357</v>
      </c>
      <c r="B2358" s="10" t="s">
        <v>9</v>
      </c>
      <c r="C2358" s="10" t="s">
        <v>164</v>
      </c>
      <c r="D2358" s="10" t="s">
        <v>165</v>
      </c>
      <c r="E2358" s="11" t="str">
        <f>+HYPERLINK("http://trademark.i-assist.jp/data/china/image_1901th/79149544.pdf", "79149544")</f>
        <v>79149544</v>
      </c>
      <c r="F2358" s="10" t="s">
        <v>6589</v>
      </c>
      <c r="G2358" s="10" t="s">
        <v>6212</v>
      </c>
      <c r="H2358" s="10" t="s">
        <v>6590</v>
      </c>
      <c r="I2358" s="10" t="s">
        <v>6168</v>
      </c>
    </row>
    <row r="2359" spans="1:9" x14ac:dyDescent="0.15">
      <c r="A2359" s="9">
        <v>2358</v>
      </c>
      <c r="B2359" s="10" t="s">
        <v>9</v>
      </c>
      <c r="C2359" s="10" t="s">
        <v>164</v>
      </c>
      <c r="D2359" s="10" t="s">
        <v>165</v>
      </c>
      <c r="E2359" s="11" t="str">
        <f>+HYPERLINK("http://trademark.i-assist.jp/data/china/image_1901th/79149754.pdf", "79149754")</f>
        <v>79149754</v>
      </c>
      <c r="F2359" s="10" t="s">
        <v>6591</v>
      </c>
      <c r="G2359" s="10" t="s">
        <v>6074</v>
      </c>
      <c r="H2359" s="10" t="s">
        <v>6592</v>
      </c>
      <c r="I2359" s="10" t="s">
        <v>6168</v>
      </c>
    </row>
    <row r="2360" spans="1:9" x14ac:dyDescent="0.15">
      <c r="A2360" s="9">
        <v>2359</v>
      </c>
      <c r="B2360" s="10" t="s">
        <v>9</v>
      </c>
      <c r="C2360" s="10" t="s">
        <v>164</v>
      </c>
      <c r="D2360" s="10" t="s">
        <v>165</v>
      </c>
      <c r="E2360" s="11" t="str">
        <f>+HYPERLINK("http://trademark.i-assist.jp/data/china/image_1901th/79149821.pdf", "79149821")</f>
        <v>79149821</v>
      </c>
      <c r="F2360" s="10" t="s">
        <v>6593</v>
      </c>
      <c r="G2360" s="10" t="s">
        <v>6550</v>
      </c>
      <c r="H2360" s="10" t="s">
        <v>6594</v>
      </c>
      <c r="I2360" s="10" t="s">
        <v>6168</v>
      </c>
    </row>
    <row r="2361" spans="1:9" x14ac:dyDescent="0.15">
      <c r="A2361" s="9">
        <v>2360</v>
      </c>
      <c r="B2361" s="10" t="s">
        <v>9</v>
      </c>
      <c r="C2361" s="10" t="s">
        <v>164</v>
      </c>
      <c r="D2361" s="10" t="s">
        <v>165</v>
      </c>
      <c r="E2361" s="11" t="str">
        <f>+HYPERLINK("http://trademark.i-assist.jp/data/china/image_1901th/79149864.pdf", "79149864")</f>
        <v>79149864</v>
      </c>
      <c r="F2361" s="10" t="s">
        <v>6595</v>
      </c>
      <c r="G2361" s="10" t="s">
        <v>6439</v>
      </c>
      <c r="H2361" s="10" t="s">
        <v>6596</v>
      </c>
      <c r="I2361" s="10" t="s">
        <v>6168</v>
      </c>
    </row>
    <row r="2362" spans="1:9" x14ac:dyDescent="0.15">
      <c r="A2362" s="9">
        <v>2361</v>
      </c>
      <c r="B2362" s="10" t="s">
        <v>9</v>
      </c>
      <c r="C2362" s="10" t="s">
        <v>164</v>
      </c>
      <c r="D2362" s="10" t="s">
        <v>165</v>
      </c>
      <c r="E2362" s="11" t="str">
        <f>+HYPERLINK("http://trademark.i-assist.jp/data/china/image_1901th/79149937.pdf", "79149937")</f>
        <v>79149937</v>
      </c>
      <c r="F2362" s="10" t="s">
        <v>6597</v>
      </c>
      <c r="G2362" s="10" t="s">
        <v>6598</v>
      </c>
      <c r="H2362" s="10" t="s">
        <v>6599</v>
      </c>
      <c r="I2362" s="10" t="s">
        <v>6168</v>
      </c>
    </row>
    <row r="2363" spans="1:9" x14ac:dyDescent="0.15">
      <c r="A2363" s="9">
        <v>2362</v>
      </c>
      <c r="B2363" s="10" t="s">
        <v>9</v>
      </c>
      <c r="C2363" s="10" t="s">
        <v>164</v>
      </c>
      <c r="D2363" s="10" t="s">
        <v>165</v>
      </c>
      <c r="E2363" s="11" t="str">
        <f>+HYPERLINK("http://trademark.i-assist.jp/data/china/image_1901th/79150086.pdf", "79150086")</f>
        <v>79150086</v>
      </c>
      <c r="F2363" s="10" t="s">
        <v>6600</v>
      </c>
      <c r="G2363" s="10" t="s">
        <v>6184</v>
      </c>
      <c r="H2363" s="10" t="s">
        <v>6601</v>
      </c>
      <c r="I2363" s="10" t="s">
        <v>6168</v>
      </c>
    </row>
    <row r="2364" spans="1:9" x14ac:dyDescent="0.15">
      <c r="A2364" s="9">
        <v>2363</v>
      </c>
      <c r="B2364" s="10" t="s">
        <v>9</v>
      </c>
      <c r="C2364" s="10" t="s">
        <v>164</v>
      </c>
      <c r="D2364" s="10" t="s">
        <v>165</v>
      </c>
      <c r="E2364" s="11" t="str">
        <f>+HYPERLINK("http://trademark.i-assist.jp/data/china/image_1901th/79150240.pdf", "79150240")</f>
        <v>79150240</v>
      </c>
      <c r="F2364" s="10" t="s">
        <v>6602</v>
      </c>
      <c r="G2364" s="10" t="s">
        <v>6603</v>
      </c>
      <c r="H2364" s="10" t="s">
        <v>6604</v>
      </c>
      <c r="I2364" s="10" t="s">
        <v>6168</v>
      </c>
    </row>
    <row r="2365" spans="1:9" x14ac:dyDescent="0.15">
      <c r="A2365" s="9">
        <v>2364</v>
      </c>
      <c r="B2365" s="10" t="s">
        <v>9</v>
      </c>
      <c r="C2365" s="10" t="s">
        <v>164</v>
      </c>
      <c r="D2365" s="10" t="s">
        <v>165</v>
      </c>
      <c r="E2365" s="11" t="str">
        <f>+HYPERLINK("http://trademark.i-assist.jp/data/china/image_1901th/79150540.pdf", "79150540")</f>
        <v>79150540</v>
      </c>
      <c r="F2365" s="10" t="s">
        <v>6605</v>
      </c>
      <c r="G2365" s="10" t="s">
        <v>6606</v>
      </c>
      <c r="H2365" s="10" t="s">
        <v>6607</v>
      </c>
      <c r="I2365" s="10" t="s">
        <v>6168</v>
      </c>
    </row>
    <row r="2366" spans="1:9" x14ac:dyDescent="0.15">
      <c r="A2366" s="9">
        <v>2365</v>
      </c>
      <c r="B2366" s="10" t="s">
        <v>9</v>
      </c>
      <c r="C2366" s="10" t="s">
        <v>164</v>
      </c>
      <c r="D2366" s="10" t="s">
        <v>165</v>
      </c>
      <c r="E2366" s="11" t="str">
        <f>+HYPERLINK("http://trademark.i-assist.jp/data/china/image_1901th/79150575.pdf", "79150575")</f>
        <v>79150575</v>
      </c>
      <c r="F2366" s="10" t="s">
        <v>6608</v>
      </c>
      <c r="G2366" s="10" t="s">
        <v>6382</v>
      </c>
      <c r="H2366" s="10" t="s">
        <v>6609</v>
      </c>
      <c r="I2366" s="10" t="s">
        <v>6168</v>
      </c>
    </row>
    <row r="2367" spans="1:9" x14ac:dyDescent="0.15">
      <c r="A2367" s="9">
        <v>2366</v>
      </c>
      <c r="B2367" s="10" t="s">
        <v>9</v>
      </c>
      <c r="C2367" s="10" t="s">
        <v>164</v>
      </c>
      <c r="D2367" s="10" t="s">
        <v>165</v>
      </c>
      <c r="E2367" s="11" t="str">
        <f>+HYPERLINK("http://trademark.i-assist.jp/data/china/image_1901th/79150715.pdf", "79150715")</f>
        <v>79150715</v>
      </c>
      <c r="F2367" s="10" t="s">
        <v>12</v>
      </c>
      <c r="G2367" s="10" t="s">
        <v>6610</v>
      </c>
      <c r="H2367" s="10" t="s">
        <v>6611</v>
      </c>
      <c r="I2367" s="10" t="s">
        <v>6168</v>
      </c>
    </row>
    <row r="2368" spans="1:9" x14ac:dyDescent="0.15">
      <c r="A2368" s="9">
        <v>2367</v>
      </c>
      <c r="B2368" s="10" t="s">
        <v>9</v>
      </c>
      <c r="C2368" s="10" t="s">
        <v>164</v>
      </c>
      <c r="D2368" s="10" t="s">
        <v>165</v>
      </c>
      <c r="E2368" s="11" t="str">
        <f>+HYPERLINK("http://trademark.i-assist.jp/data/china/image_1901th/79150887.pdf", "79150887")</f>
        <v>79150887</v>
      </c>
      <c r="F2368" s="10" t="s">
        <v>6612</v>
      </c>
      <c r="G2368" s="10" t="s">
        <v>6613</v>
      </c>
      <c r="H2368" s="10" t="s">
        <v>6614</v>
      </c>
      <c r="I2368" s="10" t="s">
        <v>6168</v>
      </c>
    </row>
    <row r="2369" spans="1:9" x14ac:dyDescent="0.15">
      <c r="A2369" s="9">
        <v>2368</v>
      </c>
      <c r="B2369" s="10" t="s">
        <v>9</v>
      </c>
      <c r="C2369" s="10" t="s">
        <v>164</v>
      </c>
      <c r="D2369" s="10" t="s">
        <v>165</v>
      </c>
      <c r="E2369" s="11" t="str">
        <f>+HYPERLINK("http://trademark.i-assist.jp/data/china/image_1901th/79150915.pdf", "79150915")</f>
        <v>79150915</v>
      </c>
      <c r="F2369" s="10" t="s">
        <v>6615</v>
      </c>
      <c r="G2369" s="10" t="s">
        <v>6550</v>
      </c>
      <c r="H2369" s="10" t="s">
        <v>6616</v>
      </c>
      <c r="I2369" s="10" t="s">
        <v>6168</v>
      </c>
    </row>
    <row r="2370" spans="1:9" x14ac:dyDescent="0.15">
      <c r="A2370" s="9">
        <v>2369</v>
      </c>
      <c r="B2370" s="10" t="s">
        <v>9</v>
      </c>
      <c r="C2370" s="10" t="s">
        <v>164</v>
      </c>
      <c r="D2370" s="10" t="s">
        <v>165</v>
      </c>
      <c r="E2370" s="11" t="str">
        <f>+HYPERLINK("http://trademark.i-assist.jp/data/china/image_1901th/79150924.pdf", "79150924")</f>
        <v>79150924</v>
      </c>
      <c r="F2370" s="10" t="s">
        <v>6617</v>
      </c>
      <c r="G2370" s="10" t="s">
        <v>6585</v>
      </c>
      <c r="H2370" s="10" t="s">
        <v>6618</v>
      </c>
      <c r="I2370" s="10" t="s">
        <v>6168</v>
      </c>
    </row>
    <row r="2371" spans="1:9" x14ac:dyDescent="0.15">
      <c r="A2371" s="9">
        <v>2370</v>
      </c>
      <c r="B2371" s="10" t="s">
        <v>9</v>
      </c>
      <c r="C2371" s="10" t="s">
        <v>164</v>
      </c>
      <c r="D2371" s="10" t="s">
        <v>165</v>
      </c>
      <c r="E2371" s="11" t="str">
        <f>+HYPERLINK("http://trademark.i-assist.jp/data/china/image_1901th/79151027.pdf", "79151027")</f>
        <v>79151027</v>
      </c>
      <c r="F2371" s="10" t="s">
        <v>6619</v>
      </c>
      <c r="G2371" s="10" t="s">
        <v>6379</v>
      </c>
      <c r="H2371" s="10" t="s">
        <v>6620</v>
      </c>
      <c r="I2371" s="10" t="s">
        <v>6168</v>
      </c>
    </row>
    <row r="2372" spans="1:9" x14ac:dyDescent="0.15">
      <c r="A2372" s="9">
        <v>2371</v>
      </c>
      <c r="B2372" s="10" t="s">
        <v>9</v>
      </c>
      <c r="C2372" s="10" t="s">
        <v>164</v>
      </c>
      <c r="D2372" s="10" t="s">
        <v>165</v>
      </c>
      <c r="E2372" s="11" t="str">
        <f>+HYPERLINK("http://trademark.i-assist.jp/data/china/image_1901th/79151225.pdf", "79151225")</f>
        <v>79151225</v>
      </c>
      <c r="F2372" s="10" t="s">
        <v>6621</v>
      </c>
      <c r="G2372" s="10" t="s">
        <v>6622</v>
      </c>
      <c r="H2372" s="10" t="s">
        <v>6623</v>
      </c>
      <c r="I2372" s="10" t="s">
        <v>6168</v>
      </c>
    </row>
    <row r="2373" spans="1:9" x14ac:dyDescent="0.15">
      <c r="A2373" s="9">
        <v>2372</v>
      </c>
      <c r="B2373" s="10" t="s">
        <v>9</v>
      </c>
      <c r="C2373" s="10" t="s">
        <v>164</v>
      </c>
      <c r="D2373" s="10" t="s">
        <v>165</v>
      </c>
      <c r="E2373" s="11" t="str">
        <f>+HYPERLINK("http://trademark.i-assist.jp/data/china/image_1901th/79151363.pdf", "79151363")</f>
        <v>79151363</v>
      </c>
      <c r="F2373" s="10" t="s">
        <v>6624</v>
      </c>
      <c r="G2373" s="10" t="s">
        <v>6184</v>
      </c>
      <c r="H2373" s="10" t="s">
        <v>6625</v>
      </c>
      <c r="I2373" s="10" t="s">
        <v>6168</v>
      </c>
    </row>
    <row r="2374" spans="1:9" x14ac:dyDescent="0.15">
      <c r="A2374" s="9">
        <v>2373</v>
      </c>
      <c r="B2374" s="10" t="s">
        <v>9</v>
      </c>
      <c r="C2374" s="10" t="s">
        <v>164</v>
      </c>
      <c r="D2374" s="10" t="s">
        <v>165</v>
      </c>
      <c r="E2374" s="11" t="str">
        <f>+HYPERLINK("http://trademark.i-assist.jp/data/china/image_1901th/79151432.pdf", "79151432")</f>
        <v>79151432</v>
      </c>
      <c r="F2374" s="10" t="s">
        <v>6626</v>
      </c>
      <c r="G2374" s="10" t="s">
        <v>6627</v>
      </c>
      <c r="H2374" s="10" t="s">
        <v>6628</v>
      </c>
      <c r="I2374" s="10" t="s">
        <v>6168</v>
      </c>
    </row>
    <row r="2375" spans="1:9" x14ac:dyDescent="0.15">
      <c r="A2375" s="9">
        <v>2374</v>
      </c>
      <c r="B2375" s="10" t="s">
        <v>9</v>
      </c>
      <c r="C2375" s="10" t="s">
        <v>164</v>
      </c>
      <c r="D2375" s="10" t="s">
        <v>165</v>
      </c>
      <c r="E2375" s="11" t="str">
        <f>+HYPERLINK("http://trademark.i-assist.jp/data/china/image_1901th/79151551.pdf", "79151551")</f>
        <v>79151551</v>
      </c>
      <c r="F2375" s="10" t="s">
        <v>6629</v>
      </c>
      <c r="G2375" s="10" t="s">
        <v>6630</v>
      </c>
      <c r="H2375" s="10" t="s">
        <v>6631</v>
      </c>
      <c r="I2375" s="10" t="s">
        <v>6168</v>
      </c>
    </row>
    <row r="2376" spans="1:9" x14ac:dyDescent="0.15">
      <c r="A2376" s="9">
        <v>2375</v>
      </c>
      <c r="B2376" s="10" t="s">
        <v>9</v>
      </c>
      <c r="C2376" s="10" t="s">
        <v>164</v>
      </c>
      <c r="D2376" s="10" t="s">
        <v>165</v>
      </c>
      <c r="E2376" s="11" t="str">
        <f>+HYPERLINK("http://trademark.i-assist.jp/data/china/image_1901th/79151798.pdf", "79151798")</f>
        <v>79151798</v>
      </c>
      <c r="F2376" s="10" t="s">
        <v>6632</v>
      </c>
      <c r="G2376" s="10" t="s">
        <v>6633</v>
      </c>
      <c r="H2376" s="10" t="s">
        <v>6634</v>
      </c>
      <c r="I2376" s="10" t="s">
        <v>6168</v>
      </c>
    </row>
    <row r="2377" spans="1:9" x14ac:dyDescent="0.15">
      <c r="A2377" s="9">
        <v>2376</v>
      </c>
      <c r="B2377" s="10" t="s">
        <v>9</v>
      </c>
      <c r="C2377" s="10" t="s">
        <v>164</v>
      </c>
      <c r="D2377" s="10" t="s">
        <v>165</v>
      </c>
      <c r="E2377" s="11" t="str">
        <f>+HYPERLINK("http://trademark.i-assist.jp/data/china/image_1901th/79151949.pdf", "79151949")</f>
        <v>79151949</v>
      </c>
      <c r="F2377" s="10" t="s">
        <v>6635</v>
      </c>
      <c r="G2377" s="10" t="s">
        <v>6439</v>
      </c>
      <c r="H2377" s="10" t="s">
        <v>6636</v>
      </c>
      <c r="I2377" s="10" t="s">
        <v>6168</v>
      </c>
    </row>
    <row r="2378" spans="1:9" x14ac:dyDescent="0.15">
      <c r="A2378" s="9">
        <v>2377</v>
      </c>
      <c r="B2378" s="10" t="s">
        <v>9</v>
      </c>
      <c r="C2378" s="10" t="s">
        <v>164</v>
      </c>
      <c r="D2378" s="10" t="s">
        <v>165</v>
      </c>
      <c r="E2378" s="11" t="str">
        <f>+HYPERLINK("http://trademark.i-assist.jp/data/china/image_1901th/79152000.pdf", "79152000")</f>
        <v>79152000</v>
      </c>
      <c r="F2378" s="10" t="s">
        <v>6637</v>
      </c>
      <c r="G2378" s="10" t="s">
        <v>6346</v>
      </c>
      <c r="H2378" s="10" t="s">
        <v>6638</v>
      </c>
      <c r="I2378" s="10" t="s">
        <v>6168</v>
      </c>
    </row>
    <row r="2379" spans="1:9" x14ac:dyDescent="0.15">
      <c r="A2379" s="9">
        <v>2378</v>
      </c>
      <c r="B2379" s="10" t="s">
        <v>9</v>
      </c>
      <c r="C2379" s="10" t="s">
        <v>164</v>
      </c>
      <c r="D2379" s="10" t="s">
        <v>165</v>
      </c>
      <c r="E2379" s="11" t="str">
        <f>+HYPERLINK("http://trademark.i-assist.jp/data/china/image_1901th/79152308.pdf", "79152308")</f>
        <v>79152308</v>
      </c>
      <c r="F2379" s="10" t="s">
        <v>6639</v>
      </c>
      <c r="G2379" s="10" t="s">
        <v>6404</v>
      </c>
      <c r="H2379" s="10" t="s">
        <v>6640</v>
      </c>
      <c r="I2379" s="10" t="s">
        <v>6168</v>
      </c>
    </row>
    <row r="2380" spans="1:9" x14ac:dyDescent="0.15">
      <c r="A2380" s="9">
        <v>2379</v>
      </c>
      <c r="B2380" s="10" t="s">
        <v>9</v>
      </c>
      <c r="C2380" s="10" t="s">
        <v>164</v>
      </c>
      <c r="D2380" s="10" t="s">
        <v>165</v>
      </c>
      <c r="E2380" s="11" t="str">
        <f>+HYPERLINK("http://trademark.i-assist.jp/data/china/image_1901th/79152312.pdf", "79152312")</f>
        <v>79152312</v>
      </c>
      <c r="F2380" s="10" t="s">
        <v>6641</v>
      </c>
      <c r="G2380" s="10" t="s">
        <v>6404</v>
      </c>
      <c r="H2380" s="10" t="s">
        <v>6642</v>
      </c>
      <c r="I2380" s="10" t="s">
        <v>6168</v>
      </c>
    </row>
    <row r="2381" spans="1:9" x14ac:dyDescent="0.15">
      <c r="A2381" s="9">
        <v>2380</v>
      </c>
      <c r="B2381" s="10" t="s">
        <v>9</v>
      </c>
      <c r="C2381" s="10" t="s">
        <v>164</v>
      </c>
      <c r="D2381" s="10" t="s">
        <v>165</v>
      </c>
      <c r="E2381" s="11" t="str">
        <f>+HYPERLINK("http://trademark.i-assist.jp/data/china/image_1901th/79152369.pdf", "79152369")</f>
        <v>79152369</v>
      </c>
      <c r="F2381" s="10" t="s">
        <v>6643</v>
      </c>
      <c r="G2381" s="10" t="s">
        <v>4156</v>
      </c>
      <c r="H2381" s="10" t="s">
        <v>6644</v>
      </c>
      <c r="I2381" s="10" t="s">
        <v>6168</v>
      </c>
    </row>
    <row r="2382" spans="1:9" x14ac:dyDescent="0.15">
      <c r="A2382" s="9">
        <v>2381</v>
      </c>
      <c r="B2382" s="10" t="s">
        <v>9</v>
      </c>
      <c r="C2382" s="10" t="s">
        <v>164</v>
      </c>
      <c r="D2382" s="10" t="s">
        <v>165</v>
      </c>
      <c r="E2382" s="11" t="str">
        <f>+HYPERLINK("http://trademark.i-assist.jp/data/china/image_1901th/79152380.pdf", "79152380")</f>
        <v>79152380</v>
      </c>
      <c r="F2382" s="10" t="s">
        <v>6645</v>
      </c>
      <c r="G2382" s="10" t="s">
        <v>6646</v>
      </c>
      <c r="H2382" s="10" t="s">
        <v>6647</v>
      </c>
      <c r="I2382" s="10" t="s">
        <v>6168</v>
      </c>
    </row>
    <row r="2383" spans="1:9" x14ac:dyDescent="0.15">
      <c r="A2383" s="9">
        <v>2382</v>
      </c>
      <c r="B2383" s="10" t="s">
        <v>9</v>
      </c>
      <c r="C2383" s="10" t="s">
        <v>164</v>
      </c>
      <c r="D2383" s="10" t="s">
        <v>165</v>
      </c>
      <c r="E2383" s="11" t="str">
        <f>+HYPERLINK("http://trademark.i-assist.jp/data/china/image_1901th/79152394.pdf", "79152394")</f>
        <v>79152394</v>
      </c>
      <c r="F2383" s="10" t="s">
        <v>6648</v>
      </c>
      <c r="G2383" s="10" t="s">
        <v>6649</v>
      </c>
      <c r="H2383" s="10" t="s">
        <v>6650</v>
      </c>
      <c r="I2383" s="10" t="s">
        <v>6168</v>
      </c>
    </row>
    <row r="2384" spans="1:9" x14ac:dyDescent="0.15">
      <c r="A2384" s="9">
        <v>2383</v>
      </c>
      <c r="B2384" s="10" t="s">
        <v>9</v>
      </c>
      <c r="C2384" s="10" t="s">
        <v>164</v>
      </c>
      <c r="D2384" s="10" t="s">
        <v>165</v>
      </c>
      <c r="E2384" s="11" t="str">
        <f>+HYPERLINK("http://trademark.i-assist.jp/data/china/image_1901th/79152413.pdf", "79152413")</f>
        <v>79152413</v>
      </c>
      <c r="F2384" s="10" t="s">
        <v>6651</v>
      </c>
      <c r="G2384" s="10" t="s">
        <v>6582</v>
      </c>
      <c r="H2384" s="10" t="s">
        <v>6652</v>
      </c>
      <c r="I2384" s="10" t="s">
        <v>6168</v>
      </c>
    </row>
    <row r="2385" spans="1:9" x14ac:dyDescent="0.15">
      <c r="A2385" s="9">
        <v>2384</v>
      </c>
      <c r="B2385" s="10" t="s">
        <v>9</v>
      </c>
      <c r="C2385" s="10" t="s">
        <v>164</v>
      </c>
      <c r="D2385" s="10" t="s">
        <v>165</v>
      </c>
      <c r="E2385" s="11" t="str">
        <f>+HYPERLINK("http://trademark.i-assist.jp/data/china/image_1901th/79152432.pdf", "79152432")</f>
        <v>79152432</v>
      </c>
      <c r="F2385" s="10" t="s">
        <v>6653</v>
      </c>
      <c r="G2385" s="10" t="s">
        <v>6582</v>
      </c>
      <c r="H2385" s="10" t="s">
        <v>6654</v>
      </c>
      <c r="I2385" s="10" t="s">
        <v>6168</v>
      </c>
    </row>
    <row r="2386" spans="1:9" x14ac:dyDescent="0.15">
      <c r="A2386" s="9">
        <v>2385</v>
      </c>
      <c r="B2386" s="10" t="s">
        <v>9</v>
      </c>
      <c r="C2386" s="10" t="s">
        <v>164</v>
      </c>
      <c r="D2386" s="10" t="s">
        <v>165</v>
      </c>
      <c r="E2386" s="11" t="str">
        <f>+HYPERLINK("http://trademark.i-assist.jp/data/china/image_1901th/79152545.pdf", "79152545")</f>
        <v>79152545</v>
      </c>
      <c r="F2386" s="10" t="s">
        <v>6655</v>
      </c>
      <c r="G2386" s="10" t="s">
        <v>6184</v>
      </c>
      <c r="H2386" s="10" t="s">
        <v>6656</v>
      </c>
      <c r="I2386" s="10" t="s">
        <v>6168</v>
      </c>
    </row>
    <row r="2387" spans="1:9" x14ac:dyDescent="0.15">
      <c r="A2387" s="9">
        <v>2386</v>
      </c>
      <c r="B2387" s="10" t="s">
        <v>9</v>
      </c>
      <c r="C2387" s="10" t="s">
        <v>164</v>
      </c>
      <c r="D2387" s="10" t="s">
        <v>165</v>
      </c>
      <c r="E2387" s="11" t="str">
        <f>+HYPERLINK("http://trademark.i-assist.jp/data/china/image_1901th/79152555.pdf", "79152555")</f>
        <v>79152555</v>
      </c>
      <c r="F2387" s="10" t="s">
        <v>6657</v>
      </c>
      <c r="G2387" s="10" t="s">
        <v>6184</v>
      </c>
      <c r="H2387" s="10" t="s">
        <v>6658</v>
      </c>
      <c r="I2387" s="10" t="s">
        <v>6168</v>
      </c>
    </row>
    <row r="2388" spans="1:9" x14ac:dyDescent="0.15">
      <c r="A2388" s="9">
        <v>2387</v>
      </c>
      <c r="B2388" s="10" t="s">
        <v>9</v>
      </c>
      <c r="C2388" s="10" t="s">
        <v>164</v>
      </c>
      <c r="D2388" s="10" t="s">
        <v>165</v>
      </c>
      <c r="E2388" s="11" t="str">
        <f>+HYPERLINK("http://trademark.i-assist.jp/data/china/image_1901th/79152576.pdf", "79152576")</f>
        <v>79152576</v>
      </c>
      <c r="F2388" s="10" t="s">
        <v>6659</v>
      </c>
      <c r="G2388" s="10" t="s">
        <v>6184</v>
      </c>
      <c r="H2388" s="10" t="s">
        <v>6660</v>
      </c>
      <c r="I2388" s="10" t="s">
        <v>6168</v>
      </c>
    </row>
    <row r="2389" spans="1:9" x14ac:dyDescent="0.15">
      <c r="A2389" s="9">
        <v>2388</v>
      </c>
      <c r="B2389" s="10" t="s">
        <v>9</v>
      </c>
      <c r="C2389" s="10" t="s">
        <v>164</v>
      </c>
      <c r="D2389" s="10" t="s">
        <v>165</v>
      </c>
      <c r="E2389" s="11" t="str">
        <f>+HYPERLINK("http://trademark.i-assist.jp/data/china/image_1901th/79152773.pdf", "79152773")</f>
        <v>79152773</v>
      </c>
      <c r="F2389" s="10" t="s">
        <v>6661</v>
      </c>
      <c r="G2389" s="10" t="s">
        <v>6662</v>
      </c>
      <c r="H2389" s="10" t="s">
        <v>6663</v>
      </c>
      <c r="I2389" s="10" t="s">
        <v>6168</v>
      </c>
    </row>
    <row r="2390" spans="1:9" x14ac:dyDescent="0.15">
      <c r="A2390" s="9">
        <v>2389</v>
      </c>
      <c r="B2390" s="10" t="s">
        <v>9</v>
      </c>
      <c r="C2390" s="10" t="s">
        <v>164</v>
      </c>
      <c r="D2390" s="10" t="s">
        <v>165</v>
      </c>
      <c r="E2390" s="11" t="str">
        <f>+HYPERLINK("http://trademark.i-assist.jp/data/china/image_1901th/79153144.pdf", "79153144")</f>
        <v>79153144</v>
      </c>
      <c r="F2390" s="10" t="s">
        <v>6664</v>
      </c>
      <c r="G2390" s="10" t="s">
        <v>158</v>
      </c>
      <c r="H2390" s="10" t="s">
        <v>6665</v>
      </c>
      <c r="I2390" s="10" t="s">
        <v>6168</v>
      </c>
    </row>
    <row r="2391" spans="1:9" x14ac:dyDescent="0.15">
      <c r="A2391" s="9">
        <v>2390</v>
      </c>
      <c r="B2391" s="10" t="s">
        <v>9</v>
      </c>
      <c r="C2391" s="10" t="s">
        <v>164</v>
      </c>
      <c r="D2391" s="10" t="s">
        <v>165</v>
      </c>
      <c r="E2391" s="11" t="str">
        <f>+HYPERLINK("http://trademark.i-assist.jp/data/china/image_1901th/79153182.pdf", "79153182")</f>
        <v>79153182</v>
      </c>
      <c r="F2391" s="10" t="s">
        <v>6666</v>
      </c>
      <c r="G2391" s="10" t="s">
        <v>5583</v>
      </c>
      <c r="H2391" s="10" t="s">
        <v>6667</v>
      </c>
      <c r="I2391" s="10" t="s">
        <v>6168</v>
      </c>
    </row>
    <row r="2392" spans="1:9" x14ac:dyDescent="0.15">
      <c r="A2392" s="9">
        <v>2391</v>
      </c>
      <c r="B2392" s="10" t="s">
        <v>9</v>
      </c>
      <c r="C2392" s="10" t="s">
        <v>164</v>
      </c>
      <c r="D2392" s="10" t="s">
        <v>165</v>
      </c>
      <c r="E2392" s="11" t="str">
        <f>+HYPERLINK("http://trademark.i-assist.jp/data/china/image_1901th/79153553.pdf", "79153553")</f>
        <v>79153553</v>
      </c>
      <c r="F2392" s="10" t="s">
        <v>6668</v>
      </c>
      <c r="G2392" s="10" t="s">
        <v>6669</v>
      </c>
      <c r="H2392" s="10" t="s">
        <v>6670</v>
      </c>
      <c r="I2392" s="10" t="s">
        <v>6671</v>
      </c>
    </row>
    <row r="2393" spans="1:9" x14ac:dyDescent="0.15">
      <c r="A2393" s="9">
        <v>2392</v>
      </c>
      <c r="B2393" s="10" t="s">
        <v>9</v>
      </c>
      <c r="C2393" s="10" t="s">
        <v>164</v>
      </c>
      <c r="D2393" s="10" t="s">
        <v>165</v>
      </c>
      <c r="E2393" s="11" t="str">
        <f>+HYPERLINK("http://trademark.i-assist.jp/data/china/image_1901th/79153894.pdf", "79153894")</f>
        <v>79153894</v>
      </c>
      <c r="F2393" s="10" t="s">
        <v>6672</v>
      </c>
      <c r="G2393" s="10" t="s">
        <v>6673</v>
      </c>
      <c r="H2393" s="10" t="s">
        <v>6674</v>
      </c>
      <c r="I2393" s="10" t="s">
        <v>6671</v>
      </c>
    </row>
    <row r="2394" spans="1:9" x14ac:dyDescent="0.15">
      <c r="A2394" s="9">
        <v>2393</v>
      </c>
      <c r="B2394" s="10" t="s">
        <v>9</v>
      </c>
      <c r="C2394" s="10" t="s">
        <v>164</v>
      </c>
      <c r="D2394" s="10" t="s">
        <v>165</v>
      </c>
      <c r="E2394" s="11" t="str">
        <f>+HYPERLINK("http://trademark.i-assist.jp/data/china/image_1901th/79153986.pdf", "79153986")</f>
        <v>79153986</v>
      </c>
      <c r="F2394" s="10" t="s">
        <v>6675</v>
      </c>
      <c r="G2394" s="10" t="s">
        <v>6676</v>
      </c>
      <c r="H2394" s="10" t="s">
        <v>6677</v>
      </c>
      <c r="I2394" s="10" t="s">
        <v>6671</v>
      </c>
    </row>
    <row r="2395" spans="1:9" x14ac:dyDescent="0.15">
      <c r="A2395" s="9">
        <v>2394</v>
      </c>
      <c r="B2395" s="10" t="s">
        <v>9</v>
      </c>
      <c r="C2395" s="10" t="s">
        <v>164</v>
      </c>
      <c r="D2395" s="10" t="s">
        <v>165</v>
      </c>
      <c r="E2395" s="11" t="str">
        <f>+HYPERLINK("http://trademark.i-assist.jp/data/china/image_1901th/79154257.pdf", "79154257")</f>
        <v>79154257</v>
      </c>
      <c r="F2395" s="10" t="s">
        <v>6678</v>
      </c>
      <c r="G2395" s="10" t="s">
        <v>6679</v>
      </c>
      <c r="H2395" s="10" t="s">
        <v>6680</v>
      </c>
      <c r="I2395" s="10" t="s">
        <v>6671</v>
      </c>
    </row>
    <row r="2396" spans="1:9" x14ac:dyDescent="0.15">
      <c r="A2396" s="9">
        <v>2395</v>
      </c>
      <c r="B2396" s="10" t="s">
        <v>9</v>
      </c>
      <c r="C2396" s="10" t="s">
        <v>164</v>
      </c>
      <c r="D2396" s="10" t="s">
        <v>165</v>
      </c>
      <c r="E2396" s="11" t="str">
        <f>+HYPERLINK("http://trademark.i-assist.jp/data/china/image_1901th/79154477.pdf", "79154477")</f>
        <v>79154477</v>
      </c>
      <c r="F2396" s="10" t="s">
        <v>6681</v>
      </c>
      <c r="G2396" s="10" t="s">
        <v>6682</v>
      </c>
      <c r="H2396" s="10" t="s">
        <v>6683</v>
      </c>
      <c r="I2396" s="10" t="s">
        <v>6671</v>
      </c>
    </row>
    <row r="2397" spans="1:9" x14ac:dyDescent="0.15">
      <c r="A2397" s="9">
        <v>2396</v>
      </c>
      <c r="B2397" s="10" t="s">
        <v>9</v>
      </c>
      <c r="C2397" s="10" t="s">
        <v>164</v>
      </c>
      <c r="D2397" s="10" t="s">
        <v>165</v>
      </c>
      <c r="E2397" s="11" t="str">
        <f>+HYPERLINK("http://trademark.i-assist.jp/data/china/image_1901th/79154572.pdf", "79154572")</f>
        <v>79154572</v>
      </c>
      <c r="F2397" s="10" t="s">
        <v>6684</v>
      </c>
      <c r="G2397" s="10" t="s">
        <v>6685</v>
      </c>
      <c r="H2397" s="10" t="s">
        <v>6686</v>
      </c>
      <c r="I2397" s="10" t="s">
        <v>6671</v>
      </c>
    </row>
    <row r="2398" spans="1:9" x14ac:dyDescent="0.15">
      <c r="A2398" s="9">
        <v>2397</v>
      </c>
      <c r="B2398" s="10" t="s">
        <v>9</v>
      </c>
      <c r="C2398" s="10" t="s">
        <v>164</v>
      </c>
      <c r="D2398" s="10" t="s">
        <v>165</v>
      </c>
      <c r="E2398" s="11" t="str">
        <f>+HYPERLINK("http://trademark.i-assist.jp/data/china/image_1901th/79154597.pdf", "79154597")</f>
        <v>79154597</v>
      </c>
      <c r="F2398" s="10" t="s">
        <v>6687</v>
      </c>
      <c r="G2398" s="10" t="s">
        <v>6688</v>
      </c>
      <c r="H2398" s="10" t="s">
        <v>6689</v>
      </c>
      <c r="I2398" s="10" t="s">
        <v>6671</v>
      </c>
    </row>
    <row r="2399" spans="1:9" x14ac:dyDescent="0.15">
      <c r="A2399" s="9">
        <v>2398</v>
      </c>
      <c r="B2399" s="10" t="s">
        <v>9</v>
      </c>
      <c r="C2399" s="10" t="s">
        <v>164</v>
      </c>
      <c r="D2399" s="10" t="s">
        <v>165</v>
      </c>
      <c r="E2399" s="11" t="str">
        <f>+HYPERLINK("http://trademark.i-assist.jp/data/china/image_1901th/79155005.pdf", "79155005")</f>
        <v>79155005</v>
      </c>
      <c r="F2399" s="10" t="s">
        <v>6690</v>
      </c>
      <c r="G2399" s="10" t="s">
        <v>6691</v>
      </c>
      <c r="H2399" s="10" t="s">
        <v>6692</v>
      </c>
      <c r="I2399" s="10" t="s">
        <v>6671</v>
      </c>
    </row>
    <row r="2400" spans="1:9" x14ac:dyDescent="0.15">
      <c r="A2400" s="9">
        <v>2399</v>
      </c>
      <c r="B2400" s="10" t="s">
        <v>9</v>
      </c>
      <c r="C2400" s="10" t="s">
        <v>164</v>
      </c>
      <c r="D2400" s="10" t="s">
        <v>165</v>
      </c>
      <c r="E2400" s="11" t="str">
        <f>+HYPERLINK("http://trademark.i-assist.jp/data/china/image_1901th/79155152.pdf", "79155152")</f>
        <v>79155152</v>
      </c>
      <c r="F2400" s="10" t="s">
        <v>6693</v>
      </c>
      <c r="G2400" s="10" t="s">
        <v>6694</v>
      </c>
      <c r="H2400" s="10" t="s">
        <v>6695</v>
      </c>
      <c r="I2400" s="10" t="s">
        <v>6671</v>
      </c>
    </row>
    <row r="2401" spans="1:9" x14ac:dyDescent="0.15">
      <c r="A2401" s="9">
        <v>2400</v>
      </c>
      <c r="B2401" s="10" t="s">
        <v>9</v>
      </c>
      <c r="C2401" s="10" t="s">
        <v>164</v>
      </c>
      <c r="D2401" s="10" t="s">
        <v>165</v>
      </c>
      <c r="E2401" s="11" t="str">
        <f>+HYPERLINK("http://trademark.i-assist.jp/data/china/image_1901th/79155358.pdf", "79155358")</f>
        <v>79155358</v>
      </c>
      <c r="F2401" s="10" t="s">
        <v>6696</v>
      </c>
      <c r="G2401" s="10" t="s">
        <v>6697</v>
      </c>
      <c r="H2401" s="10" t="s">
        <v>19</v>
      </c>
      <c r="I2401" s="10" t="s">
        <v>6671</v>
      </c>
    </row>
    <row r="2402" spans="1:9" x14ac:dyDescent="0.15">
      <c r="A2402" s="9">
        <v>2401</v>
      </c>
      <c r="B2402" s="10" t="s">
        <v>9</v>
      </c>
      <c r="C2402" s="10" t="s">
        <v>164</v>
      </c>
      <c r="D2402" s="10" t="s">
        <v>165</v>
      </c>
      <c r="E2402" s="11" t="str">
        <f>+HYPERLINK("http://trademark.i-assist.jp/data/china/image_1901th/79155464.pdf", "79155464")</f>
        <v>79155464</v>
      </c>
      <c r="F2402" s="10" t="s">
        <v>6698</v>
      </c>
      <c r="G2402" s="10" t="s">
        <v>6699</v>
      </c>
      <c r="H2402" s="10" t="s">
        <v>6700</v>
      </c>
      <c r="I2402" s="10" t="s">
        <v>6671</v>
      </c>
    </row>
    <row r="2403" spans="1:9" x14ac:dyDescent="0.15">
      <c r="A2403" s="9">
        <v>2402</v>
      </c>
      <c r="B2403" s="10" t="s">
        <v>9</v>
      </c>
      <c r="C2403" s="10" t="s">
        <v>164</v>
      </c>
      <c r="D2403" s="10" t="s">
        <v>165</v>
      </c>
      <c r="E2403" s="11" t="str">
        <f>+HYPERLINK("http://trademark.i-assist.jp/data/china/image_1901th/79155638.pdf", "79155638")</f>
        <v>79155638</v>
      </c>
      <c r="F2403" s="10" t="s">
        <v>6701</v>
      </c>
      <c r="G2403" s="10" t="s">
        <v>6598</v>
      </c>
      <c r="H2403" s="10" t="s">
        <v>6702</v>
      </c>
      <c r="I2403" s="10" t="s">
        <v>6671</v>
      </c>
    </row>
    <row r="2404" spans="1:9" x14ac:dyDescent="0.15">
      <c r="A2404" s="9">
        <v>2403</v>
      </c>
      <c r="B2404" s="10" t="s">
        <v>9</v>
      </c>
      <c r="C2404" s="10" t="s">
        <v>164</v>
      </c>
      <c r="D2404" s="10" t="s">
        <v>165</v>
      </c>
      <c r="E2404" s="11" t="str">
        <f>+HYPERLINK("http://trademark.i-assist.jp/data/china/image_1901th/79155666.pdf", "79155666")</f>
        <v>79155666</v>
      </c>
      <c r="F2404" s="10" t="s">
        <v>6703</v>
      </c>
      <c r="G2404" s="10" t="s">
        <v>6704</v>
      </c>
      <c r="H2404" s="10" t="s">
        <v>6705</v>
      </c>
      <c r="I2404" s="10" t="s">
        <v>6671</v>
      </c>
    </row>
    <row r="2405" spans="1:9" x14ac:dyDescent="0.15">
      <c r="A2405" s="9">
        <v>2404</v>
      </c>
      <c r="B2405" s="10" t="s">
        <v>9</v>
      </c>
      <c r="C2405" s="10" t="s">
        <v>164</v>
      </c>
      <c r="D2405" s="10" t="s">
        <v>165</v>
      </c>
      <c r="E2405" s="11" t="str">
        <f>+HYPERLINK("http://trademark.i-assist.jp/data/china/image_1901th/79155784.pdf", "79155784")</f>
        <v>79155784</v>
      </c>
      <c r="F2405" s="10" t="s">
        <v>6706</v>
      </c>
      <c r="G2405" s="10" t="s">
        <v>6707</v>
      </c>
      <c r="H2405" s="10" t="s">
        <v>6708</v>
      </c>
      <c r="I2405" s="10" t="s">
        <v>6671</v>
      </c>
    </row>
    <row r="2406" spans="1:9" x14ac:dyDescent="0.15">
      <c r="A2406" s="9">
        <v>2405</v>
      </c>
      <c r="B2406" s="10" t="s">
        <v>9</v>
      </c>
      <c r="C2406" s="10" t="s">
        <v>164</v>
      </c>
      <c r="D2406" s="10" t="s">
        <v>165</v>
      </c>
      <c r="E2406" s="11" t="str">
        <f>+HYPERLINK("http://trademark.i-assist.jp/data/china/image_1901th/79156081.pdf", "79156081")</f>
        <v>79156081</v>
      </c>
      <c r="F2406" s="10" t="s">
        <v>6709</v>
      </c>
      <c r="G2406" s="10" t="s">
        <v>4201</v>
      </c>
      <c r="H2406" s="10" t="s">
        <v>6710</v>
      </c>
      <c r="I2406" s="10" t="s">
        <v>6671</v>
      </c>
    </row>
    <row r="2407" spans="1:9" x14ac:dyDescent="0.15">
      <c r="A2407" s="9">
        <v>2406</v>
      </c>
      <c r="B2407" s="10" t="s">
        <v>9</v>
      </c>
      <c r="C2407" s="10" t="s">
        <v>164</v>
      </c>
      <c r="D2407" s="10" t="s">
        <v>165</v>
      </c>
      <c r="E2407" s="11" t="str">
        <f>+HYPERLINK("http://trademark.i-assist.jp/data/china/image_1901th/79156344.pdf", "79156344")</f>
        <v>79156344</v>
      </c>
      <c r="F2407" s="10" t="s">
        <v>6711</v>
      </c>
      <c r="G2407" s="10" t="s">
        <v>6685</v>
      </c>
      <c r="H2407" s="10" t="s">
        <v>6712</v>
      </c>
      <c r="I2407" s="10" t="s">
        <v>6671</v>
      </c>
    </row>
    <row r="2408" spans="1:9" x14ac:dyDescent="0.15">
      <c r="A2408" s="9">
        <v>2407</v>
      </c>
      <c r="B2408" s="10" t="s">
        <v>9</v>
      </c>
      <c r="C2408" s="10" t="s">
        <v>164</v>
      </c>
      <c r="D2408" s="10" t="s">
        <v>165</v>
      </c>
      <c r="E2408" s="11" t="str">
        <f>+HYPERLINK("http://trademark.i-assist.jp/data/china/image_1901th/79156437.pdf", "79156437")</f>
        <v>79156437</v>
      </c>
      <c r="F2408" s="10" t="s">
        <v>6713</v>
      </c>
      <c r="G2408" s="10" t="s">
        <v>6714</v>
      </c>
      <c r="H2408" s="10" t="s">
        <v>6715</v>
      </c>
      <c r="I2408" s="10" t="s">
        <v>6671</v>
      </c>
    </row>
    <row r="2409" spans="1:9" x14ac:dyDescent="0.15">
      <c r="A2409" s="9">
        <v>2408</v>
      </c>
      <c r="B2409" s="10" t="s">
        <v>9</v>
      </c>
      <c r="C2409" s="10" t="s">
        <v>164</v>
      </c>
      <c r="D2409" s="10" t="s">
        <v>165</v>
      </c>
      <c r="E2409" s="11" t="str">
        <f>+HYPERLINK("http://trademark.i-assist.jp/data/china/image_1901th/79156470.pdf", "79156470")</f>
        <v>79156470</v>
      </c>
      <c r="F2409" s="10" t="s">
        <v>6716</v>
      </c>
      <c r="G2409" s="10" t="s">
        <v>6717</v>
      </c>
      <c r="H2409" s="10" t="s">
        <v>6718</v>
      </c>
      <c r="I2409" s="10" t="s">
        <v>6671</v>
      </c>
    </row>
    <row r="2410" spans="1:9" x14ac:dyDescent="0.15">
      <c r="A2410" s="9">
        <v>2409</v>
      </c>
      <c r="B2410" s="10" t="s">
        <v>9</v>
      </c>
      <c r="C2410" s="10" t="s">
        <v>164</v>
      </c>
      <c r="D2410" s="10" t="s">
        <v>165</v>
      </c>
      <c r="E2410" s="11" t="str">
        <f>+HYPERLINK("http://trademark.i-assist.jp/data/china/image_1901th/79156529.pdf", "79156529")</f>
        <v>79156529</v>
      </c>
      <c r="F2410" s="10" t="s">
        <v>6719</v>
      </c>
      <c r="G2410" s="10" t="s">
        <v>6720</v>
      </c>
      <c r="H2410" s="10" t="s">
        <v>6721</v>
      </c>
      <c r="I2410" s="10" t="s">
        <v>6671</v>
      </c>
    </row>
    <row r="2411" spans="1:9" x14ac:dyDescent="0.15">
      <c r="A2411" s="9">
        <v>2410</v>
      </c>
      <c r="B2411" s="10" t="s">
        <v>9</v>
      </c>
      <c r="C2411" s="10" t="s">
        <v>164</v>
      </c>
      <c r="D2411" s="10" t="s">
        <v>165</v>
      </c>
      <c r="E2411" s="11" t="str">
        <f>+HYPERLINK("http://trademark.i-assist.jp/data/china/image_1901th/79156612.pdf", "79156612")</f>
        <v>79156612</v>
      </c>
      <c r="F2411" s="10" t="s">
        <v>6722</v>
      </c>
      <c r="G2411" s="10" t="s">
        <v>6723</v>
      </c>
      <c r="H2411" s="10" t="s">
        <v>6724</v>
      </c>
      <c r="I2411" s="10" t="s">
        <v>6671</v>
      </c>
    </row>
    <row r="2412" spans="1:9" x14ac:dyDescent="0.15">
      <c r="A2412" s="9">
        <v>2411</v>
      </c>
      <c r="B2412" s="10" t="s">
        <v>9</v>
      </c>
      <c r="C2412" s="10" t="s">
        <v>164</v>
      </c>
      <c r="D2412" s="10" t="s">
        <v>165</v>
      </c>
      <c r="E2412" s="11" t="str">
        <f>+HYPERLINK("http://trademark.i-assist.jp/data/china/image_1901th/79156624.pdf", "79156624")</f>
        <v>79156624</v>
      </c>
      <c r="F2412" s="10" t="s">
        <v>6725</v>
      </c>
      <c r="G2412" s="10" t="s">
        <v>6726</v>
      </c>
      <c r="H2412" s="10" t="s">
        <v>6727</v>
      </c>
      <c r="I2412" s="10" t="s">
        <v>6671</v>
      </c>
    </row>
    <row r="2413" spans="1:9" x14ac:dyDescent="0.15">
      <c r="A2413" s="9">
        <v>2412</v>
      </c>
      <c r="B2413" s="10" t="s">
        <v>9</v>
      </c>
      <c r="C2413" s="10" t="s">
        <v>164</v>
      </c>
      <c r="D2413" s="10" t="s">
        <v>165</v>
      </c>
      <c r="E2413" s="11" t="str">
        <f>+HYPERLINK("http://trademark.i-assist.jp/data/china/image_1901th/79156634.pdf", "79156634")</f>
        <v>79156634</v>
      </c>
      <c r="F2413" s="10" t="s">
        <v>6728</v>
      </c>
      <c r="G2413" s="10" t="s">
        <v>6729</v>
      </c>
      <c r="H2413" s="10" t="s">
        <v>6730</v>
      </c>
      <c r="I2413" s="10" t="s">
        <v>6671</v>
      </c>
    </row>
    <row r="2414" spans="1:9" x14ac:dyDescent="0.15">
      <c r="A2414" s="9">
        <v>2413</v>
      </c>
      <c r="B2414" s="10" t="s">
        <v>9</v>
      </c>
      <c r="C2414" s="10" t="s">
        <v>164</v>
      </c>
      <c r="D2414" s="10" t="s">
        <v>165</v>
      </c>
      <c r="E2414" s="11" t="str">
        <f>+HYPERLINK("http://trademark.i-assist.jp/data/china/image_1901th/79156696.pdf", "79156696")</f>
        <v>79156696</v>
      </c>
      <c r="F2414" s="10" t="s">
        <v>6731</v>
      </c>
      <c r="G2414" s="10" t="s">
        <v>6732</v>
      </c>
      <c r="H2414" s="10" t="s">
        <v>6733</v>
      </c>
      <c r="I2414" s="10" t="s">
        <v>6671</v>
      </c>
    </row>
    <row r="2415" spans="1:9" x14ac:dyDescent="0.15">
      <c r="A2415" s="9">
        <v>2414</v>
      </c>
      <c r="B2415" s="10" t="s">
        <v>9</v>
      </c>
      <c r="C2415" s="10" t="s">
        <v>164</v>
      </c>
      <c r="D2415" s="10" t="s">
        <v>165</v>
      </c>
      <c r="E2415" s="11" t="str">
        <f>+HYPERLINK("http://trademark.i-assist.jp/data/china/image_1901th/79157057.pdf", "79157057")</f>
        <v>79157057</v>
      </c>
      <c r="F2415" s="10" t="s">
        <v>6734</v>
      </c>
      <c r="G2415" s="10" t="s">
        <v>6735</v>
      </c>
      <c r="H2415" s="10" t="s">
        <v>6736</v>
      </c>
      <c r="I2415" s="10" t="s">
        <v>6671</v>
      </c>
    </row>
    <row r="2416" spans="1:9" x14ac:dyDescent="0.15">
      <c r="A2416" s="9">
        <v>2415</v>
      </c>
      <c r="B2416" s="10" t="s">
        <v>9</v>
      </c>
      <c r="C2416" s="10" t="s">
        <v>164</v>
      </c>
      <c r="D2416" s="10" t="s">
        <v>165</v>
      </c>
      <c r="E2416" s="11" t="str">
        <f>+HYPERLINK("http://trademark.i-assist.jp/data/china/image_1901th/79157255.pdf", "79157255")</f>
        <v>79157255</v>
      </c>
      <c r="F2416" s="10" t="s">
        <v>6737</v>
      </c>
      <c r="G2416" s="10" t="s">
        <v>2593</v>
      </c>
      <c r="H2416" s="10" t="s">
        <v>6738</v>
      </c>
      <c r="I2416" s="10" t="s">
        <v>6671</v>
      </c>
    </row>
    <row r="2417" spans="1:9" x14ac:dyDescent="0.15">
      <c r="A2417" s="9">
        <v>2416</v>
      </c>
      <c r="B2417" s="10" t="s">
        <v>9</v>
      </c>
      <c r="C2417" s="10" t="s">
        <v>164</v>
      </c>
      <c r="D2417" s="10" t="s">
        <v>165</v>
      </c>
      <c r="E2417" s="11" t="str">
        <f>+HYPERLINK("http://trademark.i-assist.jp/data/china/image_1901th/79157350.pdf", "79157350")</f>
        <v>79157350</v>
      </c>
      <c r="F2417" s="10" t="s">
        <v>6739</v>
      </c>
      <c r="G2417" s="10" t="s">
        <v>6740</v>
      </c>
      <c r="H2417" s="10" t="s">
        <v>15</v>
      </c>
      <c r="I2417" s="10" t="s">
        <v>6671</v>
      </c>
    </row>
    <row r="2418" spans="1:9" x14ac:dyDescent="0.15">
      <c r="A2418" s="9">
        <v>2417</v>
      </c>
      <c r="B2418" s="10" t="s">
        <v>9</v>
      </c>
      <c r="C2418" s="10" t="s">
        <v>164</v>
      </c>
      <c r="D2418" s="10" t="s">
        <v>165</v>
      </c>
      <c r="E2418" s="11" t="str">
        <f>+HYPERLINK("http://trademark.i-assist.jp/data/china/image_1901th/79157371.pdf", "79157371")</f>
        <v>79157371</v>
      </c>
      <c r="F2418" s="10" t="s">
        <v>6741</v>
      </c>
      <c r="G2418" s="10" t="s">
        <v>6742</v>
      </c>
      <c r="H2418" s="10" t="s">
        <v>6743</v>
      </c>
      <c r="I2418" s="10" t="s">
        <v>6671</v>
      </c>
    </row>
    <row r="2419" spans="1:9" x14ac:dyDescent="0.15">
      <c r="A2419" s="9">
        <v>2418</v>
      </c>
      <c r="B2419" s="10" t="s">
        <v>9</v>
      </c>
      <c r="C2419" s="10" t="s">
        <v>164</v>
      </c>
      <c r="D2419" s="10" t="s">
        <v>165</v>
      </c>
      <c r="E2419" s="11" t="str">
        <f>+HYPERLINK("http://trademark.i-assist.jp/data/china/image_1901th/79157431.pdf", "79157431")</f>
        <v>79157431</v>
      </c>
      <c r="F2419" s="10" t="s">
        <v>6744</v>
      </c>
      <c r="G2419" s="10" t="s">
        <v>6745</v>
      </c>
      <c r="H2419" s="10" t="s">
        <v>6746</v>
      </c>
      <c r="I2419" s="10" t="s">
        <v>6671</v>
      </c>
    </row>
    <row r="2420" spans="1:9" x14ac:dyDescent="0.15">
      <c r="A2420" s="9">
        <v>2419</v>
      </c>
      <c r="B2420" s="10" t="s">
        <v>9</v>
      </c>
      <c r="C2420" s="10" t="s">
        <v>164</v>
      </c>
      <c r="D2420" s="10" t="s">
        <v>165</v>
      </c>
      <c r="E2420" s="11" t="str">
        <f>+HYPERLINK("http://trademark.i-assist.jp/data/china/image_1901th/79157536.pdf", "79157536")</f>
        <v>79157536</v>
      </c>
      <c r="F2420" s="10" t="s">
        <v>6747</v>
      </c>
      <c r="G2420" s="10" t="s">
        <v>6748</v>
      </c>
      <c r="H2420" s="10" t="s">
        <v>6749</v>
      </c>
      <c r="I2420" s="10" t="s">
        <v>6671</v>
      </c>
    </row>
    <row r="2421" spans="1:9" x14ac:dyDescent="0.15">
      <c r="A2421" s="9">
        <v>2420</v>
      </c>
      <c r="B2421" s="10" t="s">
        <v>9</v>
      </c>
      <c r="C2421" s="10" t="s">
        <v>164</v>
      </c>
      <c r="D2421" s="10" t="s">
        <v>165</v>
      </c>
      <c r="E2421" s="11" t="str">
        <f>+HYPERLINK("http://trademark.i-assist.jp/data/china/image_1901th/79157683.pdf", "79157683")</f>
        <v>79157683</v>
      </c>
      <c r="F2421" s="10" t="s">
        <v>6750</v>
      </c>
      <c r="G2421" s="10" t="s">
        <v>6751</v>
      </c>
      <c r="H2421" s="10" t="s">
        <v>6752</v>
      </c>
      <c r="I2421" s="10" t="s">
        <v>6671</v>
      </c>
    </row>
    <row r="2422" spans="1:9" x14ac:dyDescent="0.15">
      <c r="A2422" s="9">
        <v>2421</v>
      </c>
      <c r="B2422" s="10" t="s">
        <v>9</v>
      </c>
      <c r="C2422" s="10" t="s">
        <v>164</v>
      </c>
      <c r="D2422" s="10" t="s">
        <v>165</v>
      </c>
      <c r="E2422" s="11" t="str">
        <f>+HYPERLINK("http://trademark.i-assist.jp/data/china/image_1901th/79157899.pdf", "79157899")</f>
        <v>79157899</v>
      </c>
      <c r="F2422" s="10" t="s">
        <v>6753</v>
      </c>
      <c r="G2422" s="10" t="s">
        <v>6754</v>
      </c>
      <c r="H2422" s="10" t="s">
        <v>6755</v>
      </c>
      <c r="I2422" s="10" t="s">
        <v>6671</v>
      </c>
    </row>
    <row r="2423" spans="1:9" x14ac:dyDescent="0.15">
      <c r="A2423" s="9">
        <v>2422</v>
      </c>
      <c r="B2423" s="10" t="s">
        <v>9</v>
      </c>
      <c r="C2423" s="10" t="s">
        <v>164</v>
      </c>
      <c r="D2423" s="10" t="s">
        <v>165</v>
      </c>
      <c r="E2423" s="11" t="str">
        <f>+HYPERLINK("http://trademark.i-assist.jp/data/china/image_1901th/79158193.pdf", "79158193")</f>
        <v>79158193</v>
      </c>
      <c r="F2423" s="10" t="s">
        <v>6756</v>
      </c>
      <c r="G2423" s="10" t="s">
        <v>6757</v>
      </c>
      <c r="H2423" s="10" t="s">
        <v>6758</v>
      </c>
      <c r="I2423" s="10" t="s">
        <v>6671</v>
      </c>
    </row>
    <row r="2424" spans="1:9" x14ac:dyDescent="0.15">
      <c r="A2424" s="9">
        <v>2423</v>
      </c>
      <c r="B2424" s="10" t="s">
        <v>9</v>
      </c>
      <c r="C2424" s="10" t="s">
        <v>164</v>
      </c>
      <c r="D2424" s="10" t="s">
        <v>165</v>
      </c>
      <c r="E2424" s="11" t="str">
        <f>+HYPERLINK("http://trademark.i-assist.jp/data/china/image_1901th/79158244.pdf", "79158244")</f>
        <v>79158244</v>
      </c>
      <c r="F2424" s="10" t="s">
        <v>12</v>
      </c>
      <c r="G2424" s="10" t="s">
        <v>6759</v>
      </c>
      <c r="H2424" s="10" t="s">
        <v>6760</v>
      </c>
      <c r="I2424" s="10" t="s">
        <v>6671</v>
      </c>
    </row>
    <row r="2425" spans="1:9" x14ac:dyDescent="0.15">
      <c r="A2425" s="9">
        <v>2424</v>
      </c>
      <c r="B2425" s="10" t="s">
        <v>9</v>
      </c>
      <c r="C2425" s="10" t="s">
        <v>164</v>
      </c>
      <c r="D2425" s="10" t="s">
        <v>165</v>
      </c>
      <c r="E2425" s="11" t="str">
        <f>+HYPERLINK("http://trademark.i-assist.jp/data/china/image_1901th/79158474.pdf", "79158474")</f>
        <v>79158474</v>
      </c>
      <c r="F2425" s="10" t="s">
        <v>6761</v>
      </c>
      <c r="G2425" s="10" t="s">
        <v>6762</v>
      </c>
      <c r="H2425" s="10" t="s">
        <v>6763</v>
      </c>
      <c r="I2425" s="10" t="s">
        <v>6671</v>
      </c>
    </row>
    <row r="2426" spans="1:9" x14ac:dyDescent="0.15">
      <c r="A2426" s="9">
        <v>2425</v>
      </c>
      <c r="B2426" s="10" t="s">
        <v>9</v>
      </c>
      <c r="C2426" s="10" t="s">
        <v>164</v>
      </c>
      <c r="D2426" s="10" t="s">
        <v>165</v>
      </c>
      <c r="E2426" s="11" t="str">
        <f>+HYPERLINK("http://trademark.i-assist.jp/data/china/image_1901th/79158477.pdf", "79158477")</f>
        <v>79158477</v>
      </c>
      <c r="F2426" s="10" t="s">
        <v>6764</v>
      </c>
      <c r="G2426" s="10" t="s">
        <v>6762</v>
      </c>
      <c r="H2426" s="10" t="s">
        <v>6765</v>
      </c>
      <c r="I2426" s="10" t="s">
        <v>6671</v>
      </c>
    </row>
    <row r="2427" spans="1:9" x14ac:dyDescent="0.15">
      <c r="A2427" s="9">
        <v>2426</v>
      </c>
      <c r="B2427" s="10" t="s">
        <v>9</v>
      </c>
      <c r="C2427" s="10" t="s">
        <v>164</v>
      </c>
      <c r="D2427" s="10" t="s">
        <v>165</v>
      </c>
      <c r="E2427" s="11" t="str">
        <f>+HYPERLINK("http://trademark.i-assist.jp/data/china/image_1901th/79158595.pdf", "79158595")</f>
        <v>79158595</v>
      </c>
      <c r="F2427" s="10" t="s">
        <v>6766</v>
      </c>
      <c r="G2427" s="10" t="s">
        <v>6767</v>
      </c>
      <c r="H2427" s="10" t="s">
        <v>6768</v>
      </c>
      <c r="I2427" s="10" t="s">
        <v>6671</v>
      </c>
    </row>
    <row r="2428" spans="1:9" x14ac:dyDescent="0.15">
      <c r="A2428" s="9">
        <v>2427</v>
      </c>
      <c r="B2428" s="10" t="s">
        <v>9</v>
      </c>
      <c r="C2428" s="10" t="s">
        <v>164</v>
      </c>
      <c r="D2428" s="10" t="s">
        <v>165</v>
      </c>
      <c r="E2428" s="11" t="str">
        <f>+HYPERLINK("http://trademark.i-assist.jp/data/china/image_1901th/79158628.pdf", "79158628")</f>
        <v>79158628</v>
      </c>
      <c r="F2428" s="10" t="s">
        <v>6769</v>
      </c>
      <c r="G2428" s="10" t="s">
        <v>6770</v>
      </c>
      <c r="H2428" s="10" t="s">
        <v>6771</v>
      </c>
      <c r="I2428" s="10" t="s">
        <v>6671</v>
      </c>
    </row>
    <row r="2429" spans="1:9" x14ac:dyDescent="0.15">
      <c r="A2429" s="9">
        <v>2428</v>
      </c>
      <c r="B2429" s="10" t="s">
        <v>9</v>
      </c>
      <c r="C2429" s="10" t="s">
        <v>164</v>
      </c>
      <c r="D2429" s="10" t="s">
        <v>165</v>
      </c>
      <c r="E2429" s="11" t="str">
        <f>+HYPERLINK("http://trademark.i-assist.jp/data/china/image_1901th/79158648.pdf", "79158648")</f>
        <v>79158648</v>
      </c>
      <c r="F2429" s="10" t="s">
        <v>6772</v>
      </c>
      <c r="G2429" s="10" t="s">
        <v>6773</v>
      </c>
      <c r="H2429" s="10" t="s">
        <v>6774</v>
      </c>
      <c r="I2429" s="10" t="s">
        <v>6671</v>
      </c>
    </row>
    <row r="2430" spans="1:9" x14ac:dyDescent="0.15">
      <c r="A2430" s="9">
        <v>2429</v>
      </c>
      <c r="B2430" s="10" t="s">
        <v>9</v>
      </c>
      <c r="C2430" s="10" t="s">
        <v>164</v>
      </c>
      <c r="D2430" s="10" t="s">
        <v>165</v>
      </c>
      <c r="E2430" s="11" t="str">
        <f>+HYPERLINK("http://trademark.i-assist.jp/data/china/image_1901th/79158861.pdf", "79158861")</f>
        <v>79158861</v>
      </c>
      <c r="F2430" s="10" t="s">
        <v>6775</v>
      </c>
      <c r="G2430" s="10" t="s">
        <v>4201</v>
      </c>
      <c r="H2430" s="10" t="s">
        <v>6776</v>
      </c>
      <c r="I2430" s="10" t="s">
        <v>6671</v>
      </c>
    </row>
    <row r="2431" spans="1:9" x14ac:dyDescent="0.15">
      <c r="A2431" s="9">
        <v>2430</v>
      </c>
      <c r="B2431" s="10" t="s">
        <v>9</v>
      </c>
      <c r="C2431" s="10" t="s">
        <v>164</v>
      </c>
      <c r="D2431" s="10" t="s">
        <v>165</v>
      </c>
      <c r="E2431" s="11" t="str">
        <f>+HYPERLINK("http://trademark.i-assist.jp/data/china/image_1901th/79158904.pdf", "79158904")</f>
        <v>79158904</v>
      </c>
      <c r="F2431" s="10" t="s">
        <v>6777</v>
      </c>
      <c r="G2431" s="10" t="s">
        <v>6778</v>
      </c>
      <c r="H2431" s="10" t="s">
        <v>6779</v>
      </c>
      <c r="I2431" s="10" t="s">
        <v>6671</v>
      </c>
    </row>
    <row r="2432" spans="1:9" x14ac:dyDescent="0.15">
      <c r="A2432" s="9">
        <v>2431</v>
      </c>
      <c r="B2432" s="10" t="s">
        <v>9</v>
      </c>
      <c r="C2432" s="10" t="s">
        <v>164</v>
      </c>
      <c r="D2432" s="10" t="s">
        <v>165</v>
      </c>
      <c r="E2432" s="11" t="str">
        <f>+HYPERLINK("http://trademark.i-assist.jp/data/china/image_1901th/79159411.pdf", "79159411")</f>
        <v>79159411</v>
      </c>
      <c r="F2432" s="10" t="s">
        <v>6780</v>
      </c>
      <c r="G2432" s="10" t="s">
        <v>140</v>
      </c>
      <c r="H2432" s="10" t="s">
        <v>6781</v>
      </c>
      <c r="I2432" s="10" t="s">
        <v>6671</v>
      </c>
    </row>
    <row r="2433" spans="1:9" x14ac:dyDescent="0.15">
      <c r="A2433" s="9">
        <v>2432</v>
      </c>
      <c r="B2433" s="10" t="s">
        <v>9</v>
      </c>
      <c r="C2433" s="10" t="s">
        <v>164</v>
      </c>
      <c r="D2433" s="10" t="s">
        <v>165</v>
      </c>
      <c r="E2433" s="11" t="str">
        <f>+HYPERLINK("http://trademark.i-assist.jp/data/china/image_1901th/79159431.pdf", "79159431")</f>
        <v>79159431</v>
      </c>
      <c r="F2433" s="10" t="s">
        <v>6782</v>
      </c>
      <c r="G2433" s="10" t="s">
        <v>6783</v>
      </c>
      <c r="H2433" s="10" t="s">
        <v>6784</v>
      </c>
      <c r="I2433" s="10" t="s">
        <v>6671</v>
      </c>
    </row>
    <row r="2434" spans="1:9" x14ac:dyDescent="0.15">
      <c r="A2434" s="9">
        <v>2433</v>
      </c>
      <c r="B2434" s="10" t="s">
        <v>9</v>
      </c>
      <c r="C2434" s="10" t="s">
        <v>164</v>
      </c>
      <c r="D2434" s="10" t="s">
        <v>165</v>
      </c>
      <c r="E2434" s="11" t="str">
        <f>+HYPERLINK("http://trademark.i-assist.jp/data/china/image_1901th/79159478.pdf", "79159478")</f>
        <v>79159478</v>
      </c>
      <c r="F2434" s="10" t="s">
        <v>6785</v>
      </c>
      <c r="G2434" s="10" t="s">
        <v>6786</v>
      </c>
      <c r="H2434" s="10" t="s">
        <v>6787</v>
      </c>
      <c r="I2434" s="10" t="s">
        <v>6671</v>
      </c>
    </row>
    <row r="2435" spans="1:9" x14ac:dyDescent="0.15">
      <c r="A2435" s="9">
        <v>2434</v>
      </c>
      <c r="B2435" s="10" t="s">
        <v>9</v>
      </c>
      <c r="C2435" s="10" t="s">
        <v>164</v>
      </c>
      <c r="D2435" s="10" t="s">
        <v>165</v>
      </c>
      <c r="E2435" s="11" t="str">
        <f>+HYPERLINK("http://trademark.i-assist.jp/data/china/image_1901th/79160001.pdf", "79160001")</f>
        <v>79160001</v>
      </c>
      <c r="F2435" s="10" t="s">
        <v>6788</v>
      </c>
      <c r="G2435" s="10" t="s">
        <v>6789</v>
      </c>
      <c r="H2435" s="10" t="s">
        <v>6790</v>
      </c>
      <c r="I2435" s="10" t="s">
        <v>6671</v>
      </c>
    </row>
    <row r="2436" spans="1:9" x14ac:dyDescent="0.15">
      <c r="A2436" s="9">
        <v>2435</v>
      </c>
      <c r="B2436" s="10" t="s">
        <v>9</v>
      </c>
      <c r="C2436" s="10" t="s">
        <v>164</v>
      </c>
      <c r="D2436" s="10" t="s">
        <v>165</v>
      </c>
      <c r="E2436" s="11" t="str">
        <f>+HYPERLINK("http://trademark.i-assist.jp/data/china/image_1901th/79160026.pdf", "79160026")</f>
        <v>79160026</v>
      </c>
      <c r="F2436" s="10" t="s">
        <v>6791</v>
      </c>
      <c r="G2436" s="10" t="s">
        <v>6792</v>
      </c>
      <c r="H2436" s="10" t="s">
        <v>6793</v>
      </c>
      <c r="I2436" s="10" t="s">
        <v>6671</v>
      </c>
    </row>
    <row r="2437" spans="1:9" x14ac:dyDescent="0.15">
      <c r="A2437" s="9">
        <v>2436</v>
      </c>
      <c r="B2437" s="10" t="s">
        <v>9</v>
      </c>
      <c r="C2437" s="10" t="s">
        <v>164</v>
      </c>
      <c r="D2437" s="10" t="s">
        <v>165</v>
      </c>
      <c r="E2437" s="11" t="str">
        <f>+HYPERLINK("http://trademark.i-assist.jp/data/china/image_1901th/79160266.pdf", "79160266")</f>
        <v>79160266</v>
      </c>
      <c r="F2437" s="10" t="s">
        <v>6794</v>
      </c>
      <c r="G2437" s="10" t="s">
        <v>6762</v>
      </c>
      <c r="H2437" s="10" t="s">
        <v>6795</v>
      </c>
      <c r="I2437" s="10" t="s">
        <v>6671</v>
      </c>
    </row>
    <row r="2438" spans="1:9" x14ac:dyDescent="0.15">
      <c r="A2438" s="9">
        <v>2437</v>
      </c>
      <c r="B2438" s="10" t="s">
        <v>9</v>
      </c>
      <c r="C2438" s="10" t="s">
        <v>164</v>
      </c>
      <c r="D2438" s="10" t="s">
        <v>165</v>
      </c>
      <c r="E2438" s="11" t="str">
        <f>+HYPERLINK("http://trademark.i-assist.jp/data/china/image_1901th/79160304.pdf", "79160304")</f>
        <v>79160304</v>
      </c>
      <c r="F2438" s="10" t="s">
        <v>6796</v>
      </c>
      <c r="G2438" s="10" t="s">
        <v>1446</v>
      </c>
      <c r="H2438" s="10" t="s">
        <v>6797</v>
      </c>
      <c r="I2438" s="10" t="s">
        <v>6671</v>
      </c>
    </row>
    <row r="2439" spans="1:9" x14ac:dyDescent="0.15">
      <c r="A2439" s="9">
        <v>2438</v>
      </c>
      <c r="B2439" s="10" t="s">
        <v>9</v>
      </c>
      <c r="C2439" s="10" t="s">
        <v>164</v>
      </c>
      <c r="D2439" s="10" t="s">
        <v>165</v>
      </c>
      <c r="E2439" s="11" t="str">
        <f>+HYPERLINK("http://trademark.i-assist.jp/data/china/image_1901th/79160424.pdf", "79160424")</f>
        <v>79160424</v>
      </c>
      <c r="F2439" s="10" t="s">
        <v>6798</v>
      </c>
      <c r="G2439" s="10" t="s">
        <v>6799</v>
      </c>
      <c r="H2439" s="10" t="s">
        <v>6800</v>
      </c>
      <c r="I2439" s="10" t="s">
        <v>6671</v>
      </c>
    </row>
    <row r="2440" spans="1:9" x14ac:dyDescent="0.15">
      <c r="A2440" s="9">
        <v>2439</v>
      </c>
      <c r="B2440" s="10" t="s">
        <v>9</v>
      </c>
      <c r="C2440" s="10" t="s">
        <v>164</v>
      </c>
      <c r="D2440" s="10" t="s">
        <v>165</v>
      </c>
      <c r="E2440" s="11" t="str">
        <f>+HYPERLINK("http://trademark.i-assist.jp/data/china/image_1901th/79160727.pdf", "79160727")</f>
        <v>79160727</v>
      </c>
      <c r="F2440" s="10" t="s">
        <v>6801</v>
      </c>
      <c r="G2440" s="10" t="s">
        <v>6802</v>
      </c>
      <c r="H2440" s="10" t="s">
        <v>6803</v>
      </c>
      <c r="I2440" s="10" t="s">
        <v>6671</v>
      </c>
    </row>
    <row r="2441" spans="1:9" x14ac:dyDescent="0.15">
      <c r="A2441" s="9">
        <v>2440</v>
      </c>
      <c r="B2441" s="10" t="s">
        <v>9</v>
      </c>
      <c r="C2441" s="10" t="s">
        <v>164</v>
      </c>
      <c r="D2441" s="10" t="s">
        <v>165</v>
      </c>
      <c r="E2441" s="11" t="str">
        <f>+HYPERLINK("http://trademark.i-assist.jp/data/china/image_1901th/79160873.pdf", "79160873")</f>
        <v>79160873</v>
      </c>
      <c r="F2441" s="10" t="s">
        <v>6804</v>
      </c>
      <c r="G2441" s="10" t="s">
        <v>6805</v>
      </c>
      <c r="H2441" s="10" t="s">
        <v>6806</v>
      </c>
      <c r="I2441" s="10" t="s">
        <v>6671</v>
      </c>
    </row>
    <row r="2442" spans="1:9" x14ac:dyDescent="0.15">
      <c r="A2442" s="9">
        <v>2441</v>
      </c>
      <c r="B2442" s="10" t="s">
        <v>9</v>
      </c>
      <c r="C2442" s="10" t="s">
        <v>164</v>
      </c>
      <c r="D2442" s="10" t="s">
        <v>165</v>
      </c>
      <c r="E2442" s="11" t="str">
        <f>+HYPERLINK("http://trademark.i-assist.jp/data/china/image_1901th/79160896.pdf", "79160896")</f>
        <v>79160896</v>
      </c>
      <c r="F2442" s="10" t="s">
        <v>6807</v>
      </c>
      <c r="G2442" s="10" t="s">
        <v>6808</v>
      </c>
      <c r="H2442" s="10" t="s">
        <v>6809</v>
      </c>
      <c r="I2442" s="10" t="s">
        <v>6671</v>
      </c>
    </row>
    <row r="2443" spans="1:9" x14ac:dyDescent="0.15">
      <c r="A2443" s="9">
        <v>2442</v>
      </c>
      <c r="B2443" s="10" t="s">
        <v>9</v>
      </c>
      <c r="C2443" s="10" t="s">
        <v>164</v>
      </c>
      <c r="D2443" s="10" t="s">
        <v>165</v>
      </c>
      <c r="E2443" s="11" t="str">
        <f>+HYPERLINK("http://trademark.i-assist.jp/data/china/image_1901th/79160988.pdf", "79160988")</f>
        <v>79160988</v>
      </c>
      <c r="F2443" s="10" t="s">
        <v>6810</v>
      </c>
      <c r="G2443" s="10" t="s">
        <v>6679</v>
      </c>
      <c r="H2443" s="10" t="s">
        <v>6811</v>
      </c>
      <c r="I2443" s="10" t="s">
        <v>6671</v>
      </c>
    </row>
    <row r="2444" spans="1:9" x14ac:dyDescent="0.15">
      <c r="A2444" s="9">
        <v>2443</v>
      </c>
      <c r="B2444" s="10" t="s">
        <v>9</v>
      </c>
      <c r="C2444" s="10" t="s">
        <v>164</v>
      </c>
      <c r="D2444" s="10" t="s">
        <v>165</v>
      </c>
      <c r="E2444" s="11" t="str">
        <f>+HYPERLINK("http://trademark.i-assist.jp/data/china/image_1901th/79161057.pdf", "79161057")</f>
        <v>79161057</v>
      </c>
      <c r="F2444" s="10" t="s">
        <v>6812</v>
      </c>
      <c r="G2444" s="10" t="s">
        <v>6767</v>
      </c>
      <c r="H2444" s="10" t="s">
        <v>6813</v>
      </c>
      <c r="I2444" s="10" t="s">
        <v>6671</v>
      </c>
    </row>
    <row r="2445" spans="1:9" x14ac:dyDescent="0.15">
      <c r="A2445" s="9">
        <v>2444</v>
      </c>
      <c r="B2445" s="10" t="s">
        <v>9</v>
      </c>
      <c r="C2445" s="10" t="s">
        <v>164</v>
      </c>
      <c r="D2445" s="10" t="s">
        <v>165</v>
      </c>
      <c r="E2445" s="11" t="str">
        <f>+HYPERLINK("http://trademark.i-assist.jp/data/china/image_1901th/79161217.pdf", "79161217")</f>
        <v>79161217</v>
      </c>
      <c r="F2445" s="10" t="s">
        <v>6814</v>
      </c>
      <c r="G2445" s="10" t="s">
        <v>6815</v>
      </c>
      <c r="H2445" s="10" t="s">
        <v>6816</v>
      </c>
      <c r="I2445" s="10" t="s">
        <v>6671</v>
      </c>
    </row>
    <row r="2446" spans="1:9" x14ac:dyDescent="0.15">
      <c r="A2446" s="9">
        <v>2445</v>
      </c>
      <c r="B2446" s="10" t="s">
        <v>9</v>
      </c>
      <c r="C2446" s="10" t="s">
        <v>164</v>
      </c>
      <c r="D2446" s="10" t="s">
        <v>165</v>
      </c>
      <c r="E2446" s="11" t="str">
        <f>+HYPERLINK("http://trademark.i-assist.jp/data/china/image_1901th/79161221.pdf", "79161221")</f>
        <v>79161221</v>
      </c>
      <c r="F2446" s="10" t="s">
        <v>6817</v>
      </c>
      <c r="G2446" s="10" t="s">
        <v>6818</v>
      </c>
      <c r="H2446" s="10" t="s">
        <v>6819</v>
      </c>
      <c r="I2446" s="10" t="s">
        <v>6671</v>
      </c>
    </row>
    <row r="2447" spans="1:9" x14ac:dyDescent="0.15">
      <c r="A2447" s="9">
        <v>2446</v>
      </c>
      <c r="B2447" s="10" t="s">
        <v>9</v>
      </c>
      <c r="C2447" s="10" t="s">
        <v>164</v>
      </c>
      <c r="D2447" s="10" t="s">
        <v>165</v>
      </c>
      <c r="E2447" s="11" t="str">
        <f>+HYPERLINK("http://trademark.i-assist.jp/data/china/image_1901th/79161235.pdf", "79161235")</f>
        <v>79161235</v>
      </c>
      <c r="F2447" s="10" t="s">
        <v>6820</v>
      </c>
      <c r="G2447" s="10" t="s">
        <v>6821</v>
      </c>
      <c r="H2447" s="10" t="s">
        <v>6822</v>
      </c>
      <c r="I2447" s="10" t="s">
        <v>6671</v>
      </c>
    </row>
    <row r="2448" spans="1:9" x14ac:dyDescent="0.15">
      <c r="A2448" s="9">
        <v>2447</v>
      </c>
      <c r="B2448" s="10" t="s">
        <v>9</v>
      </c>
      <c r="C2448" s="10" t="s">
        <v>164</v>
      </c>
      <c r="D2448" s="10" t="s">
        <v>165</v>
      </c>
      <c r="E2448" s="11" t="str">
        <f>+HYPERLINK("http://trademark.i-assist.jp/data/china/image_1901th/79161661.pdf", "79161661")</f>
        <v>79161661</v>
      </c>
      <c r="F2448" s="10" t="s">
        <v>6823</v>
      </c>
      <c r="G2448" s="10" t="s">
        <v>6824</v>
      </c>
      <c r="H2448" s="10" t="s">
        <v>6825</v>
      </c>
      <c r="I2448" s="10" t="s">
        <v>6671</v>
      </c>
    </row>
    <row r="2449" spans="1:9" x14ac:dyDescent="0.15">
      <c r="A2449" s="9">
        <v>2448</v>
      </c>
      <c r="B2449" s="10" t="s">
        <v>9</v>
      </c>
      <c r="C2449" s="10" t="s">
        <v>164</v>
      </c>
      <c r="D2449" s="10" t="s">
        <v>165</v>
      </c>
      <c r="E2449" s="11" t="str">
        <f>+HYPERLINK("http://trademark.i-assist.jp/data/china/image_1901th/79161799.pdf", "79161799")</f>
        <v>79161799</v>
      </c>
      <c r="F2449" s="10" t="s">
        <v>6826</v>
      </c>
      <c r="G2449" s="10" t="s">
        <v>6827</v>
      </c>
      <c r="H2449" s="10" t="s">
        <v>6828</v>
      </c>
      <c r="I2449" s="10" t="s">
        <v>6671</v>
      </c>
    </row>
    <row r="2450" spans="1:9" x14ac:dyDescent="0.15">
      <c r="A2450" s="9">
        <v>2449</v>
      </c>
      <c r="B2450" s="10" t="s">
        <v>9</v>
      </c>
      <c r="C2450" s="10" t="s">
        <v>164</v>
      </c>
      <c r="D2450" s="10" t="s">
        <v>165</v>
      </c>
      <c r="E2450" s="11" t="str">
        <f>+HYPERLINK("http://trademark.i-assist.jp/data/china/image_1901th/79162128.pdf", "79162128")</f>
        <v>79162128</v>
      </c>
      <c r="F2450" s="10" t="s">
        <v>6829</v>
      </c>
      <c r="G2450" s="10" t="s">
        <v>6830</v>
      </c>
      <c r="H2450" s="10" t="s">
        <v>6831</v>
      </c>
      <c r="I2450" s="10" t="s">
        <v>6671</v>
      </c>
    </row>
    <row r="2451" spans="1:9" x14ac:dyDescent="0.15">
      <c r="A2451" s="9">
        <v>2450</v>
      </c>
      <c r="B2451" s="10" t="s">
        <v>9</v>
      </c>
      <c r="C2451" s="10" t="s">
        <v>164</v>
      </c>
      <c r="D2451" s="10" t="s">
        <v>165</v>
      </c>
      <c r="E2451" s="11" t="str">
        <f>+HYPERLINK("http://trademark.i-assist.jp/data/china/image_1901th/79162360.pdf", "79162360")</f>
        <v>79162360</v>
      </c>
      <c r="F2451" s="10" t="s">
        <v>6832</v>
      </c>
      <c r="G2451" s="10" t="s">
        <v>139</v>
      </c>
      <c r="H2451" s="10" t="s">
        <v>6833</v>
      </c>
      <c r="I2451" s="10" t="s">
        <v>6671</v>
      </c>
    </row>
    <row r="2452" spans="1:9" x14ac:dyDescent="0.15">
      <c r="A2452" s="9">
        <v>2451</v>
      </c>
      <c r="B2452" s="10" t="s">
        <v>9</v>
      </c>
      <c r="C2452" s="10" t="s">
        <v>164</v>
      </c>
      <c r="D2452" s="10" t="s">
        <v>165</v>
      </c>
      <c r="E2452" s="11" t="str">
        <f>+HYPERLINK("http://trademark.i-assist.jp/data/china/image_1901th/79162385.pdf", "79162385")</f>
        <v>79162385</v>
      </c>
      <c r="F2452" s="10" t="s">
        <v>6834</v>
      </c>
      <c r="G2452" s="10" t="s">
        <v>4201</v>
      </c>
      <c r="H2452" s="10" t="s">
        <v>6835</v>
      </c>
      <c r="I2452" s="10" t="s">
        <v>6671</v>
      </c>
    </row>
    <row r="2453" spans="1:9" x14ac:dyDescent="0.15">
      <c r="A2453" s="9">
        <v>2452</v>
      </c>
      <c r="B2453" s="10" t="s">
        <v>9</v>
      </c>
      <c r="C2453" s="10" t="s">
        <v>164</v>
      </c>
      <c r="D2453" s="10" t="s">
        <v>165</v>
      </c>
      <c r="E2453" s="11" t="str">
        <f>+HYPERLINK("http://trademark.i-assist.jp/data/china/image_1901th/79162589.pdf", "79162589")</f>
        <v>79162589</v>
      </c>
      <c r="F2453" s="10" t="s">
        <v>6836</v>
      </c>
      <c r="G2453" s="10" t="s">
        <v>112</v>
      </c>
      <c r="H2453" s="10" t="s">
        <v>6837</v>
      </c>
      <c r="I2453" s="10" t="s">
        <v>6671</v>
      </c>
    </row>
    <row r="2454" spans="1:9" x14ac:dyDescent="0.15">
      <c r="A2454" s="9">
        <v>2453</v>
      </c>
      <c r="B2454" s="10" t="s">
        <v>9</v>
      </c>
      <c r="C2454" s="10" t="s">
        <v>164</v>
      </c>
      <c r="D2454" s="10" t="s">
        <v>165</v>
      </c>
      <c r="E2454" s="11" t="str">
        <f>+HYPERLINK("http://trademark.i-assist.jp/data/china/image_1901th/79162697.pdf", "79162697")</f>
        <v>79162697</v>
      </c>
      <c r="F2454" s="10" t="s">
        <v>6838</v>
      </c>
      <c r="G2454" s="10" t="s">
        <v>6839</v>
      </c>
      <c r="H2454" s="10" t="s">
        <v>6840</v>
      </c>
      <c r="I2454" s="10" t="s">
        <v>6671</v>
      </c>
    </row>
    <row r="2455" spans="1:9" x14ac:dyDescent="0.15">
      <c r="A2455" s="9">
        <v>2454</v>
      </c>
      <c r="B2455" s="10" t="s">
        <v>9</v>
      </c>
      <c r="C2455" s="10" t="s">
        <v>164</v>
      </c>
      <c r="D2455" s="10" t="s">
        <v>165</v>
      </c>
      <c r="E2455" s="11" t="str">
        <f>+HYPERLINK("http://trademark.i-assist.jp/data/china/image_1901th/79162848.pdf", "79162848")</f>
        <v>79162848</v>
      </c>
      <c r="F2455" s="10" t="s">
        <v>6841</v>
      </c>
      <c r="G2455" s="10" t="s">
        <v>2885</v>
      </c>
      <c r="H2455" s="10" t="s">
        <v>6842</v>
      </c>
      <c r="I2455" s="10" t="s">
        <v>6671</v>
      </c>
    </row>
    <row r="2456" spans="1:9" x14ac:dyDescent="0.15">
      <c r="A2456" s="9">
        <v>2455</v>
      </c>
      <c r="B2456" s="10" t="s">
        <v>9</v>
      </c>
      <c r="C2456" s="10" t="s">
        <v>164</v>
      </c>
      <c r="D2456" s="10" t="s">
        <v>165</v>
      </c>
      <c r="E2456" s="11" t="str">
        <f>+HYPERLINK("http://trademark.i-assist.jp/data/china/image_1901th/79162850.pdf", "79162850")</f>
        <v>79162850</v>
      </c>
      <c r="F2456" s="10" t="s">
        <v>6843</v>
      </c>
      <c r="G2456" s="10" t="s">
        <v>1112</v>
      </c>
      <c r="H2456" s="10" t="s">
        <v>6844</v>
      </c>
      <c r="I2456" s="10" t="s">
        <v>6671</v>
      </c>
    </row>
    <row r="2457" spans="1:9" x14ac:dyDescent="0.15">
      <c r="A2457" s="9">
        <v>2456</v>
      </c>
      <c r="B2457" s="10" t="s">
        <v>9</v>
      </c>
      <c r="C2457" s="10" t="s">
        <v>164</v>
      </c>
      <c r="D2457" s="10" t="s">
        <v>165</v>
      </c>
      <c r="E2457" s="11" t="str">
        <f>+HYPERLINK("http://trademark.i-assist.jp/data/china/image_1901th/79163018.pdf", "79163018")</f>
        <v>79163018</v>
      </c>
      <c r="F2457" s="10" t="s">
        <v>6845</v>
      </c>
      <c r="G2457" s="10" t="s">
        <v>6846</v>
      </c>
      <c r="H2457" s="10" t="s">
        <v>6847</v>
      </c>
      <c r="I2457" s="10" t="s">
        <v>6671</v>
      </c>
    </row>
    <row r="2458" spans="1:9" x14ac:dyDescent="0.15">
      <c r="A2458" s="9">
        <v>2457</v>
      </c>
      <c r="B2458" s="10" t="s">
        <v>9</v>
      </c>
      <c r="C2458" s="10" t="s">
        <v>164</v>
      </c>
      <c r="D2458" s="10" t="s">
        <v>165</v>
      </c>
      <c r="E2458" s="11" t="str">
        <f>+HYPERLINK("http://trademark.i-assist.jp/data/china/image_1901th/79163151.pdf", "79163151")</f>
        <v>79163151</v>
      </c>
      <c r="F2458" s="10" t="s">
        <v>6848</v>
      </c>
      <c r="G2458" s="10" t="s">
        <v>6849</v>
      </c>
      <c r="H2458" s="10" t="s">
        <v>6850</v>
      </c>
      <c r="I2458" s="10" t="s">
        <v>6671</v>
      </c>
    </row>
    <row r="2459" spans="1:9" x14ac:dyDescent="0.15">
      <c r="A2459" s="9">
        <v>2458</v>
      </c>
      <c r="B2459" s="10" t="s">
        <v>9</v>
      </c>
      <c r="C2459" s="10" t="s">
        <v>164</v>
      </c>
      <c r="D2459" s="10" t="s">
        <v>165</v>
      </c>
      <c r="E2459" s="11" t="str">
        <f>+HYPERLINK("http://trademark.i-assist.jp/data/china/image_1901th/79163271.pdf", "79163271")</f>
        <v>79163271</v>
      </c>
      <c r="F2459" s="10" t="s">
        <v>6851</v>
      </c>
      <c r="G2459" s="10" t="s">
        <v>6720</v>
      </c>
      <c r="H2459" s="10" t="s">
        <v>6852</v>
      </c>
      <c r="I2459" s="10" t="s">
        <v>6671</v>
      </c>
    </row>
    <row r="2460" spans="1:9" x14ac:dyDescent="0.15">
      <c r="A2460" s="9">
        <v>2459</v>
      </c>
      <c r="B2460" s="10" t="s">
        <v>9</v>
      </c>
      <c r="C2460" s="10" t="s">
        <v>164</v>
      </c>
      <c r="D2460" s="10" t="s">
        <v>165</v>
      </c>
      <c r="E2460" s="11" t="str">
        <f>+HYPERLINK("http://trademark.i-assist.jp/data/china/image_1901th/79163497.pdf", "79163497")</f>
        <v>79163497</v>
      </c>
      <c r="F2460" s="10" t="s">
        <v>6853</v>
      </c>
      <c r="G2460" s="10" t="s">
        <v>134</v>
      </c>
      <c r="H2460" s="10" t="s">
        <v>6854</v>
      </c>
      <c r="I2460" s="10" t="s">
        <v>6671</v>
      </c>
    </row>
    <row r="2461" spans="1:9" x14ac:dyDescent="0.15">
      <c r="A2461" s="9">
        <v>2460</v>
      </c>
      <c r="B2461" s="10" t="s">
        <v>9</v>
      </c>
      <c r="C2461" s="10" t="s">
        <v>164</v>
      </c>
      <c r="D2461" s="10" t="s">
        <v>165</v>
      </c>
      <c r="E2461" s="11" t="str">
        <f>+HYPERLINK("http://trademark.i-assist.jp/data/china/image_1901th/79163707.pdf", "79163707")</f>
        <v>79163707</v>
      </c>
      <c r="F2461" s="10" t="s">
        <v>6855</v>
      </c>
      <c r="G2461" s="10" t="s">
        <v>6856</v>
      </c>
      <c r="H2461" s="10" t="s">
        <v>6857</v>
      </c>
      <c r="I2461" s="10" t="s">
        <v>6671</v>
      </c>
    </row>
    <row r="2462" spans="1:9" x14ac:dyDescent="0.15">
      <c r="A2462" s="9">
        <v>2461</v>
      </c>
      <c r="B2462" s="10" t="s">
        <v>9</v>
      </c>
      <c r="C2462" s="10" t="s">
        <v>164</v>
      </c>
      <c r="D2462" s="10" t="s">
        <v>165</v>
      </c>
      <c r="E2462" s="11" t="str">
        <f>+HYPERLINK("http://trademark.i-assist.jp/data/china/image_1901th/79163757.pdf", "79163757")</f>
        <v>79163757</v>
      </c>
      <c r="F2462" s="10" t="s">
        <v>6858</v>
      </c>
      <c r="G2462" s="10" t="s">
        <v>6859</v>
      </c>
      <c r="H2462" s="10" t="s">
        <v>6860</v>
      </c>
      <c r="I2462" s="10" t="s">
        <v>6671</v>
      </c>
    </row>
    <row r="2463" spans="1:9" x14ac:dyDescent="0.15">
      <c r="A2463" s="9">
        <v>2462</v>
      </c>
      <c r="B2463" s="10" t="s">
        <v>9</v>
      </c>
      <c r="C2463" s="10" t="s">
        <v>164</v>
      </c>
      <c r="D2463" s="10" t="s">
        <v>165</v>
      </c>
      <c r="E2463" s="11" t="str">
        <f>+HYPERLINK("http://trademark.i-assist.jp/data/china/image_1901th/79163800.pdf", "79163800")</f>
        <v>79163800</v>
      </c>
      <c r="F2463" s="10" t="s">
        <v>6861</v>
      </c>
      <c r="G2463" s="10" t="s">
        <v>6862</v>
      </c>
      <c r="H2463" s="10" t="s">
        <v>27</v>
      </c>
      <c r="I2463" s="10" t="s">
        <v>6671</v>
      </c>
    </row>
    <row r="2464" spans="1:9" x14ac:dyDescent="0.15">
      <c r="A2464" s="9">
        <v>2463</v>
      </c>
      <c r="B2464" s="10" t="s">
        <v>9</v>
      </c>
      <c r="C2464" s="10" t="s">
        <v>164</v>
      </c>
      <c r="D2464" s="10" t="s">
        <v>165</v>
      </c>
      <c r="E2464" s="11" t="str">
        <f>+HYPERLINK("http://trademark.i-assist.jp/data/china/image_1901th/79163807.pdf", "79163807")</f>
        <v>79163807</v>
      </c>
      <c r="F2464" s="10" t="s">
        <v>6863</v>
      </c>
      <c r="G2464" s="10" t="s">
        <v>6864</v>
      </c>
      <c r="H2464" s="10" t="s">
        <v>6865</v>
      </c>
      <c r="I2464" s="10" t="s">
        <v>6671</v>
      </c>
    </row>
    <row r="2465" spans="1:9" x14ac:dyDescent="0.15">
      <c r="A2465" s="9">
        <v>2464</v>
      </c>
      <c r="B2465" s="10" t="s">
        <v>9</v>
      </c>
      <c r="C2465" s="10" t="s">
        <v>164</v>
      </c>
      <c r="D2465" s="10" t="s">
        <v>165</v>
      </c>
      <c r="E2465" s="11" t="str">
        <f>+HYPERLINK("http://trademark.i-assist.jp/data/china/image_1901th/79163942.pdf", "79163942")</f>
        <v>79163942</v>
      </c>
      <c r="F2465" s="10" t="s">
        <v>6866</v>
      </c>
      <c r="G2465" s="10" t="s">
        <v>6867</v>
      </c>
      <c r="H2465" s="10" t="s">
        <v>6868</v>
      </c>
      <c r="I2465" s="10" t="s">
        <v>6671</v>
      </c>
    </row>
    <row r="2466" spans="1:9" x14ac:dyDescent="0.15">
      <c r="A2466" s="9">
        <v>2465</v>
      </c>
      <c r="B2466" s="10" t="s">
        <v>9</v>
      </c>
      <c r="C2466" s="10" t="s">
        <v>164</v>
      </c>
      <c r="D2466" s="10" t="s">
        <v>165</v>
      </c>
      <c r="E2466" s="11" t="str">
        <f>+HYPERLINK("http://trademark.i-assist.jp/data/china/image_1901th/79164125.pdf", "79164125")</f>
        <v>79164125</v>
      </c>
      <c r="F2466" s="10" t="s">
        <v>6869</v>
      </c>
      <c r="G2466" s="10" t="s">
        <v>6404</v>
      </c>
      <c r="H2466" s="10" t="s">
        <v>6870</v>
      </c>
      <c r="I2466" s="10" t="s">
        <v>6671</v>
      </c>
    </row>
    <row r="2467" spans="1:9" x14ac:dyDescent="0.15">
      <c r="A2467" s="9">
        <v>2466</v>
      </c>
      <c r="B2467" s="10" t="s">
        <v>9</v>
      </c>
      <c r="C2467" s="10" t="s">
        <v>164</v>
      </c>
      <c r="D2467" s="10" t="s">
        <v>165</v>
      </c>
      <c r="E2467" s="11" t="str">
        <f>+HYPERLINK("http://trademark.i-assist.jp/data/china/image_1901th/79164506.pdf", "79164506")</f>
        <v>79164506</v>
      </c>
      <c r="F2467" s="10" t="s">
        <v>6871</v>
      </c>
      <c r="G2467" s="10" t="s">
        <v>6872</v>
      </c>
      <c r="H2467" s="10" t="s">
        <v>6873</v>
      </c>
      <c r="I2467" s="10" t="s">
        <v>6671</v>
      </c>
    </row>
    <row r="2468" spans="1:9" x14ac:dyDescent="0.15">
      <c r="A2468" s="9">
        <v>2467</v>
      </c>
      <c r="B2468" s="10" t="s">
        <v>9</v>
      </c>
      <c r="C2468" s="10" t="s">
        <v>164</v>
      </c>
      <c r="D2468" s="10" t="s">
        <v>165</v>
      </c>
      <c r="E2468" s="11" t="str">
        <f>+HYPERLINK("http://trademark.i-assist.jp/data/china/image_1901th/79164726.pdf", "79164726")</f>
        <v>79164726</v>
      </c>
      <c r="F2468" s="10" t="s">
        <v>6874</v>
      </c>
      <c r="G2468" s="10" t="s">
        <v>6875</v>
      </c>
      <c r="H2468" s="10" t="s">
        <v>6876</v>
      </c>
      <c r="I2468" s="10" t="s">
        <v>6671</v>
      </c>
    </row>
    <row r="2469" spans="1:9" x14ac:dyDescent="0.15">
      <c r="A2469" s="9">
        <v>2468</v>
      </c>
      <c r="B2469" s="10" t="s">
        <v>9</v>
      </c>
      <c r="C2469" s="10" t="s">
        <v>164</v>
      </c>
      <c r="D2469" s="10" t="s">
        <v>165</v>
      </c>
      <c r="E2469" s="11" t="str">
        <f>+HYPERLINK("http://trademark.i-assist.jp/data/china/image_1901th/79164763.pdf", "79164763")</f>
        <v>79164763</v>
      </c>
      <c r="F2469" s="10" t="s">
        <v>6877</v>
      </c>
      <c r="G2469" s="10" t="s">
        <v>6878</v>
      </c>
      <c r="H2469" s="10" t="s">
        <v>6879</v>
      </c>
      <c r="I2469" s="10" t="s">
        <v>6671</v>
      </c>
    </row>
    <row r="2470" spans="1:9" x14ac:dyDescent="0.15">
      <c r="A2470" s="9">
        <v>2469</v>
      </c>
      <c r="B2470" s="10" t="s">
        <v>9</v>
      </c>
      <c r="C2470" s="10" t="s">
        <v>164</v>
      </c>
      <c r="D2470" s="10" t="s">
        <v>165</v>
      </c>
      <c r="E2470" s="11" t="str">
        <f>+HYPERLINK("http://trademark.i-assist.jp/data/china/image_1901th/79164828.pdf", "79164828")</f>
        <v>79164828</v>
      </c>
      <c r="F2470" s="10" t="s">
        <v>6880</v>
      </c>
      <c r="G2470" s="10" t="s">
        <v>6881</v>
      </c>
      <c r="H2470" s="10" t="s">
        <v>6882</v>
      </c>
      <c r="I2470" s="10" t="s">
        <v>6671</v>
      </c>
    </row>
    <row r="2471" spans="1:9" x14ac:dyDescent="0.15">
      <c r="A2471" s="9">
        <v>2470</v>
      </c>
      <c r="B2471" s="10" t="s">
        <v>9</v>
      </c>
      <c r="C2471" s="10" t="s">
        <v>164</v>
      </c>
      <c r="D2471" s="10" t="s">
        <v>165</v>
      </c>
      <c r="E2471" s="11" t="str">
        <f>+HYPERLINK("http://trademark.i-assist.jp/data/china/image_1901th/79164940.pdf", "79164940")</f>
        <v>79164940</v>
      </c>
      <c r="F2471" s="10" t="s">
        <v>6883</v>
      </c>
      <c r="G2471" s="10" t="s">
        <v>6884</v>
      </c>
      <c r="H2471" s="10" t="s">
        <v>6885</v>
      </c>
      <c r="I2471" s="10" t="s">
        <v>6671</v>
      </c>
    </row>
    <row r="2472" spans="1:9" x14ac:dyDescent="0.15">
      <c r="A2472" s="9">
        <v>2471</v>
      </c>
      <c r="B2472" s="10" t="s">
        <v>9</v>
      </c>
      <c r="C2472" s="10" t="s">
        <v>164</v>
      </c>
      <c r="D2472" s="10" t="s">
        <v>165</v>
      </c>
      <c r="E2472" s="11" t="str">
        <f>+HYPERLINK("http://trademark.i-assist.jp/data/china/image_1901th/79165058.pdf", "79165058")</f>
        <v>79165058</v>
      </c>
      <c r="F2472" s="10" t="s">
        <v>6886</v>
      </c>
      <c r="G2472" s="10" t="s">
        <v>6887</v>
      </c>
      <c r="H2472" s="10" t="s">
        <v>6888</v>
      </c>
      <c r="I2472" s="10" t="s">
        <v>6671</v>
      </c>
    </row>
    <row r="2473" spans="1:9" x14ac:dyDescent="0.15">
      <c r="A2473" s="9">
        <v>2472</v>
      </c>
      <c r="B2473" s="10" t="s">
        <v>9</v>
      </c>
      <c r="C2473" s="10" t="s">
        <v>164</v>
      </c>
      <c r="D2473" s="10" t="s">
        <v>165</v>
      </c>
      <c r="E2473" s="11" t="str">
        <f>+HYPERLINK("http://trademark.i-assist.jp/data/china/image_1901th/79165744.pdf", "79165744")</f>
        <v>79165744</v>
      </c>
      <c r="F2473" s="10" t="s">
        <v>6889</v>
      </c>
      <c r="G2473" s="10" t="s">
        <v>6890</v>
      </c>
      <c r="H2473" s="10" t="s">
        <v>6891</v>
      </c>
      <c r="I2473" s="10" t="s">
        <v>6671</v>
      </c>
    </row>
    <row r="2474" spans="1:9" x14ac:dyDescent="0.15">
      <c r="A2474" s="9">
        <v>2473</v>
      </c>
      <c r="B2474" s="10" t="s">
        <v>9</v>
      </c>
      <c r="C2474" s="10" t="s">
        <v>164</v>
      </c>
      <c r="D2474" s="10" t="s">
        <v>165</v>
      </c>
      <c r="E2474" s="11" t="str">
        <f>+HYPERLINK("http://trademark.i-assist.jp/data/china/image_1901th/79165986.pdf", "79165986")</f>
        <v>79165986</v>
      </c>
      <c r="F2474" s="10" t="s">
        <v>6892</v>
      </c>
      <c r="G2474" s="10" t="s">
        <v>6893</v>
      </c>
      <c r="H2474" s="10" t="s">
        <v>6894</v>
      </c>
      <c r="I2474" s="10" t="s">
        <v>6671</v>
      </c>
    </row>
    <row r="2475" spans="1:9" x14ac:dyDescent="0.15">
      <c r="A2475" s="9">
        <v>2474</v>
      </c>
      <c r="B2475" s="10" t="s">
        <v>9</v>
      </c>
      <c r="C2475" s="10" t="s">
        <v>164</v>
      </c>
      <c r="D2475" s="10" t="s">
        <v>165</v>
      </c>
      <c r="E2475" s="11" t="str">
        <f>+HYPERLINK("http://trademark.i-assist.jp/data/china/image_1901th/79166606.pdf", "79166606")</f>
        <v>79166606</v>
      </c>
      <c r="F2475" s="10" t="s">
        <v>6895</v>
      </c>
      <c r="G2475" s="10" t="s">
        <v>6859</v>
      </c>
      <c r="H2475" s="10" t="s">
        <v>6896</v>
      </c>
      <c r="I2475" s="10" t="s">
        <v>6671</v>
      </c>
    </row>
    <row r="2476" spans="1:9" x14ac:dyDescent="0.15">
      <c r="A2476" s="9">
        <v>2475</v>
      </c>
      <c r="B2476" s="10" t="s">
        <v>9</v>
      </c>
      <c r="C2476" s="10" t="s">
        <v>164</v>
      </c>
      <c r="D2476" s="10" t="s">
        <v>165</v>
      </c>
      <c r="E2476" s="11" t="str">
        <f>+HYPERLINK("http://trademark.i-assist.jp/data/china/image_1901th/79166846.pdf", "79166846")</f>
        <v>79166846</v>
      </c>
      <c r="F2476" s="10" t="s">
        <v>6897</v>
      </c>
      <c r="G2476" s="10" t="s">
        <v>6898</v>
      </c>
      <c r="H2476" s="10" t="s">
        <v>6899</v>
      </c>
      <c r="I2476" s="10" t="s">
        <v>6671</v>
      </c>
    </row>
    <row r="2477" spans="1:9" x14ac:dyDescent="0.15">
      <c r="A2477" s="9">
        <v>2476</v>
      </c>
      <c r="B2477" s="10" t="s">
        <v>9</v>
      </c>
      <c r="C2477" s="10" t="s">
        <v>164</v>
      </c>
      <c r="D2477" s="10" t="s">
        <v>165</v>
      </c>
      <c r="E2477" s="11" t="str">
        <f>+HYPERLINK("http://trademark.i-assist.jp/data/china/image_1901th/79166940.pdf", "79166940")</f>
        <v>79166940</v>
      </c>
      <c r="F2477" s="10" t="s">
        <v>6900</v>
      </c>
      <c r="G2477" s="10" t="s">
        <v>6901</v>
      </c>
      <c r="H2477" s="10" t="s">
        <v>6902</v>
      </c>
      <c r="I2477" s="10" t="s">
        <v>6671</v>
      </c>
    </row>
    <row r="2478" spans="1:9" x14ac:dyDescent="0.15">
      <c r="A2478" s="9">
        <v>2477</v>
      </c>
      <c r="B2478" s="10" t="s">
        <v>9</v>
      </c>
      <c r="C2478" s="10" t="s">
        <v>164</v>
      </c>
      <c r="D2478" s="10" t="s">
        <v>165</v>
      </c>
      <c r="E2478" s="11" t="str">
        <f>+HYPERLINK("http://trademark.i-assist.jp/data/china/image_1901th/79167079.pdf", "79167079")</f>
        <v>79167079</v>
      </c>
      <c r="F2478" s="10" t="s">
        <v>6903</v>
      </c>
      <c r="G2478" s="10" t="s">
        <v>6904</v>
      </c>
      <c r="H2478" s="10" t="s">
        <v>6905</v>
      </c>
      <c r="I2478" s="10" t="s">
        <v>6671</v>
      </c>
    </row>
    <row r="2479" spans="1:9" x14ac:dyDescent="0.15">
      <c r="A2479" s="9">
        <v>2478</v>
      </c>
      <c r="B2479" s="10" t="s">
        <v>9</v>
      </c>
      <c r="C2479" s="10" t="s">
        <v>164</v>
      </c>
      <c r="D2479" s="10" t="s">
        <v>165</v>
      </c>
      <c r="E2479" s="11" t="str">
        <f>+HYPERLINK("http://trademark.i-assist.jp/data/china/image_1901th/79167356.pdf", "79167356")</f>
        <v>79167356</v>
      </c>
      <c r="F2479" s="10" t="s">
        <v>6906</v>
      </c>
      <c r="G2479" s="10" t="s">
        <v>6907</v>
      </c>
      <c r="H2479" s="10" t="s">
        <v>6908</v>
      </c>
      <c r="I2479" s="10" t="s">
        <v>6671</v>
      </c>
    </row>
    <row r="2480" spans="1:9" x14ac:dyDescent="0.15">
      <c r="A2480" s="9">
        <v>2479</v>
      </c>
      <c r="B2480" s="10" t="s">
        <v>9</v>
      </c>
      <c r="C2480" s="10" t="s">
        <v>164</v>
      </c>
      <c r="D2480" s="10" t="s">
        <v>165</v>
      </c>
      <c r="E2480" s="11" t="str">
        <f>+HYPERLINK("http://trademark.i-assist.jp/data/china/image_1901th/79167578.pdf", "79167578")</f>
        <v>79167578</v>
      </c>
      <c r="F2480" s="10" t="s">
        <v>6909</v>
      </c>
      <c r="G2480" s="10" t="s">
        <v>6910</v>
      </c>
      <c r="H2480" s="10" t="s">
        <v>6911</v>
      </c>
      <c r="I2480" s="10" t="s">
        <v>6671</v>
      </c>
    </row>
    <row r="2481" spans="1:9" x14ac:dyDescent="0.15">
      <c r="A2481" s="9">
        <v>2480</v>
      </c>
      <c r="B2481" s="10" t="s">
        <v>9</v>
      </c>
      <c r="C2481" s="10" t="s">
        <v>164</v>
      </c>
      <c r="D2481" s="10" t="s">
        <v>165</v>
      </c>
      <c r="E2481" s="11" t="str">
        <f>+HYPERLINK("http://trademark.i-assist.jp/data/china/image_1901th/79167963.pdf", "79167963")</f>
        <v>79167963</v>
      </c>
      <c r="F2481" s="10" t="s">
        <v>6912</v>
      </c>
      <c r="G2481" s="10" t="s">
        <v>6717</v>
      </c>
      <c r="H2481" s="10" t="s">
        <v>6913</v>
      </c>
      <c r="I2481" s="10" t="s">
        <v>6671</v>
      </c>
    </row>
    <row r="2482" spans="1:9" x14ac:dyDescent="0.15">
      <c r="A2482" s="9">
        <v>2481</v>
      </c>
      <c r="B2482" s="10" t="s">
        <v>9</v>
      </c>
      <c r="C2482" s="10" t="s">
        <v>164</v>
      </c>
      <c r="D2482" s="10" t="s">
        <v>165</v>
      </c>
      <c r="E2482" s="11" t="str">
        <f>+HYPERLINK("http://trademark.i-assist.jp/data/china/image_1901th/79168033.pdf", "79168033")</f>
        <v>79168033</v>
      </c>
      <c r="F2482" s="10" t="s">
        <v>6914</v>
      </c>
      <c r="G2482" s="10" t="s">
        <v>6789</v>
      </c>
      <c r="H2482" s="10" t="s">
        <v>6915</v>
      </c>
      <c r="I2482" s="10" t="s">
        <v>6671</v>
      </c>
    </row>
    <row r="2483" spans="1:9" x14ac:dyDescent="0.15">
      <c r="A2483" s="9">
        <v>2482</v>
      </c>
      <c r="B2483" s="10" t="s">
        <v>9</v>
      </c>
      <c r="C2483" s="10" t="s">
        <v>164</v>
      </c>
      <c r="D2483" s="10" t="s">
        <v>165</v>
      </c>
      <c r="E2483" s="11" t="str">
        <f>+HYPERLINK("http://trademark.i-assist.jp/data/china/image_1901th/79168383.pdf", "79168383")</f>
        <v>79168383</v>
      </c>
      <c r="F2483" s="10" t="s">
        <v>6916</v>
      </c>
      <c r="G2483" s="10" t="s">
        <v>6917</v>
      </c>
      <c r="H2483" s="10" t="s">
        <v>6918</v>
      </c>
      <c r="I2483" s="10" t="s">
        <v>6671</v>
      </c>
    </row>
    <row r="2484" spans="1:9" x14ac:dyDescent="0.15">
      <c r="A2484" s="9">
        <v>2483</v>
      </c>
      <c r="B2484" s="10" t="s">
        <v>9</v>
      </c>
      <c r="C2484" s="10" t="s">
        <v>164</v>
      </c>
      <c r="D2484" s="10" t="s">
        <v>165</v>
      </c>
      <c r="E2484" s="11" t="str">
        <f>+HYPERLINK("http://trademark.i-assist.jp/data/china/image_1901th/79168405.pdf", "79168405")</f>
        <v>79168405</v>
      </c>
      <c r="F2484" s="10" t="s">
        <v>6919</v>
      </c>
      <c r="G2484" s="10" t="s">
        <v>6920</v>
      </c>
      <c r="H2484" s="10" t="s">
        <v>6921</v>
      </c>
      <c r="I2484" s="10" t="s">
        <v>6671</v>
      </c>
    </row>
    <row r="2485" spans="1:9" x14ac:dyDescent="0.15">
      <c r="A2485" s="9">
        <v>2484</v>
      </c>
      <c r="B2485" s="10" t="s">
        <v>9</v>
      </c>
      <c r="C2485" s="10" t="s">
        <v>164</v>
      </c>
      <c r="D2485" s="10" t="s">
        <v>165</v>
      </c>
      <c r="E2485" s="11" t="str">
        <f>+HYPERLINK("http://trademark.i-assist.jp/data/china/image_1901th/79168655.pdf", "79168655")</f>
        <v>79168655</v>
      </c>
      <c r="F2485" s="10" t="s">
        <v>6922</v>
      </c>
      <c r="G2485" s="10" t="s">
        <v>6923</v>
      </c>
      <c r="H2485" s="10" t="s">
        <v>6924</v>
      </c>
      <c r="I2485" s="10" t="s">
        <v>6671</v>
      </c>
    </row>
    <row r="2486" spans="1:9" x14ac:dyDescent="0.15">
      <c r="A2486" s="9">
        <v>2485</v>
      </c>
      <c r="B2486" s="10" t="s">
        <v>9</v>
      </c>
      <c r="C2486" s="10" t="s">
        <v>164</v>
      </c>
      <c r="D2486" s="10" t="s">
        <v>165</v>
      </c>
      <c r="E2486" s="11" t="str">
        <f>+HYPERLINK("http://trademark.i-assist.jp/data/china/image_1901th/79169000.pdf", "79169000")</f>
        <v>79169000</v>
      </c>
      <c r="F2486" s="10" t="s">
        <v>6925</v>
      </c>
      <c r="G2486" s="10" t="s">
        <v>6926</v>
      </c>
      <c r="H2486" s="10" t="s">
        <v>6927</v>
      </c>
      <c r="I2486" s="10" t="s">
        <v>6671</v>
      </c>
    </row>
    <row r="2487" spans="1:9" x14ac:dyDescent="0.15">
      <c r="A2487" s="9">
        <v>2486</v>
      </c>
      <c r="B2487" s="10" t="s">
        <v>9</v>
      </c>
      <c r="C2487" s="10" t="s">
        <v>164</v>
      </c>
      <c r="D2487" s="10" t="s">
        <v>165</v>
      </c>
      <c r="E2487" s="11" t="str">
        <f>+HYPERLINK("http://trademark.i-assist.jp/data/china/image_1901th/79169062.pdf", "79169062")</f>
        <v>79169062</v>
      </c>
      <c r="F2487" s="10" t="s">
        <v>6928</v>
      </c>
      <c r="G2487" s="10" t="s">
        <v>140</v>
      </c>
      <c r="H2487" s="10" t="s">
        <v>6929</v>
      </c>
      <c r="I2487" s="10" t="s">
        <v>6671</v>
      </c>
    </row>
    <row r="2488" spans="1:9" x14ac:dyDescent="0.15">
      <c r="A2488" s="9">
        <v>2487</v>
      </c>
      <c r="B2488" s="10" t="s">
        <v>9</v>
      </c>
      <c r="C2488" s="10" t="s">
        <v>164</v>
      </c>
      <c r="D2488" s="10" t="s">
        <v>165</v>
      </c>
      <c r="E2488" s="11" t="str">
        <f>+HYPERLINK("http://trademark.i-assist.jp/data/china/image_1901th/79169109.pdf", "79169109")</f>
        <v>79169109</v>
      </c>
      <c r="F2488" s="10" t="s">
        <v>6930</v>
      </c>
      <c r="G2488" s="10" t="s">
        <v>3046</v>
      </c>
      <c r="H2488" s="10" t="s">
        <v>6931</v>
      </c>
      <c r="I2488" s="10" t="s">
        <v>6671</v>
      </c>
    </row>
    <row r="2489" spans="1:9" x14ac:dyDescent="0.15">
      <c r="A2489" s="9">
        <v>2488</v>
      </c>
      <c r="B2489" s="10" t="s">
        <v>9</v>
      </c>
      <c r="C2489" s="10" t="s">
        <v>164</v>
      </c>
      <c r="D2489" s="10" t="s">
        <v>165</v>
      </c>
      <c r="E2489" s="11" t="str">
        <f>+HYPERLINK("http://trademark.i-assist.jp/data/china/image_1901th/79169452.pdf", "79169452")</f>
        <v>79169452</v>
      </c>
      <c r="F2489" s="10" t="s">
        <v>6932</v>
      </c>
      <c r="G2489" s="10" t="s">
        <v>6933</v>
      </c>
      <c r="H2489" s="10" t="s">
        <v>6934</v>
      </c>
      <c r="I2489" s="10" t="s">
        <v>6671</v>
      </c>
    </row>
    <row r="2490" spans="1:9" x14ac:dyDescent="0.15">
      <c r="A2490" s="9">
        <v>2489</v>
      </c>
      <c r="B2490" s="10" t="s">
        <v>9</v>
      </c>
      <c r="C2490" s="10" t="s">
        <v>164</v>
      </c>
      <c r="D2490" s="10" t="s">
        <v>165</v>
      </c>
      <c r="E2490" s="11" t="str">
        <f>+HYPERLINK("http://trademark.i-assist.jp/data/china/image_1901th/79169632.pdf", "79169632")</f>
        <v>79169632</v>
      </c>
      <c r="F2490" s="10" t="s">
        <v>6935</v>
      </c>
      <c r="G2490" s="10" t="s">
        <v>6936</v>
      </c>
      <c r="H2490" s="10" t="s">
        <v>6937</v>
      </c>
      <c r="I2490" s="10" t="s">
        <v>6671</v>
      </c>
    </row>
    <row r="2491" spans="1:9" x14ac:dyDescent="0.15">
      <c r="A2491" s="9">
        <v>2490</v>
      </c>
      <c r="B2491" s="10" t="s">
        <v>9</v>
      </c>
      <c r="C2491" s="10" t="s">
        <v>164</v>
      </c>
      <c r="D2491" s="10" t="s">
        <v>165</v>
      </c>
      <c r="E2491" s="11" t="str">
        <f>+HYPERLINK("http://trademark.i-assist.jp/data/china/image_1901th/79169707.pdf", "79169707")</f>
        <v>79169707</v>
      </c>
      <c r="F2491" s="10" t="s">
        <v>6938</v>
      </c>
      <c r="G2491" s="10" t="s">
        <v>140</v>
      </c>
      <c r="H2491" s="10" t="s">
        <v>6939</v>
      </c>
      <c r="I2491" s="10" t="s">
        <v>6671</v>
      </c>
    </row>
    <row r="2492" spans="1:9" x14ac:dyDescent="0.15">
      <c r="A2492" s="9">
        <v>2491</v>
      </c>
      <c r="B2492" s="10" t="s">
        <v>9</v>
      </c>
      <c r="C2492" s="10" t="s">
        <v>164</v>
      </c>
      <c r="D2492" s="10" t="s">
        <v>165</v>
      </c>
      <c r="E2492" s="11" t="str">
        <f>+HYPERLINK("http://trademark.i-assist.jp/data/china/image_1901th/79169738.pdf", "79169738")</f>
        <v>79169738</v>
      </c>
      <c r="F2492" s="10" t="s">
        <v>6940</v>
      </c>
      <c r="G2492" s="10" t="s">
        <v>6941</v>
      </c>
      <c r="H2492" s="10" t="s">
        <v>6942</v>
      </c>
      <c r="I2492" s="10" t="s">
        <v>6671</v>
      </c>
    </row>
    <row r="2493" spans="1:9" x14ac:dyDescent="0.15">
      <c r="A2493" s="9">
        <v>2492</v>
      </c>
      <c r="B2493" s="10" t="s">
        <v>9</v>
      </c>
      <c r="C2493" s="10" t="s">
        <v>164</v>
      </c>
      <c r="D2493" s="10" t="s">
        <v>165</v>
      </c>
      <c r="E2493" s="11" t="str">
        <f>+HYPERLINK("http://trademark.i-assist.jp/data/china/image_1901th/79169814.pdf", "79169814")</f>
        <v>79169814</v>
      </c>
      <c r="F2493" s="10" t="s">
        <v>6943</v>
      </c>
      <c r="G2493" s="10" t="s">
        <v>6944</v>
      </c>
      <c r="H2493" s="10" t="s">
        <v>6945</v>
      </c>
      <c r="I2493" s="10" t="s">
        <v>6671</v>
      </c>
    </row>
    <row r="2494" spans="1:9" x14ac:dyDescent="0.15">
      <c r="A2494" s="9">
        <v>2493</v>
      </c>
      <c r="B2494" s="10" t="s">
        <v>9</v>
      </c>
      <c r="C2494" s="10" t="s">
        <v>164</v>
      </c>
      <c r="D2494" s="10" t="s">
        <v>165</v>
      </c>
      <c r="E2494" s="11" t="str">
        <f>+HYPERLINK("http://trademark.i-assist.jp/data/china/image_1901th/79170205.pdf", "79170205")</f>
        <v>79170205</v>
      </c>
      <c r="F2494" s="10" t="s">
        <v>6946</v>
      </c>
      <c r="G2494" s="10" t="s">
        <v>6947</v>
      </c>
      <c r="H2494" s="10" t="s">
        <v>6948</v>
      </c>
      <c r="I2494" s="10" t="s">
        <v>6671</v>
      </c>
    </row>
    <row r="2495" spans="1:9" x14ac:dyDescent="0.15">
      <c r="A2495" s="9">
        <v>2494</v>
      </c>
      <c r="B2495" s="10" t="s">
        <v>9</v>
      </c>
      <c r="C2495" s="10" t="s">
        <v>164</v>
      </c>
      <c r="D2495" s="10" t="s">
        <v>165</v>
      </c>
      <c r="E2495" s="11" t="str">
        <f>+HYPERLINK("http://trademark.i-assist.jp/data/china/image_1901th/79170430.pdf", "79170430")</f>
        <v>79170430</v>
      </c>
      <c r="F2495" s="10" t="s">
        <v>6949</v>
      </c>
      <c r="G2495" s="10" t="s">
        <v>6950</v>
      </c>
      <c r="H2495" s="10" t="s">
        <v>6951</v>
      </c>
      <c r="I2495" s="10" t="s">
        <v>6671</v>
      </c>
    </row>
    <row r="2496" spans="1:9" x14ac:dyDescent="0.15">
      <c r="A2496" s="9">
        <v>2495</v>
      </c>
      <c r="B2496" s="10" t="s">
        <v>9</v>
      </c>
      <c r="C2496" s="10" t="s">
        <v>164</v>
      </c>
      <c r="D2496" s="10" t="s">
        <v>165</v>
      </c>
      <c r="E2496" s="11" t="str">
        <f>+HYPERLINK("http://trademark.i-assist.jp/data/china/image_1901th/79170469.pdf", "79170469")</f>
        <v>79170469</v>
      </c>
      <c r="F2496" s="10" t="s">
        <v>6952</v>
      </c>
      <c r="G2496" s="10" t="s">
        <v>6953</v>
      </c>
      <c r="H2496" s="10" t="s">
        <v>6954</v>
      </c>
      <c r="I2496" s="10" t="s">
        <v>6671</v>
      </c>
    </row>
    <row r="2497" spans="1:9" x14ac:dyDescent="0.15">
      <c r="A2497" s="9">
        <v>2496</v>
      </c>
      <c r="B2497" s="10" t="s">
        <v>9</v>
      </c>
      <c r="C2497" s="10" t="s">
        <v>164</v>
      </c>
      <c r="D2497" s="10" t="s">
        <v>165</v>
      </c>
      <c r="E2497" s="11" t="str">
        <f>+HYPERLINK("http://trademark.i-assist.jp/data/china/image_1901th/79170853.pdf", "79170853")</f>
        <v>79170853</v>
      </c>
      <c r="F2497" s="10" t="s">
        <v>6955</v>
      </c>
      <c r="G2497" s="10" t="s">
        <v>6956</v>
      </c>
      <c r="H2497" s="10" t="s">
        <v>6957</v>
      </c>
      <c r="I2497" s="10" t="s">
        <v>6671</v>
      </c>
    </row>
    <row r="2498" spans="1:9" x14ac:dyDescent="0.15">
      <c r="A2498" s="9">
        <v>2497</v>
      </c>
      <c r="B2498" s="10" t="s">
        <v>9</v>
      </c>
      <c r="C2498" s="10" t="s">
        <v>164</v>
      </c>
      <c r="D2498" s="10" t="s">
        <v>165</v>
      </c>
      <c r="E2498" s="11" t="str">
        <f>+HYPERLINK("http://trademark.i-assist.jp/data/china/image_1901th/79171140.pdf", "79171140")</f>
        <v>79171140</v>
      </c>
      <c r="F2498" s="10" t="s">
        <v>6958</v>
      </c>
      <c r="G2498" s="10" t="s">
        <v>6959</v>
      </c>
      <c r="H2498" s="10" t="s">
        <v>6960</v>
      </c>
      <c r="I2498" s="10" t="s">
        <v>6671</v>
      </c>
    </row>
    <row r="2499" spans="1:9" x14ac:dyDescent="0.15">
      <c r="A2499" s="9">
        <v>2498</v>
      </c>
      <c r="B2499" s="10" t="s">
        <v>9</v>
      </c>
      <c r="C2499" s="10" t="s">
        <v>164</v>
      </c>
      <c r="D2499" s="10" t="s">
        <v>165</v>
      </c>
      <c r="E2499" s="11" t="str">
        <f>+HYPERLINK("http://trademark.i-assist.jp/data/china/image_1901th/79171237.pdf", "79171237")</f>
        <v>79171237</v>
      </c>
      <c r="F2499" s="10" t="s">
        <v>6961</v>
      </c>
      <c r="G2499" s="10" t="s">
        <v>6962</v>
      </c>
      <c r="H2499" s="10" t="s">
        <v>6963</v>
      </c>
      <c r="I2499" s="10" t="s">
        <v>6671</v>
      </c>
    </row>
    <row r="2500" spans="1:9" x14ac:dyDescent="0.15">
      <c r="A2500" s="9">
        <v>2499</v>
      </c>
      <c r="B2500" s="10" t="s">
        <v>9</v>
      </c>
      <c r="C2500" s="10" t="s">
        <v>164</v>
      </c>
      <c r="D2500" s="10" t="s">
        <v>165</v>
      </c>
      <c r="E2500" s="11" t="str">
        <f>+HYPERLINK("http://trademark.i-assist.jp/data/china/image_1901th/79171288.pdf", "79171288")</f>
        <v>79171288</v>
      </c>
      <c r="F2500" s="10" t="s">
        <v>6964</v>
      </c>
      <c r="G2500" s="10" t="s">
        <v>6965</v>
      </c>
      <c r="H2500" s="10" t="s">
        <v>6966</v>
      </c>
      <c r="I2500" s="10" t="s">
        <v>6671</v>
      </c>
    </row>
    <row r="2501" spans="1:9" x14ac:dyDescent="0.15">
      <c r="A2501" s="9">
        <v>2500</v>
      </c>
      <c r="B2501" s="10" t="s">
        <v>9</v>
      </c>
      <c r="C2501" s="10" t="s">
        <v>164</v>
      </c>
      <c r="D2501" s="10" t="s">
        <v>165</v>
      </c>
      <c r="E2501" s="11" t="str">
        <f>+HYPERLINK("http://trademark.i-assist.jp/data/china/image_1901th/79171345.pdf", "79171345")</f>
        <v>79171345</v>
      </c>
      <c r="F2501" s="10" t="s">
        <v>6967</v>
      </c>
      <c r="G2501" s="10" t="s">
        <v>6968</v>
      </c>
      <c r="H2501" s="10" t="s">
        <v>6969</v>
      </c>
      <c r="I2501" s="10" t="s">
        <v>6671</v>
      </c>
    </row>
    <row r="2502" spans="1:9" x14ac:dyDescent="0.15">
      <c r="A2502" s="9">
        <v>2501</v>
      </c>
      <c r="B2502" s="10" t="s">
        <v>9</v>
      </c>
      <c r="C2502" s="10" t="s">
        <v>164</v>
      </c>
      <c r="D2502" s="10" t="s">
        <v>165</v>
      </c>
      <c r="E2502" s="11" t="str">
        <f>+HYPERLINK("http://trademark.i-assist.jp/data/china/image_1901th/79171539.pdf", "79171539")</f>
        <v>79171539</v>
      </c>
      <c r="F2502" s="10" t="s">
        <v>6970</v>
      </c>
      <c r="G2502" s="10" t="s">
        <v>6971</v>
      </c>
      <c r="H2502" s="10" t="s">
        <v>6972</v>
      </c>
      <c r="I2502" s="10" t="s">
        <v>6671</v>
      </c>
    </row>
    <row r="2503" spans="1:9" x14ac:dyDescent="0.15">
      <c r="A2503" s="9">
        <v>2502</v>
      </c>
      <c r="B2503" s="10" t="s">
        <v>9</v>
      </c>
      <c r="C2503" s="10" t="s">
        <v>164</v>
      </c>
      <c r="D2503" s="10" t="s">
        <v>165</v>
      </c>
      <c r="E2503" s="11" t="str">
        <f>+HYPERLINK("http://trademark.i-assist.jp/data/china/image_1901th/79171676.pdf", "79171676")</f>
        <v>79171676</v>
      </c>
      <c r="F2503" s="10" t="s">
        <v>6973</v>
      </c>
      <c r="G2503" s="10" t="s">
        <v>6974</v>
      </c>
      <c r="H2503" s="10" t="s">
        <v>6975</v>
      </c>
      <c r="I2503" s="10" t="s">
        <v>6671</v>
      </c>
    </row>
    <row r="2504" spans="1:9" x14ac:dyDescent="0.15">
      <c r="A2504" s="9">
        <v>2503</v>
      </c>
      <c r="B2504" s="10" t="s">
        <v>9</v>
      </c>
      <c r="C2504" s="10" t="s">
        <v>164</v>
      </c>
      <c r="D2504" s="10" t="s">
        <v>165</v>
      </c>
      <c r="E2504" s="11" t="str">
        <f>+HYPERLINK("http://trademark.i-assist.jp/data/china/image_1901th/79171900.pdf", "79171900")</f>
        <v>79171900</v>
      </c>
      <c r="F2504" s="10" t="s">
        <v>6976</v>
      </c>
      <c r="G2504" s="10" t="s">
        <v>6977</v>
      </c>
      <c r="H2504" s="10" t="s">
        <v>6978</v>
      </c>
      <c r="I2504" s="10" t="s">
        <v>6671</v>
      </c>
    </row>
    <row r="2505" spans="1:9" x14ac:dyDescent="0.15">
      <c r="A2505" s="9">
        <v>2504</v>
      </c>
      <c r="B2505" s="10" t="s">
        <v>9</v>
      </c>
      <c r="C2505" s="10" t="s">
        <v>164</v>
      </c>
      <c r="D2505" s="10" t="s">
        <v>165</v>
      </c>
      <c r="E2505" s="11" t="str">
        <f>+HYPERLINK("http://trademark.i-assist.jp/data/china/image_1901th/79171936.pdf", "79171936")</f>
        <v>79171936</v>
      </c>
      <c r="F2505" s="10" t="s">
        <v>6979</v>
      </c>
      <c r="G2505" s="10" t="s">
        <v>6799</v>
      </c>
      <c r="H2505" s="10" t="s">
        <v>6980</v>
      </c>
      <c r="I2505" s="10" t="s">
        <v>6671</v>
      </c>
    </row>
    <row r="2506" spans="1:9" x14ac:dyDescent="0.15">
      <c r="A2506" s="9">
        <v>2505</v>
      </c>
      <c r="B2506" s="10" t="s">
        <v>9</v>
      </c>
      <c r="C2506" s="10" t="s">
        <v>164</v>
      </c>
      <c r="D2506" s="10" t="s">
        <v>165</v>
      </c>
      <c r="E2506" s="11" t="str">
        <f>+HYPERLINK("http://trademark.i-assist.jp/data/china/image_1901th/79172207.pdf", "79172207")</f>
        <v>79172207</v>
      </c>
      <c r="F2506" s="10" t="s">
        <v>6981</v>
      </c>
      <c r="G2506" s="10" t="s">
        <v>6598</v>
      </c>
      <c r="H2506" s="10" t="s">
        <v>6982</v>
      </c>
      <c r="I2506" s="10" t="s">
        <v>6671</v>
      </c>
    </row>
    <row r="2507" spans="1:9" x14ac:dyDescent="0.15">
      <c r="A2507" s="9">
        <v>2506</v>
      </c>
      <c r="B2507" s="10" t="s">
        <v>9</v>
      </c>
      <c r="C2507" s="10" t="s">
        <v>164</v>
      </c>
      <c r="D2507" s="10" t="s">
        <v>165</v>
      </c>
      <c r="E2507" s="11" t="str">
        <f>+HYPERLINK("http://trademark.i-assist.jp/data/china/image_1901th/79172282.pdf", "79172282")</f>
        <v>79172282</v>
      </c>
      <c r="F2507" s="10" t="s">
        <v>6983</v>
      </c>
      <c r="G2507" s="10" t="s">
        <v>6984</v>
      </c>
      <c r="H2507" s="10" t="s">
        <v>6985</v>
      </c>
      <c r="I2507" s="10" t="s">
        <v>6671</v>
      </c>
    </row>
    <row r="2508" spans="1:9" x14ac:dyDescent="0.15">
      <c r="A2508" s="9">
        <v>2507</v>
      </c>
      <c r="B2508" s="10" t="s">
        <v>9</v>
      </c>
      <c r="C2508" s="10" t="s">
        <v>164</v>
      </c>
      <c r="D2508" s="10" t="s">
        <v>165</v>
      </c>
      <c r="E2508" s="11" t="str">
        <f>+HYPERLINK("http://trademark.i-assist.jp/data/china/image_1901th/79172358.pdf", "79172358")</f>
        <v>79172358</v>
      </c>
      <c r="F2508" s="10" t="s">
        <v>6986</v>
      </c>
      <c r="G2508" s="10" t="s">
        <v>6987</v>
      </c>
      <c r="H2508" s="10" t="s">
        <v>6988</v>
      </c>
      <c r="I2508" s="10" t="s">
        <v>6671</v>
      </c>
    </row>
    <row r="2509" spans="1:9" x14ac:dyDescent="0.15">
      <c r="A2509" s="9">
        <v>2508</v>
      </c>
      <c r="B2509" s="10" t="s">
        <v>9</v>
      </c>
      <c r="C2509" s="10" t="s">
        <v>164</v>
      </c>
      <c r="D2509" s="10" t="s">
        <v>165</v>
      </c>
      <c r="E2509" s="11" t="str">
        <f>+HYPERLINK("http://trademark.i-assist.jp/data/china/image_1901th/79172933.pdf", "79172933")</f>
        <v>79172933</v>
      </c>
      <c r="F2509" s="10" t="s">
        <v>6989</v>
      </c>
      <c r="G2509" s="10" t="s">
        <v>6990</v>
      </c>
      <c r="H2509" s="10" t="s">
        <v>6991</v>
      </c>
      <c r="I2509" s="10" t="s">
        <v>6671</v>
      </c>
    </row>
    <row r="2510" spans="1:9" x14ac:dyDescent="0.15">
      <c r="A2510" s="9">
        <v>2509</v>
      </c>
      <c r="B2510" s="10" t="s">
        <v>9</v>
      </c>
      <c r="C2510" s="10" t="s">
        <v>164</v>
      </c>
      <c r="D2510" s="10" t="s">
        <v>165</v>
      </c>
      <c r="E2510" s="11" t="str">
        <f>+HYPERLINK("http://trademark.i-assist.jp/data/china/image_1901th/79173099.pdf", "79173099")</f>
        <v>79173099</v>
      </c>
      <c r="F2510" s="10" t="s">
        <v>6992</v>
      </c>
      <c r="G2510" s="10" t="s">
        <v>6993</v>
      </c>
      <c r="H2510" s="10" t="s">
        <v>6994</v>
      </c>
      <c r="I2510" s="10" t="s">
        <v>6671</v>
      </c>
    </row>
    <row r="2511" spans="1:9" x14ac:dyDescent="0.15">
      <c r="A2511" s="9">
        <v>2510</v>
      </c>
      <c r="B2511" s="10" t="s">
        <v>9</v>
      </c>
      <c r="C2511" s="10" t="s">
        <v>164</v>
      </c>
      <c r="D2511" s="10" t="s">
        <v>165</v>
      </c>
      <c r="E2511" s="11" t="str">
        <f>+HYPERLINK("http://trademark.i-assist.jp/data/china/image_1901th/79173220.pdf", "79173220")</f>
        <v>79173220</v>
      </c>
      <c r="F2511" s="10" t="s">
        <v>12</v>
      </c>
      <c r="G2511" s="10" t="s">
        <v>6995</v>
      </c>
      <c r="H2511" s="10" t="s">
        <v>19</v>
      </c>
      <c r="I2511" s="10" t="s">
        <v>19</v>
      </c>
    </row>
    <row r="2512" spans="1:9" x14ac:dyDescent="0.15">
      <c r="A2512" s="9">
        <v>2511</v>
      </c>
      <c r="B2512" s="10" t="s">
        <v>9</v>
      </c>
      <c r="C2512" s="10" t="s">
        <v>164</v>
      </c>
      <c r="D2512" s="10" t="s">
        <v>165</v>
      </c>
      <c r="E2512" s="11" t="str">
        <f>+HYPERLINK("http://trademark.i-assist.jp/data/china/image_1901th/79173288.pdf", "79173288")</f>
        <v>79173288</v>
      </c>
      <c r="F2512" s="10" t="s">
        <v>6996</v>
      </c>
      <c r="G2512" s="10" t="s">
        <v>6997</v>
      </c>
      <c r="H2512" s="10" t="s">
        <v>6998</v>
      </c>
      <c r="I2512" s="10" t="s">
        <v>6671</v>
      </c>
    </row>
    <row r="2513" spans="1:9" x14ac:dyDescent="0.15">
      <c r="A2513" s="9">
        <v>2512</v>
      </c>
      <c r="B2513" s="10" t="s">
        <v>9</v>
      </c>
      <c r="C2513" s="10" t="s">
        <v>164</v>
      </c>
      <c r="D2513" s="10" t="s">
        <v>165</v>
      </c>
      <c r="E2513" s="11" t="str">
        <f>+HYPERLINK("http://trademark.i-assist.jp/data/china/image_1901th/79173479.pdf", "79173479")</f>
        <v>79173479</v>
      </c>
      <c r="F2513" s="10" t="s">
        <v>6999</v>
      </c>
      <c r="G2513" s="10" t="s">
        <v>7000</v>
      </c>
      <c r="H2513" s="10" t="s">
        <v>7001</v>
      </c>
      <c r="I2513" s="10" t="s">
        <v>6671</v>
      </c>
    </row>
    <row r="2514" spans="1:9" x14ac:dyDescent="0.15">
      <c r="A2514" s="9">
        <v>2513</v>
      </c>
      <c r="B2514" s="10" t="s">
        <v>9</v>
      </c>
      <c r="C2514" s="10" t="s">
        <v>164</v>
      </c>
      <c r="D2514" s="10" t="s">
        <v>165</v>
      </c>
      <c r="E2514" s="11" t="str">
        <f>+HYPERLINK("http://trademark.i-assist.jp/data/china/image_1901th/79173550.pdf", "79173550")</f>
        <v>79173550</v>
      </c>
      <c r="F2514" s="10" t="s">
        <v>7002</v>
      </c>
      <c r="G2514" s="10" t="s">
        <v>7003</v>
      </c>
      <c r="H2514" s="10" t="s">
        <v>7004</v>
      </c>
      <c r="I2514" s="10" t="s">
        <v>6671</v>
      </c>
    </row>
    <row r="2515" spans="1:9" x14ac:dyDescent="0.15">
      <c r="A2515" s="9">
        <v>2514</v>
      </c>
      <c r="B2515" s="10" t="s">
        <v>9</v>
      </c>
      <c r="C2515" s="10" t="s">
        <v>164</v>
      </c>
      <c r="D2515" s="10" t="s">
        <v>165</v>
      </c>
      <c r="E2515" s="11" t="str">
        <f>+HYPERLINK("http://trademark.i-assist.jp/data/china/image_1901th/79173649.pdf", "79173649")</f>
        <v>79173649</v>
      </c>
      <c r="F2515" s="10" t="s">
        <v>7005</v>
      </c>
      <c r="G2515" s="10" t="s">
        <v>7006</v>
      </c>
      <c r="H2515" s="10" t="s">
        <v>7007</v>
      </c>
      <c r="I2515" s="10" t="s">
        <v>6671</v>
      </c>
    </row>
    <row r="2516" spans="1:9" x14ac:dyDescent="0.15">
      <c r="A2516" s="9">
        <v>2515</v>
      </c>
      <c r="B2516" s="10" t="s">
        <v>9</v>
      </c>
      <c r="C2516" s="10" t="s">
        <v>164</v>
      </c>
      <c r="D2516" s="10" t="s">
        <v>165</v>
      </c>
      <c r="E2516" s="11" t="str">
        <f>+HYPERLINK("http://trademark.i-assist.jp/data/china/image_1901th/79173853.pdf", "79173853")</f>
        <v>79173853</v>
      </c>
      <c r="F2516" s="10" t="s">
        <v>7008</v>
      </c>
      <c r="G2516" s="10" t="s">
        <v>139</v>
      </c>
      <c r="H2516" s="10" t="s">
        <v>7009</v>
      </c>
      <c r="I2516" s="10" t="s">
        <v>6671</v>
      </c>
    </row>
    <row r="2517" spans="1:9" x14ac:dyDescent="0.15">
      <c r="A2517" s="9">
        <v>2516</v>
      </c>
      <c r="B2517" s="10" t="s">
        <v>9</v>
      </c>
      <c r="C2517" s="10" t="s">
        <v>164</v>
      </c>
      <c r="D2517" s="10" t="s">
        <v>165</v>
      </c>
      <c r="E2517" s="11" t="str">
        <f>+HYPERLINK("http://trademark.i-assist.jp/data/china/image_1901th/79174286.pdf", "79174286")</f>
        <v>79174286</v>
      </c>
      <c r="F2517" s="10" t="s">
        <v>7010</v>
      </c>
      <c r="G2517" s="10" t="s">
        <v>2885</v>
      </c>
      <c r="H2517" s="10" t="s">
        <v>7011</v>
      </c>
      <c r="I2517" s="10" t="s">
        <v>6671</v>
      </c>
    </row>
    <row r="2518" spans="1:9" x14ac:dyDescent="0.15">
      <c r="A2518" s="9">
        <v>2517</v>
      </c>
      <c r="B2518" s="10" t="s">
        <v>9</v>
      </c>
      <c r="C2518" s="10" t="s">
        <v>164</v>
      </c>
      <c r="D2518" s="10" t="s">
        <v>165</v>
      </c>
      <c r="E2518" s="11" t="str">
        <f>+HYPERLINK("http://trademark.i-assist.jp/data/china/image_1901th/79174565.pdf", "79174565")</f>
        <v>79174565</v>
      </c>
      <c r="F2518" s="10" t="s">
        <v>7012</v>
      </c>
      <c r="G2518" s="10" t="s">
        <v>6212</v>
      </c>
      <c r="H2518" s="10" t="s">
        <v>7013</v>
      </c>
      <c r="I2518" s="10" t="s">
        <v>6671</v>
      </c>
    </row>
    <row r="2519" spans="1:9" x14ac:dyDescent="0.15">
      <c r="A2519" s="9">
        <v>2518</v>
      </c>
      <c r="B2519" s="10" t="s">
        <v>9</v>
      </c>
      <c r="C2519" s="10" t="s">
        <v>164</v>
      </c>
      <c r="D2519" s="10" t="s">
        <v>165</v>
      </c>
      <c r="E2519" s="11" t="str">
        <f>+HYPERLINK("http://trademark.i-assist.jp/data/china/image_1901th/79174940.pdf", "79174940")</f>
        <v>79174940</v>
      </c>
      <c r="F2519" s="10" t="s">
        <v>7014</v>
      </c>
      <c r="G2519" s="10" t="s">
        <v>7015</v>
      </c>
      <c r="H2519" s="10" t="s">
        <v>7016</v>
      </c>
      <c r="I2519" s="10" t="s">
        <v>6671</v>
      </c>
    </row>
    <row r="2520" spans="1:9" x14ac:dyDescent="0.15">
      <c r="A2520" s="9">
        <v>2519</v>
      </c>
      <c r="B2520" s="10" t="s">
        <v>9</v>
      </c>
      <c r="C2520" s="10" t="s">
        <v>164</v>
      </c>
      <c r="D2520" s="10" t="s">
        <v>165</v>
      </c>
      <c r="E2520" s="11" t="str">
        <f>+HYPERLINK("http://trademark.i-assist.jp/data/china/image_1901th/79175006.pdf", "79175006")</f>
        <v>79175006</v>
      </c>
      <c r="F2520" s="10" t="s">
        <v>7017</v>
      </c>
      <c r="G2520" s="10" t="s">
        <v>5802</v>
      </c>
      <c r="H2520" s="10" t="s">
        <v>7018</v>
      </c>
      <c r="I2520" s="10" t="s">
        <v>6671</v>
      </c>
    </row>
    <row r="2521" spans="1:9" x14ac:dyDescent="0.15">
      <c r="A2521" s="9">
        <v>2520</v>
      </c>
      <c r="B2521" s="10" t="s">
        <v>9</v>
      </c>
      <c r="C2521" s="10" t="s">
        <v>164</v>
      </c>
      <c r="D2521" s="10" t="s">
        <v>165</v>
      </c>
      <c r="E2521" s="11" t="str">
        <f>+HYPERLINK("http://trademark.i-assist.jp/data/china/image_1901th/79175168.pdf", "79175168")</f>
        <v>79175168</v>
      </c>
      <c r="F2521" s="10" t="s">
        <v>7019</v>
      </c>
      <c r="G2521" s="10" t="s">
        <v>7020</v>
      </c>
      <c r="H2521" s="10" t="s">
        <v>7021</v>
      </c>
      <c r="I2521" s="10" t="s">
        <v>6671</v>
      </c>
    </row>
    <row r="2522" spans="1:9" x14ac:dyDescent="0.15">
      <c r="A2522" s="9">
        <v>2521</v>
      </c>
      <c r="B2522" s="10" t="s">
        <v>9</v>
      </c>
      <c r="C2522" s="10" t="s">
        <v>164</v>
      </c>
      <c r="D2522" s="10" t="s">
        <v>165</v>
      </c>
      <c r="E2522" s="11" t="str">
        <f>+HYPERLINK("http://trademark.i-assist.jp/data/china/image_1901th/79175297.pdf", "79175297")</f>
        <v>79175297</v>
      </c>
      <c r="F2522" s="10" t="s">
        <v>7022</v>
      </c>
      <c r="G2522" s="10" t="s">
        <v>6901</v>
      </c>
      <c r="H2522" s="10" t="s">
        <v>7023</v>
      </c>
      <c r="I2522" s="10" t="s">
        <v>6671</v>
      </c>
    </row>
    <row r="2523" spans="1:9" x14ac:dyDescent="0.15">
      <c r="A2523" s="9">
        <v>2522</v>
      </c>
      <c r="B2523" s="10" t="s">
        <v>9</v>
      </c>
      <c r="C2523" s="10" t="s">
        <v>164</v>
      </c>
      <c r="D2523" s="10" t="s">
        <v>165</v>
      </c>
      <c r="E2523" s="11" t="str">
        <f>+HYPERLINK("http://trademark.i-assist.jp/data/china/image_1901th/79175350.pdf", "79175350")</f>
        <v>79175350</v>
      </c>
      <c r="F2523" s="10" t="s">
        <v>7024</v>
      </c>
      <c r="G2523" s="10" t="s">
        <v>6947</v>
      </c>
      <c r="H2523" s="10" t="s">
        <v>7025</v>
      </c>
      <c r="I2523" s="10" t="s">
        <v>6671</v>
      </c>
    </row>
    <row r="2524" spans="1:9" x14ac:dyDescent="0.15">
      <c r="A2524" s="9">
        <v>2523</v>
      </c>
      <c r="B2524" s="10" t="s">
        <v>9</v>
      </c>
      <c r="C2524" s="10" t="s">
        <v>164</v>
      </c>
      <c r="D2524" s="10" t="s">
        <v>165</v>
      </c>
      <c r="E2524" s="11" t="str">
        <f>+HYPERLINK("http://trademark.i-assist.jp/data/china/image_1901th/79175589.pdf", "79175589")</f>
        <v>79175589</v>
      </c>
      <c r="F2524" s="10" t="s">
        <v>7026</v>
      </c>
      <c r="G2524" s="10" t="s">
        <v>7027</v>
      </c>
      <c r="H2524" s="10" t="s">
        <v>7028</v>
      </c>
      <c r="I2524" s="10" t="s">
        <v>6671</v>
      </c>
    </row>
    <row r="2525" spans="1:9" x14ac:dyDescent="0.15">
      <c r="A2525" s="9">
        <v>2524</v>
      </c>
      <c r="B2525" s="10" t="s">
        <v>9</v>
      </c>
      <c r="C2525" s="10" t="s">
        <v>164</v>
      </c>
      <c r="D2525" s="10" t="s">
        <v>165</v>
      </c>
      <c r="E2525" s="11" t="str">
        <f>+HYPERLINK("http://trademark.i-assist.jp/data/china/image_1901th/79175872.pdf", "79175872")</f>
        <v>79175872</v>
      </c>
      <c r="F2525" s="10" t="s">
        <v>7029</v>
      </c>
      <c r="G2525" s="10" t="s">
        <v>7030</v>
      </c>
      <c r="H2525" s="10" t="s">
        <v>7031</v>
      </c>
      <c r="I2525" s="10" t="s">
        <v>6671</v>
      </c>
    </row>
    <row r="2526" spans="1:9" x14ac:dyDescent="0.15">
      <c r="A2526" s="9">
        <v>2525</v>
      </c>
      <c r="B2526" s="10" t="s">
        <v>9</v>
      </c>
      <c r="C2526" s="10" t="s">
        <v>164</v>
      </c>
      <c r="D2526" s="10" t="s">
        <v>165</v>
      </c>
      <c r="E2526" s="11" t="str">
        <f>+HYPERLINK("http://trademark.i-assist.jp/data/china/image_1901th/79176209.pdf", "79176209")</f>
        <v>79176209</v>
      </c>
      <c r="F2526" s="10" t="s">
        <v>7032</v>
      </c>
      <c r="G2526" s="10" t="s">
        <v>7033</v>
      </c>
      <c r="H2526" s="10" t="s">
        <v>7034</v>
      </c>
      <c r="I2526" s="10" t="s">
        <v>6671</v>
      </c>
    </row>
    <row r="2527" spans="1:9" x14ac:dyDescent="0.15">
      <c r="A2527" s="9">
        <v>2526</v>
      </c>
      <c r="B2527" s="10" t="s">
        <v>9</v>
      </c>
      <c r="C2527" s="10" t="s">
        <v>164</v>
      </c>
      <c r="D2527" s="10" t="s">
        <v>165</v>
      </c>
      <c r="E2527" s="11" t="str">
        <f>+HYPERLINK("http://trademark.i-assist.jp/data/china/image_1901th/79176244.pdf", "79176244")</f>
        <v>79176244</v>
      </c>
      <c r="F2527" s="10" t="s">
        <v>7035</v>
      </c>
      <c r="G2527" s="10" t="s">
        <v>4201</v>
      </c>
      <c r="H2527" s="10" t="s">
        <v>7036</v>
      </c>
      <c r="I2527" s="10" t="s">
        <v>6671</v>
      </c>
    </row>
    <row r="2528" spans="1:9" x14ac:dyDescent="0.15">
      <c r="A2528" s="9">
        <v>2527</v>
      </c>
      <c r="B2528" s="10" t="s">
        <v>9</v>
      </c>
      <c r="C2528" s="10" t="s">
        <v>164</v>
      </c>
      <c r="D2528" s="10" t="s">
        <v>165</v>
      </c>
      <c r="E2528" s="11" t="str">
        <f>+HYPERLINK("http://trademark.i-assist.jp/data/china/image_1901th/79176406.pdf", "79176406")</f>
        <v>79176406</v>
      </c>
      <c r="F2528" s="10" t="s">
        <v>7037</v>
      </c>
      <c r="G2528" s="10" t="s">
        <v>7038</v>
      </c>
      <c r="H2528" s="10" t="s">
        <v>7039</v>
      </c>
      <c r="I2528" s="10" t="s">
        <v>6671</v>
      </c>
    </row>
    <row r="2529" spans="1:9" x14ac:dyDescent="0.15">
      <c r="A2529" s="9">
        <v>2528</v>
      </c>
      <c r="B2529" s="10" t="s">
        <v>9</v>
      </c>
      <c r="C2529" s="10" t="s">
        <v>164</v>
      </c>
      <c r="D2529" s="10" t="s">
        <v>165</v>
      </c>
      <c r="E2529" s="11" t="str">
        <f>+HYPERLINK("http://trademark.i-assist.jp/data/china/image_1901th/79176667.pdf", "79176667")</f>
        <v>79176667</v>
      </c>
      <c r="F2529" s="10" t="s">
        <v>7040</v>
      </c>
      <c r="G2529" s="10" t="s">
        <v>7041</v>
      </c>
      <c r="H2529" s="10" t="s">
        <v>7042</v>
      </c>
      <c r="I2529" s="10" t="s">
        <v>6671</v>
      </c>
    </row>
    <row r="2530" spans="1:9" x14ac:dyDescent="0.15">
      <c r="A2530" s="9">
        <v>2529</v>
      </c>
      <c r="B2530" s="10" t="s">
        <v>9</v>
      </c>
      <c r="C2530" s="10" t="s">
        <v>164</v>
      </c>
      <c r="D2530" s="10" t="s">
        <v>165</v>
      </c>
      <c r="E2530" s="11" t="str">
        <f>+HYPERLINK("http://trademark.i-assist.jp/data/china/image_1901th/79176690.pdf", "79176690")</f>
        <v>79176690</v>
      </c>
      <c r="F2530" s="10" t="s">
        <v>7043</v>
      </c>
      <c r="G2530" s="10" t="s">
        <v>6926</v>
      </c>
      <c r="H2530" s="10" t="s">
        <v>7044</v>
      </c>
      <c r="I2530" s="10" t="s">
        <v>6671</v>
      </c>
    </row>
    <row r="2531" spans="1:9" x14ac:dyDescent="0.15">
      <c r="A2531" s="9">
        <v>2530</v>
      </c>
      <c r="B2531" s="10" t="s">
        <v>9</v>
      </c>
      <c r="C2531" s="10" t="s">
        <v>164</v>
      </c>
      <c r="D2531" s="10" t="s">
        <v>165</v>
      </c>
      <c r="E2531" s="11" t="str">
        <f>+HYPERLINK("http://trademark.i-assist.jp/data/china/image_1901th/79176790.pdf", "79176790")</f>
        <v>79176790</v>
      </c>
      <c r="F2531" s="10" t="s">
        <v>7045</v>
      </c>
      <c r="G2531" s="10" t="s">
        <v>6859</v>
      </c>
      <c r="H2531" s="10" t="s">
        <v>7046</v>
      </c>
      <c r="I2531" s="10" t="s">
        <v>6671</v>
      </c>
    </row>
    <row r="2532" spans="1:9" x14ac:dyDescent="0.15">
      <c r="A2532" s="9">
        <v>2531</v>
      </c>
      <c r="B2532" s="10" t="s">
        <v>9</v>
      </c>
      <c r="C2532" s="10" t="s">
        <v>164</v>
      </c>
      <c r="D2532" s="10" t="s">
        <v>165</v>
      </c>
      <c r="E2532" s="11" t="str">
        <f>+HYPERLINK("http://trademark.i-assist.jp/data/china/image_1901th/79176812.pdf", "79176812")</f>
        <v>79176812</v>
      </c>
      <c r="F2532" s="10" t="s">
        <v>7047</v>
      </c>
      <c r="G2532" s="10" t="s">
        <v>6212</v>
      </c>
      <c r="H2532" s="10" t="s">
        <v>7048</v>
      </c>
      <c r="I2532" s="10" t="s">
        <v>6671</v>
      </c>
    </row>
    <row r="2533" spans="1:9" x14ac:dyDescent="0.15">
      <c r="A2533" s="9">
        <v>2532</v>
      </c>
      <c r="B2533" s="10" t="s">
        <v>9</v>
      </c>
      <c r="C2533" s="10" t="s">
        <v>164</v>
      </c>
      <c r="D2533" s="10" t="s">
        <v>165</v>
      </c>
      <c r="E2533" s="11" t="str">
        <f>+HYPERLINK("http://trademark.i-assist.jp/data/china/image_1901th/79177117.pdf", "79177117")</f>
        <v>79177117</v>
      </c>
      <c r="F2533" s="10" t="s">
        <v>7049</v>
      </c>
      <c r="G2533" s="10" t="s">
        <v>6824</v>
      </c>
      <c r="H2533" s="10" t="s">
        <v>7050</v>
      </c>
      <c r="I2533" s="10" t="s">
        <v>6671</v>
      </c>
    </row>
    <row r="2534" spans="1:9" x14ac:dyDescent="0.15">
      <c r="A2534" s="9">
        <v>2533</v>
      </c>
      <c r="B2534" s="10" t="s">
        <v>9</v>
      </c>
      <c r="C2534" s="10" t="s">
        <v>164</v>
      </c>
      <c r="D2534" s="10" t="s">
        <v>165</v>
      </c>
      <c r="E2534" s="11" t="str">
        <f>+HYPERLINK("http://trademark.i-assist.jp/data/china/image_1901th/79177241.pdf", "79177241")</f>
        <v>79177241</v>
      </c>
      <c r="F2534" s="10" t="s">
        <v>7051</v>
      </c>
      <c r="G2534" s="10" t="s">
        <v>7052</v>
      </c>
      <c r="H2534" s="10" t="s">
        <v>7053</v>
      </c>
      <c r="I2534" s="10" t="s">
        <v>6671</v>
      </c>
    </row>
    <row r="2535" spans="1:9" x14ac:dyDescent="0.15">
      <c r="A2535" s="9">
        <v>2534</v>
      </c>
      <c r="B2535" s="10" t="s">
        <v>9</v>
      </c>
      <c r="C2535" s="10" t="s">
        <v>164</v>
      </c>
      <c r="D2535" s="10" t="s">
        <v>165</v>
      </c>
      <c r="E2535" s="11" t="str">
        <f>+HYPERLINK("http://trademark.i-assist.jp/data/china/image_1901th/79177260.pdf", "79177260")</f>
        <v>79177260</v>
      </c>
      <c r="F2535" s="10" t="s">
        <v>7054</v>
      </c>
      <c r="G2535" s="10" t="s">
        <v>6757</v>
      </c>
      <c r="H2535" s="10" t="s">
        <v>7055</v>
      </c>
      <c r="I2535" s="10" t="s">
        <v>6671</v>
      </c>
    </row>
    <row r="2536" spans="1:9" x14ac:dyDescent="0.15">
      <c r="A2536" s="9">
        <v>2535</v>
      </c>
      <c r="B2536" s="10" t="s">
        <v>9</v>
      </c>
      <c r="C2536" s="10" t="s">
        <v>164</v>
      </c>
      <c r="D2536" s="10" t="s">
        <v>165</v>
      </c>
      <c r="E2536" s="11" t="str">
        <f>+HYPERLINK("http://trademark.i-assist.jp/data/china/image_1901th/79177379.pdf", "79177379")</f>
        <v>79177379</v>
      </c>
      <c r="F2536" s="10" t="s">
        <v>7056</v>
      </c>
      <c r="G2536" s="10" t="s">
        <v>7057</v>
      </c>
      <c r="H2536" s="10" t="s">
        <v>7058</v>
      </c>
      <c r="I2536" s="10" t="s">
        <v>6671</v>
      </c>
    </row>
    <row r="2537" spans="1:9" x14ac:dyDescent="0.15">
      <c r="A2537" s="9">
        <v>2536</v>
      </c>
      <c r="B2537" s="10" t="s">
        <v>9</v>
      </c>
      <c r="C2537" s="10" t="s">
        <v>164</v>
      </c>
      <c r="D2537" s="10" t="s">
        <v>165</v>
      </c>
      <c r="E2537" s="11" t="str">
        <f>+HYPERLINK("http://trademark.i-assist.jp/data/china/image_1901th/79177792.pdf", "79177792")</f>
        <v>79177792</v>
      </c>
      <c r="F2537" s="10" t="s">
        <v>7059</v>
      </c>
      <c r="G2537" s="10" t="s">
        <v>7060</v>
      </c>
      <c r="H2537" s="10" t="s">
        <v>7061</v>
      </c>
      <c r="I2537" s="10" t="s">
        <v>6671</v>
      </c>
    </row>
    <row r="2538" spans="1:9" x14ac:dyDescent="0.15">
      <c r="A2538" s="9">
        <v>2537</v>
      </c>
      <c r="B2538" s="10" t="s">
        <v>9</v>
      </c>
      <c r="C2538" s="10" t="s">
        <v>164</v>
      </c>
      <c r="D2538" s="10" t="s">
        <v>165</v>
      </c>
      <c r="E2538" s="11" t="str">
        <f>+HYPERLINK("http://trademark.i-assist.jp/data/china/image_1901th/79178075.pdf", "79178075")</f>
        <v>79178075</v>
      </c>
      <c r="F2538" s="10" t="s">
        <v>7062</v>
      </c>
      <c r="G2538" s="10" t="s">
        <v>7063</v>
      </c>
      <c r="H2538" s="10" t="s">
        <v>7064</v>
      </c>
      <c r="I2538" s="10" t="s">
        <v>6671</v>
      </c>
    </row>
    <row r="2539" spans="1:9" x14ac:dyDescent="0.15">
      <c r="A2539" s="9">
        <v>2538</v>
      </c>
      <c r="B2539" s="10" t="s">
        <v>9</v>
      </c>
      <c r="C2539" s="10" t="s">
        <v>164</v>
      </c>
      <c r="D2539" s="10" t="s">
        <v>165</v>
      </c>
      <c r="E2539" s="11" t="str">
        <f>+HYPERLINK("http://trademark.i-assist.jp/data/china/image_1901th/79178431.pdf", "79178431")</f>
        <v>79178431</v>
      </c>
      <c r="F2539" s="10" t="s">
        <v>12</v>
      </c>
      <c r="G2539" s="10" t="s">
        <v>7065</v>
      </c>
      <c r="H2539" s="10" t="s">
        <v>7066</v>
      </c>
      <c r="I2539" s="10" t="s">
        <v>6671</v>
      </c>
    </row>
    <row r="2540" spans="1:9" x14ac:dyDescent="0.15">
      <c r="A2540" s="9">
        <v>2539</v>
      </c>
      <c r="B2540" s="10" t="s">
        <v>9</v>
      </c>
      <c r="C2540" s="10" t="s">
        <v>164</v>
      </c>
      <c r="D2540" s="10" t="s">
        <v>165</v>
      </c>
      <c r="E2540" s="11" t="str">
        <f>+HYPERLINK("http://trademark.i-assist.jp/data/china/image_1901th/79178774.pdf", "79178774")</f>
        <v>79178774</v>
      </c>
      <c r="F2540" s="10" t="s">
        <v>6731</v>
      </c>
      <c r="G2540" s="10" t="s">
        <v>6732</v>
      </c>
      <c r="H2540" s="10" t="s">
        <v>7067</v>
      </c>
      <c r="I2540" s="10" t="s">
        <v>6671</v>
      </c>
    </row>
    <row r="2541" spans="1:9" x14ac:dyDescent="0.15">
      <c r="A2541" s="9">
        <v>2540</v>
      </c>
      <c r="B2541" s="10" t="s">
        <v>9</v>
      </c>
      <c r="C2541" s="10" t="s">
        <v>164</v>
      </c>
      <c r="D2541" s="10" t="s">
        <v>165</v>
      </c>
      <c r="E2541" s="11" t="str">
        <f>+HYPERLINK("http://trademark.i-assist.jp/data/china/image_1901th/79178794.pdf", "79178794")</f>
        <v>79178794</v>
      </c>
      <c r="F2541" s="10" t="s">
        <v>7068</v>
      </c>
      <c r="G2541" s="10" t="s">
        <v>7069</v>
      </c>
      <c r="H2541" s="10" t="s">
        <v>7070</v>
      </c>
      <c r="I2541" s="10" t="s">
        <v>6671</v>
      </c>
    </row>
    <row r="2542" spans="1:9" x14ac:dyDescent="0.15">
      <c r="A2542" s="9">
        <v>2541</v>
      </c>
      <c r="B2542" s="10" t="s">
        <v>9</v>
      </c>
      <c r="C2542" s="10" t="s">
        <v>164</v>
      </c>
      <c r="D2542" s="10" t="s">
        <v>165</v>
      </c>
      <c r="E2542" s="11" t="str">
        <f>+HYPERLINK("http://trademark.i-assist.jp/data/china/image_1901th/79178894.pdf", "79178894")</f>
        <v>79178894</v>
      </c>
      <c r="F2542" s="10" t="s">
        <v>7071</v>
      </c>
      <c r="G2542" s="10" t="s">
        <v>6720</v>
      </c>
      <c r="H2542" s="10" t="s">
        <v>7072</v>
      </c>
      <c r="I2542" s="10" t="s">
        <v>6671</v>
      </c>
    </row>
    <row r="2543" spans="1:9" x14ac:dyDescent="0.15">
      <c r="A2543" s="9">
        <v>2542</v>
      </c>
      <c r="B2543" s="10" t="s">
        <v>9</v>
      </c>
      <c r="C2543" s="10" t="s">
        <v>164</v>
      </c>
      <c r="D2543" s="10" t="s">
        <v>165</v>
      </c>
      <c r="E2543" s="11" t="str">
        <f>+HYPERLINK("http://trademark.i-assist.jp/data/china/image_1901th/79179033.pdf", "79179033")</f>
        <v>79179033</v>
      </c>
      <c r="F2543" s="10" t="s">
        <v>7073</v>
      </c>
      <c r="G2543" s="10" t="s">
        <v>7074</v>
      </c>
      <c r="H2543" s="10" t="s">
        <v>7075</v>
      </c>
      <c r="I2543" s="10" t="s">
        <v>6671</v>
      </c>
    </row>
    <row r="2544" spans="1:9" x14ac:dyDescent="0.15">
      <c r="A2544" s="9">
        <v>2543</v>
      </c>
      <c r="B2544" s="10" t="s">
        <v>9</v>
      </c>
      <c r="C2544" s="10" t="s">
        <v>164</v>
      </c>
      <c r="D2544" s="10" t="s">
        <v>165</v>
      </c>
      <c r="E2544" s="11" t="str">
        <f>+HYPERLINK("http://trademark.i-assist.jp/data/china/image_1901th/79179230.pdf", "79179230")</f>
        <v>79179230</v>
      </c>
      <c r="F2544" s="10" t="s">
        <v>7076</v>
      </c>
      <c r="G2544" s="10" t="s">
        <v>6627</v>
      </c>
      <c r="H2544" s="10" t="s">
        <v>7077</v>
      </c>
      <c r="I2544" s="10" t="s">
        <v>6671</v>
      </c>
    </row>
    <row r="2545" spans="1:9" x14ac:dyDescent="0.15">
      <c r="A2545" s="9">
        <v>2544</v>
      </c>
      <c r="B2545" s="10" t="s">
        <v>9</v>
      </c>
      <c r="C2545" s="10" t="s">
        <v>164</v>
      </c>
      <c r="D2545" s="10" t="s">
        <v>165</v>
      </c>
      <c r="E2545" s="11" t="str">
        <f>+HYPERLINK("http://trademark.i-assist.jp/data/china/image_1901th/79179276.pdf", "79179276")</f>
        <v>79179276</v>
      </c>
      <c r="F2545" s="10" t="s">
        <v>7078</v>
      </c>
      <c r="G2545" s="10" t="s">
        <v>102</v>
      </c>
      <c r="H2545" s="10" t="s">
        <v>7079</v>
      </c>
      <c r="I2545" s="10" t="s">
        <v>6671</v>
      </c>
    </row>
    <row r="2546" spans="1:9" x14ac:dyDescent="0.15">
      <c r="A2546" s="9">
        <v>2545</v>
      </c>
      <c r="B2546" s="10" t="s">
        <v>9</v>
      </c>
      <c r="C2546" s="10" t="s">
        <v>164</v>
      </c>
      <c r="D2546" s="10" t="s">
        <v>165</v>
      </c>
      <c r="E2546" s="11" t="str">
        <f>+HYPERLINK("http://trademark.i-assist.jp/data/china/image_1901th/79179429.pdf", "79179429")</f>
        <v>79179429</v>
      </c>
      <c r="F2546" s="10" t="s">
        <v>7080</v>
      </c>
      <c r="G2546" s="10" t="s">
        <v>7081</v>
      </c>
      <c r="H2546" s="10" t="s">
        <v>7082</v>
      </c>
      <c r="I2546" s="10" t="s">
        <v>6671</v>
      </c>
    </row>
    <row r="2547" spans="1:9" x14ac:dyDescent="0.15">
      <c r="A2547" s="9">
        <v>2546</v>
      </c>
      <c r="B2547" s="10" t="s">
        <v>9</v>
      </c>
      <c r="C2547" s="10" t="s">
        <v>164</v>
      </c>
      <c r="D2547" s="10" t="s">
        <v>165</v>
      </c>
      <c r="E2547" s="11" t="str">
        <f>+HYPERLINK("http://trademark.i-assist.jp/data/china/image_1901th/79179628.pdf", "79179628")</f>
        <v>79179628</v>
      </c>
      <c r="F2547" s="10" t="s">
        <v>12</v>
      </c>
      <c r="G2547" s="10" t="s">
        <v>7083</v>
      </c>
      <c r="H2547" s="10" t="s">
        <v>7084</v>
      </c>
      <c r="I2547" s="10" t="s">
        <v>6671</v>
      </c>
    </row>
    <row r="2548" spans="1:9" x14ac:dyDescent="0.15">
      <c r="A2548" s="9">
        <v>2547</v>
      </c>
      <c r="B2548" s="10" t="s">
        <v>9</v>
      </c>
      <c r="C2548" s="10" t="s">
        <v>164</v>
      </c>
      <c r="D2548" s="10" t="s">
        <v>165</v>
      </c>
      <c r="E2548" s="11" t="str">
        <f>+HYPERLINK("http://trademark.i-assist.jp/data/china/image_1901th/79179756.pdf", "79179756")</f>
        <v>79179756</v>
      </c>
      <c r="F2548" s="10" t="s">
        <v>7085</v>
      </c>
      <c r="G2548" s="10" t="s">
        <v>7086</v>
      </c>
      <c r="H2548" s="10" t="s">
        <v>7087</v>
      </c>
      <c r="I2548" s="10" t="s">
        <v>6671</v>
      </c>
    </row>
    <row r="2549" spans="1:9" x14ac:dyDescent="0.15">
      <c r="A2549" s="9">
        <v>2548</v>
      </c>
      <c r="B2549" s="10" t="s">
        <v>9</v>
      </c>
      <c r="C2549" s="10" t="s">
        <v>164</v>
      </c>
      <c r="D2549" s="10" t="s">
        <v>165</v>
      </c>
      <c r="E2549" s="11" t="str">
        <f>+HYPERLINK("http://trademark.i-assist.jp/data/china/image_1901th/79179963.pdf", "79179963")</f>
        <v>79179963</v>
      </c>
      <c r="F2549" s="10" t="s">
        <v>7088</v>
      </c>
      <c r="G2549" s="10" t="s">
        <v>7089</v>
      </c>
      <c r="H2549" s="10" t="s">
        <v>7090</v>
      </c>
      <c r="I2549" s="10" t="s">
        <v>6671</v>
      </c>
    </row>
    <row r="2550" spans="1:9" x14ac:dyDescent="0.15">
      <c r="A2550" s="9">
        <v>2549</v>
      </c>
      <c r="B2550" s="10" t="s">
        <v>9</v>
      </c>
      <c r="C2550" s="10" t="s">
        <v>164</v>
      </c>
      <c r="D2550" s="10" t="s">
        <v>165</v>
      </c>
      <c r="E2550" s="11" t="str">
        <f>+HYPERLINK("http://trademark.i-assist.jp/data/china/image_1901th/79180320.pdf", "79180320")</f>
        <v>79180320</v>
      </c>
      <c r="F2550" s="10" t="s">
        <v>7091</v>
      </c>
      <c r="G2550" s="10" t="s">
        <v>7092</v>
      </c>
      <c r="H2550" s="10" t="s">
        <v>7093</v>
      </c>
      <c r="I2550" s="10" t="s">
        <v>6671</v>
      </c>
    </row>
    <row r="2551" spans="1:9" x14ac:dyDescent="0.15">
      <c r="A2551" s="9">
        <v>2550</v>
      </c>
      <c r="B2551" s="10" t="s">
        <v>9</v>
      </c>
      <c r="C2551" s="10" t="s">
        <v>164</v>
      </c>
      <c r="D2551" s="10" t="s">
        <v>165</v>
      </c>
      <c r="E2551" s="11" t="str">
        <f>+HYPERLINK("http://trademark.i-assist.jp/data/china/image_1901th/79180453.pdf", "79180453")</f>
        <v>79180453</v>
      </c>
      <c r="F2551" s="10" t="s">
        <v>7094</v>
      </c>
      <c r="G2551" s="10" t="s">
        <v>6757</v>
      </c>
      <c r="H2551" s="10" t="s">
        <v>7095</v>
      </c>
      <c r="I2551" s="10" t="s">
        <v>6671</v>
      </c>
    </row>
    <row r="2552" spans="1:9" x14ac:dyDescent="0.15">
      <c r="A2552" s="9">
        <v>2551</v>
      </c>
      <c r="B2552" s="10" t="s">
        <v>9</v>
      </c>
      <c r="C2552" s="10" t="s">
        <v>164</v>
      </c>
      <c r="D2552" s="10" t="s">
        <v>165</v>
      </c>
      <c r="E2552" s="11" t="str">
        <f>+HYPERLINK("http://trademark.i-assist.jp/data/china/image_1901th/79180534.pdf", "79180534")</f>
        <v>79180534</v>
      </c>
      <c r="F2552" s="10" t="s">
        <v>7096</v>
      </c>
      <c r="G2552" s="10" t="s">
        <v>7097</v>
      </c>
      <c r="H2552" s="10" t="s">
        <v>7098</v>
      </c>
      <c r="I2552" s="10" t="s">
        <v>6671</v>
      </c>
    </row>
    <row r="2553" spans="1:9" x14ac:dyDescent="0.15">
      <c r="A2553" s="9">
        <v>2552</v>
      </c>
      <c r="B2553" s="10" t="s">
        <v>9</v>
      </c>
      <c r="C2553" s="10" t="s">
        <v>164</v>
      </c>
      <c r="D2553" s="10" t="s">
        <v>165</v>
      </c>
      <c r="E2553" s="11" t="str">
        <f>+HYPERLINK("http://trademark.i-assist.jp/data/china/image_1901th/79180695.pdf", "79180695")</f>
        <v>79180695</v>
      </c>
      <c r="F2553" s="10" t="s">
        <v>7099</v>
      </c>
      <c r="G2553" s="10" t="s">
        <v>7041</v>
      </c>
      <c r="H2553" s="10" t="s">
        <v>7100</v>
      </c>
      <c r="I2553" s="10" t="s">
        <v>6671</v>
      </c>
    </row>
    <row r="2554" spans="1:9" x14ac:dyDescent="0.15">
      <c r="A2554" s="9">
        <v>2553</v>
      </c>
      <c r="B2554" s="10" t="s">
        <v>9</v>
      </c>
      <c r="C2554" s="10" t="s">
        <v>164</v>
      </c>
      <c r="D2554" s="10" t="s">
        <v>165</v>
      </c>
      <c r="E2554" s="11" t="str">
        <f>+HYPERLINK("http://trademark.i-assist.jp/data/china/image_1901th/79180747.pdf", "79180747")</f>
        <v>79180747</v>
      </c>
      <c r="F2554" s="10" t="s">
        <v>7101</v>
      </c>
      <c r="G2554" s="10" t="s">
        <v>7102</v>
      </c>
      <c r="H2554" s="10" t="s">
        <v>7103</v>
      </c>
      <c r="I2554" s="10" t="s">
        <v>6671</v>
      </c>
    </row>
    <row r="2555" spans="1:9" x14ac:dyDescent="0.15">
      <c r="A2555" s="9">
        <v>2554</v>
      </c>
      <c r="B2555" s="10" t="s">
        <v>9</v>
      </c>
      <c r="C2555" s="10" t="s">
        <v>164</v>
      </c>
      <c r="D2555" s="10" t="s">
        <v>165</v>
      </c>
      <c r="E2555" s="11" t="str">
        <f>+HYPERLINK("http://trademark.i-assist.jp/data/china/image_1901th/79180997.pdf", "79180997")</f>
        <v>79180997</v>
      </c>
      <c r="F2555" s="10" t="s">
        <v>12</v>
      </c>
      <c r="G2555" s="10" t="s">
        <v>7104</v>
      </c>
      <c r="H2555" s="10" t="s">
        <v>7105</v>
      </c>
      <c r="I2555" s="10" t="s">
        <v>7106</v>
      </c>
    </row>
    <row r="2556" spans="1:9" x14ac:dyDescent="0.15">
      <c r="A2556" s="9">
        <v>2555</v>
      </c>
      <c r="B2556" s="10" t="s">
        <v>9</v>
      </c>
      <c r="C2556" s="10" t="s">
        <v>164</v>
      </c>
      <c r="D2556" s="10" t="s">
        <v>165</v>
      </c>
      <c r="E2556" s="11" t="str">
        <f>+HYPERLINK("http://trademark.i-assist.jp/data/china/image_1901th/79181282.pdf", "79181282")</f>
        <v>79181282</v>
      </c>
      <c r="F2556" s="10" t="s">
        <v>7107</v>
      </c>
      <c r="G2556" s="10" t="s">
        <v>7108</v>
      </c>
      <c r="H2556" s="10" t="s">
        <v>7109</v>
      </c>
      <c r="I2556" s="10" t="s">
        <v>7106</v>
      </c>
    </row>
    <row r="2557" spans="1:9" x14ac:dyDescent="0.15">
      <c r="A2557" s="9">
        <v>2556</v>
      </c>
      <c r="B2557" s="10" t="s">
        <v>9</v>
      </c>
      <c r="C2557" s="10" t="s">
        <v>164</v>
      </c>
      <c r="D2557" s="10" t="s">
        <v>165</v>
      </c>
      <c r="E2557" s="11" t="str">
        <f>+HYPERLINK("http://trademark.i-assist.jp/data/china/image_1901th/79182399.pdf", "79182399")</f>
        <v>79182399</v>
      </c>
      <c r="F2557" s="10" t="s">
        <v>7110</v>
      </c>
      <c r="G2557" s="10" t="s">
        <v>7111</v>
      </c>
      <c r="H2557" s="10" t="s">
        <v>7112</v>
      </c>
      <c r="I2557" s="10" t="s">
        <v>7106</v>
      </c>
    </row>
    <row r="2558" spans="1:9" x14ac:dyDescent="0.15">
      <c r="A2558" s="9">
        <v>2557</v>
      </c>
      <c r="B2558" s="10" t="s">
        <v>9</v>
      </c>
      <c r="C2558" s="10" t="s">
        <v>164</v>
      </c>
      <c r="D2558" s="10" t="s">
        <v>165</v>
      </c>
      <c r="E2558" s="11" t="str">
        <f>+HYPERLINK("http://trademark.i-assist.jp/data/china/image_1901th/79182912.pdf", "79182912")</f>
        <v>79182912</v>
      </c>
      <c r="F2558" s="10" t="s">
        <v>7113</v>
      </c>
      <c r="G2558" s="10" t="s">
        <v>7114</v>
      </c>
      <c r="H2558" s="10" t="s">
        <v>7115</v>
      </c>
      <c r="I2558" s="10" t="s">
        <v>7106</v>
      </c>
    </row>
    <row r="2559" spans="1:9" x14ac:dyDescent="0.15">
      <c r="A2559" s="9">
        <v>2558</v>
      </c>
      <c r="B2559" s="10" t="s">
        <v>9</v>
      </c>
      <c r="C2559" s="10" t="s">
        <v>164</v>
      </c>
      <c r="D2559" s="10" t="s">
        <v>165</v>
      </c>
      <c r="E2559" s="11" t="str">
        <f>+HYPERLINK("http://trademark.i-assist.jp/data/china/image_1901th/79184871.pdf", "79184871")</f>
        <v>79184871</v>
      </c>
      <c r="F2559" s="10" t="s">
        <v>7116</v>
      </c>
      <c r="G2559" s="10" t="s">
        <v>7117</v>
      </c>
      <c r="H2559" s="10" t="s">
        <v>7118</v>
      </c>
      <c r="I2559" s="10" t="s">
        <v>7106</v>
      </c>
    </row>
    <row r="2560" spans="1:9" x14ac:dyDescent="0.15">
      <c r="A2560" s="9">
        <v>2559</v>
      </c>
      <c r="B2560" s="10" t="s">
        <v>9</v>
      </c>
      <c r="C2560" s="10" t="s">
        <v>164</v>
      </c>
      <c r="D2560" s="10" t="s">
        <v>165</v>
      </c>
      <c r="E2560" s="11" t="str">
        <f>+HYPERLINK("http://trademark.i-assist.jp/data/china/image_1901th/79185383.pdf", "79185383")</f>
        <v>79185383</v>
      </c>
      <c r="F2560" s="10" t="s">
        <v>7119</v>
      </c>
      <c r="G2560" s="10" t="s">
        <v>7120</v>
      </c>
      <c r="H2560" s="10" t="s">
        <v>7121</v>
      </c>
      <c r="I2560" s="10" t="s">
        <v>7106</v>
      </c>
    </row>
    <row r="2561" spans="1:9" x14ac:dyDescent="0.15">
      <c r="A2561" s="9">
        <v>2560</v>
      </c>
      <c r="B2561" s="10" t="s">
        <v>9</v>
      </c>
      <c r="C2561" s="10" t="s">
        <v>164</v>
      </c>
      <c r="D2561" s="10" t="s">
        <v>165</v>
      </c>
      <c r="E2561" s="11" t="str">
        <f>+HYPERLINK("http://trademark.i-assist.jp/data/china/image_1901th/79186025.pdf", "79186025")</f>
        <v>79186025</v>
      </c>
      <c r="F2561" s="10" t="s">
        <v>7122</v>
      </c>
      <c r="G2561" s="10" t="s">
        <v>7123</v>
      </c>
      <c r="H2561" s="10" t="s">
        <v>7124</v>
      </c>
      <c r="I2561" s="10" t="s">
        <v>7106</v>
      </c>
    </row>
    <row r="2562" spans="1:9" x14ac:dyDescent="0.15">
      <c r="A2562" s="9">
        <v>2561</v>
      </c>
      <c r="B2562" s="10" t="s">
        <v>9</v>
      </c>
      <c r="C2562" s="10" t="s">
        <v>164</v>
      </c>
      <c r="D2562" s="10" t="s">
        <v>165</v>
      </c>
      <c r="E2562" s="11" t="str">
        <f>+HYPERLINK("http://trademark.i-assist.jp/data/china/image_1901th/79186026.pdf", "79186026")</f>
        <v>79186026</v>
      </c>
      <c r="F2562" s="10" t="s">
        <v>7125</v>
      </c>
      <c r="G2562" s="10" t="s">
        <v>7123</v>
      </c>
      <c r="H2562" s="10" t="s">
        <v>7126</v>
      </c>
      <c r="I2562" s="10" t="s">
        <v>7106</v>
      </c>
    </row>
    <row r="2563" spans="1:9" x14ac:dyDescent="0.15">
      <c r="A2563" s="9">
        <v>2562</v>
      </c>
      <c r="B2563" s="10" t="s">
        <v>9</v>
      </c>
      <c r="C2563" s="10" t="s">
        <v>164</v>
      </c>
      <c r="D2563" s="10" t="s">
        <v>165</v>
      </c>
      <c r="E2563" s="11" t="str">
        <f>+HYPERLINK("http://trademark.i-assist.jp/data/china/image_1901th/79186206.pdf", "79186206")</f>
        <v>79186206</v>
      </c>
      <c r="F2563" s="10" t="s">
        <v>12</v>
      </c>
      <c r="G2563" s="10" t="s">
        <v>7127</v>
      </c>
      <c r="H2563" s="10" t="s">
        <v>7128</v>
      </c>
      <c r="I2563" s="10" t="s">
        <v>7106</v>
      </c>
    </row>
    <row r="2564" spans="1:9" x14ac:dyDescent="0.15">
      <c r="A2564" s="9">
        <v>2563</v>
      </c>
      <c r="B2564" s="10" t="s">
        <v>9</v>
      </c>
      <c r="C2564" s="10" t="s">
        <v>164</v>
      </c>
      <c r="D2564" s="10" t="s">
        <v>165</v>
      </c>
      <c r="E2564" s="11" t="str">
        <f>+HYPERLINK("http://trademark.i-assist.jp/data/china/image_1901th/79187732.pdf", "79187732")</f>
        <v>79187732</v>
      </c>
      <c r="F2564" s="10" t="s">
        <v>7129</v>
      </c>
      <c r="G2564" s="10" t="s">
        <v>7130</v>
      </c>
      <c r="H2564" s="10" t="s">
        <v>7131</v>
      </c>
      <c r="I2564" s="10" t="s">
        <v>7106</v>
      </c>
    </row>
    <row r="2565" spans="1:9" x14ac:dyDescent="0.15">
      <c r="A2565" s="9">
        <v>2564</v>
      </c>
      <c r="B2565" s="10" t="s">
        <v>9</v>
      </c>
      <c r="C2565" s="10" t="s">
        <v>164</v>
      </c>
      <c r="D2565" s="10" t="s">
        <v>165</v>
      </c>
      <c r="E2565" s="11" t="str">
        <f>+HYPERLINK("http://trademark.i-assist.jp/data/china/image_1901th/79188284.pdf", "79188284")</f>
        <v>79188284</v>
      </c>
      <c r="F2565" s="10" t="s">
        <v>7132</v>
      </c>
      <c r="G2565" s="10" t="s">
        <v>7133</v>
      </c>
      <c r="H2565" s="10" t="s">
        <v>7134</v>
      </c>
      <c r="I2565" s="10" t="s">
        <v>7106</v>
      </c>
    </row>
    <row r="2566" spans="1:9" x14ac:dyDescent="0.15">
      <c r="A2566" s="9">
        <v>2565</v>
      </c>
      <c r="B2566" s="10" t="s">
        <v>9</v>
      </c>
      <c r="C2566" s="10" t="s">
        <v>164</v>
      </c>
      <c r="D2566" s="10" t="s">
        <v>165</v>
      </c>
      <c r="E2566" s="11" t="str">
        <f>+HYPERLINK("http://trademark.i-assist.jp/data/china/image_1901th/79189027.pdf", "79189027")</f>
        <v>79189027</v>
      </c>
      <c r="F2566" s="10" t="s">
        <v>7135</v>
      </c>
      <c r="G2566" s="10" t="s">
        <v>7120</v>
      </c>
      <c r="H2566" s="10" t="s">
        <v>7136</v>
      </c>
      <c r="I2566" s="10" t="s">
        <v>7106</v>
      </c>
    </row>
    <row r="2567" spans="1:9" x14ac:dyDescent="0.15">
      <c r="A2567" s="9">
        <v>2566</v>
      </c>
      <c r="B2567" s="10" t="s">
        <v>9</v>
      </c>
      <c r="C2567" s="10" t="s">
        <v>164</v>
      </c>
      <c r="D2567" s="10" t="s">
        <v>165</v>
      </c>
      <c r="E2567" s="11" t="str">
        <f>+HYPERLINK("http://trademark.i-assist.jp/data/china/image_1901th/79190451.pdf", "79190451")</f>
        <v>79190451</v>
      </c>
      <c r="F2567" s="10" t="s">
        <v>7137</v>
      </c>
      <c r="G2567" s="10" t="s">
        <v>7138</v>
      </c>
      <c r="H2567" s="10" t="s">
        <v>7139</v>
      </c>
      <c r="I2567" s="10" t="s">
        <v>7106</v>
      </c>
    </row>
    <row r="2568" spans="1:9" x14ac:dyDescent="0.15">
      <c r="A2568" s="9">
        <v>2567</v>
      </c>
      <c r="B2568" s="10" t="s">
        <v>9</v>
      </c>
      <c r="C2568" s="10" t="s">
        <v>164</v>
      </c>
      <c r="D2568" s="10" t="s">
        <v>165</v>
      </c>
      <c r="E2568" s="11" t="str">
        <f>+HYPERLINK("http://trademark.i-assist.jp/data/china/image_1901th/79192138.pdf", "79192138")</f>
        <v>79192138</v>
      </c>
      <c r="F2568" s="10" t="s">
        <v>7140</v>
      </c>
      <c r="G2568" s="10" t="s">
        <v>7141</v>
      </c>
      <c r="H2568" s="10" t="s">
        <v>7142</v>
      </c>
      <c r="I2568" s="10" t="s">
        <v>7106</v>
      </c>
    </row>
    <row r="2569" spans="1:9" x14ac:dyDescent="0.15">
      <c r="A2569" s="9">
        <v>2568</v>
      </c>
      <c r="B2569" s="10" t="s">
        <v>9</v>
      </c>
      <c r="C2569" s="10" t="s">
        <v>164</v>
      </c>
      <c r="D2569" s="10" t="s">
        <v>165</v>
      </c>
      <c r="E2569" s="11" t="str">
        <f>+HYPERLINK("http://trademark.i-assist.jp/data/china/image_1901th/79194175.pdf", "79194175")</f>
        <v>79194175</v>
      </c>
      <c r="F2569" s="10" t="s">
        <v>7143</v>
      </c>
      <c r="G2569" s="10" t="s">
        <v>7144</v>
      </c>
      <c r="H2569" s="10" t="s">
        <v>7145</v>
      </c>
      <c r="I2569" s="10" t="s">
        <v>7106</v>
      </c>
    </row>
    <row r="2570" spans="1:9" x14ac:dyDescent="0.15">
      <c r="A2570" s="9">
        <v>2569</v>
      </c>
      <c r="B2570" s="10" t="s">
        <v>9</v>
      </c>
      <c r="C2570" s="10" t="s">
        <v>164</v>
      </c>
      <c r="D2570" s="10" t="s">
        <v>165</v>
      </c>
      <c r="E2570" s="11" t="str">
        <f>+HYPERLINK("http://trademark.i-assist.jp/data/china/image_1901th/79196098.pdf", "79196098")</f>
        <v>79196098</v>
      </c>
      <c r="F2570" s="10" t="s">
        <v>12</v>
      </c>
      <c r="G2570" s="10" t="s">
        <v>7146</v>
      </c>
      <c r="H2570" s="10" t="s">
        <v>7147</v>
      </c>
      <c r="I2570" s="10" t="s">
        <v>7106</v>
      </c>
    </row>
    <row r="2571" spans="1:9" x14ac:dyDescent="0.15">
      <c r="A2571" s="9">
        <v>2570</v>
      </c>
      <c r="B2571" s="10" t="s">
        <v>9</v>
      </c>
      <c r="C2571" s="10" t="s">
        <v>164</v>
      </c>
      <c r="D2571" s="10" t="s">
        <v>165</v>
      </c>
      <c r="E2571" s="11" t="str">
        <f>+HYPERLINK("http://trademark.i-assist.jp/data/china/image_1901th/79196169.pdf", "79196169")</f>
        <v>79196169</v>
      </c>
      <c r="F2571" s="10" t="s">
        <v>7148</v>
      </c>
      <c r="G2571" s="10" t="s">
        <v>7123</v>
      </c>
      <c r="H2571" s="10" t="s">
        <v>7149</v>
      </c>
      <c r="I2571" s="10" t="s">
        <v>7106</v>
      </c>
    </row>
    <row r="2572" spans="1:9" x14ac:dyDescent="0.15">
      <c r="A2572" s="9">
        <v>2571</v>
      </c>
      <c r="B2572" s="10" t="s">
        <v>9</v>
      </c>
      <c r="C2572" s="10" t="s">
        <v>164</v>
      </c>
      <c r="D2572" s="10" t="s">
        <v>165</v>
      </c>
      <c r="E2572" s="11" t="str">
        <f>+HYPERLINK("http://trademark.i-assist.jp/data/china/image_1901th/79200323.pdf", "79200323")</f>
        <v>79200323</v>
      </c>
      <c r="F2572" s="10" t="s">
        <v>7150</v>
      </c>
      <c r="G2572" s="10" t="s">
        <v>7151</v>
      </c>
      <c r="H2572" s="10" t="s">
        <v>7152</v>
      </c>
      <c r="I2572" s="10" t="s">
        <v>7106</v>
      </c>
    </row>
    <row r="2573" spans="1:9" x14ac:dyDescent="0.15">
      <c r="A2573" s="9">
        <v>2572</v>
      </c>
      <c r="B2573" s="10" t="s">
        <v>9</v>
      </c>
      <c r="C2573" s="10" t="s">
        <v>164</v>
      </c>
      <c r="D2573" s="10" t="s">
        <v>165</v>
      </c>
      <c r="E2573" s="11" t="str">
        <f>+HYPERLINK("http://trademark.i-assist.jp/data/china/image_1901th/79201055.pdf", "79201055")</f>
        <v>79201055</v>
      </c>
      <c r="F2573" s="10" t="s">
        <v>7153</v>
      </c>
      <c r="G2573" s="10" t="s">
        <v>7154</v>
      </c>
      <c r="H2573" s="10" t="s">
        <v>7155</v>
      </c>
      <c r="I2573" s="10" t="s">
        <v>7106</v>
      </c>
    </row>
    <row r="2574" spans="1:9" x14ac:dyDescent="0.15">
      <c r="A2574" s="9">
        <v>2573</v>
      </c>
      <c r="B2574" s="10" t="s">
        <v>9</v>
      </c>
      <c r="C2574" s="10" t="s">
        <v>164</v>
      </c>
      <c r="D2574" s="10" t="s">
        <v>165</v>
      </c>
      <c r="E2574" s="11" t="str">
        <f>+HYPERLINK("http://trademark.i-assist.jp/data/china/image_1901th/79203436.pdf", "79203436")</f>
        <v>79203436</v>
      </c>
      <c r="F2574" s="10" t="s">
        <v>7156</v>
      </c>
      <c r="G2574" s="10" t="s">
        <v>7151</v>
      </c>
      <c r="H2574" s="10" t="s">
        <v>7157</v>
      </c>
      <c r="I2574" s="10" t="s">
        <v>7106</v>
      </c>
    </row>
    <row r="2575" spans="1:9" x14ac:dyDescent="0.15">
      <c r="A2575" s="9">
        <v>2574</v>
      </c>
      <c r="B2575" s="10" t="s">
        <v>9</v>
      </c>
      <c r="C2575" s="10" t="s">
        <v>164</v>
      </c>
      <c r="D2575" s="10" t="s">
        <v>165</v>
      </c>
      <c r="E2575" s="11" t="str">
        <f>+HYPERLINK("http://trademark.i-assist.jp/data/china/image_1901th/79204988.pdf", "79204988")</f>
        <v>79204988</v>
      </c>
      <c r="F2575" s="10" t="s">
        <v>7158</v>
      </c>
      <c r="G2575" s="10" t="s">
        <v>7159</v>
      </c>
      <c r="H2575" s="10" t="s">
        <v>7160</v>
      </c>
      <c r="I2575" s="10" t="s">
        <v>7106</v>
      </c>
    </row>
    <row r="2576" spans="1:9" x14ac:dyDescent="0.15">
      <c r="A2576" s="9">
        <v>2575</v>
      </c>
      <c r="B2576" s="10" t="s">
        <v>9</v>
      </c>
      <c r="C2576" s="10" t="s">
        <v>164</v>
      </c>
      <c r="D2576" s="10" t="s">
        <v>165</v>
      </c>
      <c r="E2576" s="11" t="str">
        <f>+HYPERLINK("http://trademark.i-assist.jp/data/china/image_1901th/79205190.pdf", "79205190")</f>
        <v>79205190</v>
      </c>
      <c r="F2576" s="10" t="s">
        <v>7161</v>
      </c>
      <c r="G2576" s="10" t="s">
        <v>7162</v>
      </c>
      <c r="H2576" s="10" t="s">
        <v>7163</v>
      </c>
      <c r="I2576" s="10" t="s">
        <v>7106</v>
      </c>
    </row>
    <row r="2577" spans="1:9" x14ac:dyDescent="0.15">
      <c r="A2577" s="9">
        <v>2576</v>
      </c>
      <c r="B2577" s="10" t="s">
        <v>9</v>
      </c>
      <c r="C2577" s="10" t="s">
        <v>164</v>
      </c>
      <c r="D2577" s="10" t="s">
        <v>165</v>
      </c>
      <c r="E2577" s="11" t="str">
        <f>+HYPERLINK("http://trademark.i-assist.jp/data/china/image_1901th/79210106.pdf", "79210106")</f>
        <v>79210106</v>
      </c>
      <c r="F2577" s="10" t="s">
        <v>7164</v>
      </c>
      <c r="G2577" s="10" t="s">
        <v>7165</v>
      </c>
      <c r="H2577" s="10" t="s">
        <v>7166</v>
      </c>
      <c r="I2577" s="10" t="s">
        <v>7167</v>
      </c>
    </row>
    <row r="2578" spans="1:9" x14ac:dyDescent="0.15">
      <c r="A2578" s="9">
        <v>2577</v>
      </c>
      <c r="B2578" s="10" t="s">
        <v>9</v>
      </c>
      <c r="C2578" s="10" t="s">
        <v>164</v>
      </c>
      <c r="D2578" s="10" t="s">
        <v>165</v>
      </c>
      <c r="E2578" s="11" t="str">
        <f>+HYPERLINK("http://trademark.i-assist.jp/data/china/image_1901th/79210567.pdf", "79210567")</f>
        <v>79210567</v>
      </c>
      <c r="F2578" s="10" t="s">
        <v>7168</v>
      </c>
      <c r="G2578" s="10" t="s">
        <v>7169</v>
      </c>
      <c r="H2578" s="10" t="s">
        <v>7170</v>
      </c>
      <c r="I2578" s="10" t="s">
        <v>7167</v>
      </c>
    </row>
    <row r="2579" spans="1:9" x14ac:dyDescent="0.15">
      <c r="A2579" s="9">
        <v>2578</v>
      </c>
      <c r="B2579" s="10" t="s">
        <v>9</v>
      </c>
      <c r="C2579" s="10" t="s">
        <v>164</v>
      </c>
      <c r="D2579" s="10" t="s">
        <v>165</v>
      </c>
      <c r="E2579" s="11" t="str">
        <f>+HYPERLINK("http://trademark.i-assist.jp/data/china/image_1901th/79213534.pdf", "79213534")</f>
        <v>79213534</v>
      </c>
      <c r="F2579" s="10" t="s">
        <v>7171</v>
      </c>
      <c r="G2579" s="10" t="s">
        <v>7172</v>
      </c>
      <c r="H2579" s="10" t="s">
        <v>7173</v>
      </c>
      <c r="I2579" s="10" t="s">
        <v>7167</v>
      </c>
    </row>
    <row r="2580" spans="1:9" x14ac:dyDescent="0.15">
      <c r="A2580" s="9">
        <v>2579</v>
      </c>
      <c r="B2580" s="10" t="s">
        <v>9</v>
      </c>
      <c r="C2580" s="10" t="s">
        <v>164</v>
      </c>
      <c r="D2580" s="10" t="s">
        <v>165</v>
      </c>
      <c r="E2580" s="11" t="str">
        <f>+HYPERLINK("http://trademark.i-assist.jp/data/china/image_1901th/79214003.pdf", "79214003")</f>
        <v>79214003</v>
      </c>
      <c r="F2580" s="10" t="s">
        <v>7174</v>
      </c>
      <c r="G2580" s="10" t="s">
        <v>6478</v>
      </c>
      <c r="H2580" s="10" t="s">
        <v>7175</v>
      </c>
      <c r="I2580" s="10" t="s">
        <v>7167</v>
      </c>
    </row>
    <row r="2581" spans="1:9" x14ac:dyDescent="0.15">
      <c r="A2581" s="9">
        <v>2580</v>
      </c>
      <c r="B2581" s="10" t="s">
        <v>9</v>
      </c>
      <c r="C2581" s="10" t="s">
        <v>164</v>
      </c>
      <c r="D2581" s="10" t="s">
        <v>165</v>
      </c>
      <c r="E2581" s="11" t="str">
        <f>+HYPERLINK("http://trademark.i-assist.jp/data/china/image_1901th/79216196.pdf", "79216196")</f>
        <v>79216196</v>
      </c>
      <c r="F2581" s="10" t="s">
        <v>7176</v>
      </c>
      <c r="G2581" s="10" t="s">
        <v>7177</v>
      </c>
      <c r="H2581" s="10" t="s">
        <v>7178</v>
      </c>
      <c r="I2581" s="10" t="s">
        <v>7167</v>
      </c>
    </row>
    <row r="2582" spans="1:9" x14ac:dyDescent="0.15">
      <c r="A2582" s="9">
        <v>2581</v>
      </c>
      <c r="B2582" s="10" t="s">
        <v>9</v>
      </c>
      <c r="C2582" s="10" t="s">
        <v>164</v>
      </c>
      <c r="D2582" s="10" t="s">
        <v>165</v>
      </c>
      <c r="E2582" s="11" t="str">
        <f>+HYPERLINK("http://trademark.i-assist.jp/data/china/image_1901th/79216197.pdf", "79216197")</f>
        <v>79216197</v>
      </c>
      <c r="F2582" s="10" t="s">
        <v>7179</v>
      </c>
      <c r="G2582" s="10" t="s">
        <v>7180</v>
      </c>
      <c r="H2582" s="10" t="s">
        <v>7181</v>
      </c>
      <c r="I2582" s="10" t="s">
        <v>7167</v>
      </c>
    </row>
    <row r="2583" spans="1:9" x14ac:dyDescent="0.15">
      <c r="A2583" s="9">
        <v>2582</v>
      </c>
      <c r="B2583" s="10" t="s">
        <v>9</v>
      </c>
      <c r="C2583" s="10" t="s">
        <v>164</v>
      </c>
      <c r="D2583" s="10" t="s">
        <v>165</v>
      </c>
      <c r="E2583" s="11" t="str">
        <f>+HYPERLINK("http://trademark.i-assist.jp/data/china/image_1901th/79216765.pdf", "79216765")</f>
        <v>79216765</v>
      </c>
      <c r="F2583" s="10" t="s">
        <v>7182</v>
      </c>
      <c r="G2583" s="10" t="s">
        <v>1889</v>
      </c>
      <c r="H2583" s="10" t="s">
        <v>7183</v>
      </c>
      <c r="I2583" s="10" t="s">
        <v>7167</v>
      </c>
    </row>
    <row r="2584" spans="1:9" x14ac:dyDescent="0.15">
      <c r="A2584" s="9">
        <v>2583</v>
      </c>
      <c r="B2584" s="10" t="s">
        <v>9</v>
      </c>
      <c r="C2584" s="10" t="s">
        <v>164</v>
      </c>
      <c r="D2584" s="10" t="s">
        <v>165</v>
      </c>
      <c r="E2584" s="11" t="str">
        <f>+HYPERLINK("http://trademark.i-assist.jp/data/china/image_1901th/79221721.pdf", "79221721")</f>
        <v>79221721</v>
      </c>
      <c r="F2584" s="10" t="s">
        <v>7184</v>
      </c>
      <c r="G2584" s="10" t="s">
        <v>7185</v>
      </c>
      <c r="H2584" s="10" t="s">
        <v>7186</v>
      </c>
      <c r="I2584" s="10" t="s">
        <v>7167</v>
      </c>
    </row>
    <row r="2585" spans="1:9" x14ac:dyDescent="0.15">
      <c r="A2585" s="9">
        <v>2584</v>
      </c>
      <c r="B2585" s="10" t="s">
        <v>9</v>
      </c>
      <c r="C2585" s="10" t="s">
        <v>164</v>
      </c>
      <c r="D2585" s="10" t="s">
        <v>165</v>
      </c>
      <c r="E2585" s="11" t="str">
        <f>+HYPERLINK("http://trademark.i-assist.jp/data/china/image_1901th/79229651.pdf", "79229651")</f>
        <v>79229651</v>
      </c>
      <c r="F2585" s="10" t="s">
        <v>7187</v>
      </c>
      <c r="G2585" s="10" t="s">
        <v>7188</v>
      </c>
      <c r="H2585" s="10" t="s">
        <v>7189</v>
      </c>
      <c r="I2585" s="10" t="s">
        <v>7167</v>
      </c>
    </row>
    <row r="2586" spans="1:9" x14ac:dyDescent="0.15">
      <c r="A2586" s="9">
        <v>2585</v>
      </c>
      <c r="B2586" s="10" t="s">
        <v>9</v>
      </c>
      <c r="C2586" s="10" t="s">
        <v>164</v>
      </c>
      <c r="D2586" s="10" t="s">
        <v>165</v>
      </c>
      <c r="E2586" s="11" t="str">
        <f>+HYPERLINK("http://trademark.i-assist.jp/data/china/image_1901th/79230977.pdf", "79230977")</f>
        <v>79230977</v>
      </c>
      <c r="F2586" s="10" t="s">
        <v>7190</v>
      </c>
      <c r="G2586" s="10" t="s">
        <v>7191</v>
      </c>
      <c r="H2586" s="10" t="s">
        <v>7192</v>
      </c>
      <c r="I2586" s="10" t="s">
        <v>7167</v>
      </c>
    </row>
    <row r="2587" spans="1:9" x14ac:dyDescent="0.15">
      <c r="A2587" s="9">
        <v>2586</v>
      </c>
      <c r="B2587" s="10" t="s">
        <v>9</v>
      </c>
      <c r="C2587" s="10" t="s">
        <v>164</v>
      </c>
      <c r="D2587" s="10" t="s">
        <v>165</v>
      </c>
      <c r="E2587" s="11" t="str">
        <f>+HYPERLINK("http://trademark.i-assist.jp/data/china/image_1901th/79232543.pdf", "79232543")</f>
        <v>79232543</v>
      </c>
      <c r="F2587" s="10" t="s">
        <v>7193</v>
      </c>
      <c r="G2587" s="10" t="s">
        <v>7194</v>
      </c>
      <c r="H2587" s="10" t="s">
        <v>7195</v>
      </c>
      <c r="I2587" s="10" t="s">
        <v>7196</v>
      </c>
    </row>
    <row r="2588" spans="1:9" x14ac:dyDescent="0.15">
      <c r="A2588" s="9">
        <v>2587</v>
      </c>
      <c r="B2588" s="10" t="s">
        <v>9</v>
      </c>
      <c r="C2588" s="10" t="s">
        <v>164</v>
      </c>
      <c r="D2588" s="10" t="s">
        <v>165</v>
      </c>
      <c r="E2588" s="11" t="str">
        <f>+HYPERLINK("http://trademark.i-assist.jp/data/china/image_1901th/79232662.pdf", "79232662")</f>
        <v>79232662</v>
      </c>
      <c r="F2588" s="10" t="s">
        <v>7197</v>
      </c>
      <c r="G2588" s="10" t="s">
        <v>7198</v>
      </c>
      <c r="H2588" s="10" t="s">
        <v>7199</v>
      </c>
      <c r="I2588" s="10" t="s">
        <v>7196</v>
      </c>
    </row>
    <row r="2589" spans="1:9" x14ac:dyDescent="0.15">
      <c r="A2589" s="9">
        <v>2588</v>
      </c>
      <c r="B2589" s="10" t="s">
        <v>9</v>
      </c>
      <c r="C2589" s="10" t="s">
        <v>164</v>
      </c>
      <c r="D2589" s="10" t="s">
        <v>165</v>
      </c>
      <c r="E2589" s="11" t="str">
        <f>+HYPERLINK("http://trademark.i-assist.jp/data/china/image_1901th/79233848.pdf", "79233848")</f>
        <v>79233848</v>
      </c>
      <c r="F2589" s="10" t="s">
        <v>7200</v>
      </c>
      <c r="G2589" s="10" t="s">
        <v>7201</v>
      </c>
      <c r="H2589" s="10" t="s">
        <v>7202</v>
      </c>
      <c r="I2589" s="10" t="s">
        <v>7196</v>
      </c>
    </row>
    <row r="2590" spans="1:9" x14ac:dyDescent="0.15">
      <c r="A2590" s="9">
        <v>2589</v>
      </c>
      <c r="B2590" s="10" t="s">
        <v>9</v>
      </c>
      <c r="C2590" s="10" t="s">
        <v>164</v>
      </c>
      <c r="D2590" s="10" t="s">
        <v>165</v>
      </c>
      <c r="E2590" s="11" t="str">
        <f>+HYPERLINK("http://trademark.i-assist.jp/data/china/image_1901th/79233910.pdf", "79233910")</f>
        <v>79233910</v>
      </c>
      <c r="F2590" s="10" t="s">
        <v>7203</v>
      </c>
      <c r="G2590" s="10" t="s">
        <v>7204</v>
      </c>
      <c r="H2590" s="10" t="s">
        <v>7205</v>
      </c>
      <c r="I2590" s="10" t="s">
        <v>7196</v>
      </c>
    </row>
    <row r="2591" spans="1:9" x14ac:dyDescent="0.15">
      <c r="A2591" s="9">
        <v>2590</v>
      </c>
      <c r="B2591" s="10" t="s">
        <v>9</v>
      </c>
      <c r="C2591" s="10" t="s">
        <v>164</v>
      </c>
      <c r="D2591" s="10" t="s">
        <v>165</v>
      </c>
      <c r="E2591" s="11" t="str">
        <f>+HYPERLINK("http://trademark.i-assist.jp/data/china/image_1901th/79234484.pdf", "79234484")</f>
        <v>79234484</v>
      </c>
      <c r="F2591" s="10" t="s">
        <v>7206</v>
      </c>
      <c r="G2591" s="10" t="s">
        <v>7207</v>
      </c>
      <c r="H2591" s="10" t="s">
        <v>7208</v>
      </c>
      <c r="I2591" s="10" t="s">
        <v>7196</v>
      </c>
    </row>
    <row r="2592" spans="1:9" x14ac:dyDescent="0.15">
      <c r="A2592" s="9">
        <v>2591</v>
      </c>
      <c r="B2592" s="10" t="s">
        <v>9</v>
      </c>
      <c r="C2592" s="10" t="s">
        <v>164</v>
      </c>
      <c r="D2592" s="10" t="s">
        <v>165</v>
      </c>
      <c r="E2592" s="11" t="str">
        <f>+HYPERLINK("http://trademark.i-assist.jp/data/china/image_1901th/79235700.pdf", "79235700")</f>
        <v>79235700</v>
      </c>
      <c r="F2592" s="10" t="s">
        <v>7209</v>
      </c>
      <c r="G2592" s="10" t="s">
        <v>7194</v>
      </c>
      <c r="H2592" s="10" t="s">
        <v>7210</v>
      </c>
      <c r="I2592" s="10" t="s">
        <v>7196</v>
      </c>
    </row>
    <row r="2593" spans="1:9" x14ac:dyDescent="0.15">
      <c r="A2593" s="9">
        <v>2592</v>
      </c>
      <c r="B2593" s="10" t="s">
        <v>9</v>
      </c>
      <c r="C2593" s="10" t="s">
        <v>164</v>
      </c>
      <c r="D2593" s="10" t="s">
        <v>165</v>
      </c>
      <c r="E2593" s="11" t="str">
        <f>+HYPERLINK("http://trademark.i-assist.jp/data/china/image_1901th/79235858.pdf", "79235858")</f>
        <v>79235858</v>
      </c>
      <c r="F2593" s="10" t="s">
        <v>7211</v>
      </c>
      <c r="G2593" s="10" t="s">
        <v>72</v>
      </c>
      <c r="H2593" s="10" t="s">
        <v>7212</v>
      </c>
      <c r="I2593" s="10" t="s">
        <v>7196</v>
      </c>
    </row>
    <row r="2594" spans="1:9" x14ac:dyDescent="0.15">
      <c r="A2594" s="9">
        <v>2593</v>
      </c>
      <c r="B2594" s="10" t="s">
        <v>9</v>
      </c>
      <c r="C2594" s="10" t="s">
        <v>164</v>
      </c>
      <c r="D2594" s="10" t="s">
        <v>165</v>
      </c>
      <c r="E2594" s="11" t="str">
        <f>+HYPERLINK("http://trademark.i-assist.jp/data/china/image_1901th/79236659.pdf", "79236659")</f>
        <v>79236659</v>
      </c>
      <c r="F2594" s="10" t="s">
        <v>7213</v>
      </c>
      <c r="G2594" s="10" t="s">
        <v>7198</v>
      </c>
      <c r="H2594" s="10" t="s">
        <v>7214</v>
      </c>
      <c r="I2594" s="10" t="s">
        <v>7196</v>
      </c>
    </row>
    <row r="2595" spans="1:9" x14ac:dyDescent="0.15">
      <c r="A2595" s="9">
        <v>2594</v>
      </c>
      <c r="B2595" s="10" t="s">
        <v>9</v>
      </c>
      <c r="C2595" s="10" t="s">
        <v>164</v>
      </c>
      <c r="D2595" s="10" t="s">
        <v>165</v>
      </c>
      <c r="E2595" s="11" t="str">
        <f>+HYPERLINK("http://trademark.i-assist.jp/data/china/image_1901th/79236849.pdf", "79236849")</f>
        <v>79236849</v>
      </c>
      <c r="F2595" s="10" t="s">
        <v>7215</v>
      </c>
      <c r="G2595" s="10" t="s">
        <v>130</v>
      </c>
      <c r="H2595" s="10" t="s">
        <v>7216</v>
      </c>
      <c r="I2595" s="10" t="s">
        <v>7196</v>
      </c>
    </row>
    <row r="2596" spans="1:9" x14ac:dyDescent="0.15">
      <c r="A2596" s="9">
        <v>2595</v>
      </c>
      <c r="B2596" s="10" t="s">
        <v>9</v>
      </c>
      <c r="C2596" s="10" t="s">
        <v>164</v>
      </c>
      <c r="D2596" s="10" t="s">
        <v>165</v>
      </c>
      <c r="E2596" s="11" t="str">
        <f>+HYPERLINK("http://trademark.i-assist.jp/data/china/image_1901th/79237030.pdf", "79237030")</f>
        <v>79237030</v>
      </c>
      <c r="F2596" s="10" t="s">
        <v>7217</v>
      </c>
      <c r="G2596" s="10" t="s">
        <v>7218</v>
      </c>
      <c r="H2596" s="10" t="s">
        <v>7219</v>
      </c>
      <c r="I2596" s="10" t="s">
        <v>7196</v>
      </c>
    </row>
    <row r="2597" spans="1:9" x14ac:dyDescent="0.15">
      <c r="A2597" s="9">
        <v>2596</v>
      </c>
      <c r="B2597" s="10" t="s">
        <v>9</v>
      </c>
      <c r="C2597" s="10" t="s">
        <v>164</v>
      </c>
      <c r="D2597" s="10" t="s">
        <v>165</v>
      </c>
      <c r="E2597" s="11" t="str">
        <f>+HYPERLINK("http://trademark.i-assist.jp/data/china/image_1901th/79237890.pdf", "79237890")</f>
        <v>79237890</v>
      </c>
      <c r="F2597" s="10" t="s">
        <v>7220</v>
      </c>
      <c r="G2597" s="10" t="s">
        <v>7221</v>
      </c>
      <c r="H2597" s="10" t="s">
        <v>7222</v>
      </c>
      <c r="I2597" s="10" t="s">
        <v>7196</v>
      </c>
    </row>
    <row r="2598" spans="1:9" x14ac:dyDescent="0.15">
      <c r="A2598" s="9">
        <v>2597</v>
      </c>
      <c r="B2598" s="10" t="s">
        <v>9</v>
      </c>
      <c r="C2598" s="10" t="s">
        <v>164</v>
      </c>
      <c r="D2598" s="10" t="s">
        <v>165</v>
      </c>
      <c r="E2598" s="11" t="str">
        <f>+HYPERLINK("http://trademark.i-assist.jp/data/china/image_1901th/79238096.pdf", "79238096")</f>
        <v>79238096</v>
      </c>
      <c r="F2598" s="10" t="s">
        <v>7223</v>
      </c>
      <c r="G2598" s="10" t="s">
        <v>7224</v>
      </c>
      <c r="H2598" s="10" t="s">
        <v>7225</v>
      </c>
      <c r="I2598" s="10" t="s">
        <v>7196</v>
      </c>
    </row>
    <row r="2599" spans="1:9" x14ac:dyDescent="0.15">
      <c r="A2599" s="9">
        <v>2598</v>
      </c>
      <c r="B2599" s="10" t="s">
        <v>9</v>
      </c>
      <c r="C2599" s="10" t="s">
        <v>164</v>
      </c>
      <c r="D2599" s="10" t="s">
        <v>165</v>
      </c>
      <c r="E2599" s="11" t="str">
        <f>+HYPERLINK("http://trademark.i-assist.jp/data/china/image_1901th/79238733.pdf", "79238733")</f>
        <v>79238733</v>
      </c>
      <c r="F2599" s="10" t="s">
        <v>7226</v>
      </c>
      <c r="G2599" s="10" t="s">
        <v>7194</v>
      </c>
      <c r="H2599" s="10" t="s">
        <v>7227</v>
      </c>
      <c r="I2599" s="10" t="s">
        <v>7196</v>
      </c>
    </row>
    <row r="2600" spans="1:9" x14ac:dyDescent="0.15">
      <c r="A2600" s="9">
        <v>2599</v>
      </c>
      <c r="B2600" s="10" t="s">
        <v>9</v>
      </c>
      <c r="C2600" s="10" t="s">
        <v>164</v>
      </c>
      <c r="D2600" s="10" t="s">
        <v>165</v>
      </c>
      <c r="E2600" s="11" t="str">
        <f>+HYPERLINK("http://trademark.i-assist.jp/data/china/image_1901th/79238993.pdf", "79238993")</f>
        <v>79238993</v>
      </c>
      <c r="F2600" s="10" t="s">
        <v>7228</v>
      </c>
      <c r="G2600" s="10" t="s">
        <v>7201</v>
      </c>
      <c r="H2600" s="10" t="s">
        <v>7229</v>
      </c>
      <c r="I2600" s="10" t="s">
        <v>7196</v>
      </c>
    </row>
    <row r="2601" spans="1:9" x14ac:dyDescent="0.15">
      <c r="A2601" s="9">
        <v>2600</v>
      </c>
      <c r="B2601" s="10" t="s">
        <v>9</v>
      </c>
      <c r="C2601" s="10" t="s">
        <v>164</v>
      </c>
      <c r="D2601" s="10" t="s">
        <v>165</v>
      </c>
      <c r="E2601" s="11" t="str">
        <f>+HYPERLINK("http://trademark.i-assist.jp/data/china/image_1901th/79239339.pdf", "79239339")</f>
        <v>79239339</v>
      </c>
      <c r="F2601" s="10" t="s">
        <v>7230</v>
      </c>
      <c r="G2601" s="10" t="s">
        <v>72</v>
      </c>
      <c r="H2601" s="10" t="s">
        <v>7231</v>
      </c>
      <c r="I2601" s="10" t="s">
        <v>7196</v>
      </c>
    </row>
    <row r="2602" spans="1:9" x14ac:dyDescent="0.15">
      <c r="A2602" s="9">
        <v>2601</v>
      </c>
      <c r="B2602" s="10" t="s">
        <v>9</v>
      </c>
      <c r="C2602" s="10" t="s">
        <v>164</v>
      </c>
      <c r="D2602" s="10" t="s">
        <v>165</v>
      </c>
      <c r="E2602" s="11" t="str">
        <f>+HYPERLINK("http://trademark.i-assist.jp/data/china/image_1901th/79239417.pdf", "79239417")</f>
        <v>79239417</v>
      </c>
      <c r="F2602" s="10" t="s">
        <v>7232</v>
      </c>
      <c r="G2602" s="10" t="s">
        <v>7233</v>
      </c>
      <c r="H2602" s="10" t="s">
        <v>7234</v>
      </c>
      <c r="I2602" s="10" t="s">
        <v>7196</v>
      </c>
    </row>
    <row r="2603" spans="1:9" x14ac:dyDescent="0.15">
      <c r="A2603" s="9">
        <v>2602</v>
      </c>
      <c r="B2603" s="10" t="s">
        <v>9</v>
      </c>
      <c r="C2603" s="10" t="s">
        <v>164</v>
      </c>
      <c r="D2603" s="10" t="s">
        <v>165</v>
      </c>
      <c r="E2603" s="11" t="str">
        <f>+HYPERLINK("http://trademark.i-assist.jp/data/china/image_1901th/79240584.pdf", "79240584")</f>
        <v>79240584</v>
      </c>
      <c r="F2603" s="10" t="s">
        <v>7235</v>
      </c>
      <c r="G2603" s="10" t="s">
        <v>7236</v>
      </c>
      <c r="H2603" s="10" t="s">
        <v>7237</v>
      </c>
      <c r="I2603" s="10" t="s">
        <v>7238</v>
      </c>
    </row>
    <row r="2604" spans="1:9" x14ac:dyDescent="0.15">
      <c r="A2604" s="9">
        <v>2603</v>
      </c>
      <c r="B2604" s="10" t="s">
        <v>9</v>
      </c>
      <c r="C2604" s="10" t="s">
        <v>164</v>
      </c>
      <c r="D2604" s="10" t="s">
        <v>165</v>
      </c>
      <c r="E2604" s="11" t="str">
        <f>+HYPERLINK("http://trademark.i-assist.jp/data/china/image_1901th/79246403.pdf", "79246403")</f>
        <v>79246403</v>
      </c>
      <c r="F2604" s="10" t="s">
        <v>7239</v>
      </c>
      <c r="G2604" s="10" t="s">
        <v>7240</v>
      </c>
      <c r="H2604" s="10" t="s">
        <v>7241</v>
      </c>
      <c r="I2604" s="10" t="s">
        <v>7242</v>
      </c>
    </row>
    <row r="2605" spans="1:9" x14ac:dyDescent="0.15">
      <c r="A2605" s="9">
        <v>2604</v>
      </c>
      <c r="B2605" s="10" t="s">
        <v>9</v>
      </c>
      <c r="C2605" s="10" t="s">
        <v>164</v>
      </c>
      <c r="D2605" s="10" t="s">
        <v>165</v>
      </c>
      <c r="E2605" s="11" t="str">
        <f>+HYPERLINK("http://trademark.i-assist.jp/data/china/image_1901th/79248024.pdf", "79248024")</f>
        <v>79248024</v>
      </c>
      <c r="F2605" s="10" t="s">
        <v>7243</v>
      </c>
      <c r="G2605" s="10" t="s">
        <v>7244</v>
      </c>
      <c r="H2605" s="10" t="s">
        <v>7245</v>
      </c>
      <c r="I2605" s="10" t="s">
        <v>7242</v>
      </c>
    </row>
    <row r="2606" spans="1:9" x14ac:dyDescent="0.15">
      <c r="A2606" s="9">
        <v>2605</v>
      </c>
      <c r="B2606" s="10" t="s">
        <v>9</v>
      </c>
      <c r="C2606" s="10" t="s">
        <v>164</v>
      </c>
      <c r="D2606" s="10" t="s">
        <v>165</v>
      </c>
      <c r="E2606" s="11" t="str">
        <f>+HYPERLINK("http://trademark.i-assist.jp/data/china/image_1901th/79250627.pdf", "79250627")</f>
        <v>79250627</v>
      </c>
      <c r="F2606" s="10" t="s">
        <v>7246</v>
      </c>
      <c r="G2606" s="10" t="s">
        <v>7247</v>
      </c>
      <c r="H2606" s="10" t="s">
        <v>7248</v>
      </c>
      <c r="I2606" s="10" t="s">
        <v>7242</v>
      </c>
    </row>
    <row r="2607" spans="1:9" x14ac:dyDescent="0.15">
      <c r="A2607" s="9">
        <v>2606</v>
      </c>
      <c r="B2607" s="10" t="s">
        <v>9</v>
      </c>
      <c r="C2607" s="10" t="s">
        <v>164</v>
      </c>
      <c r="D2607" s="10" t="s">
        <v>165</v>
      </c>
      <c r="E2607" s="11" t="str">
        <f>+HYPERLINK("http://trademark.i-assist.jp/data/china/image_1901th/79251105.pdf", "79251105")</f>
        <v>79251105</v>
      </c>
      <c r="F2607" s="10" t="s">
        <v>7249</v>
      </c>
      <c r="G2607" s="10" t="s">
        <v>7250</v>
      </c>
      <c r="H2607" s="10" t="s">
        <v>7251</v>
      </c>
      <c r="I2607" s="10" t="s">
        <v>7242</v>
      </c>
    </row>
    <row r="2608" spans="1:9" x14ac:dyDescent="0.15">
      <c r="A2608" s="9">
        <v>2607</v>
      </c>
      <c r="B2608" s="10" t="s">
        <v>9</v>
      </c>
      <c r="C2608" s="10" t="s">
        <v>164</v>
      </c>
      <c r="D2608" s="10" t="s">
        <v>165</v>
      </c>
      <c r="E2608" s="11" t="str">
        <f>+HYPERLINK("http://trademark.i-assist.jp/data/china/image_1901th/79251924.pdf", "79251924")</f>
        <v>79251924</v>
      </c>
      <c r="F2608" s="10" t="s">
        <v>7252</v>
      </c>
      <c r="G2608" s="10" t="s">
        <v>7253</v>
      </c>
      <c r="H2608" s="10" t="s">
        <v>7254</v>
      </c>
      <c r="I2608" s="10" t="s">
        <v>7242</v>
      </c>
    </row>
    <row r="2609" spans="1:9" x14ac:dyDescent="0.15">
      <c r="A2609" s="9">
        <v>2608</v>
      </c>
      <c r="B2609" s="10" t="s">
        <v>9</v>
      </c>
      <c r="C2609" s="10" t="s">
        <v>164</v>
      </c>
      <c r="D2609" s="10" t="s">
        <v>165</v>
      </c>
      <c r="E2609" s="11" t="str">
        <f>+HYPERLINK("http://trademark.i-assist.jp/data/china/image_1901th/79253608.pdf", "79253608")</f>
        <v>79253608</v>
      </c>
      <c r="F2609" s="10" t="s">
        <v>7255</v>
      </c>
      <c r="G2609" s="10" t="s">
        <v>7256</v>
      </c>
      <c r="H2609" s="10" t="s">
        <v>7257</v>
      </c>
      <c r="I2609" s="10" t="s">
        <v>7242</v>
      </c>
    </row>
    <row r="2610" spans="1:9" x14ac:dyDescent="0.15">
      <c r="A2610" s="9">
        <v>2609</v>
      </c>
      <c r="B2610" s="10" t="s">
        <v>9</v>
      </c>
      <c r="C2610" s="10" t="s">
        <v>164</v>
      </c>
      <c r="D2610" s="10" t="s">
        <v>165</v>
      </c>
      <c r="E2610" s="11" t="str">
        <f>+HYPERLINK("http://trademark.i-assist.jp/data/china/image_1901th/79256571.pdf", "79256571")</f>
        <v>79256571</v>
      </c>
      <c r="F2610" s="10" t="s">
        <v>7258</v>
      </c>
      <c r="G2610" s="10" t="s">
        <v>7259</v>
      </c>
      <c r="H2610" s="10" t="s">
        <v>7260</v>
      </c>
      <c r="I2610" s="10" t="s">
        <v>7242</v>
      </c>
    </row>
    <row r="2611" spans="1:9" x14ac:dyDescent="0.15">
      <c r="A2611" s="9">
        <v>2610</v>
      </c>
      <c r="B2611" s="10" t="s">
        <v>9</v>
      </c>
      <c r="C2611" s="10" t="s">
        <v>164</v>
      </c>
      <c r="D2611" s="10" t="s">
        <v>165</v>
      </c>
      <c r="E2611" s="11" t="str">
        <f>+HYPERLINK("http://trademark.i-assist.jp/data/china/image_1901th/79257478.pdf", "79257478")</f>
        <v>79257478</v>
      </c>
      <c r="F2611" s="10" t="s">
        <v>7261</v>
      </c>
      <c r="G2611" s="10" t="s">
        <v>6110</v>
      </c>
      <c r="H2611" s="10" t="s">
        <v>7262</v>
      </c>
      <c r="I2611" s="10" t="s">
        <v>7242</v>
      </c>
    </row>
    <row r="2612" spans="1:9" x14ac:dyDescent="0.15">
      <c r="A2612" s="9">
        <v>2611</v>
      </c>
      <c r="B2612" s="10" t="s">
        <v>9</v>
      </c>
      <c r="C2612" s="10" t="s">
        <v>164</v>
      </c>
      <c r="D2612" s="10" t="s">
        <v>165</v>
      </c>
      <c r="E2612" s="11" t="str">
        <f>+HYPERLINK("http://trademark.i-assist.jp/data/china/image_1901th/79259273.pdf", "79259273")</f>
        <v>79259273</v>
      </c>
      <c r="F2612" s="10" t="s">
        <v>7263</v>
      </c>
      <c r="G2612" s="10" t="s">
        <v>7264</v>
      </c>
      <c r="H2612" s="10" t="s">
        <v>7265</v>
      </c>
      <c r="I2612" s="10" t="s">
        <v>7242</v>
      </c>
    </row>
    <row r="2613" spans="1:9" x14ac:dyDescent="0.15">
      <c r="A2613" s="9">
        <v>2612</v>
      </c>
      <c r="B2613" s="10" t="s">
        <v>9</v>
      </c>
      <c r="C2613" s="10" t="s">
        <v>164</v>
      </c>
      <c r="D2613" s="10" t="s">
        <v>165</v>
      </c>
      <c r="E2613" s="11" t="str">
        <f>+HYPERLINK("http://trademark.i-assist.jp/data/china/image_1901th/79259324.pdf", "79259324")</f>
        <v>79259324</v>
      </c>
      <c r="F2613" s="10" t="s">
        <v>7266</v>
      </c>
      <c r="G2613" s="10" t="s">
        <v>7267</v>
      </c>
      <c r="H2613" s="10" t="s">
        <v>7268</v>
      </c>
      <c r="I2613" s="10" t="s">
        <v>7242</v>
      </c>
    </row>
    <row r="2614" spans="1:9" x14ac:dyDescent="0.15">
      <c r="A2614" s="9">
        <v>2613</v>
      </c>
      <c r="B2614" s="10" t="s">
        <v>9</v>
      </c>
      <c r="C2614" s="10" t="s">
        <v>164</v>
      </c>
      <c r="D2614" s="10" t="s">
        <v>165</v>
      </c>
      <c r="E2614" s="11" t="str">
        <f>+HYPERLINK("http://trademark.i-assist.jp/data/china/image_1901th/79260195.pdf", "79260195")</f>
        <v>79260195</v>
      </c>
      <c r="F2614" s="10" t="s">
        <v>7269</v>
      </c>
      <c r="G2614" s="10" t="s">
        <v>7270</v>
      </c>
      <c r="H2614" s="10" t="s">
        <v>7271</v>
      </c>
      <c r="I2614" s="10" t="s">
        <v>7242</v>
      </c>
    </row>
    <row r="2615" spans="1:9" x14ac:dyDescent="0.15">
      <c r="A2615" s="9">
        <v>2614</v>
      </c>
      <c r="B2615" s="10" t="s">
        <v>9</v>
      </c>
      <c r="C2615" s="10" t="s">
        <v>164</v>
      </c>
      <c r="D2615" s="10" t="s">
        <v>165</v>
      </c>
      <c r="E2615" s="11" t="str">
        <f>+HYPERLINK("http://trademark.i-assist.jp/data/china/image_1901th/79261192.pdf", "79261192")</f>
        <v>79261192</v>
      </c>
      <c r="F2615" s="10" t="s">
        <v>7272</v>
      </c>
      <c r="G2615" s="10" t="s">
        <v>6110</v>
      </c>
      <c r="H2615" s="10" t="s">
        <v>7273</v>
      </c>
      <c r="I2615" s="10" t="s">
        <v>7242</v>
      </c>
    </row>
    <row r="2616" spans="1:9" x14ac:dyDescent="0.15">
      <c r="A2616" s="9">
        <v>2615</v>
      </c>
      <c r="B2616" s="10" t="s">
        <v>9</v>
      </c>
      <c r="C2616" s="10" t="s">
        <v>164</v>
      </c>
      <c r="D2616" s="10" t="s">
        <v>165</v>
      </c>
      <c r="E2616" s="11" t="str">
        <f>+HYPERLINK("http://trademark.i-assist.jp/data/china/image_1901th/79261322.pdf", "79261322")</f>
        <v>79261322</v>
      </c>
      <c r="F2616" s="10" t="s">
        <v>7274</v>
      </c>
      <c r="G2616" s="10" t="s">
        <v>7275</v>
      </c>
      <c r="H2616" s="10" t="s">
        <v>7276</v>
      </c>
      <c r="I2616" s="10" t="s">
        <v>7242</v>
      </c>
    </row>
    <row r="2617" spans="1:9" x14ac:dyDescent="0.15">
      <c r="A2617" s="9">
        <v>2616</v>
      </c>
      <c r="B2617" s="10" t="s">
        <v>9</v>
      </c>
      <c r="C2617" s="10" t="s">
        <v>164</v>
      </c>
      <c r="D2617" s="10" t="s">
        <v>165</v>
      </c>
      <c r="E2617" s="11" t="str">
        <f>+HYPERLINK("http://trademark.i-assist.jp/data/china/image_1901th/79262633.pdf", "79262633")</f>
        <v>79262633</v>
      </c>
      <c r="F2617" s="10" t="s">
        <v>7277</v>
      </c>
      <c r="G2617" s="10" t="s">
        <v>7278</v>
      </c>
      <c r="H2617" s="10" t="s">
        <v>7279</v>
      </c>
      <c r="I2617" s="10" t="s">
        <v>7242</v>
      </c>
    </row>
    <row r="2618" spans="1:9" x14ac:dyDescent="0.15">
      <c r="A2618" s="9">
        <v>2617</v>
      </c>
      <c r="B2618" s="10" t="s">
        <v>9</v>
      </c>
      <c r="C2618" s="10" t="s">
        <v>164</v>
      </c>
      <c r="D2618" s="10" t="s">
        <v>165</v>
      </c>
      <c r="E2618" s="11" t="str">
        <f>+HYPERLINK("http://trademark.i-assist.jp/data/china/image_1901th/79262653.pdf", "79262653")</f>
        <v>79262653</v>
      </c>
      <c r="F2618" s="10" t="s">
        <v>7280</v>
      </c>
      <c r="G2618" s="10" t="s">
        <v>7278</v>
      </c>
      <c r="H2618" s="10" t="s">
        <v>7281</v>
      </c>
      <c r="I2618" s="10" t="s">
        <v>7242</v>
      </c>
    </row>
    <row r="2619" spans="1:9" x14ac:dyDescent="0.15">
      <c r="A2619" s="9">
        <v>2618</v>
      </c>
      <c r="B2619" s="10" t="s">
        <v>9</v>
      </c>
      <c r="C2619" s="10" t="s">
        <v>164</v>
      </c>
      <c r="D2619" s="10" t="s">
        <v>165</v>
      </c>
      <c r="E2619" s="11" t="str">
        <f>+HYPERLINK("http://trademark.i-assist.jp/data/china/image_1901th/79265397.pdf", "79265397")</f>
        <v>79265397</v>
      </c>
      <c r="F2619" s="10" t="s">
        <v>7282</v>
      </c>
      <c r="G2619" s="10" t="s">
        <v>7283</v>
      </c>
      <c r="H2619" s="10" t="s">
        <v>7284</v>
      </c>
      <c r="I2619" s="10" t="s">
        <v>7242</v>
      </c>
    </row>
    <row r="2620" spans="1:9" x14ac:dyDescent="0.15">
      <c r="A2620" s="9">
        <v>2619</v>
      </c>
      <c r="B2620" s="10" t="s">
        <v>9</v>
      </c>
      <c r="C2620" s="10" t="s">
        <v>164</v>
      </c>
      <c r="D2620" s="10" t="s">
        <v>165</v>
      </c>
      <c r="E2620" s="11" t="str">
        <f>+HYPERLINK("http://trademark.i-assist.jp/data/china/image_1901th/79265568.pdf", "79265568")</f>
        <v>79265568</v>
      </c>
      <c r="F2620" s="10" t="s">
        <v>7285</v>
      </c>
      <c r="G2620" s="10" t="s">
        <v>7286</v>
      </c>
      <c r="H2620" s="10" t="s">
        <v>7287</v>
      </c>
      <c r="I2620" s="10" t="s">
        <v>7242</v>
      </c>
    </row>
    <row r="2621" spans="1:9" x14ac:dyDescent="0.15">
      <c r="A2621" s="9">
        <v>2620</v>
      </c>
      <c r="B2621" s="10" t="s">
        <v>9</v>
      </c>
      <c r="C2621" s="10" t="s">
        <v>164</v>
      </c>
      <c r="D2621" s="10" t="s">
        <v>165</v>
      </c>
      <c r="E2621" s="11" t="str">
        <f>+HYPERLINK("http://trademark.i-assist.jp/data/china/image_1901th/79270505.pdf", "79270505")</f>
        <v>79270505</v>
      </c>
      <c r="F2621" s="10" t="s">
        <v>12</v>
      </c>
      <c r="G2621" s="10" t="s">
        <v>7288</v>
      </c>
      <c r="H2621" s="10" t="s">
        <v>7289</v>
      </c>
      <c r="I2621" s="10" t="s">
        <v>7242</v>
      </c>
    </row>
    <row r="2622" spans="1:9" x14ac:dyDescent="0.15">
      <c r="A2622" s="9">
        <v>2621</v>
      </c>
      <c r="B2622" s="10" t="s">
        <v>9</v>
      </c>
      <c r="C2622" s="10" t="s">
        <v>164</v>
      </c>
      <c r="D2622" s="10" t="s">
        <v>165</v>
      </c>
      <c r="E2622" s="11" t="str">
        <f>+HYPERLINK("http://trademark.i-assist.jp/data/china/image_1901th/79271577.pdf", "79271577")</f>
        <v>79271577</v>
      </c>
      <c r="F2622" s="10" t="s">
        <v>7290</v>
      </c>
      <c r="G2622" s="10" t="s">
        <v>7291</v>
      </c>
      <c r="H2622" s="10" t="s">
        <v>7292</v>
      </c>
      <c r="I2622" s="10" t="s">
        <v>7293</v>
      </c>
    </row>
    <row r="2623" spans="1:9" x14ac:dyDescent="0.15">
      <c r="A2623" s="9">
        <v>2622</v>
      </c>
      <c r="B2623" s="10" t="s">
        <v>9</v>
      </c>
      <c r="C2623" s="10" t="s">
        <v>164</v>
      </c>
      <c r="D2623" s="10" t="s">
        <v>165</v>
      </c>
      <c r="E2623" s="11" t="str">
        <f>+HYPERLINK("http://trademark.i-assist.jp/data/china/image_1901th/79271766.pdf", "79271766")</f>
        <v>79271766</v>
      </c>
      <c r="F2623" s="10" t="s">
        <v>7294</v>
      </c>
      <c r="G2623" s="10" t="s">
        <v>7295</v>
      </c>
      <c r="H2623" s="10" t="s">
        <v>7296</v>
      </c>
      <c r="I2623" s="10" t="s">
        <v>7293</v>
      </c>
    </row>
    <row r="2624" spans="1:9" x14ac:dyDescent="0.15">
      <c r="A2624" s="9">
        <v>2623</v>
      </c>
      <c r="B2624" s="10" t="s">
        <v>9</v>
      </c>
      <c r="C2624" s="10" t="s">
        <v>164</v>
      </c>
      <c r="D2624" s="10" t="s">
        <v>165</v>
      </c>
      <c r="E2624" s="11" t="str">
        <f>+HYPERLINK("http://trademark.i-assist.jp/data/china/image_1901th/79274220.pdf", "79274220")</f>
        <v>79274220</v>
      </c>
      <c r="F2624" s="10" t="s">
        <v>7297</v>
      </c>
      <c r="G2624" s="10" t="s">
        <v>7298</v>
      </c>
      <c r="H2624" s="10" t="s">
        <v>7299</v>
      </c>
      <c r="I2624" s="10" t="s">
        <v>7293</v>
      </c>
    </row>
    <row r="2625" spans="1:9" x14ac:dyDescent="0.15">
      <c r="A2625" s="9">
        <v>2624</v>
      </c>
      <c r="B2625" s="10" t="s">
        <v>9</v>
      </c>
      <c r="C2625" s="10" t="s">
        <v>164</v>
      </c>
      <c r="D2625" s="10" t="s">
        <v>165</v>
      </c>
      <c r="E2625" s="11" t="str">
        <f>+HYPERLINK("http://trademark.i-assist.jp/data/china/image_1901th/79275215.pdf", "79275215")</f>
        <v>79275215</v>
      </c>
      <c r="F2625" s="10" t="s">
        <v>7300</v>
      </c>
      <c r="G2625" s="10" t="s">
        <v>7301</v>
      </c>
      <c r="H2625" s="10" t="s">
        <v>7302</v>
      </c>
      <c r="I2625" s="10" t="s">
        <v>7293</v>
      </c>
    </row>
    <row r="2626" spans="1:9" x14ac:dyDescent="0.15">
      <c r="A2626" s="9">
        <v>2625</v>
      </c>
      <c r="B2626" s="10" t="s">
        <v>9</v>
      </c>
      <c r="C2626" s="10" t="s">
        <v>164</v>
      </c>
      <c r="D2626" s="10" t="s">
        <v>165</v>
      </c>
      <c r="E2626" s="11" t="str">
        <f>+HYPERLINK("http://trademark.i-assist.jp/data/china/image_1901th/79276657.pdf", "79276657")</f>
        <v>79276657</v>
      </c>
      <c r="F2626" s="10" t="s">
        <v>7303</v>
      </c>
      <c r="G2626" s="10" t="s">
        <v>7304</v>
      </c>
      <c r="H2626" s="10" t="s">
        <v>7305</v>
      </c>
      <c r="I2626" s="10" t="s">
        <v>7293</v>
      </c>
    </row>
    <row r="2627" spans="1:9" x14ac:dyDescent="0.15">
      <c r="A2627" s="9">
        <v>2626</v>
      </c>
      <c r="B2627" s="10" t="s">
        <v>9</v>
      </c>
      <c r="C2627" s="10" t="s">
        <v>164</v>
      </c>
      <c r="D2627" s="10" t="s">
        <v>165</v>
      </c>
      <c r="E2627" s="11" t="str">
        <f>+HYPERLINK("http://trademark.i-assist.jp/data/china/image_1901th/79280904.pdf", "79280904")</f>
        <v>79280904</v>
      </c>
      <c r="F2627" s="10" t="s">
        <v>7306</v>
      </c>
      <c r="G2627" s="10" t="s">
        <v>7304</v>
      </c>
      <c r="H2627" s="10" t="s">
        <v>7307</v>
      </c>
      <c r="I2627" s="10" t="s">
        <v>7293</v>
      </c>
    </row>
    <row r="2628" spans="1:9" x14ac:dyDescent="0.15">
      <c r="A2628" s="9">
        <v>2627</v>
      </c>
      <c r="B2628" s="10" t="s">
        <v>9</v>
      </c>
      <c r="C2628" s="10" t="s">
        <v>164</v>
      </c>
      <c r="D2628" s="10" t="s">
        <v>165</v>
      </c>
      <c r="E2628" s="11" t="str">
        <f>+HYPERLINK("http://trademark.i-assist.jp/data/china/image_1901th/79283346.pdf", "79283346")</f>
        <v>79283346</v>
      </c>
      <c r="F2628" s="10" t="s">
        <v>7308</v>
      </c>
      <c r="G2628" s="10" t="s">
        <v>7309</v>
      </c>
      <c r="H2628" s="10" t="s">
        <v>7310</v>
      </c>
      <c r="I2628" s="10" t="s">
        <v>7293</v>
      </c>
    </row>
    <row r="2629" spans="1:9" x14ac:dyDescent="0.15">
      <c r="A2629" s="9">
        <v>2628</v>
      </c>
      <c r="B2629" s="10" t="s">
        <v>9</v>
      </c>
      <c r="C2629" s="10" t="s">
        <v>164</v>
      </c>
      <c r="D2629" s="10" t="s">
        <v>165</v>
      </c>
      <c r="E2629" s="11" t="str">
        <f>+HYPERLINK("http://trademark.i-assist.jp/data/china/image_1901th/79286479.pdf", "79286479")</f>
        <v>79286479</v>
      </c>
      <c r="F2629" s="10" t="s">
        <v>7311</v>
      </c>
      <c r="G2629" s="10" t="s">
        <v>7312</v>
      </c>
      <c r="H2629" s="10" t="s">
        <v>7313</v>
      </c>
      <c r="I2629" s="10" t="s">
        <v>7293</v>
      </c>
    </row>
    <row r="2630" spans="1:9" x14ac:dyDescent="0.15">
      <c r="A2630" s="9">
        <v>2629</v>
      </c>
      <c r="B2630" s="10" t="s">
        <v>9</v>
      </c>
      <c r="C2630" s="10" t="s">
        <v>164</v>
      </c>
      <c r="D2630" s="10" t="s">
        <v>165</v>
      </c>
      <c r="E2630" s="11" t="str">
        <f>+HYPERLINK("http://trademark.i-assist.jp/data/china/image_1901th/79288903.pdf", "79288903")</f>
        <v>79288903</v>
      </c>
      <c r="F2630" s="10" t="s">
        <v>7314</v>
      </c>
      <c r="G2630" s="10" t="s">
        <v>7314</v>
      </c>
      <c r="H2630" s="10" t="s">
        <v>7315</v>
      </c>
      <c r="I2630" s="10" t="s">
        <v>7293</v>
      </c>
    </row>
    <row r="2631" spans="1:9" x14ac:dyDescent="0.15">
      <c r="A2631" s="9">
        <v>2630</v>
      </c>
      <c r="B2631" s="10" t="s">
        <v>9</v>
      </c>
      <c r="C2631" s="10" t="s">
        <v>164</v>
      </c>
      <c r="D2631" s="10" t="s">
        <v>165</v>
      </c>
      <c r="E2631" s="11" t="str">
        <f>+HYPERLINK("http://trademark.i-assist.jp/data/china/image_1901th/79290992.pdf", "79290992")</f>
        <v>79290992</v>
      </c>
      <c r="F2631" s="10" t="s">
        <v>7316</v>
      </c>
      <c r="G2631" s="10" t="s">
        <v>7317</v>
      </c>
      <c r="H2631" s="10" t="s">
        <v>7318</v>
      </c>
      <c r="I2631" s="10" t="s">
        <v>7293</v>
      </c>
    </row>
    <row r="2632" spans="1:9" x14ac:dyDescent="0.15">
      <c r="A2632" s="9">
        <v>2631</v>
      </c>
      <c r="B2632" s="10" t="s">
        <v>9</v>
      </c>
      <c r="C2632" s="10" t="s">
        <v>164</v>
      </c>
      <c r="D2632" s="10" t="s">
        <v>165</v>
      </c>
      <c r="E2632" s="11" t="str">
        <f>+HYPERLINK("http://trademark.i-assist.jp/data/china/image_1901th/79293504.pdf", "79293504")</f>
        <v>79293504</v>
      </c>
      <c r="F2632" s="10" t="s">
        <v>12</v>
      </c>
      <c r="G2632" s="10" t="s">
        <v>7319</v>
      </c>
      <c r="H2632" s="10" t="s">
        <v>19</v>
      </c>
      <c r="I2632" s="10" t="s">
        <v>19</v>
      </c>
    </row>
    <row r="2633" spans="1:9" x14ac:dyDescent="0.15">
      <c r="A2633" s="9">
        <v>2632</v>
      </c>
      <c r="B2633" s="10" t="s">
        <v>9</v>
      </c>
      <c r="C2633" s="10" t="s">
        <v>164</v>
      </c>
      <c r="D2633" s="10" t="s">
        <v>165</v>
      </c>
      <c r="E2633" s="11" t="str">
        <f>+HYPERLINK("http://trademark.i-assist.jp/data/china/image_1901th/79294045.pdf", "79294045")</f>
        <v>79294045</v>
      </c>
      <c r="F2633" s="10" t="s">
        <v>7320</v>
      </c>
      <c r="G2633" s="10" t="s">
        <v>7321</v>
      </c>
      <c r="H2633" s="10" t="s">
        <v>7322</v>
      </c>
      <c r="I2633" s="10" t="s">
        <v>7293</v>
      </c>
    </row>
    <row r="2634" spans="1:9" x14ac:dyDescent="0.15">
      <c r="A2634" s="9">
        <v>2633</v>
      </c>
      <c r="B2634" s="10" t="s">
        <v>9</v>
      </c>
      <c r="C2634" s="10" t="s">
        <v>164</v>
      </c>
      <c r="D2634" s="10" t="s">
        <v>165</v>
      </c>
      <c r="E2634" s="11" t="str">
        <f>+HYPERLINK("http://trademark.i-assist.jp/data/china/image_1901th/79296937.pdf", "79296937")</f>
        <v>79296937</v>
      </c>
      <c r="F2634" s="10" t="s">
        <v>7323</v>
      </c>
      <c r="G2634" s="10" t="s">
        <v>7324</v>
      </c>
      <c r="H2634" s="10" t="s">
        <v>7325</v>
      </c>
      <c r="I2634" s="10" t="s">
        <v>7293</v>
      </c>
    </row>
    <row r="2635" spans="1:9" x14ac:dyDescent="0.15">
      <c r="A2635" s="9">
        <v>2634</v>
      </c>
      <c r="B2635" s="10" t="s">
        <v>9</v>
      </c>
      <c r="C2635" s="10" t="s">
        <v>164</v>
      </c>
      <c r="D2635" s="10" t="s">
        <v>165</v>
      </c>
      <c r="E2635" s="11" t="str">
        <f>+HYPERLINK("http://trademark.i-assist.jp/data/china/image_1901th/79297374.pdf", "79297374")</f>
        <v>79297374</v>
      </c>
      <c r="F2635" s="10" t="s">
        <v>7326</v>
      </c>
      <c r="G2635" s="10" t="s">
        <v>7327</v>
      </c>
      <c r="H2635" s="10" t="s">
        <v>7328</v>
      </c>
      <c r="I2635" s="10" t="s">
        <v>7293</v>
      </c>
    </row>
    <row r="2636" spans="1:9" x14ac:dyDescent="0.15">
      <c r="A2636" s="9">
        <v>2635</v>
      </c>
      <c r="B2636" s="10" t="s">
        <v>9</v>
      </c>
      <c r="C2636" s="10" t="s">
        <v>164</v>
      </c>
      <c r="D2636" s="10" t="s">
        <v>165</v>
      </c>
      <c r="E2636" s="11" t="str">
        <f>+HYPERLINK("http://trademark.i-assist.jp/data/china/image_1901th/79299138.pdf", "79299138")</f>
        <v>79299138</v>
      </c>
      <c r="F2636" s="10" t="s">
        <v>7329</v>
      </c>
      <c r="G2636" s="10" t="s">
        <v>7330</v>
      </c>
      <c r="H2636" s="10" t="s">
        <v>7331</v>
      </c>
      <c r="I2636" s="10" t="s">
        <v>7332</v>
      </c>
    </row>
    <row r="2637" spans="1:9" x14ac:dyDescent="0.15">
      <c r="A2637" s="9">
        <v>2636</v>
      </c>
      <c r="B2637" s="10" t="s">
        <v>9</v>
      </c>
      <c r="C2637" s="10" t="s">
        <v>164</v>
      </c>
      <c r="D2637" s="10" t="s">
        <v>165</v>
      </c>
      <c r="E2637" s="11" t="str">
        <f>+HYPERLINK("http://trademark.i-assist.jp/data/china/image_1901th/79299667.pdf", "79299667")</f>
        <v>79299667</v>
      </c>
      <c r="F2637" s="10" t="s">
        <v>7333</v>
      </c>
      <c r="G2637" s="10" t="s">
        <v>7334</v>
      </c>
      <c r="H2637" s="10" t="s">
        <v>7335</v>
      </c>
      <c r="I2637" s="10" t="s">
        <v>7332</v>
      </c>
    </row>
    <row r="2638" spans="1:9" x14ac:dyDescent="0.15">
      <c r="A2638" s="9">
        <v>2637</v>
      </c>
      <c r="B2638" s="10" t="s">
        <v>9</v>
      </c>
      <c r="C2638" s="10" t="s">
        <v>164</v>
      </c>
      <c r="D2638" s="10" t="s">
        <v>165</v>
      </c>
      <c r="E2638" s="11" t="str">
        <f>+HYPERLINK("http://trademark.i-assist.jp/data/china/image_1901th/79301759.pdf", "79301759")</f>
        <v>79301759</v>
      </c>
      <c r="F2638" s="10" t="s">
        <v>7336</v>
      </c>
      <c r="G2638" s="10" t="s">
        <v>7337</v>
      </c>
      <c r="H2638" s="10" t="s">
        <v>7338</v>
      </c>
      <c r="I2638" s="10" t="s">
        <v>7332</v>
      </c>
    </row>
    <row r="2639" spans="1:9" x14ac:dyDescent="0.15">
      <c r="A2639" s="9">
        <v>2638</v>
      </c>
      <c r="B2639" s="10" t="s">
        <v>9</v>
      </c>
      <c r="C2639" s="10" t="s">
        <v>164</v>
      </c>
      <c r="D2639" s="10" t="s">
        <v>165</v>
      </c>
      <c r="E2639" s="11" t="str">
        <f>+HYPERLINK("http://trademark.i-assist.jp/data/china/image_1901th/79303263.pdf", "79303263")</f>
        <v>79303263</v>
      </c>
      <c r="F2639" s="10" t="s">
        <v>7339</v>
      </c>
      <c r="G2639" s="10" t="s">
        <v>7340</v>
      </c>
      <c r="H2639" s="10" t="s">
        <v>7341</v>
      </c>
      <c r="I2639" s="10" t="s">
        <v>7332</v>
      </c>
    </row>
    <row r="2640" spans="1:9" x14ac:dyDescent="0.15">
      <c r="A2640" s="9">
        <v>2639</v>
      </c>
      <c r="B2640" s="10" t="s">
        <v>9</v>
      </c>
      <c r="C2640" s="10" t="s">
        <v>164</v>
      </c>
      <c r="D2640" s="10" t="s">
        <v>165</v>
      </c>
      <c r="E2640" s="11" t="str">
        <f>+HYPERLINK("http://trademark.i-assist.jp/data/china/image_1901th/79303877.pdf", "79303877")</f>
        <v>79303877</v>
      </c>
      <c r="F2640" s="10" t="s">
        <v>7342</v>
      </c>
      <c r="G2640" s="10" t="s">
        <v>7343</v>
      </c>
      <c r="H2640" s="10" t="s">
        <v>7344</v>
      </c>
      <c r="I2640" s="10" t="s">
        <v>7332</v>
      </c>
    </row>
    <row r="2641" spans="1:9" x14ac:dyDescent="0.15">
      <c r="A2641" s="9">
        <v>2640</v>
      </c>
      <c r="B2641" s="10" t="s">
        <v>9</v>
      </c>
      <c r="C2641" s="10" t="s">
        <v>164</v>
      </c>
      <c r="D2641" s="10" t="s">
        <v>165</v>
      </c>
      <c r="E2641" s="11" t="str">
        <f>+HYPERLINK("http://trademark.i-assist.jp/data/china/image_1901th/79305961.pdf", "79305961")</f>
        <v>79305961</v>
      </c>
      <c r="F2641" s="10" t="s">
        <v>7345</v>
      </c>
      <c r="G2641" s="10" t="s">
        <v>7346</v>
      </c>
      <c r="H2641" s="10" t="s">
        <v>7347</v>
      </c>
      <c r="I2641" s="10" t="s">
        <v>7332</v>
      </c>
    </row>
    <row r="2642" spans="1:9" x14ac:dyDescent="0.15">
      <c r="A2642" s="9">
        <v>2641</v>
      </c>
      <c r="B2642" s="10" t="s">
        <v>9</v>
      </c>
      <c r="C2642" s="10" t="s">
        <v>164</v>
      </c>
      <c r="D2642" s="10" t="s">
        <v>165</v>
      </c>
      <c r="E2642" s="11" t="str">
        <f>+HYPERLINK("http://trademark.i-assist.jp/data/china/image_1901th/79308402.pdf", "79308402")</f>
        <v>79308402</v>
      </c>
      <c r="F2642" s="10" t="s">
        <v>7348</v>
      </c>
      <c r="G2642" s="10" t="s">
        <v>7349</v>
      </c>
      <c r="H2642" s="10" t="s">
        <v>7350</v>
      </c>
      <c r="I2642" s="10" t="s">
        <v>7332</v>
      </c>
    </row>
    <row r="2643" spans="1:9" x14ac:dyDescent="0.15">
      <c r="A2643" s="9">
        <v>2642</v>
      </c>
      <c r="B2643" s="10" t="s">
        <v>9</v>
      </c>
      <c r="C2643" s="10" t="s">
        <v>164</v>
      </c>
      <c r="D2643" s="10" t="s">
        <v>165</v>
      </c>
      <c r="E2643" s="11" t="str">
        <f>+HYPERLINK("http://trademark.i-assist.jp/data/china/image_1901th/79309357.pdf", "79309357")</f>
        <v>79309357</v>
      </c>
      <c r="F2643" s="10" t="s">
        <v>7351</v>
      </c>
      <c r="G2643" s="10" t="s">
        <v>7352</v>
      </c>
      <c r="H2643" s="10" t="s">
        <v>7353</v>
      </c>
      <c r="I2643" s="10" t="s">
        <v>7332</v>
      </c>
    </row>
    <row r="2644" spans="1:9" x14ac:dyDescent="0.15">
      <c r="A2644" s="9">
        <v>2643</v>
      </c>
      <c r="B2644" s="10" t="s">
        <v>9</v>
      </c>
      <c r="C2644" s="10" t="s">
        <v>164</v>
      </c>
      <c r="D2644" s="10" t="s">
        <v>165</v>
      </c>
      <c r="E2644" s="11" t="str">
        <f>+HYPERLINK("http://trademark.i-assist.jp/data/china/image_1901th/79312102.pdf", "79312102")</f>
        <v>79312102</v>
      </c>
      <c r="F2644" s="10" t="s">
        <v>12</v>
      </c>
      <c r="G2644" s="10" t="s">
        <v>7337</v>
      </c>
      <c r="H2644" s="10" t="s">
        <v>7354</v>
      </c>
      <c r="I2644" s="10" t="s">
        <v>7332</v>
      </c>
    </row>
    <row r="2645" spans="1:9" x14ac:dyDescent="0.15">
      <c r="A2645" s="9">
        <v>2644</v>
      </c>
      <c r="B2645" s="10" t="s">
        <v>9</v>
      </c>
      <c r="C2645" s="10" t="s">
        <v>164</v>
      </c>
      <c r="D2645" s="10" t="s">
        <v>165</v>
      </c>
      <c r="E2645" s="11" t="str">
        <f>+HYPERLINK("http://trademark.i-assist.jp/data/china/image_1901th/79313323.pdf", "79313323")</f>
        <v>79313323</v>
      </c>
      <c r="F2645" s="10" t="s">
        <v>7355</v>
      </c>
      <c r="G2645" s="10" t="s">
        <v>7356</v>
      </c>
      <c r="H2645" s="10" t="s">
        <v>7357</v>
      </c>
      <c r="I2645" s="10" t="s">
        <v>7332</v>
      </c>
    </row>
    <row r="2646" spans="1:9" x14ac:dyDescent="0.15">
      <c r="A2646" s="9">
        <v>2645</v>
      </c>
      <c r="B2646" s="10" t="s">
        <v>9</v>
      </c>
      <c r="C2646" s="10" t="s">
        <v>164</v>
      </c>
      <c r="D2646" s="10" t="s">
        <v>165</v>
      </c>
      <c r="E2646" s="11" t="str">
        <f>+HYPERLINK("http://trademark.i-assist.jp/data/china/image_1901th/79314031.pdf", "79314031")</f>
        <v>79314031</v>
      </c>
      <c r="F2646" s="10" t="s">
        <v>7358</v>
      </c>
      <c r="G2646" s="10" t="s">
        <v>7330</v>
      </c>
      <c r="H2646" s="10" t="s">
        <v>7359</v>
      </c>
      <c r="I2646" s="10" t="s">
        <v>7332</v>
      </c>
    </row>
    <row r="2647" spans="1:9" x14ac:dyDescent="0.15">
      <c r="A2647" s="9">
        <v>2646</v>
      </c>
      <c r="B2647" s="10" t="s">
        <v>9</v>
      </c>
      <c r="C2647" s="10" t="s">
        <v>164</v>
      </c>
      <c r="D2647" s="10" t="s">
        <v>165</v>
      </c>
      <c r="E2647" s="11" t="str">
        <f>+HYPERLINK("http://trademark.i-assist.jp/data/china/image_1901th/79314749.pdf", "79314749")</f>
        <v>79314749</v>
      </c>
      <c r="F2647" s="10" t="s">
        <v>7360</v>
      </c>
      <c r="G2647" s="10" t="s">
        <v>7361</v>
      </c>
      <c r="H2647" s="10" t="s">
        <v>7362</v>
      </c>
      <c r="I2647" s="10" t="s">
        <v>7332</v>
      </c>
    </row>
    <row r="2648" spans="1:9" x14ac:dyDescent="0.15">
      <c r="A2648" s="9">
        <v>2647</v>
      </c>
      <c r="B2648" s="10" t="s">
        <v>9</v>
      </c>
      <c r="C2648" s="10" t="s">
        <v>164</v>
      </c>
      <c r="D2648" s="10" t="s">
        <v>165</v>
      </c>
      <c r="E2648" s="11" t="str">
        <f>+HYPERLINK("http://trademark.i-assist.jp/data/china/image_1901th/79318067.pdf", "79318067")</f>
        <v>79318067</v>
      </c>
      <c r="F2648" s="10" t="s">
        <v>7363</v>
      </c>
      <c r="G2648" s="10" t="s">
        <v>7364</v>
      </c>
      <c r="H2648" s="10" t="s">
        <v>7365</v>
      </c>
      <c r="I2648" s="10" t="s">
        <v>7332</v>
      </c>
    </row>
    <row r="2649" spans="1:9" x14ac:dyDescent="0.15">
      <c r="A2649" s="9">
        <v>2648</v>
      </c>
      <c r="B2649" s="10" t="s">
        <v>9</v>
      </c>
      <c r="C2649" s="10" t="s">
        <v>164</v>
      </c>
      <c r="D2649" s="10" t="s">
        <v>165</v>
      </c>
      <c r="E2649" s="11" t="str">
        <f>+HYPERLINK("http://trademark.i-assist.jp/data/china/image_1901th/79322172.pdf", "79322172")</f>
        <v>79322172</v>
      </c>
      <c r="F2649" s="10" t="s">
        <v>7366</v>
      </c>
      <c r="G2649" s="10" t="s">
        <v>7367</v>
      </c>
      <c r="H2649" s="10" t="s">
        <v>7368</v>
      </c>
      <c r="I2649" s="10" t="s">
        <v>7332</v>
      </c>
    </row>
    <row r="2650" spans="1:9" x14ac:dyDescent="0.15">
      <c r="A2650" s="9">
        <v>2649</v>
      </c>
      <c r="B2650" s="10" t="s">
        <v>9</v>
      </c>
      <c r="C2650" s="10" t="s">
        <v>164</v>
      </c>
      <c r="D2650" s="10" t="s">
        <v>165</v>
      </c>
      <c r="E2650" s="11" t="str">
        <f>+HYPERLINK("http://trademark.i-assist.jp/data/china/image_1901th/79323191.pdf", "79323191")</f>
        <v>79323191</v>
      </c>
      <c r="F2650" s="10" t="s">
        <v>7369</v>
      </c>
      <c r="G2650" s="10" t="s">
        <v>7370</v>
      </c>
      <c r="H2650" s="10" t="s">
        <v>7371</v>
      </c>
      <c r="I2650" s="10" t="s">
        <v>7332</v>
      </c>
    </row>
    <row r="2651" spans="1:9" x14ac:dyDescent="0.15">
      <c r="A2651" s="9">
        <v>2650</v>
      </c>
      <c r="B2651" s="10" t="s">
        <v>9</v>
      </c>
      <c r="C2651" s="10" t="s">
        <v>164</v>
      </c>
      <c r="D2651" s="10" t="s">
        <v>165</v>
      </c>
      <c r="E2651" s="11" t="str">
        <f>+HYPERLINK("http://trademark.i-assist.jp/data/china/image_1901th/79326895.pdf", "79326895")</f>
        <v>79326895</v>
      </c>
      <c r="F2651" s="10" t="s">
        <v>7372</v>
      </c>
      <c r="G2651" s="10" t="s">
        <v>4781</v>
      </c>
      <c r="H2651" s="10" t="s">
        <v>7373</v>
      </c>
      <c r="I2651" s="10" t="s">
        <v>7374</v>
      </c>
    </row>
    <row r="2652" spans="1:9" x14ac:dyDescent="0.15">
      <c r="A2652" s="9">
        <v>2651</v>
      </c>
      <c r="B2652" s="10" t="s">
        <v>9</v>
      </c>
      <c r="C2652" s="10" t="s">
        <v>164</v>
      </c>
      <c r="D2652" s="10" t="s">
        <v>165</v>
      </c>
      <c r="E2652" s="11" t="str">
        <f>+HYPERLINK("http://trademark.i-assist.jp/data/china/image_1901th/79328059.pdf", "79328059")</f>
        <v>79328059</v>
      </c>
      <c r="F2652" s="10" t="s">
        <v>7375</v>
      </c>
      <c r="G2652" s="10" t="s">
        <v>7376</v>
      </c>
      <c r="H2652" s="10" t="s">
        <v>7377</v>
      </c>
      <c r="I2652" s="10" t="s">
        <v>7374</v>
      </c>
    </row>
    <row r="2653" spans="1:9" x14ac:dyDescent="0.15">
      <c r="A2653" s="9">
        <v>2652</v>
      </c>
      <c r="B2653" s="10" t="s">
        <v>9</v>
      </c>
      <c r="C2653" s="10" t="s">
        <v>164</v>
      </c>
      <c r="D2653" s="10" t="s">
        <v>165</v>
      </c>
      <c r="E2653" s="11" t="str">
        <f>+HYPERLINK("http://trademark.i-assist.jp/data/china/image_1901th/79329885.pdf", "79329885")</f>
        <v>79329885</v>
      </c>
      <c r="F2653" s="10" t="s">
        <v>7378</v>
      </c>
      <c r="G2653" s="10" t="s">
        <v>7379</v>
      </c>
      <c r="H2653" s="10" t="s">
        <v>7380</v>
      </c>
      <c r="I2653" s="10" t="s">
        <v>7374</v>
      </c>
    </row>
    <row r="2654" spans="1:9" x14ac:dyDescent="0.15">
      <c r="A2654" s="9">
        <v>2653</v>
      </c>
      <c r="B2654" s="10" t="s">
        <v>9</v>
      </c>
      <c r="C2654" s="10" t="s">
        <v>164</v>
      </c>
      <c r="D2654" s="10" t="s">
        <v>165</v>
      </c>
      <c r="E2654" s="11" t="str">
        <f>+HYPERLINK("http://trademark.i-assist.jp/data/china/image_1901th/79330427.pdf", "79330427")</f>
        <v>79330427</v>
      </c>
      <c r="F2654" s="10" t="s">
        <v>7381</v>
      </c>
      <c r="G2654" s="10" t="s">
        <v>7382</v>
      </c>
      <c r="H2654" s="10" t="s">
        <v>7383</v>
      </c>
      <c r="I2654" s="10" t="s">
        <v>7374</v>
      </c>
    </row>
    <row r="2655" spans="1:9" x14ac:dyDescent="0.15">
      <c r="A2655" s="9">
        <v>2654</v>
      </c>
      <c r="B2655" s="10" t="s">
        <v>9</v>
      </c>
      <c r="C2655" s="10" t="s">
        <v>164</v>
      </c>
      <c r="D2655" s="10" t="s">
        <v>165</v>
      </c>
      <c r="E2655" s="11" t="str">
        <f>+HYPERLINK("http://trademark.i-assist.jp/data/china/image_1901th/79330582.pdf", "79330582")</f>
        <v>79330582</v>
      </c>
      <c r="F2655" s="10" t="s">
        <v>7384</v>
      </c>
      <c r="G2655" s="10" t="s">
        <v>7385</v>
      </c>
      <c r="H2655" s="10" t="s">
        <v>7386</v>
      </c>
      <c r="I2655" s="10" t="s">
        <v>7374</v>
      </c>
    </row>
    <row r="2656" spans="1:9" x14ac:dyDescent="0.15">
      <c r="A2656" s="9">
        <v>2655</v>
      </c>
      <c r="B2656" s="10" t="s">
        <v>9</v>
      </c>
      <c r="C2656" s="10" t="s">
        <v>164</v>
      </c>
      <c r="D2656" s="10" t="s">
        <v>165</v>
      </c>
      <c r="E2656" s="11" t="str">
        <f>+HYPERLINK("http://trademark.i-assist.jp/data/china/image_1901th/79335429.pdf", "79335429")</f>
        <v>79335429</v>
      </c>
      <c r="F2656" s="10" t="s">
        <v>7387</v>
      </c>
      <c r="G2656" s="10" t="s">
        <v>7388</v>
      </c>
      <c r="H2656" s="10" t="s">
        <v>7389</v>
      </c>
      <c r="I2656" s="10" t="s">
        <v>7374</v>
      </c>
    </row>
    <row r="2657" spans="1:9" x14ac:dyDescent="0.15">
      <c r="A2657" s="9">
        <v>2656</v>
      </c>
      <c r="B2657" s="10" t="s">
        <v>9</v>
      </c>
      <c r="C2657" s="10" t="s">
        <v>164</v>
      </c>
      <c r="D2657" s="10" t="s">
        <v>165</v>
      </c>
      <c r="E2657" s="11" t="str">
        <f>+HYPERLINK("http://trademark.i-assist.jp/data/china/image_1901th/79338495.pdf", "79338495")</f>
        <v>79338495</v>
      </c>
      <c r="F2657" s="10" t="s">
        <v>7390</v>
      </c>
      <c r="G2657" s="10" t="s">
        <v>7391</v>
      </c>
      <c r="H2657" s="10" t="s">
        <v>7392</v>
      </c>
      <c r="I2657" s="10" t="s">
        <v>7374</v>
      </c>
    </row>
    <row r="2658" spans="1:9" x14ac:dyDescent="0.15">
      <c r="A2658" s="9">
        <v>2657</v>
      </c>
      <c r="B2658" s="10" t="s">
        <v>9</v>
      </c>
      <c r="C2658" s="10" t="s">
        <v>164</v>
      </c>
      <c r="D2658" s="10" t="s">
        <v>165</v>
      </c>
      <c r="E2658" s="11" t="str">
        <f>+HYPERLINK("http://trademark.i-assist.jp/data/china/image_1901th/79346087.pdf", "79346087")</f>
        <v>79346087</v>
      </c>
      <c r="F2658" s="10" t="s">
        <v>7393</v>
      </c>
      <c r="G2658" s="10" t="s">
        <v>7394</v>
      </c>
      <c r="H2658" s="10" t="s">
        <v>7395</v>
      </c>
      <c r="I2658" s="10" t="s">
        <v>7374</v>
      </c>
    </row>
    <row r="2659" spans="1:9" x14ac:dyDescent="0.15">
      <c r="A2659" s="9">
        <v>2658</v>
      </c>
      <c r="B2659" s="10" t="s">
        <v>9</v>
      </c>
      <c r="C2659" s="10" t="s">
        <v>164</v>
      </c>
      <c r="D2659" s="10" t="s">
        <v>165</v>
      </c>
      <c r="E2659" s="11" t="str">
        <f>+HYPERLINK("http://trademark.i-assist.jp/data/china/image_1901th/79346482.pdf", "79346482")</f>
        <v>79346482</v>
      </c>
      <c r="F2659" s="10" t="s">
        <v>7396</v>
      </c>
      <c r="G2659" s="10" t="s">
        <v>7397</v>
      </c>
      <c r="H2659" s="10" t="s">
        <v>7398</v>
      </c>
      <c r="I2659" s="10" t="s">
        <v>7374</v>
      </c>
    </row>
    <row r="2660" spans="1:9" x14ac:dyDescent="0.15">
      <c r="A2660" s="9">
        <v>2659</v>
      </c>
      <c r="B2660" s="10" t="s">
        <v>9</v>
      </c>
      <c r="C2660" s="10" t="s">
        <v>164</v>
      </c>
      <c r="D2660" s="10" t="s">
        <v>165</v>
      </c>
      <c r="E2660" s="11" t="str">
        <f>+HYPERLINK("http://trademark.i-assist.jp/data/china/image_1901th/79347031.pdf", "79347031")</f>
        <v>79347031</v>
      </c>
      <c r="F2660" s="10" t="s">
        <v>7399</v>
      </c>
      <c r="G2660" s="10" t="s">
        <v>7400</v>
      </c>
      <c r="H2660" s="10" t="s">
        <v>7401</v>
      </c>
      <c r="I2660" s="10" t="s">
        <v>7374</v>
      </c>
    </row>
  </sheetData>
  <autoFilter ref="A1:I1" xr:uid="{3B0FB343-47C0-4CE0-8FAB-E7608847F386}"/>
  <phoneticPr fontId="2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1901th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IA-99</cp:lastModifiedBy>
  <dcterms:created xsi:type="dcterms:W3CDTF">2018-08-31T07:51:48Z</dcterms:created>
  <dcterms:modified xsi:type="dcterms:W3CDTF">2025-02-28T05:51:30Z</dcterms:modified>
</cp:coreProperties>
</file>