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IA-99\Desktop\"/>
    </mc:Choice>
  </mc:AlternateContent>
  <xr:revisionPtr revIDLastSave="0" documentId="13_ncr:1_{229DCFAC-1879-40D9-A872-F8BCB6BC6391}" xr6:coauthVersionLast="47" xr6:coauthVersionMax="47" xr10:uidLastSave="{00000000-0000-0000-0000-000000000000}"/>
  <bookViews>
    <workbookView xWindow="1785" yWindow="645" windowWidth="21600" windowHeight="11295" xr2:uid="{00000000-000D-0000-FFFF-FFFF00000000}"/>
  </bookViews>
  <sheets>
    <sheet name="1900th" sheetId="2" r:id="rId1"/>
  </sheets>
  <definedNames>
    <definedName name="_xlnm._FilterDatabase" localSheetId="0" hidden="1">'1900th'!$A$1:$I$1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2" l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2584" i="2"/>
  <c r="E2585" i="2"/>
  <c r="E2586" i="2"/>
  <c r="E2587" i="2"/>
  <c r="E2588" i="2"/>
  <c r="E2589" i="2"/>
  <c r="E2590" i="2"/>
  <c r="E2591" i="2"/>
  <c r="E2592" i="2"/>
  <c r="E2593" i="2"/>
  <c r="E2594" i="2"/>
  <c r="E2595" i="2"/>
  <c r="E2596" i="2"/>
  <c r="E2597" i="2"/>
  <c r="E2598" i="2"/>
  <c r="E2599" i="2"/>
  <c r="E2600" i="2"/>
  <c r="E2601" i="2"/>
  <c r="E2602" i="2"/>
  <c r="E2603" i="2"/>
  <c r="E2604" i="2"/>
  <c r="E2605" i="2"/>
  <c r="E2606" i="2"/>
  <c r="E2607" i="2"/>
  <c r="E2608" i="2"/>
  <c r="E2609" i="2"/>
  <c r="E2610" i="2"/>
  <c r="E2611" i="2"/>
  <c r="E2612" i="2"/>
  <c r="E2613" i="2"/>
  <c r="E2614" i="2"/>
  <c r="E2615" i="2"/>
  <c r="E2616" i="2"/>
  <c r="E2617" i="2"/>
  <c r="E2618" i="2"/>
  <c r="E2619" i="2"/>
  <c r="E2620" i="2"/>
  <c r="E2621" i="2"/>
  <c r="E2622" i="2"/>
  <c r="E2623" i="2"/>
  <c r="E2624" i="2"/>
  <c r="E2625" i="2"/>
  <c r="E2626" i="2"/>
  <c r="E2627" i="2"/>
  <c r="E2628" i="2"/>
  <c r="E2629" i="2"/>
  <c r="E2630" i="2"/>
  <c r="E2631" i="2"/>
  <c r="E2632" i="2"/>
  <c r="E2633" i="2"/>
  <c r="E2634" i="2"/>
  <c r="E2635" i="2"/>
  <c r="E2636" i="2"/>
  <c r="E2637" i="2"/>
  <c r="E2638" i="2"/>
  <c r="E2639" i="2"/>
  <c r="E2640" i="2"/>
  <c r="E2641" i="2"/>
  <c r="E2642" i="2"/>
  <c r="E2643" i="2"/>
  <c r="E2644" i="2"/>
  <c r="E2645" i="2"/>
  <c r="E2646" i="2"/>
  <c r="E2647" i="2"/>
  <c r="E2648" i="2"/>
  <c r="E2649" i="2"/>
  <c r="E2650" i="2"/>
  <c r="E2651" i="2"/>
  <c r="E2652" i="2"/>
  <c r="E2653" i="2"/>
  <c r="E2654" i="2"/>
  <c r="E2655" i="2"/>
  <c r="E2656" i="2"/>
  <c r="E2657" i="2"/>
  <c r="E2658" i="2"/>
  <c r="E2659" i="2"/>
  <c r="E2660" i="2"/>
  <c r="E2661" i="2"/>
  <c r="E2662" i="2"/>
  <c r="E2663" i="2"/>
  <c r="E2664" i="2"/>
  <c r="E2665" i="2"/>
  <c r="E2666" i="2"/>
  <c r="E2667" i="2"/>
  <c r="E2668" i="2"/>
  <c r="E2669" i="2"/>
  <c r="E2670" i="2"/>
  <c r="E2671" i="2"/>
  <c r="E2672" i="2"/>
  <c r="E2673" i="2"/>
  <c r="E2674" i="2"/>
  <c r="E2675" i="2"/>
  <c r="E2676" i="2"/>
  <c r="E2677" i="2"/>
  <c r="E2678" i="2"/>
  <c r="E2679" i="2"/>
  <c r="E2680" i="2"/>
  <c r="E2681" i="2"/>
  <c r="E2682" i="2"/>
  <c r="E2683" i="2"/>
  <c r="E2684" i="2"/>
  <c r="E2685" i="2"/>
  <c r="E2686" i="2"/>
  <c r="E2687" i="2"/>
  <c r="E2688" i="2"/>
  <c r="E2689" i="2"/>
  <c r="E2690" i="2"/>
  <c r="E2691" i="2"/>
  <c r="E2692" i="2"/>
  <c r="E2693" i="2"/>
  <c r="E2694" i="2"/>
  <c r="E2695" i="2"/>
  <c r="E2696" i="2"/>
  <c r="E2697" i="2"/>
  <c r="E2698" i="2"/>
  <c r="E2699" i="2"/>
  <c r="E2700" i="2"/>
  <c r="E2701" i="2"/>
  <c r="E2702" i="2"/>
  <c r="E2703" i="2"/>
  <c r="E2704" i="2"/>
  <c r="E2705" i="2"/>
  <c r="E2706" i="2"/>
  <c r="E2707" i="2"/>
  <c r="E2708" i="2"/>
  <c r="E2709" i="2"/>
  <c r="E2710" i="2"/>
  <c r="E2711" i="2"/>
  <c r="E2712" i="2"/>
  <c r="E2713" i="2"/>
  <c r="E2714" i="2"/>
  <c r="E2715" i="2"/>
  <c r="E2716" i="2"/>
  <c r="E2717" i="2"/>
  <c r="E2718" i="2"/>
  <c r="E2719" i="2"/>
  <c r="E2720" i="2"/>
  <c r="E2721" i="2"/>
  <c r="E2722" i="2"/>
  <c r="E2723" i="2"/>
  <c r="E2724" i="2"/>
  <c r="E2725" i="2"/>
  <c r="E2726" i="2"/>
  <c r="E2727" i="2"/>
  <c r="E2728" i="2"/>
  <c r="E2729" i="2"/>
  <c r="E2730" i="2"/>
  <c r="E2731" i="2"/>
  <c r="E2732" i="2"/>
  <c r="E2733" i="2"/>
  <c r="E2734" i="2"/>
  <c r="E2735" i="2"/>
  <c r="E2736" i="2"/>
  <c r="E2737" i="2"/>
  <c r="E2738" i="2"/>
  <c r="E2739" i="2"/>
  <c r="E2740" i="2"/>
  <c r="E2741" i="2"/>
  <c r="E2742" i="2"/>
  <c r="E2743" i="2"/>
  <c r="E2744" i="2"/>
  <c r="E2745" i="2"/>
  <c r="E2746" i="2"/>
  <c r="E2747" i="2"/>
  <c r="E2748" i="2"/>
  <c r="E2749" i="2"/>
  <c r="E2750" i="2"/>
  <c r="E2751" i="2"/>
  <c r="E2752" i="2"/>
  <c r="E2753" i="2"/>
  <c r="E2754" i="2"/>
  <c r="E2755" i="2"/>
  <c r="E2756" i="2"/>
  <c r="E2757" i="2"/>
  <c r="E2758" i="2"/>
  <c r="E2759" i="2"/>
  <c r="E2760" i="2"/>
  <c r="E2761" i="2"/>
  <c r="E2762" i="2"/>
  <c r="E2763" i="2"/>
  <c r="E2764" i="2"/>
  <c r="E2765" i="2"/>
  <c r="E2766" i="2"/>
  <c r="E2767" i="2"/>
  <c r="E2768" i="2"/>
  <c r="E2769" i="2"/>
  <c r="E2770" i="2"/>
  <c r="E2771" i="2"/>
  <c r="E2772" i="2"/>
  <c r="E2773" i="2"/>
  <c r="E2774" i="2"/>
  <c r="E2775" i="2"/>
  <c r="E2776" i="2"/>
  <c r="E2777" i="2"/>
  <c r="E2778" i="2"/>
  <c r="E2779" i="2"/>
  <c r="E2780" i="2"/>
  <c r="E2781" i="2"/>
  <c r="E2782" i="2"/>
  <c r="E2783" i="2"/>
  <c r="E2784" i="2"/>
  <c r="E2785" i="2"/>
  <c r="E2786" i="2"/>
  <c r="E2787" i="2"/>
  <c r="E2788" i="2"/>
  <c r="E2789" i="2"/>
  <c r="E2790" i="2"/>
  <c r="E2791" i="2"/>
  <c r="E2792" i="2"/>
  <c r="E2793" i="2"/>
  <c r="E2794" i="2"/>
  <c r="E2795" i="2"/>
  <c r="E2796" i="2"/>
  <c r="E2797" i="2"/>
  <c r="E2798" i="2"/>
  <c r="E2799" i="2"/>
  <c r="E2800" i="2"/>
  <c r="E2801" i="2"/>
  <c r="E2802" i="2"/>
  <c r="E2803" i="2"/>
  <c r="E2804" i="2"/>
  <c r="E2805" i="2"/>
  <c r="E2806" i="2"/>
  <c r="E2807" i="2"/>
  <c r="E2808" i="2"/>
  <c r="E2809" i="2"/>
  <c r="E2810" i="2"/>
  <c r="E2811" i="2"/>
  <c r="E2812" i="2"/>
  <c r="E2813" i="2"/>
  <c r="E2814" i="2"/>
  <c r="E2815" i="2"/>
  <c r="E2816" i="2"/>
  <c r="E2817" i="2"/>
  <c r="E2818" i="2"/>
  <c r="E2819" i="2"/>
  <c r="E2820" i="2"/>
  <c r="E2821" i="2"/>
  <c r="E2822" i="2"/>
  <c r="E2823" i="2"/>
  <c r="E2824" i="2"/>
  <c r="E2825" i="2"/>
  <c r="E2826" i="2"/>
  <c r="E2827" i="2"/>
  <c r="E2828" i="2"/>
  <c r="E2829" i="2"/>
  <c r="E2830" i="2"/>
  <c r="E2831" i="2"/>
  <c r="E2832" i="2"/>
  <c r="E2833" i="2"/>
  <c r="E2834" i="2"/>
  <c r="E2835" i="2"/>
  <c r="E2836" i="2"/>
  <c r="E2837" i="2"/>
  <c r="E2838" i="2"/>
  <c r="E2839" i="2"/>
  <c r="E2840" i="2"/>
  <c r="E2841" i="2"/>
  <c r="E2842" i="2"/>
  <c r="E2843" i="2"/>
  <c r="E2844" i="2"/>
  <c r="E2845" i="2"/>
  <c r="E2846" i="2"/>
  <c r="E2847" i="2"/>
  <c r="E2848" i="2"/>
  <c r="E2849" i="2"/>
  <c r="E2850" i="2"/>
  <c r="E2851" i="2"/>
  <c r="E2852" i="2"/>
  <c r="E2853" i="2"/>
  <c r="E2854" i="2"/>
  <c r="E2855" i="2"/>
  <c r="E2856" i="2"/>
  <c r="E2857" i="2"/>
  <c r="E2858" i="2"/>
  <c r="E2859" i="2"/>
  <c r="E2860" i="2"/>
  <c r="E2861" i="2"/>
  <c r="E2862" i="2"/>
  <c r="E2863" i="2"/>
  <c r="E2864" i="2"/>
  <c r="E2865" i="2"/>
  <c r="E2866" i="2"/>
  <c r="E2867" i="2"/>
  <c r="E2868" i="2"/>
  <c r="E2869" i="2"/>
  <c r="E2870" i="2"/>
  <c r="E2871" i="2"/>
  <c r="E2872" i="2"/>
  <c r="E2873" i="2"/>
  <c r="E2874" i="2"/>
  <c r="E2875" i="2"/>
  <c r="E2876" i="2"/>
  <c r="E2877" i="2"/>
  <c r="E2878" i="2"/>
  <c r="E2879" i="2"/>
  <c r="E2880" i="2"/>
  <c r="E2881" i="2"/>
  <c r="E2882" i="2"/>
  <c r="E2883" i="2"/>
  <c r="E2884" i="2"/>
  <c r="E2885" i="2"/>
  <c r="E2886" i="2"/>
  <c r="E2887" i="2"/>
  <c r="E2888" i="2"/>
  <c r="E2889" i="2"/>
  <c r="E2890" i="2"/>
  <c r="E2891" i="2"/>
  <c r="E2892" i="2"/>
  <c r="E2893" i="2"/>
  <c r="E2894" i="2"/>
  <c r="E2895" i="2"/>
  <c r="E2896" i="2"/>
  <c r="E2897" i="2"/>
  <c r="E2898" i="2"/>
  <c r="E2899" i="2"/>
  <c r="E2900" i="2"/>
  <c r="E2901" i="2"/>
  <c r="E2902" i="2"/>
  <c r="E2903" i="2"/>
  <c r="E2904" i="2"/>
  <c r="E2905" i="2"/>
  <c r="E2906" i="2"/>
  <c r="E2907" i="2"/>
  <c r="E2908" i="2"/>
  <c r="E2909" i="2"/>
  <c r="E2910" i="2"/>
  <c r="E2911" i="2"/>
  <c r="E2912" i="2"/>
  <c r="E2913" i="2"/>
  <c r="E2914" i="2"/>
  <c r="E2915" i="2"/>
  <c r="E2916" i="2"/>
  <c r="E2917" i="2"/>
  <c r="E2918" i="2"/>
  <c r="E2919" i="2"/>
  <c r="E2920" i="2"/>
  <c r="E2921" i="2"/>
  <c r="E2922" i="2"/>
  <c r="E2923" i="2"/>
  <c r="E2924" i="2"/>
  <c r="E2925" i="2"/>
  <c r="E2926" i="2"/>
  <c r="E2927" i="2"/>
  <c r="E2928" i="2"/>
  <c r="E2929" i="2"/>
  <c r="E2930" i="2"/>
  <c r="E2931" i="2"/>
  <c r="E2932" i="2"/>
  <c r="E2933" i="2"/>
  <c r="E2934" i="2"/>
  <c r="E2935" i="2"/>
  <c r="E2936" i="2"/>
  <c r="E2937" i="2"/>
  <c r="E2938" i="2"/>
  <c r="E2939" i="2"/>
  <c r="E2940" i="2"/>
  <c r="E2941" i="2"/>
  <c r="E2942" i="2"/>
  <c r="E2943" i="2"/>
  <c r="E2944" i="2"/>
  <c r="E2945" i="2"/>
  <c r="E2946" i="2"/>
  <c r="E2947" i="2"/>
  <c r="E2948" i="2"/>
  <c r="E2949" i="2"/>
  <c r="E2950" i="2"/>
  <c r="E2951" i="2"/>
  <c r="E2952" i="2"/>
  <c r="E2953" i="2"/>
  <c r="E2954" i="2"/>
  <c r="E2955" i="2"/>
  <c r="E2956" i="2"/>
  <c r="E2957" i="2"/>
  <c r="E2958" i="2"/>
  <c r="E2959" i="2"/>
  <c r="E2960" i="2"/>
  <c r="E2961" i="2"/>
  <c r="E2962" i="2"/>
  <c r="E2963" i="2"/>
  <c r="E2964" i="2"/>
  <c r="E2965" i="2"/>
  <c r="E2966" i="2"/>
  <c r="E2967" i="2"/>
  <c r="E2968" i="2"/>
  <c r="E2969" i="2"/>
  <c r="E2970" i="2"/>
  <c r="E2971" i="2"/>
  <c r="E2972" i="2"/>
  <c r="E2973" i="2"/>
  <c r="E2974" i="2"/>
  <c r="E2975" i="2"/>
  <c r="E2976" i="2"/>
  <c r="E2977" i="2"/>
  <c r="E2978" i="2"/>
  <c r="E2979" i="2"/>
  <c r="E2980" i="2"/>
  <c r="E2981" i="2"/>
  <c r="E2982" i="2"/>
  <c r="E2983" i="2"/>
  <c r="E2984" i="2"/>
  <c r="E2985" i="2"/>
  <c r="E2986" i="2"/>
  <c r="E2987" i="2"/>
  <c r="E2988" i="2"/>
  <c r="E2989" i="2"/>
  <c r="E2990" i="2"/>
  <c r="E2991" i="2"/>
  <c r="E2992" i="2"/>
  <c r="E2993" i="2"/>
  <c r="E2994" i="2"/>
  <c r="E2995" i="2"/>
  <c r="E2996" i="2"/>
  <c r="E2997" i="2"/>
  <c r="E2998" i="2"/>
  <c r="E2999" i="2"/>
  <c r="E3000" i="2"/>
  <c r="E3001" i="2"/>
  <c r="E3002" i="2"/>
  <c r="E3003" i="2"/>
  <c r="E3004" i="2"/>
  <c r="E3005" i="2"/>
  <c r="E3006" i="2"/>
  <c r="E3007" i="2"/>
  <c r="E3008" i="2"/>
  <c r="E3009" i="2"/>
  <c r="E3010" i="2"/>
  <c r="E3011" i="2"/>
  <c r="E3012" i="2"/>
  <c r="E3013" i="2"/>
  <c r="E3014" i="2"/>
  <c r="E3015" i="2"/>
  <c r="E3016" i="2"/>
</calcChain>
</file>

<file path=xl/sharedStrings.xml><?xml version="1.0" encoding="utf-8"?>
<sst xmlns="http://schemas.openxmlformats.org/spreadsheetml/2006/main" count="21114" uniqueCount="8422">
  <si>
    <t>国名</t>
  </si>
  <si>
    <t>公告期</t>
  </si>
  <si>
    <t>発表日</t>
  </si>
  <si>
    <t>商標番号</t>
  </si>
  <si>
    <t>商標名称</t>
  </si>
  <si>
    <t>申請人</t>
  </si>
  <si>
    <t>商品</t>
  </si>
  <si>
    <t>申請日</t>
  </si>
  <si>
    <t>No.</t>
    <phoneticPr fontId="1"/>
  </si>
  <si>
    <t>中国</t>
  </si>
  <si>
    <t>四川绵竹剑南春酒厂有限公司</t>
  </si>
  <si>
    <t>贵州情景最藏酒业有限公司</t>
  </si>
  <si>
    <t>果酒（含酒精）;蒸馏饮料;葡萄酒;酒精饮料（啤酒除外）;⽩酒;预先混合的酒精饮料（以啤酒为主的除外）;汽酒;⻩酒;烧酒;⽶酒</t>
  </si>
  <si>
    <t>2023/04/04</t>
  </si>
  <si>
    <t>2023/04/21</t>
  </si>
  <si>
    <t>图形</t>
  </si>
  <si>
    <t>贵州珍酒酿酒有限公司</t>
  </si>
  <si>
    <t>酒精饮料（啤酒除外）</t>
  </si>
  <si>
    <t>2023/06/05</t>
  </si>
  <si>
    <t>2023/06/09</t>
  </si>
  <si>
    <t>2023/06/29</t>
  </si>
  <si>
    <t>牧云台</t>
  </si>
  <si>
    <t>浙江土木年华商贸有限公司</t>
  </si>
  <si>
    <t>2023/08/01</t>
  </si>
  <si>
    <t/>
  </si>
  <si>
    <t>2023/09/08</t>
  </si>
  <si>
    <t>2023/09/19</t>
  </si>
  <si>
    <t>2023/10/09</t>
  </si>
  <si>
    <t>2024/02/01</t>
  </si>
  <si>
    <t>2024/02/18</t>
  </si>
  <si>
    <t>⽩酒</t>
  </si>
  <si>
    <t>佳禧多</t>
  </si>
  <si>
    <t>海南佳禧多农业科技有限公司</t>
  </si>
  <si>
    <t>2024/02/26</t>
  </si>
  <si>
    <t>2024/03/01</t>
  </si>
  <si>
    <t>2024/03/04</t>
  </si>
  <si>
    <t>长春广汇农业投资有限公司</t>
  </si>
  <si>
    <t>2024/03/06</t>
  </si>
  <si>
    <t>2024/03/11</t>
  </si>
  <si>
    <t>2024/03/13</t>
  </si>
  <si>
    <t>2024/03/14</t>
  </si>
  <si>
    <t>2024/03/18</t>
  </si>
  <si>
    <t>2024/03/21</t>
  </si>
  <si>
    <t>2024/03/24</t>
  </si>
  <si>
    <t>2024/03/25</t>
  </si>
  <si>
    <t>2024/03/26</t>
  </si>
  <si>
    <t>2024/03/27</t>
  </si>
  <si>
    <t>牛国娥</t>
  </si>
  <si>
    <t>2024/03/29</t>
  </si>
  <si>
    <t>2024/04/01</t>
  </si>
  <si>
    <t>2024/04/02</t>
  </si>
  <si>
    <t>2024/04/03</t>
  </si>
  <si>
    <t>上海茅董酱酒文化发展有限公司</t>
  </si>
  <si>
    <t>2024/04/07</t>
  </si>
  <si>
    <t>2024/04/08</t>
  </si>
  <si>
    <t>2024/04/09</t>
  </si>
  <si>
    <t>2024/04/10</t>
  </si>
  <si>
    <t>贵州京谭酒业有限责任公司</t>
  </si>
  <si>
    <t>陈江滨</t>
  </si>
  <si>
    <t>2024/04/11</t>
  </si>
  <si>
    <t>内蒙古世纪呼白酒业有限责任公司</t>
  </si>
  <si>
    <t>赖世伯</t>
  </si>
  <si>
    <t>2024/04/12</t>
  </si>
  <si>
    <t>2024/04/15</t>
  </si>
  <si>
    <t>2024/04/16</t>
  </si>
  <si>
    <t>2024/04/17</t>
  </si>
  <si>
    <t>贵州第二极酒产业发展有限公司</t>
  </si>
  <si>
    <t>2024/04/18</t>
  </si>
  <si>
    <t>黄阳洋</t>
  </si>
  <si>
    <t>2024/04/19</t>
  </si>
  <si>
    <t>2024/04/22</t>
  </si>
  <si>
    <t>唐益谊</t>
  </si>
  <si>
    <t>2024/04/23</t>
  </si>
  <si>
    <t>程和平</t>
  </si>
  <si>
    <t>2024/04/24</t>
  </si>
  <si>
    <t>2024/04/25</t>
  </si>
  <si>
    <t>2024/04/26</t>
  </si>
  <si>
    <t>丁亚光</t>
  </si>
  <si>
    <t>儋州热农橡胶科技服务有限公司</t>
  </si>
  <si>
    <t>孙连荣</t>
  </si>
  <si>
    <t>2024/04/27</t>
  </si>
  <si>
    <t>贵州金沙毕窖酒业有限公司</t>
  </si>
  <si>
    <t>韩国强</t>
  </si>
  <si>
    <t>徐俊刚</t>
  </si>
  <si>
    <t>智变赢道投资（南京）有限公司</t>
  </si>
  <si>
    <t>2024/04/28</t>
  </si>
  <si>
    <t>李红</t>
  </si>
  <si>
    <t>孟华良</t>
  </si>
  <si>
    <t>2024/04/29</t>
  </si>
  <si>
    <t>葡萄酒</t>
  </si>
  <si>
    <t>德沃斯实业(十堰)有限公司</t>
  </si>
  <si>
    <t>范杰</t>
  </si>
  <si>
    <t>2024/05/06</t>
  </si>
  <si>
    <t>贵州省仁怀市茅台镇衡昌烧坊酿酒有限公司</t>
  </si>
  <si>
    <t>2024/05/07</t>
  </si>
  <si>
    <t>王辉</t>
  </si>
  <si>
    <t>刘利婵</t>
  </si>
  <si>
    <t>李广芬</t>
  </si>
  <si>
    <t>河间市源城厚酿酒有限公司</t>
  </si>
  <si>
    <t>刘颖</t>
  </si>
  <si>
    <t>湖北省石花酿酒股份有限公司</t>
  </si>
  <si>
    <t>谢涛</t>
  </si>
  <si>
    <t>吴登蓉</t>
  </si>
  <si>
    <t>冉瑞瑞</t>
  </si>
  <si>
    <t>胡丽</t>
  </si>
  <si>
    <t>长沙财智友道品牌管理有限公司</t>
  </si>
  <si>
    <t>徐艳</t>
  </si>
  <si>
    <t>山西中安智能科技有限公司</t>
  </si>
  <si>
    <t>方桂荣</t>
  </si>
  <si>
    <t>西咸新区千秋雪传媒有限公司</t>
  </si>
  <si>
    <t>贵州正永和酒业股份有限公司</t>
  </si>
  <si>
    <t>2024/05/08</t>
  </si>
  <si>
    <t>李真真</t>
  </si>
  <si>
    <t>黄川</t>
  </si>
  <si>
    <t>湖北旭牧通农牧供应链有限公司</t>
  </si>
  <si>
    <t>贵州八百科技有限公司</t>
  </si>
  <si>
    <t>美集美嘉(青岛)国际供应链有限公司</t>
  </si>
  <si>
    <t>猇亭区西禾商贸行(个体工商户)</t>
  </si>
  <si>
    <t>胡宏</t>
  </si>
  <si>
    <t>王伟</t>
  </si>
  <si>
    <t>郭双奇</t>
  </si>
  <si>
    <t>2024/05/09</t>
  </si>
  <si>
    <t>贵州创梦酒业有限公司</t>
  </si>
  <si>
    <t>邯郸大曲酒业有限公司</t>
  </si>
  <si>
    <t>龙权</t>
  </si>
  <si>
    <t>张元均</t>
  </si>
  <si>
    <t>徐州国玺酒业有限公司</t>
  </si>
  <si>
    <t>贵州华威保安有限公司</t>
  </si>
  <si>
    <t>曾伟明</t>
  </si>
  <si>
    <t>张广堂</t>
  </si>
  <si>
    <t>汪加豪</t>
  </si>
  <si>
    <t>海南新玺悦尔企业管理集团有限责任公司</t>
  </si>
  <si>
    <t>谢呈御品牌发展(盐城)有限公司</t>
  </si>
  <si>
    <t>播州区伊鲜优品水果铺</t>
  </si>
  <si>
    <t>2024/05/10</t>
  </si>
  <si>
    <t>江山市诚晟商贸有限公司</t>
  </si>
  <si>
    <t>王琛</t>
  </si>
  <si>
    <t>张映周</t>
  </si>
  <si>
    <t>2024/05/11</t>
  </si>
  <si>
    <t>山东百脉泉酒业股份有限公司</t>
  </si>
  <si>
    <t>河北顺牛酒业有限公司</t>
  </si>
  <si>
    <t>王进财</t>
  </si>
  <si>
    <t>青岛汇臻贸易有限公司</t>
  </si>
  <si>
    <t>四川泛亚华行国际贸易有限公司</t>
  </si>
  <si>
    <t>宁夏青铜峡市维加妮酒庄有限公司</t>
  </si>
  <si>
    <t>国科文创发展(深圳)有限公司</t>
  </si>
  <si>
    <t>2024/05/12</t>
  </si>
  <si>
    <t>李杨</t>
  </si>
  <si>
    <t>2024/05/13</t>
  </si>
  <si>
    <t>杜发通</t>
  </si>
  <si>
    <t>谢艾尔</t>
  </si>
  <si>
    <t>汤瑞如</t>
  </si>
  <si>
    <t>李吉红</t>
  </si>
  <si>
    <t>昇菘（中国）超市有限公司</t>
  </si>
  <si>
    <t>王豫明</t>
  </si>
  <si>
    <t>2024/05/14</t>
  </si>
  <si>
    <t>茂名市客嘉贸易有限公司</t>
  </si>
  <si>
    <t>陈晓利</t>
  </si>
  <si>
    <t>北京五谷堂食品有限公司</t>
  </si>
  <si>
    <t>杨浩</t>
  </si>
  <si>
    <t>周昀祺</t>
  </si>
  <si>
    <t>2024/05/15</t>
  </si>
  <si>
    <t>葛洋洋</t>
  </si>
  <si>
    <t>北京文雅之声文化传媒有限公司</t>
  </si>
  <si>
    <t>湖南云犇电子科技有限公司</t>
  </si>
  <si>
    <t>杨茂</t>
  </si>
  <si>
    <t>鼎食源</t>
  </si>
  <si>
    <t>扬州市鼎鑫食品集团有限公司</t>
  </si>
  <si>
    <t>2024/05/19</t>
  </si>
  <si>
    <t>2024/05/28</t>
  </si>
  <si>
    <t>1900</t>
  </si>
  <si>
    <t>2024/8/20</t>
  </si>
  <si>
    <t>八马盒子</t>
  </si>
  <si>
    <t>福建八马茶业有限公司</t>
  </si>
  <si>
    <t>节 逢年过节 节30</t>
  </si>
  <si>
    <t>广德浙祥井盖有限公司</t>
  </si>
  <si>
    <t>淘</t>
  </si>
  <si>
    <t>吴江经济技术开发区优标信息咨询服务部</t>
  </si>
  <si>
    <t>果酒（含酒精）;开胃酒;葡萄酒;蜂蜜酒;⾷⽤酒精;⽶酒;⽩酒;⻩酒;烧酒;利⼝酒</t>
  </si>
  <si>
    <t>2022/08/30</t>
  </si>
  <si>
    <t>塞尚</t>
  </si>
  <si>
    <t>林达光</t>
  </si>
  <si>
    <t>酒精饮料（啤酒除外）;葡萄酒;汽酒;果酒（含酒精）;⻩酒;伏特加酒;⽩兰地;清酒（⽇本⽶酒）;⽩酒;威⼠忌</t>
  </si>
  <si>
    <t>2022/09/05</t>
  </si>
  <si>
    <t>情景 酒 年藏真基龄</t>
  </si>
  <si>
    <t>2022/09/09</t>
  </si>
  <si>
    <t>乐</t>
  </si>
  <si>
    <t>山西杏花村汾酒厂股份有限公司</t>
  </si>
  <si>
    <t>蒸煮提取物（利⼝酒和烈酒）;果酒（含酒精）;蒸馏饮料;鸡尾酒;烧酒;⽩兰地;酒精饮料（啤酒除外）;含⽔果酒精饮料;⽩酒;葡萄酒</t>
  </si>
  <si>
    <t>2022/11/04</t>
  </si>
  <si>
    <t>叁月肆昊</t>
  </si>
  <si>
    <t>三月四昊餐饮管理（北京）有限责任公司</t>
  </si>
  <si>
    <t>酒精饮料（啤酒除外）;含⽔果酒精饮料;⾕物制蒸馏酒精饮料;⻩酒;威⼠忌;果酒（含酒精）;蒸馏饮料;葡萄酒;清酒（⽇本⽶酒）;⾷⽤酒精</t>
  </si>
  <si>
    <t>2022/11/24</t>
  </si>
  <si>
    <t>葡萄酒;酒精饮料（啤酒除外）;果酒（含酒精）;⻩酒;⽩酒;开胃酒;烈酒（饮料）;汽酒;⾷⽤酒精;烧酒</t>
  </si>
  <si>
    <t>2022/11/28</t>
  </si>
  <si>
    <t>泰 福泰安宁</t>
  </si>
  <si>
    <t>贵州东牌酒业有限公司</t>
  </si>
  <si>
    <t>2022/12/01</t>
  </si>
  <si>
    <t>永劫无间</t>
  </si>
  <si>
    <t>网易（杭州）网络有限公司</t>
  </si>
  <si>
    <t>葡萄酒;威⼠忌;酒精饮料（啤酒除外）;⻩酒;清酒（⽇本⽶酒）;⽩酒;含⽔果酒精饮料;利⼝酒;⽶酒;鸡尾酒</t>
  </si>
  <si>
    <t>2023/03/06</t>
  </si>
  <si>
    <t>花苗田</t>
  </si>
  <si>
    <t>贵州遵义花苗田旅游服务有限公司</t>
  </si>
  <si>
    <t>鸡尾酒;烧酒;清酒（⽇本⽶酒）;果酒（含酒精）;⻩酒;酒精饮料（啤酒除外）;⽶酒;⽩酒;葡萄酒;烈酒（饮料）</t>
  </si>
  <si>
    <t>2023/03/27</t>
  </si>
  <si>
    <t>瑞莱星</t>
  </si>
  <si>
    <t>河南瑞莱星生物科技有限公司</t>
  </si>
  <si>
    <t>开胃酒;酒精饮料原汁;酒精饮料浓缩汁;⻩酒;酒精饮料（啤酒除外）;⽶酒;含⽔果酒精饮料;⾕物制蒸馏酒精饮料</t>
  </si>
  <si>
    <t>2023/03/31</t>
  </si>
  <si>
    <t>贵和酿人和</t>
  </si>
  <si>
    <t>李奇</t>
  </si>
  <si>
    <t>酒精饮料原汁;⽩酒;⻩酒;梅酒;开胃酒;蒸煮提取物（利⼝酒和烈酒）;利⼝酒;果酒（含酒精）;葡萄酒;酒精饮料（啤酒除外）</t>
  </si>
  <si>
    <t>西藏松赞绿谷文化旅游有限公司</t>
  </si>
  <si>
    <t>苦味酒;薄荷酒;鸡尾酒;⻩酒;威⼠忌;伏特加酒;⽩酒;烧酒;蒸馏饮料;果酒（含酒精）</t>
  </si>
  <si>
    <t>2023/04/13</t>
  </si>
  <si>
    <t>H-ONE HOW TO BE THE ONE</t>
  </si>
  <si>
    <t>武汉市爱去玩餐饮娱乐有限责任公司</t>
  </si>
  <si>
    <t>起泡⽩葡萄酒;利⼝酒</t>
  </si>
  <si>
    <t>2023/04/20</t>
  </si>
  <si>
    <t>天使冰王</t>
  </si>
  <si>
    <t>天使冰王系统有限责任公司</t>
  </si>
  <si>
    <t>预先混合的酒精饮料（以啤酒为主的除外）;葡萄酒;朗姆酒;⽶酒;含⽔果酒精饮料;酒精饮料（啤酒除外）;以葡萄酒为主的饮料;威⼠忌;杜松⼦酒;⽩兰地</t>
  </si>
  <si>
    <t>悟沁园</t>
  </si>
  <si>
    <t>湖北红色大别山健康产业发展有限公司</t>
  </si>
  <si>
    <t>葡萄酒;⻩酒;含⽔果酒精饮料;果酒（含酒精）;开胃酒;⽩酒;⽶酒;⾷⽤酒精;蜂蜜酒;含酒精的充⽓饮料（啤酒除外）</t>
  </si>
  <si>
    <t>毕迈高国际投资控股集团有限公司</t>
  </si>
  <si>
    <t>蒸馏饮料;含⽔果酒精饮料;⽩兰地;葡萄酒;酒精饮料原汁;果酒（含酒精）;蜂蜜酒;⽩酒;鸡尾酒;苹果酒</t>
  </si>
  <si>
    <t>2023/05/06</t>
  </si>
  <si>
    <t>唐宫皇</t>
  </si>
  <si>
    <t>绵竹市天荣商贸有限责任公司</t>
  </si>
  <si>
    <t>汽酒;果酒（含酒精）;酒精饮料原汁;⻩酒;开胃酒;⽶酒;葡萄酒;⾷⽤酒精;⽩酒;烧酒</t>
  </si>
  <si>
    <t>2023/05/18</t>
  </si>
  <si>
    <t>刀府</t>
  </si>
  <si>
    <t>友善国际控股有限公司</t>
  </si>
  <si>
    <t>酒精饮料（啤酒除外）;⻩酒;葡萄酒;⽩酒;烈酒（饮料）;清酒;鸡尾酒;烧酒;果酒（含酒精）;⽶酒</t>
  </si>
  <si>
    <t>2023/05/24</t>
  </si>
  <si>
    <t>贵州研牌酒业有限公司</t>
  </si>
  <si>
    <t>⻩酒;烧酒;葡萄酒;预先混合的酒精饮料（以啤酒为主的除外）;⽶酒;⽩酒;果酒（含酒精）;蒸馏饮料;酒精饮料（啤酒除外）;汽酒</t>
  </si>
  <si>
    <t>2023/05/29</t>
  </si>
  <si>
    <t>万川汇泽</t>
  </si>
  <si>
    <t>福建万川电子商务服务有限公司</t>
  </si>
  <si>
    <t>蒸馏饮料;威⼠忌;⽩酒;葡萄酒;鸡尾酒;⽩兰地;烈酒（饮料）;烧酒;果酒（含酒精）;⽶酒</t>
  </si>
  <si>
    <t>2023/05/31</t>
  </si>
  <si>
    <t>陕西乾唐实业有限公司</t>
  </si>
  <si>
    <t>汽酒;⻩酒;蒸煮提取物（利⼝酒和烈酒）;⽶酒;烧酒;果酒（含酒精）;葡萄酒;清酒;⽩酒;⻘稞酒</t>
  </si>
  <si>
    <t>2023/06/02</t>
  </si>
  <si>
    <t>中润华泉酿</t>
  </si>
  <si>
    <t>中润华宇建筑工程（北京）有限公司</t>
  </si>
  <si>
    <t>⾕物制蒸馏酒精饮料;酒精饮料（啤酒除外）;酒精饮料原汁;⽶酒;酒精饮料浓缩汁;⻩酒;开胃酒;⽩兰地;烈酒（饮料）;⽩酒</t>
  </si>
  <si>
    <t>冷兵器</t>
  </si>
  <si>
    <t>泸州巨划算商贸有限公司</t>
  </si>
  <si>
    <t>葡萄酒;威⼠忌;烧酒;⻩酒;⽶酒;⾷⽤酒精;汽酒;伏特加酒;果酒（含酒精）;⽩酒</t>
  </si>
  <si>
    <t>七星珍</t>
  </si>
  <si>
    <t>王爽</t>
  </si>
  <si>
    <t>威⼠忌;葡萄酒;酒精饮料（啤酒除外）;⽶酒;⽩酒;鸡尾酒;⽩兰地;⻩酒;果酒（含酒精）;预先混合的酒精饮料（以啤酒为主的除外）</t>
  </si>
  <si>
    <t>忻酒</t>
  </si>
  <si>
    <t>山西晋人造酒坊有限公司</t>
  </si>
  <si>
    <t>⽩酒;酒精饮料（啤酒除外）;含⽔果酒精饮料;威⼠忌;⾷⽤酒精;⽶酒;烧酒（烈酒）;开胃酒;葡萄酒;⻩酒</t>
  </si>
  <si>
    <t>2023/07/03</t>
  </si>
  <si>
    <t>满湖春</t>
  </si>
  <si>
    <t>湖北满湖春酒业有限责任公司</t>
  </si>
  <si>
    <t>利⼝酒;烧酒;由⾕物蒸馏的⽩酒;⽩酒;含酒精的饮料（啤酒除外）;⾕物制蒸馏酒精饮料;烈酒;⾼粱酒;⽢蔗制酒精饮料;朗姆酒</t>
  </si>
  <si>
    <t>2023/07/10</t>
  </si>
  <si>
    <t>贵州西部荒野酒业有限公司</t>
  </si>
  <si>
    <t>果酒（含酒精）;葡萄酒;开胃酒;酒精饮料（啤酒除外）;利⼝酒;⽶酒;烈酒;⽩酒;鸡尾酒;烧酒</t>
  </si>
  <si>
    <t>2023/07/26</t>
  </si>
  <si>
    <t>清河桥</t>
  </si>
  <si>
    <t>范国润</t>
  </si>
  <si>
    <t>⻩酒;⽩酒;果酒（含酒精）;鸡尾酒;露酒;⽩兰地;果酒;烧酒;⾼粱酒;葡萄酒</t>
  </si>
  <si>
    <t>蜀道彡</t>
  </si>
  <si>
    <t>四川省岳池银泰投资（控股）有限公司</t>
  </si>
  <si>
    <t>烈酒;⾼粱酒;⽩⼲酒（中国⽩酒）;葡萄酒;⻩酒;⽩酒;⽼酒（中国蒸馏烈酒）;酒精饮料浓缩汁;烧酒;⽶酒</t>
  </si>
  <si>
    <t>2023/08/17</t>
  </si>
  <si>
    <t>杜牧</t>
  </si>
  <si>
    <t>山西省汾阳市杜牧酒庄有限公司</t>
  </si>
  <si>
    <t>酒精饮料（啤酒除外）;⽶酒;酒精饮料原汁;果酒;⻩酒;烈酒（饮料）;含⽔果酒精饮料;烧酒;⻘稞酒;⽩酒</t>
  </si>
  <si>
    <t>2023/08/21</t>
  </si>
  <si>
    <t>烈酒（饮料）;酒精饮料原汁;果酒;⽩酒;⽶酒;含⽔果酒精饮料;⻘稞酒;酒精饮料（啤酒除外）;⻩酒;烧酒</t>
  </si>
  <si>
    <t>听酒花</t>
  </si>
  <si>
    <t>山东代国环保设备工程有限公司</t>
  </si>
  <si>
    <t>威⼠忌;苹果酒;⽶酒;葡萄酒;果酒（含酒精）;酒精饮料（啤酒除外）;烧酒;⽩酒;清酒（⽇本⽶酒）;⻘稞酒</t>
  </si>
  <si>
    <t>2023/08/29</t>
  </si>
  <si>
    <t>爱之初金牛湖</t>
  </si>
  <si>
    <t>南京金牛湖金山农业科技有限公司</t>
  </si>
  <si>
    <t>果酒（含酒精）;⽶酒;以葡萄酒为主的饮料;烈酒;红葡萄酒;果酒;葡萄酒;烧酒（烈酒）;⽩酒;⽩葡萄酒</t>
  </si>
  <si>
    <t>香特露庄园</t>
  </si>
  <si>
    <t>马爹利股份有限公司</t>
  </si>
  <si>
    <t>2023/09/15</t>
  </si>
  <si>
    <t>元火火</t>
  </si>
  <si>
    <t>安徽元瑾富贵信息技术有限公司</t>
  </si>
  <si>
    <t>果酒（含酒精）;甜酒;含酒精的饮料（啤酒除外）;含⽔果酒精饮料;烈酒;⽼酒（中国蒸馏烈酒）;果酒;⾕物制蒸馏酒精饮料;烈酒（饮料）;⽩酒</t>
  </si>
  <si>
    <t>2023/09/18</t>
  </si>
  <si>
    <t>仙窖金鹤</t>
  </si>
  <si>
    <t>深圳市欧美联电子科技有限公司</t>
  </si>
  <si>
    <t>甜酒;⾕物制蒸馏酒精饮料;苦荞酒;⾼粱酒;⽶酒;果酒（含酒精）;⽩酒;烈酒;以葡萄酒为主的饮料;蒸馏饮料</t>
  </si>
  <si>
    <t>馥匠</t>
  </si>
  <si>
    <t>黄小明</t>
  </si>
  <si>
    <t>烈酒;⽩酒;清酒（⽇本⽶酒）;开胃酒;鸡尾酒;酒精饮料（啤酒除外）;葡萄酒;威⼠忌;果酒（含酒精）;⻩酒</t>
  </si>
  <si>
    <t>金宝门</t>
  </si>
  <si>
    <t>深圳市华电光明投资有限公司</t>
  </si>
  <si>
    <t>⽩酒;开胃酒;威⼠忌;葡萄酒;烈酒（饮料）;蒸馏饮料;⽩兰地;果酒（含酒精）;伏特加酒;鸡尾酒</t>
  </si>
  <si>
    <t>2023/09/27</t>
  </si>
  <si>
    <t>大冶市养心殿餐饮馆</t>
  </si>
  <si>
    <t>烧酒;蒸馏饮料;果酒（含酒精）;葡萄酒;⻩酒;⽩酒;酒精饮料（啤酒除外）;⽶酒;汽酒;预先混合的酒精饮料（以啤酒为主的除外）</t>
  </si>
  <si>
    <t>昌酒 天禄永昌</t>
  </si>
  <si>
    <t>贵州情景酒业有限公司</t>
  </si>
  <si>
    <t>葡萄酒;酒精饮料（啤酒除外）;⽶酒;烧酒;汽酒;预先混合的酒精饮料（以啤酒为主的除外）;⻩酒;果酒（含酒精）;蒸馏饮料;⽩酒</t>
  </si>
  <si>
    <t>2023/10/16</t>
  </si>
  <si>
    <t>美缇克</t>
  </si>
  <si>
    <t>英维沃柯迪雅</t>
  </si>
  <si>
    <t>葡萄酒;酒精饮料（啤酒除外）</t>
  </si>
  <si>
    <t>2023/12/01</t>
  </si>
  <si>
    <t>湘缃</t>
  </si>
  <si>
    <t>湖南湘温企业管理集团有限公司</t>
  </si>
  <si>
    <t>⽩酒;樱桃酒;果酒（含酒精）;⽩兰地;朗姆酒;烧酒;⻩酒;葡萄酒;⽶酒;烈酒（饮料）</t>
  </si>
  <si>
    <t>2023/12/27</t>
  </si>
  <si>
    <t>红烨烨</t>
  </si>
  <si>
    <t>湖南红烨烨影视有限公司</t>
  </si>
  <si>
    <t>烈酒（饮料）;果酒;⽶酒;烧酒;蒸馏饮料;⻩酒;烧酒（烈酒）;甜酒;含酒精的饮料（啤酒除外）;葡萄酒</t>
  </si>
  <si>
    <t>上海李妮可品牌管理集团有限公司</t>
  </si>
  <si>
    <t>含酒精的⽓泡⽔;苹果酒;葡萄酒;烈酒（饮料）;⽩酒;果酒（含酒精）;威⼠忌;酒精饮料（啤酒除外）;鸡尾酒;⽩兰地</t>
  </si>
  <si>
    <t>2024/01/07</t>
  </si>
  <si>
    <t>扎西翁加</t>
  </si>
  <si>
    <t>鸡尾酒;果酒（含酒精）;⽩酒;⽶酒;⻩酒;酒精饮料浓缩汁;伏特加酒;葡萄酒;⻘稞酒;薄荷酒</t>
  </si>
  <si>
    <t>2024/01/13</t>
  </si>
  <si>
    <t>华润万象城</t>
  </si>
  <si>
    <t>华润知识产权管理有限公司</t>
  </si>
  <si>
    <t>⽩酒;果酒（含酒精）;蒸馏饮料;葡萄酒;⾷⽤酒精;清酒（⽇本⽶酒）;酒精饮料原汁;酒精饮料浓缩汁;酒精饮料（啤酒除外）;烈酒（饮料）</t>
  </si>
  <si>
    <t>2024/01/24</t>
  </si>
  <si>
    <t>十全</t>
  </si>
  <si>
    <t>菲渡（海南）健康产业有限公司</t>
  </si>
  <si>
    <t>含酒精的饮料（啤酒除外）;混合威⼠忌酒;露酒;果酒（含酒精）;⾼粱酒;预先混合的酒精饮料（以啤酒为主的除外）;以葡萄酒为主的饮料;⻩酒;⽩酒;威⼠忌</t>
  </si>
  <si>
    <t>2024/01/25</t>
  </si>
  <si>
    <t>FORMULA 1</t>
  </si>
  <si>
    <t>一级方程式许可公司</t>
  </si>
  <si>
    <t>酒精饮料（啤酒除外）;⽩⼲酒（中国⽩酒）;茴芹酒（利⼝酒）;茴⾹酒;开胃酒;亚⼒酒;蒸馏饮料;鸡尾酒;蒸煮提取物（利⼝酒和烈酒）;烈酒;果酒（含酒精）;杜松⼦酒;樱桃酒;利⼝酒;朗姆酒;清酒（⽇本⽶酒）;苹果酒;葡萄酒;起泡红葡萄酒;伏特加酒;起泡⽩葡萄酒;⽔果汽酒;天然汽酒;威⼠忌;⽶酒</t>
  </si>
  <si>
    <t>跃龙呈祥</t>
  </si>
  <si>
    <t>临沂正强商贸有限公司</t>
  </si>
  <si>
    <t>⻩酒;葡萄酒;⽩酒;汽酒;酒精饮料（啤酒除外）;果酒;⽶酒;含⽔果酒精饮料;烈酒;威⼠忌</t>
  </si>
  <si>
    <t>2024/02/06</t>
  </si>
  <si>
    <t>旧时回忆 老白干</t>
  </si>
  <si>
    <t>姜兆斌</t>
  </si>
  <si>
    <t>⾼粱酒;⽩酒;⽩⼲酒（中国⽩酒）;烈性⼲酒;由⾕物蒸馏的⽩酒;⽼酒（中国蒸馏烈酒）;烈酒（饮料）;烧酒;烧酒（烈酒）;烈酒</t>
  </si>
  <si>
    <t>乐选商贸</t>
  </si>
  <si>
    <t>邯郸市乐选商贸有限公司</t>
  </si>
  <si>
    <t>果酒（含酒精）;伏特加酒;苦味酒;酒精饮料（啤酒除外）;⻩酒;烧酒;⽩酒;鸡尾酒;葡萄酒;⽶酒</t>
  </si>
  <si>
    <t>2024/02/23</t>
  </si>
  <si>
    <t>AITO</t>
  </si>
  <si>
    <t>深圳市九霄酒业有限公司</t>
  </si>
  <si>
    <t>烧酒;鸡尾酒;开胃酒;清酒（⽇本⽶酒）;⽩兰地;伏特加酒;威⼠忌;薄荷酒;葡萄酒;⽩酒</t>
  </si>
  <si>
    <t>手妖</t>
  </si>
  <si>
    <t>陈小鹏</t>
  </si>
  <si>
    <t>蒸馏饮料;含⽔果酒精饮料;⻩酒;⽩酒;⽶酒;酒精饮料（啤酒除外）;果酒（含酒精）;葡萄酒;威⼠忌;⽩兰地</t>
  </si>
  <si>
    <t>三溪 黄石坝</t>
  </si>
  <si>
    <t>四川泸州三溪酒厂有限公司</t>
  </si>
  <si>
    <t>烈酒（饮料）;预先混合的酒精饮料（以啤酒为主的除外）;⾷⽤酒精;⽩兰地;葡萄酒;烧酒;⽼酒（中国蒸馏烈酒）;⽩酒;酒精饮料（啤酒除外）;鸡尾酒</t>
  </si>
  <si>
    <t>鲜享市集</t>
  </si>
  <si>
    <t>河南鲜享市集信息科技有限公司</t>
  </si>
  <si>
    <t>薄荷酒;果酒（含酒精）;开胃酒;苹果酒;茴芹酒（利⼝酒）;茴⾹酒（利⼝酒）;鸡尾酒;苦味酒</t>
  </si>
  <si>
    <t>吉八乐</t>
  </si>
  <si>
    <t>果酒（含酒精）;⽶酒;汽酒;⽩酒;⾷⽤酒精;⽼酒（中国蒸馏烈酒）;⻩酒;烧酒;蒸煮提取物（利⼝酒和烈酒）;含酒精的饮料（啤酒除外）</t>
  </si>
  <si>
    <t>XC XINCHU</t>
  </si>
  <si>
    <t>绍兴鑫矗进出口有限公司</t>
  </si>
  <si>
    <t>果酒（含酒精）;⽩兰地;酒精饮料原汁;⽶酒;⽩酒;葡萄酒;烧酒;汽酒;⻩酒;⾷⽤酒精</t>
  </si>
  <si>
    <t>囊廓</t>
  </si>
  <si>
    <t>大昭寺</t>
  </si>
  <si>
    <t>酒精饮料（啤酒除外）;⻘稞酒;葡萄酒;清酒（⽇本⽶酒）;⽩酒;果酒（含酒精）;鸡尾酒;烈酒（饮料）;含⽔果酒精饮料;⽶酒</t>
  </si>
  <si>
    <t>海楚</t>
  </si>
  <si>
    <t>海南海楚科技有限公司</t>
  </si>
  <si>
    <t>⻩酒;鸡尾酒;果酒;⽩⼲酒（中国⽩酒）;葡萄酒;⽶酒;⽩酒;露酒;清酒;汽酒</t>
  </si>
  <si>
    <t>2024/03/12</t>
  </si>
  <si>
    <t>橙女郎 ORANGE GIRL</t>
  </si>
  <si>
    <t>中国无形资产研究院</t>
  </si>
  <si>
    <t>果酒（含酒精）;葡萄酒;清酒;含⽔果酒精饮料;⻩酒;蒸馏饮料;薄荷酒;蜂蜜酒;⽶酒;开胃酒</t>
  </si>
  <si>
    <t>卧塘措（湖）</t>
  </si>
  <si>
    <t>葡萄酒;清酒（⽇本⽶酒）;含⽔果酒精饮料;酒精饮料（啤酒除外）;⽩酒;果酒（含酒精）;鸡尾酒;烈酒（饮料）;⻘稞酒;⽶酒</t>
  </si>
  <si>
    <t>酒弓道</t>
  </si>
  <si>
    <t>厚浪啤酒酿造（浙江）股份有限公司</t>
  </si>
  <si>
    <t>含酒精的气泡水;果酒（含酒精）;果酒;含酒精的鸡尾酒混合饮品</t>
  </si>
  <si>
    <t>开源好日子</t>
  </si>
  <si>
    <t>济南近升昌商贸有限公司</t>
  </si>
  <si>
    <t>果酒（含酒精）;葡萄酒;烈酒（饮料）;清酒（⽇本⽶酒）;⻩酒;汽酒;樱桃酒;⽶酒;⽩酒;烧酒</t>
  </si>
  <si>
    <t>琛元堂</t>
  </si>
  <si>
    <t>合肥松颐堂健康管理有限公司</t>
  </si>
  <si>
    <t>源之初</t>
  </si>
  <si>
    <t>戴安明</t>
  </si>
  <si>
    <t>⾼粱酒;⻘稞酒;⽶酒;清酒;葡萄酒;烧酒;⻩酒;⽩酒</t>
  </si>
  <si>
    <t>2024/03/15</t>
  </si>
  <si>
    <t>田木成果</t>
  </si>
  <si>
    <t>陈勇成</t>
  </si>
  <si>
    <t>果酒（含酒精）;⽶酒;含酒精⽔果饮料;清酒;以葡萄酒为主的饮料;烧酒;烧酒（烈酒）;果酒;葡萄酒;甜果酒</t>
  </si>
  <si>
    <t>中文投</t>
  </si>
  <si>
    <t>西安中文投文化产业投资集团有限公司</t>
  </si>
  <si>
    <t>烈酒（饮料）;⽶酒;葡萄酒;烧酒;⽩兰地;酒精饮料原汁;⽩酒;鸡尾酒;威⼠忌;果酒（含酒精）</t>
  </si>
  <si>
    <t>2024/03/19</t>
  </si>
  <si>
    <t>全味族</t>
  </si>
  <si>
    <t>江苏春桥科技有限公司</t>
  </si>
  <si>
    <t>葡萄酒;清酒;⻩酒;⽩兰地;威⼠忌;伏特加酒;果酒;⽶酒;烧酒;⽩酒</t>
  </si>
  <si>
    <t>2024/03/20</t>
  </si>
  <si>
    <t>鸡尾酒;⽩酒;含酒精的饮料（啤酒除外）;葡萄酒;含酒精⽔果饮料;⽶酒;含⽔果酒精饮料;⽔果汽酒;果酒;蒸馏饮料</t>
  </si>
  <si>
    <t>并州坊</t>
  </si>
  <si>
    <t>张念国</t>
  </si>
  <si>
    <t>⽶酒;⻘稞酒;果酒（含酒精）;开胃酒;烧酒;葡萄酒;利⼝酒;烈酒（饮料）;⽩酒;鸡尾酒</t>
  </si>
  <si>
    <t>LANPENG WINE INDUSTRY</t>
  </si>
  <si>
    <t>贵州省蓝鹏酒业有限责任公司</t>
  </si>
  <si>
    <t>果酒（含酒精）;酒精饮料（啤酒除外）;⽶酒;⽩酒;⻩酒;樱桃酒;以葡萄酒为主的饮料;酸酒（低等葡萄酒）;烧酒;蜂蜜酒</t>
  </si>
  <si>
    <t>双胡杨 KOX TOGRAK</t>
  </si>
  <si>
    <t>艾则孜江·沙依木</t>
  </si>
  <si>
    <t>红葡萄酒;葡萄酒;⽩兰地;以葡萄酒为主的饮料;天然汽酒;果酒;苹果酒;梨酒;⽔果汽酒;⽩酒</t>
  </si>
  <si>
    <t>Y</t>
  </si>
  <si>
    <t>北京耀福餐饮管理有限公司</t>
  </si>
  <si>
    <t>汽酒;桑格利亚汽酒;红葡萄酒;清酒（⽇本⽶酒）;葡萄汽酒;⽩葡萄酒;葡萄酒;含酒精的饮料（啤酒除外）;苹果酒;⻘梅酒</t>
  </si>
  <si>
    <t>同创</t>
  </si>
  <si>
    <t>贵州千园同创酒业有限公司</t>
  </si>
  <si>
    <t>烈酒;烧酒;⽩⼲酒（中国⽩酒）;⾼粱酒;果酒;⽶酒;⻩酒;⽩酒;⽼酒（中国蒸馏烈酒）;葡萄酒</t>
  </si>
  <si>
    <t>葡萄酒;烧酒;⻩酒;⽩⼲酒（中国⽩酒）;果酒;⽩酒;⽼酒（中国蒸馏烈酒）;⾼粱酒;烈酒;⽶酒</t>
  </si>
  <si>
    <t>恬品荟</t>
  </si>
  <si>
    <t>扬州浩宏人力资源有限公司</t>
  </si>
  <si>
    <t>苹果酒;樱桃酒;⽶酒;⽩酒;含⽔果酒精饮料;⻘稞酒;⻩酒;⾷⽤酒精;鸡尾酒;汽酒</t>
  </si>
  <si>
    <t>金耀洲</t>
  </si>
  <si>
    <t>大姚金耀洲农业有限公司</t>
  </si>
  <si>
    <t>薄荷酒;开胃酒;烧酒;清酒;⽩酒;⻩酒;果酒（含酒精）;苦味酒;⽶酒;⽼酒（中国蒸馏烈酒）</t>
  </si>
  <si>
    <t>庐泉绿珍</t>
  </si>
  <si>
    <t>通书院村经济合作社</t>
  </si>
  <si>
    <t>蒸馏饮料;⽩酒;酒精饮料（啤酒除外）;葡萄酒;酒精饮料原汁;⽶酒;烈酒（饮料）;含酒精⽔果饮料;果酒（含酒精）;⾕物制蒸馏酒精饮料</t>
  </si>
  <si>
    <t>仁怀市酱酒产业协会</t>
  </si>
  <si>
    <t>烧酒;威士忌;果酒（含酒精）;谷物制蒸馏酒精饮料;鸡尾酒;米酒;葡萄酒;酒精饮料（啤酒除外）;白酒;烈酒（饮料）</t>
  </si>
  <si>
    <t>云鼎天</t>
  </si>
  <si>
    <t>彭桂兰</t>
  </si>
  <si>
    <t>酒精饮料（啤酒除外）;烧酒;⽶酒;鸡尾酒;威⼠忌;果酒（含酒精）;⽩酒;烈酒（饮料）;⽩兰地;葡萄酒</t>
  </si>
  <si>
    <t>潮汕阿圆</t>
  </si>
  <si>
    <t>刘丁烁</t>
  </si>
  <si>
    <t>果酒（含酒精）;酒精饮料原汁;⽩酒;葡萄酒;伏特加酒;酒精饮料（啤酒除外）;朗姆酒;⻩酒;含⽔果酒精饮料;⽶酒</t>
  </si>
  <si>
    <t>谷润香</t>
  </si>
  <si>
    <t>岳阳市炬发建筑工程有限公司</t>
  </si>
  <si>
    <t>清酒;⻩酒;烧酒;葡萄酒;⾕物制蒸馏酒精饮料;含酒精的⽓泡⽔;⽩酒;果酒;⽶酒;开胃酒</t>
  </si>
  <si>
    <t>挞车里</t>
  </si>
  <si>
    <t>广州春玺贸易有限公司</t>
  </si>
  <si>
    <t>餐后酒（利⼝酒和烈酒）;果酒（含酒精）;鸡尾酒;⽩酒;朗姆酒;清酒（⽇本⽶酒）;葡萄酒;⽶酒;露酒;烈酒（饮料）</t>
  </si>
  <si>
    <t>挞车哩</t>
  </si>
  <si>
    <t>清酒（⽇本⽶酒）;果酒（含酒精）;鸡尾酒;烈酒（饮料）;露酒;葡萄酒;朗姆酒;餐后酒（利⼝酒和烈酒）;⽶酒;⽩酒</t>
  </si>
  <si>
    <t>吾来福</t>
  </si>
  <si>
    <t>北京欧来孚技术有限公司</t>
  </si>
  <si>
    <t>⻩酒;⽩酒;葡萄酒</t>
  </si>
  <si>
    <t>御临坊</t>
  </si>
  <si>
    <t>河南道禾酒业有限公司</t>
  </si>
  <si>
    <t>酒精饮料（啤酒除外）;鸡尾酒;葡萄酒;开胃酒;酒精饮料原汁;⽶酒;⻩酒;⽩酒;烈酒（饮料）;果酒（含酒精）</t>
  </si>
  <si>
    <t>湫</t>
  </si>
  <si>
    <t>李张峰</t>
  </si>
  <si>
    <t>鸡尾酒;⽶酒;⽩酒;⽔果汽酒;威⼠忌;⻩酒;果酒（含酒精）;葡萄酒;烧酒;开胃酒</t>
  </si>
  <si>
    <t>青之悠</t>
  </si>
  <si>
    <t>黄观球</t>
  </si>
  <si>
    <t>⻩酒;⽩酒;甜酒;葡萄酒;以朗姆酒为主的饮料;果酒（含酒精）;果酒;佐餐酒;以葡萄酒为主的饮料;⾷⽤酒精</t>
  </si>
  <si>
    <t>曼芝 MAISONNSGE</t>
  </si>
  <si>
    <t>广州菲利喜亚贸易有限公司</t>
  </si>
  <si>
    <t>鸡尾酒;蜂蜜酒;汽酒;朗姆酒;⽩兰地;蒸煮提取物（利⼝酒和烈酒）;威⼠忌;烈酒;葡萄酒;果酒（含酒精）</t>
  </si>
  <si>
    <t>耕义堂</t>
  </si>
  <si>
    <t>安徽省晟源生物科技有限公司</t>
  </si>
  <si>
    <t>蒸馏饮料;果酒（含酒精）</t>
  </si>
  <si>
    <t>派特优</t>
  </si>
  <si>
    <t>岭先</t>
  </si>
  <si>
    <t>湛江市岭先酒业有限公司</t>
  </si>
  <si>
    <t>⽼酒（中国蒸馏烈酒）;烈酒;清酒（⽇本⽶酒）;果酒（含酒精）;甜酒;⽩⼲酒（中国⽩酒）;⽶酒;⽩酒;露酒;果酒</t>
  </si>
  <si>
    <t>GOLUERCH</t>
  </si>
  <si>
    <t>蓬莱斯玛歌酒业有限公司</t>
  </si>
  <si>
    <t>苹果酒;⽩兰地;威⼠忌;果酒（含酒精）;⻩酒;酒精饮料（啤酒除外）;葡萄酒;烧酒;⽩酒;酒精饮料原汁</t>
  </si>
  <si>
    <t>间台坊 给人间一瓶M台镇酒</t>
  </si>
  <si>
    <t>张文永</t>
  </si>
  <si>
    <t>威⼠忌;烈酒;开胃酒;利⼝酒;⾼粱酒;⽩葡萄酒;伏特加酒;朗姆酒;⽩酒;果酒（含酒精）</t>
  </si>
  <si>
    <t>银发班长</t>
  </si>
  <si>
    <t>深圳宇鑫管理咨询有限公司</t>
  </si>
  <si>
    <t>葡萄酒;烈酒（饮料）;黄酒;酒精饮料（啤酒除外）;烧酒;果酒（含酒精）;鸡尾酒;米酒;蒸馏饮料;白酒</t>
  </si>
  <si>
    <t>悠酒都（昆山）电子商务有限公司</t>
  </si>
  <si>
    <t>⽩酒;汽酒;露酒;葡萄酒;清酒;烧酒;果酒;⻩酒;⽼酒（中国蒸馏烈酒）;⽶酒</t>
  </si>
  <si>
    <t>藩龙号</t>
  </si>
  <si>
    <t>章林杰</t>
  </si>
  <si>
    <t>酒精饮料（啤酒除外）;⻩酒;⽩酒;⾼粱酒;烧酒;⽼酒（中国蒸馏烈酒）;葡萄酒;⽶酒;烈酒;果酒（含酒精）</t>
  </si>
  <si>
    <t>华安星</t>
  </si>
  <si>
    <t>黑龙江北国颂酒业有限公司</t>
  </si>
  <si>
    <t>汽酒;⽶酒;⽩酒;酒精饮料（啤酒除外）;蜂蜜酒;果酒;⽼酒（中国蒸馏烈酒）;烈酒（饮料）;葡萄酒;烧酒</t>
  </si>
  <si>
    <t>海之棠</t>
  </si>
  <si>
    <t>南京海之棠供应链管理有限公司</t>
  </si>
  <si>
    <t>含酒精的饮料（啤酒除外）;威⼠忌;⽶酒;葡萄酒;伏特加酒;果酒（含酒精）;⽩兰地;⻩酒;⽩酒;清酒</t>
  </si>
  <si>
    <t>星华安</t>
  </si>
  <si>
    <t>⽼酒（中国蒸馏烈酒）;葡萄酒;⽩酒;果酒;烈酒（饮料）;酒精饮料（啤酒除外）;烧酒;⽶酒;汽酒;蜂蜜酒</t>
  </si>
  <si>
    <t>花溪兰花山 HUA XI LAN HUA NSHAN</t>
  </si>
  <si>
    <t>贵阳市花溪兰花山酒厂</t>
  </si>
  <si>
    <t>⾼粱酒;烈酒;清酒;⽶酒;鸡尾酒;烈酒（饮料）;⽩酒;⻩酒;⽩⼲酒（中国⽩酒）;葡萄酒</t>
  </si>
  <si>
    <t>MOMANE</t>
  </si>
  <si>
    <t>高志强</t>
  </si>
  <si>
    <t>利⼝酒;果酒;露酒;鸡尾酒;⻘梅酒;甜酒;清酒;清酒（⽇本⽶酒）;⽶酒;梅酒</t>
  </si>
  <si>
    <t>贵州镇选严品酒业有限公司</t>
  </si>
  <si>
    <t>⽩⼲酒（中国⽩酒）;葡萄酒;鸡尾酒;⾼粱酒;烈酒（饮料）;⽩酒;果酒;酒精饮料（啤酒除外）;⽼酒（中国蒸馏烈酒）;烈酒</t>
  </si>
  <si>
    <t>桂花岛</t>
  </si>
  <si>
    <t>四川金水坊酒业股份有限公司</t>
  </si>
  <si>
    <t>⽩酒;葡萄酒;果酒;⾼粱酒;蒸煮提取物（利⼝酒和烈酒）;⽼酒（中国蒸馏烈酒）;由⾕物蒸馏的⽩酒;烈酒;烧酒;⽩⼲酒（中国⽩酒）</t>
  </si>
  <si>
    <t>天南地北</t>
  </si>
  <si>
    <t>昆明京京香料厂</t>
  </si>
  <si>
    <t>⽶酒;⽩⼲酒（中国⽩酒）;红葡萄酒;烈性⼲酒;果酒（含酒精）;烧酒;⻩酒;⽩酒;烧酒（烈酒）;威末酒</t>
  </si>
  <si>
    <t>九宁</t>
  </si>
  <si>
    <t>山西兰花青酒业有限公司</t>
  </si>
  <si>
    <t>由⾕物蒸馏的⽩酒;⾼粱酒;⽩⼲酒（中国⽩酒）;果酒（含酒精）;烧酒;烈酒（饮料）;⽼酒（中国蒸馏烈酒）;露酒;⽩酒;烧酒（烈酒）</t>
  </si>
  <si>
    <t>南通市穆义丰酒坊有限公司</t>
  </si>
  <si>
    <t>果酒（含酒精）;葡萄酒;开胃酒;鸡尾酒;烧酒;酒精饮料浓缩汁;酒精饮料（啤酒除外）;⻩酒;⽩酒;⽶酒</t>
  </si>
  <si>
    <t>金六春</t>
  </si>
  <si>
    <t>⽩酒;烧酒;含⽔果酒精饮料;苦味酒;烧酒（烈酒）;⽩⼲酒（中国⽩酒）;开胃酒;鸡尾酒;果酒;葡萄酒</t>
  </si>
  <si>
    <t>秤象</t>
  </si>
  <si>
    <t>杨旭</t>
  </si>
  <si>
    <t>开胃酒;烧酒;⻩酒;鸡尾酒;⽶酒;葡萄酒;烈酒（饮料）;含⽔果酒精饮料;⽩酒;利⼝酒</t>
  </si>
  <si>
    <t>路易宝哥金尊</t>
  </si>
  <si>
    <t>肇庆野象电子商务有限公司</t>
  </si>
  <si>
    <t>葡萄酒;⽩酒;烈酒;酒精饮料（啤酒除外）;⽶酒;茴⾹酒;利⼝酒;威⼠忌;⽩兰地;清酒</t>
  </si>
  <si>
    <t>ANGEL BIRD</t>
  </si>
  <si>
    <t>北京恒特优选贸易有限公司</t>
  </si>
  <si>
    <t>葡萄酒;威⼠忌;杜松⼦酒;酒精饮料（啤酒除外）;伏特加酒;烈酒（饮料）;卡沙萨酒;⽩兰地;利⼝酒;朗姆酒</t>
  </si>
  <si>
    <t>川工</t>
  </si>
  <si>
    <t>四川睿玖电子商务有限公司</t>
  </si>
  <si>
    <t>利⼝酒;威⼠忌;葡萄酒;汽酒;⻩酒;⽩酒;烧酒;含⽔果酒精饮料;⾷⽤酒精;⽶酒</t>
  </si>
  <si>
    <t>黔王</t>
  </si>
  <si>
    <t>贵州黔王匠王台酿酒有限公司</t>
  </si>
  <si>
    <t>蜂蜜酒;含⽔果酒精饮料;葡萄酒;清酒（⽇本⽶酒）;烈酒;⽼酒（中国蒸馏烈酒）;⻩酒;⽩酒;烧酒;酒精饮料（啤酒除外）</t>
  </si>
  <si>
    <t>葡萄酒;烧酒（烈酒）;开胃酒;⽩酒;含⽔果酒精饮料;鸡尾酒;苦味酒;果酒;烧酒;⽩⼲酒（中国⽩酒）</t>
  </si>
  <si>
    <t>柚源</t>
  </si>
  <si>
    <t>上海香柚源企业管理有限公司</t>
  </si>
  <si>
    <t>果酒（含酒精）;葡萄酒;⽩酒;酒精饮料（啤酒除外）;⽶酒;鸡尾酒;烈酒（饮料）;酒精饮料原汁;含⽔果酒精饮料;开胃酒</t>
  </si>
  <si>
    <t>大邳运河</t>
  </si>
  <si>
    <t>苏州欧康建筑装饰工程有限公司</t>
  </si>
  <si>
    <t>果酒（含酒精）;鸡尾酒;葡萄酒;烈酒（饮料）;⽩酒;⽶酒;烧酒;酒精饮料（啤酒除外）;⻩酒;清酒（⽇本⽶酒）</t>
  </si>
  <si>
    <t>东方央实</t>
  </si>
  <si>
    <t>雷升波</t>
  </si>
  <si>
    <t>⽶酒;⻩酒;清酒（⽇本⽶酒）;⽩酒;⻘稞酒;葡萄酒;鸡尾酒;果酒;清酒;烧酒</t>
  </si>
  <si>
    <t>周汇坊</t>
  </si>
  <si>
    <t>王志磊</t>
  </si>
  <si>
    <t>果酒（含酒精）;⾷⽤酒精;⽩酒;果酒;⽶酒;⾼粱酒;⽼酒（中国蒸馏烈酒）;蒸煮提取物（利⼝酒和烈酒）;⻩酒;利⼝酒</t>
  </si>
  <si>
    <t>喜相合</t>
  </si>
  <si>
    <t>彭厚运</t>
  </si>
  <si>
    <t>果酒（含酒精）;⽶酒;含⽔果酒精饮料;红葡萄酒;⻩酒;酒精饮料浓缩汁;烈酒（饮料）;烧酒;⽩酒;酒精饮料（啤酒除外）</t>
  </si>
  <si>
    <t>他她牛</t>
  </si>
  <si>
    <t>王晓明</t>
  </si>
  <si>
    <t>⻩酒;清酒（⽇本⽶酒）;酒精饮料（啤酒除外）;⽶酒;果酒（含酒精）;烈酒（饮料）;⻘稞酒;葡萄酒;鸡尾酒;⽩酒</t>
  </si>
  <si>
    <t>贵人帮</t>
  </si>
  <si>
    <t>河南贵人帮实业有限公司</t>
  </si>
  <si>
    <t>⽩酒;威⼠忌;⻩酒;葡萄酒;烈酒（饮料）;⽩兰地;烧酒;⽔果汽酒;鸡尾酒;⽶酒</t>
  </si>
  <si>
    <t>凤篆</t>
  </si>
  <si>
    <t>⻩酒;烈酒;清酒;果酒（含酒精）;⽼酒（中国蒸馏烈酒）;⽶酒;⽩酒;⾼粱酒;葡萄酒</t>
  </si>
  <si>
    <t>海南丞酱酒业有限公司</t>
  </si>
  <si>
    <t>⽩葡萄酒;⽩⼲酒（中国⽩酒）;⾼粱酒;薄荷酒;烧酒;烈酒;杨梅酒;葡萄酒;⽶酒;⽩酒</t>
  </si>
  <si>
    <t>洛酩</t>
  </si>
  <si>
    <t>河南古韩秦王酒业有限公司</t>
  </si>
  <si>
    <t>烈酒（饮料）;酒精饮料（啤酒除外）;伏特加酒;烧酒;葡萄酒;⻩酒;果酒（含酒精）;⽩酒;⽶酒;⽩兰地</t>
  </si>
  <si>
    <t>天健君君健康</t>
  </si>
  <si>
    <t>成都天健君农业科技有限公司</t>
  </si>
  <si>
    <t>⽩酒;清酒;⻩酒;酒精饮料（啤酒除外）;烈酒（饮料）;开胃酒;葡萄酒;果酒;鸡尾酒;⽩兰地</t>
  </si>
  <si>
    <t>剑春</t>
  </si>
  <si>
    <t>⻩酒;烧酒;酒精饮料（啤酒除外）;果酒（含酒精）;烈酒（饮料）;⽩酒;葡萄酒;⽶酒;酒精饮料浓缩汁;含⽔果酒精饮料</t>
  </si>
  <si>
    <t>ZENFORSTA</t>
  </si>
  <si>
    <t>董宝庆</t>
  </si>
  <si>
    <t>果酒（含酒精）;烧酒;葡萄酒;汽酒;⽩酒;伏特加酒;⻩酒;⽶酒;烈酒（饮料）;酒精饮料（啤酒除外）</t>
  </si>
  <si>
    <t>西口人家</t>
  </si>
  <si>
    <t>任建明</t>
  </si>
  <si>
    <t>⻘稞酒;尼⽡（以⽢蔗为主的酒精饮料）;⽩酒;汽酒;⾕物制蒸馏酒精饮料;⾷⽤酒精;⻩酒;烧酒;以葡萄酒为主的饮料;⽢蔗制酒精饮料</t>
  </si>
  <si>
    <t>颐海产业控股有限公司</t>
  </si>
  <si>
    <t>⽶酒;⽩酒;⻩酒;蜂蜜酒;鸡尾酒;含⽔果酒精饮料;薄荷酒;果酒（含酒精）;葡萄酒;清酒</t>
  </si>
  <si>
    <t>既山河</t>
  </si>
  <si>
    <t>贵州贵煦酒业有限公司</t>
  </si>
  <si>
    <t>⽩兰地;清酒（⽇本⽶酒）;果酒（含酒精）;酒精饮料（啤酒除外）;⻩酒;⽩酒;鸡尾酒;威⼠忌;⾷⽤酒精;⽶酒</t>
  </si>
  <si>
    <t>竹贺</t>
  </si>
  <si>
    <t>鸡尾酒;⽩酒;⻩酒;果酒（含酒精）;烈酒;⽶酒;葡萄酒;酒精饮料（啤酒除外）;⽩⼲酒（中国⽩酒）;烧酒</t>
  </si>
  <si>
    <t>酩天策</t>
  </si>
  <si>
    <t>程清波</t>
  </si>
  <si>
    <t>葡萄酒;烈酒;果酒（含酒精）;⻩酒;鸡尾酒;⽩⼲酒（中国⽩酒）;烧酒;⽶酒;⽩酒;酒精饮料（啤酒除外）</t>
  </si>
  <si>
    <t>烈酒;⽩酒;葡萄酒;蜂蜜酒;含⽔果酒精饮料;⻩酒;清酒（⽇本⽶酒）;烧酒;⽼酒（中国蒸馏烈酒）;酒精饮料（啤酒除外）</t>
  </si>
  <si>
    <t>濡语媋</t>
  </si>
  <si>
    <t>朱少年</t>
  </si>
  <si>
    <t>⽶酒;含酒精的鸡尾酒混合饮品;蒸馏饮料;⽩酒;果酒（含酒精）;含酒精的饮料（啤酒除外）;开胃酒;以葡萄酒为主的饮料;鸡尾酒;威⼠忌</t>
  </si>
  <si>
    <t>四川省添福洞商贸有限责任公司</t>
  </si>
  <si>
    <t>葡萄酒;酒精饮料（啤酒除外）;⾷⽤酒精;⽶酒;威⼠忌;朗姆酒;鸡尾酒;果酒（含酒精）;⽩酒;伏特加酒</t>
  </si>
  <si>
    <t>鼎金</t>
  </si>
  <si>
    <t>后勤军王（重庆）商贸有限责任公司</t>
  </si>
  <si>
    <t>果酒（含酒精）;葡萄酒;朗姆酒;酒精饮料（啤酒除外）;⽩酒;鸡尾酒;威⼠忌;⻩酒;⽶酒;⽩兰地</t>
  </si>
  <si>
    <t>告非山</t>
  </si>
  <si>
    <t>万纳空间（北京）文化艺术有限公司</t>
  </si>
  <si>
    <t>烈酒（饮料）;薄荷酒;⽶酒;含酒精的充⽓饮料（啤酒除外）;⽩酒;果酒（含酒精）;开胃酒;鸡尾酒;⾷⽤酒精;含⽔果酒精饮料</t>
  </si>
  <si>
    <t>深圳市中嘉航投资有限公司</t>
  </si>
  <si>
    <t>鸡尾酒;蜂蜜酒;酒精饮料原汁;开胃酒;果酒（含酒精）;⽩酒;薄荷酒;蒸馏饮料;葡萄酒;⽶酒</t>
  </si>
  <si>
    <t>任光娥</t>
  </si>
  <si>
    <t>⽩酒;烧酒;开胃酒;果酒;⽶酒;预先混合的酒精饮料（以啤酒为主的除外）;酒精饮料（啤酒除外）;烈酒;葡萄酒;蒸馏饮料</t>
  </si>
  <si>
    <t>真我人格</t>
  </si>
  <si>
    <t>苏州扎根品牌策划有限公司</t>
  </si>
  <si>
    <t>鸡尾酒;烈酒（饮料）;⽶酒;⾷⽤酒精;⽩酒;蒸馏饮料;葡萄酒;含酒精⽔果饮料;⽩兰地;果酒（含酒精）</t>
  </si>
  <si>
    <t>汉宫府 HANKUNGFU</t>
  </si>
  <si>
    <t>汉古国际控股集团有限公司</t>
  </si>
  <si>
    <t>⽩酒;葡萄酒;鸡尾酒;⽶酒;⽩兰地;⻩酒;果酒（含酒精）;酒精饮料（啤酒除外）;汽酒;威⼠忌</t>
  </si>
  <si>
    <t>金文峰 青清瓷</t>
  </si>
  <si>
    <t>湖北文峰酒业有限公司</t>
  </si>
  <si>
    <t>苦味酒;开胃酒;果酒（含酒精）;烈酒（饮料）;蒸煮提取物（利⼝酒和烈酒）;利⼝酒;⽩酒;⽶酒;蒸馏饮料;酒精饮料原汁</t>
  </si>
  <si>
    <t>醉而红</t>
  </si>
  <si>
    <t>泸州壹品酒业有限公司</t>
  </si>
  <si>
    <t>以葡萄酒为主的饮料;⽩酒;⻩酒;⽩兰地;含⽔果酒精饮料;酒精饮料原汁;葡萄酒;⽶酒;威⼠忌;鸡尾酒</t>
  </si>
  <si>
    <t>乞公醉 酒</t>
  </si>
  <si>
    <t>王玉生</t>
  </si>
  <si>
    <t>⽶酒;预先混合的酒精饮料（以啤酒为主的除外）;汽酒;⻘稞酒;蜂蜜酒;鸡尾酒;露酒;⻩酒;烧酒;⽩酒</t>
  </si>
  <si>
    <t>萨阡</t>
  </si>
  <si>
    <t>福建韦城供应链集团有限公司</t>
  </si>
  <si>
    <t>威⼠忌;⽩兰地;⻘稞酒;⾷⽤酒精;葡萄酒;⻩酒;⽩酒;⽶酒;汽酒;烧酒</t>
  </si>
  <si>
    <t>酣猿</t>
  </si>
  <si>
    <t>程玲凤</t>
  </si>
  <si>
    <t>葡萄酒;酒精饮料（啤酒除外）;烈酒;果酒（含酒精）;烧酒;鸡尾酒;⽩酒;⻩酒;⽩⼲酒（中国⽩酒）;⽶酒</t>
  </si>
  <si>
    <t>瑞林川窖</t>
  </si>
  <si>
    <t>孙孟川</t>
  </si>
  <si>
    <t>葡萄酒;果酒（含酒精）;鸡尾酒;⻩酒;⽩酒;⽶酒;烈酒;酒精饮料（啤酒除外）;烧酒;含⽔果酒精饮料</t>
  </si>
  <si>
    <t>御池圣泉</t>
  </si>
  <si>
    <t>孙瑞江230230********0718</t>
  </si>
  <si>
    <t>⾷⽤酒精;薄荷酒;葡萄酒;甜果酒;汽酒;⽩兰地;烧酒;⽩酒;果酒</t>
  </si>
  <si>
    <t>大花裤</t>
  </si>
  <si>
    <t>李贵佳</t>
  </si>
  <si>
    <t>⽩兰地;果酒;葡萄酒;⽩酒;烧酒;清酒;⽼酒（中国蒸馏烈酒）;⽶酒;酒精饮料（啤酒除外）;⽩⼲酒(中国⽩酒)</t>
  </si>
  <si>
    <t>去泰</t>
  </si>
  <si>
    <t>北京大雁科技有限公司</t>
  </si>
  <si>
    <t>真零</t>
  </si>
  <si>
    <t>上海添真健康科技有限公司</t>
  </si>
  <si>
    <t>含⽔果酒精饮料;除啤酒外的酒精饮料;酒精饮料（啤酒除外）;果酒（含酒精）;⽩酒;⾷⽤酒精;威⼠忌;红葡萄酒;烈酒;含酒精的⽓泡⽔</t>
  </si>
  <si>
    <t>张氏一家亲</t>
  </si>
  <si>
    <t>贵州省仁怀市天杯酒业销售有限公司</t>
  </si>
  <si>
    <t>酒精饮料（啤酒除外）;含⽔果酒精饮料;以葡萄酒为主的饮料;鸡尾酒;⽩酒;⽶酒;烧酒;果酒（含酒精）;烈酒（饮料）;葡萄酒</t>
  </si>
  <si>
    <t>MING YUE XUAN</t>
  </si>
  <si>
    <t>深圳市酩玥轩餐饮管理有限公司</t>
  </si>
  <si>
    <t>⽶酒;酒精饮料浓缩汁;蒸馏饮料;餐后酒（利⼝酒和烈酒）;烧酒;苹果酒;果酒;酒精饮料（啤酒除外）;葡萄酒;含⽔果酒精饮料</t>
  </si>
  <si>
    <t>厍里东</t>
  </si>
  <si>
    <t>⽩酒;鸡尾酒;烈酒（饮料）;除啤酒外的酒精饮料;⻩酒;蒸馏饮料;果酒（含酒精）;⽩⼲酒（中国⽩酒）;由⾕物蒸馏的⽩酒;葡萄酒</t>
  </si>
  <si>
    <t>川乡老友</t>
  </si>
  <si>
    <t>泗县欧仕达家居装饰有限公司</t>
  </si>
  <si>
    <t>由⾕物蒸馏的⽩酒;葡萄酒;佐餐酒;含酒精的⽔果鸡尾酒饮料;⾼粱酒;烈酒;果酒（含酒精）;⽩酒;⽶酒;⽼酒（中国蒸馏烈酒）</t>
  </si>
  <si>
    <t>涌泉坊</t>
  </si>
  <si>
    <t>廖明帅</t>
  </si>
  <si>
    <t>⽩酒;⽶酒;⻩酒;酒精饮料（啤酒除外）;葡萄酒;果酒（含酒精）;利⼝酒;含酒精⽔果饮料;威⼠忌;烈酒（饮料）</t>
  </si>
  <si>
    <t>尚高坊 SUNGO·FANG</t>
  </si>
  <si>
    <t>东莞尚高工艺包装制品有限公司</t>
  </si>
  <si>
    <t>⽩兰地;威⼠忌;伏特加酒;⽩酒;⻩酒;果酒;烧酒;鸡尾酒;⽶酒;酒精饮料原汁</t>
  </si>
  <si>
    <t>ICELAKE 冰湖</t>
  </si>
  <si>
    <t>新疆天山冰湖葡萄酒业有限公司</t>
  </si>
  <si>
    <t>开胃酒;蒸馏饮料;酒精饮料（啤酒除外）;烈酒（饮料）;酒精饮料原汁;葡萄酒;利⼝酒;⽩兰地;蒸煮提取物（利⼝酒和烈酒）;果酒（含酒精）</t>
  </si>
  <si>
    <t>欧丽拉</t>
  </si>
  <si>
    <t>果酒（含酒精）;鸡尾酒;果酒;烈酒（饮料）;⽩酒;蒸馏饮料;⽶酒;葡萄酒;烧酒;⽩兰地</t>
  </si>
  <si>
    <t>欣荣华液宴</t>
  </si>
  <si>
    <t>北京本龙信息咨询有限公司</t>
  </si>
  <si>
    <t>⾼粱酒;利⼝酒;烧酒（烈酒）;⽩酒;⽩兰地;威⼠忌;⽶酒;开胃酒;果酒;烧酒</t>
  </si>
  <si>
    <t>武夷本草</t>
  </si>
  <si>
    <t>福建省武夷酒业有限公司</t>
  </si>
  <si>
    <t>葡萄酒;清酒;⽩酒;果酒（含酒精）;烧酒（烈酒）;⾕物制蒸馏酒精饮料;含⽔果酒精饮料;烧酒;⻩酒;甜酒</t>
  </si>
  <si>
    <t>老王窖</t>
  </si>
  <si>
    <t>烧酒;⽩酒;⽼酒（中国蒸馏烈酒）;⾼粱酒;⻩酒;红葡萄酒;苦荞酒;⾷⽤酒精;⽩葡萄酒;烈酒（饮料）</t>
  </si>
  <si>
    <t>唐朝圣泉</t>
  </si>
  <si>
    <t>四川唐朝老窖(集团)有限公司</t>
  </si>
  <si>
    <t>蒸煮提取物（利⼝酒和烈酒）;已调味的蒸馏酒;果酒;葡萄酒;烧酒;⽶酒;甜酒;⻘稞酒;⽩酒;⾼粱酒</t>
  </si>
  <si>
    <t>0752 惠民之酒</t>
  </si>
  <si>
    <t>贵州顺酒酒业有限公司</t>
  </si>
  <si>
    <t>⻩酒;威⼠忌;⽩酒;⽶酒;露酒;⽩兰地;⾼粱酒;葡萄酒;果酒;烧酒</t>
  </si>
  <si>
    <t>八海酿</t>
  </si>
  <si>
    <t>⻩酒;⽩酒;清酒;烈酒（饮料）;果酒;烧酒;伏特加酒;⽩兰地;⾷⽤酒精;威⼠忌</t>
  </si>
  <si>
    <t>鹏雍</t>
  </si>
  <si>
    <t>长沙荣天消防安全设备有限公司</t>
  </si>
  <si>
    <t>贰拾柒掼</t>
  </si>
  <si>
    <t>烈酒（饮料）;⽩酒;果酒（含酒精）;⽶酒;露酒;餐后酒（利⼝酒和烈酒）;苹果酒;葡萄酒;蒸馏饮料;⾕物制蒸馏酒精饮料</t>
  </si>
  <si>
    <t>小猴摘摘</t>
  </si>
  <si>
    <t>天津市昽森农业科技有限公司</t>
  </si>
  <si>
    <t>果酒（含酒精）;开胃酒;蒸馏饮料;酒精饮料原汁;⽩酒;酒精饮料（啤酒除外）;鸡尾酒;葡萄酒;汽酒;含⽔果酒精饮料</t>
  </si>
  <si>
    <t>御刀</t>
  </si>
  <si>
    <t>张岩</t>
  </si>
  <si>
    <t>晋御醇</t>
  </si>
  <si>
    <t>汾阳市须贵浩酒业有限公司</t>
  </si>
  <si>
    <t>⻘稞酒;⾷⽤酒精;烧酒;酒精饮料（啤酒除外）;⽩酒;酒精饮料原汁;⻩酒;葡萄酒;梅酒;果酒</t>
  </si>
  <si>
    <t>南茉酒庄</t>
  </si>
  <si>
    <t>德州壹郑品牌管理有限公司</t>
  </si>
  <si>
    <t>开胃酒;葡萄酒;酒精饮料（啤酒除外）;⽶酒;烧酒;⻩酒;⽩酒;清酒;果酒（含酒精）;烈酒</t>
  </si>
  <si>
    <t>第贰极贰拾柒掼</t>
  </si>
  <si>
    <t>蒸馏饮料;⽩酒;露酒;苹果酒;餐后酒（利⼝酒和烈酒）;⽶酒;果酒（含酒精）;烈酒（饮料）;⾕物制蒸馏酒精饮料;葡萄酒</t>
  </si>
  <si>
    <t>赣粮液</t>
  </si>
  <si>
    <t>赣粮液（江西）酿酒有限公司</t>
  </si>
  <si>
    <t>烧酒;蒸馏饮料;⻩酒;⽩酒;酒精饮料浓缩汁;⾷⽤酒精;酒精饮料（啤酒除外）;开胃酒;⽶酒;果酒（含酒精）</t>
  </si>
  <si>
    <t>根奢</t>
  </si>
  <si>
    <t>朱凌</t>
  </si>
  <si>
    <t>葡萄酒;含⽔果酒精饮料;梅酒;汽酒;⻩酒;果酒（含酒精）;烈酒（饮料）;烧酒;⻘稞酒;⽩酒</t>
  </si>
  <si>
    <t>朕小九</t>
  </si>
  <si>
    <t>七星龙渊（大连）电子商务科技有限公司</t>
  </si>
  <si>
    <t>⾷⽤酒精;果酒（含酒精）;⽩酒;⻩酒;⽩兰地;葡萄酒;酒精饮料（啤酒除外）;鸡尾酒;⽶酒;含⽔果酒精饮料</t>
  </si>
  <si>
    <t>文旅云客沙地密码</t>
  </si>
  <si>
    <t>南通嘉禾世纪商贸有限公司</t>
  </si>
  <si>
    <t>鸡尾酒;酒精饮料（啤酒除外）;⽶酒;⾕物制蒸馏酒精饮料;葡萄酒;清酒;清酒（⽇本⽶酒）;烧酒;⻩酒;⽩酒;露酒;⽩兰地</t>
  </si>
  <si>
    <t>寻迹悟</t>
  </si>
  <si>
    <t>张贤平</t>
  </si>
  <si>
    <t>苦味酒;茴芹酒（利⼝酒）;果酒;烈酒;亚⼒酒;开胃酒;酒精饮料（啤酒除外）;葡萄酒;⽩酒;⽶酒</t>
  </si>
  <si>
    <t>VER7LLES</t>
  </si>
  <si>
    <t>杭州御甜餐饮管理服务有限公司</t>
  </si>
  <si>
    <t>薄荷酒;以葡萄酒为主的饮料;果酒（含酒精）;开胃酒;威⼠忌;葡萄酒;利⼝酒;含⽔果酒精饮料;餐后酒（利⼝酒和烈酒）;鸡尾酒</t>
  </si>
  <si>
    <t>梦千睿</t>
  </si>
  <si>
    <t>周玉林</t>
  </si>
  <si>
    <t>清酒;烈酒（饮料）;鸡尾酒;⽩酒;含⽔果酒精饮料;酒精饮料原汁;威⼠忌;蒸馏饮料;烧酒;果酒（含酒精）</t>
  </si>
  <si>
    <t>ROSE MYTH</t>
  </si>
  <si>
    <t>清酒（⽇本⽶酒）;威⼠忌;烈酒;鸡尾酒;酒精饮料（啤酒除外）;果酒（含酒精）;⽩酒;⻩酒;开胃酒;葡萄酒</t>
  </si>
  <si>
    <t>智变赢</t>
  </si>
  <si>
    <t>威⼠忌;⽶酒;⽩酒;烧酒;⻩酒;蒸馏饮料;葡萄酒;酒精饮料原汁;酒精饮料（啤酒除外）;果酒（含酒精）</t>
  </si>
  <si>
    <t>醉仙缥</t>
  </si>
  <si>
    <t>于殿超</t>
  </si>
  <si>
    <t>烈酒（饮料）;果酒（含酒精）;开胃酒;杜松⼦酒;⽩酒;鸡尾酒;葡萄酒;⾕物制蒸馏酒精饮料;烧酒;樱桃酒</t>
  </si>
  <si>
    <t>锦琼</t>
  </si>
  <si>
    <t>邓正强</t>
  </si>
  <si>
    <t>葡萄酒;蒸馏⽶酒（泡盛酒）;清酒;烈酒;烧酒;⽩酒;开胃酒;⾼粱酒;果酒（含酒精）;鸡尾酒</t>
  </si>
  <si>
    <t>RENOMMEE</t>
  </si>
  <si>
    <t>晋江市新海岸酒业贸易有限公司</t>
  </si>
  <si>
    <t>利⼝酒;伏特加酒;⽩酒;烧酒;蒸煮提取物（利⼝酒和烈酒）;⽩兰地;开胃酒;⻩酒;葡萄酒;烈酒（饮料）</t>
  </si>
  <si>
    <t>ZIBAAA</t>
  </si>
  <si>
    <t>威⼠忌;酒精饮料原汁;葡萄酒;酒精饮料（啤酒除外）;烧酒;⻩酒;⽩酒;果酒（含酒精）;⽶酒;蒸馏饮料</t>
  </si>
  <si>
    <t>裕酒师</t>
  </si>
  <si>
    <t>徐州传品酒业有限公司</t>
  </si>
  <si>
    <t>⽶酒;开胃酒;烧酒;利⼝酒;⻘稞酒;清酒（⽇本⽶酒）;梨酒;⽩酒;⻩酒;葡萄酒</t>
  </si>
  <si>
    <t>南明山</t>
  </si>
  <si>
    <t>丽水畲娘商贸集团有限公司</t>
  </si>
  <si>
    <t>⽩酒;烧酒;果酒（含酒精）;酒精饮料（啤酒除外）;含⽔果酒精饮料;⻩酒;葡萄酒;梨酒;⽶酒;蜂蜜酒</t>
  </si>
  <si>
    <t>星芒照岭</t>
  </si>
  <si>
    <t>沁县檀山智谷文化书院</t>
  </si>
  <si>
    <t>烧酒;鸡尾酒;⻩酒;⽩兰地;果酒（含酒精）;葡萄酒;⽶酒;蒸馏饮料;⽩酒;威⼠忌</t>
  </si>
  <si>
    <t>烈酒（饮料）;⽩兰地;伏特加酒;蒸煮提取物（利⼝酒和烈酒）;⽩酒;开胃酒;利⼝酒;烧酒;⻩酒;葡萄酒</t>
  </si>
  <si>
    <t>粱骧</t>
  </si>
  <si>
    <t>零壹零健康科技（河北）有限公司</t>
  </si>
  <si>
    <t>酒精饮料（啤酒除外）;含⽔果酒精饮料;开胃酒;⻘稞酒;蒸馏饮料;烧酒;⽶酒;葡萄酒;烈酒（饮料）;⽩酒</t>
  </si>
  <si>
    <t>遵酌台</t>
  </si>
  <si>
    <t>欧阳水金</t>
  </si>
  <si>
    <t>烧酒;果酒;葡萄酒;清酒;⻩酒;⽩酒;⽼酒（中国蒸馏烈酒）;⾼粱酒;烈酒;⽶酒</t>
  </si>
  <si>
    <t>金六红瓷宴</t>
  </si>
  <si>
    <t>金六酿酒（四川）有限公司</t>
  </si>
  <si>
    <t>烧酒;⾼粱酒;葡萄酒;酒精饮料（啤酒除外）;⻩酒;露酒;⽼酒（中国蒸馏烈酒）;烧酒（烈酒）;⽩⼲酒（中国⽩酒）;⾷⽤酒精</t>
  </si>
  <si>
    <t>万味巡</t>
  </si>
  <si>
    <t>毛兴兰</t>
  </si>
  <si>
    <t>威⼠忌;开胃酒;清酒;烈酒;⻩酒;果酒;葡萄酒;鸡尾酒;⾕物制蒸馏酒精饮料;⽩酒</t>
  </si>
  <si>
    <t>润花香</t>
  </si>
  <si>
    <t>广汉市湔江古酿文化传播工作室（个体工商户）</t>
  </si>
  <si>
    <t>葡萄酒;烈酒;威⼠忌;⽶酒;鸡尾酒;酒精饮料（啤酒除外）;⽩酒;⻩酒;果酒;烧酒</t>
  </si>
  <si>
    <t>渔账</t>
  </si>
  <si>
    <t>渔账科技（上海）有限公司</t>
  </si>
  <si>
    <t>红葡萄酒;白酒;清酒（日本米酒）;伏特加酒;白兰地;黄酒;白干酒（中国白酒）;烧酒（烈酒）;老酒（中国蒸馏烈酒）;威士忌</t>
  </si>
  <si>
    <t>BLIAEDR B</t>
  </si>
  <si>
    <t>山东省龙青酒业有限公司</t>
  </si>
  <si>
    <t>伏特加酒;利口酒;果酒;汽酒;葡萄酒;酒精饮料（啤酒除外）;威士忌;白葡萄酒;红葡萄酒;白兰地</t>
  </si>
  <si>
    <t>敕勒双有</t>
  </si>
  <si>
    <t>内蒙古双有食品有限公司</t>
  </si>
  <si>
    <t>果酒（含酒精）;利⼝酒;⽶酒;⻩酒;酒精饮料（啤酒除外）;葡萄酒;烈酒（饮料）;威⼠忌;烧酒;⽩酒</t>
  </si>
  <si>
    <t>肆树</t>
  </si>
  <si>
    <t>刘俊</t>
  </si>
  <si>
    <t>葡萄酒;鸡尾酒;酒精饮料（啤酒除外）;开胃酒;烧酒（烈酒）;⽶酒;⽩酒;果酒（含酒精）;威⼠忌;烈酒（饮料）</t>
  </si>
  <si>
    <t>蔗小酩</t>
  </si>
  <si>
    <t>云南海酩威酒业有限责任公司</t>
  </si>
  <si>
    <t>甜酒;⽶酒;⽩酒;⾼粱酒;果酒;清酒;葡萄酒;烧酒;梅酒;⽩兰地</t>
  </si>
  <si>
    <t>铁律</t>
  </si>
  <si>
    <t>烧酒;果酒（含酒精）;酒精饮料原汁;⽩酒;蒸煮提取物（利⼝酒和烈酒）;葡萄酒;酒精饮料（啤酒除外）;开胃酒;烈酒（饮料）;⾷⽤酒精</t>
  </si>
  <si>
    <t>卡姆昂</t>
  </si>
  <si>
    <t>上海诺霖进出口贸易有限公司</t>
  </si>
  <si>
    <t>含酒精的饮料（啤酒除外）;鸡尾酒;汽酒;清酒;伏特加酒;果酒;⽩兰地;露酒;威⼠忌;葡萄酒</t>
  </si>
  <si>
    <t>桥班</t>
  </si>
  <si>
    <t>葡萄酒;⻩酒;⽩兰地;果酒;朗姆酒;⽩酒;威⼠忌</t>
  </si>
  <si>
    <t>寅八千</t>
  </si>
  <si>
    <t>派得乐东方珍品烈酒贸易有限公司</t>
  </si>
  <si>
    <t>烈酒（饮料）;鸡尾酒;朗姆酒;⽩兰地;酒精饮料（啤酒除外）;以葡萄酒为主的饮料;葡萄酒;威⼠忌;果酒（含酒精）;酒精饮料原汁</t>
  </si>
  <si>
    <t>苍洱百川</t>
  </si>
  <si>
    <t>昆明榆上进出口贸易有限责任公司</t>
  </si>
  <si>
    <t>露酒</t>
  </si>
  <si>
    <t>花开无声</t>
  </si>
  <si>
    <t>贵州岁月年华酒业有限公司</t>
  </si>
  <si>
    <t>⻩酒;果酒（含酒精）;⽩酒;⽼酒（中国蒸馏烈酒）;葡萄酒;汽酒;烈酒（饮料）;鸡尾酒;⽶酒;预先混合的酒精饮料（以啤酒为主的除外）</t>
  </si>
  <si>
    <t>丫丫火</t>
  </si>
  <si>
    <t>汇中泰德投资有限公司</t>
  </si>
  <si>
    <t>甜酒;果酒;⽇式甜⽶酒;清酒（⽇本⽶酒）;含⽔果酒精饮料;甜果酒;朝鲜族⽶酒;烈酒（饮料）;伏特加酒;⽼酒（中国蒸馏烈酒）;露酒;⾼粱酒;⽶酒;⽩酒</t>
  </si>
  <si>
    <t>赛天露</t>
  </si>
  <si>
    <t>王安雄</t>
  </si>
  <si>
    <t>⻘梅酒;含⽔果酒精饮料;⽶酒;汽酒;⽩酒;苦荞酒;果酒（含酒精）;烧酒;⻩酒;葡萄酒</t>
  </si>
  <si>
    <t>飞仙岭</t>
  </si>
  <si>
    <t>韦超超</t>
  </si>
  <si>
    <t>果酒（含酒精）;蒸馏饮料;鸡尾酒;烈酒（饮料）;烧酒;⻩酒;⽩酒;⽶酒;葡萄酒;酒精饮料（啤酒除外）</t>
  </si>
  <si>
    <t>丁九九</t>
  </si>
  <si>
    <t>李新明</t>
  </si>
  <si>
    <t>⻩酒;鸡尾酒;果酒（含酒精）;清酒;⽼酒（中国蒸馏烈酒）;⽩酒;烈酒;威⼠忌;葡萄酒;酒精饮料（啤酒除外）</t>
  </si>
  <si>
    <t>杏福候</t>
  </si>
  <si>
    <t>胡瑾</t>
  </si>
  <si>
    <t>开胃酒;烧酒;苦荞酒;⾼粱酒;果酒（含酒精）;⻩酒;烈酒;⽩⼲酒（中国⽩酒）;⽶酒;⽩酒</t>
  </si>
  <si>
    <t>黔王醇</t>
  </si>
  <si>
    <t>鸡尾酒;酒精饮料（啤酒除外）;蜂蜜酒;威⼠忌;⽩酒;⻩酒;⽼酒（中国蒸馏烈酒）;果酒（含酒精）;⽩兰地;清酒（⽇本⽶酒）</t>
  </si>
  <si>
    <t>金太辉晟 JTHS</t>
  </si>
  <si>
    <t>北京金太辉晟商贸有限公司</t>
  </si>
  <si>
    <t>果酒;⽼酒（中国蒸馏烈酒）;葡萄酒;蒸馏饮料;蒸煮提取物（利⼝酒和烈酒）;⻘稞酒;⽶酒;烧酒;⾕物制蒸馏酒精饮料;⽩酒</t>
  </si>
  <si>
    <t>德水安澜</t>
  </si>
  <si>
    <t>德州又一村酿酒有限公司</t>
  </si>
  <si>
    <t>开胃酒;蒸馏饮料;苹果酒;利⼝酒;⾷⽤酒精;含酒精⽔果饮料;⽶酒;⽩酒;果酒;烧酒</t>
  </si>
  <si>
    <t>横店味道 味 HENGDIAN TASTE</t>
  </si>
  <si>
    <t>横店集团控股有限公司</t>
  </si>
  <si>
    <t>清酒;汽酒;⻩酒;甜果酒;烈酒;⽩兰地;烧酒;⽩酒;红葡萄酒;薄荷酒</t>
  </si>
  <si>
    <t>浙江盛如纺织科技有限公司</t>
  </si>
  <si>
    <t>酒精饮料（啤酒除外）;⽩酒;⻘稞酒;烈酒（饮料）;烧酒;鸡尾酒;⽶酒;⻩酒;果酒（含酒精）;葡萄酒</t>
  </si>
  <si>
    <t>五粮气泡酒</t>
  </si>
  <si>
    <t>四川省宜宾五粮液集团有限公司</t>
  </si>
  <si>
    <t>汽酒;含酒精的充⽓饮料（啤酒除外）;⽔果汽酒</t>
  </si>
  <si>
    <t>果酒;⽶酒;伏特加酒;朝鲜族⽶酒;甜果酒;露酒;⽼酒（中国蒸馏烈酒）;⽩酒;含⽔果酒精饮料;清酒（⽇本⽶酒）;⾼粱酒;⽇式甜⽶酒;烈酒（饮料）;甜酒</t>
  </si>
  <si>
    <t>MACYO</t>
  </si>
  <si>
    <t>永康市致佳工贸有限公司</t>
  </si>
  <si>
    <t>开胃酒;果酒（含酒精）;烈酒（饮料）;⻘稞酒;⽶酒;烧酒;⽩兰地;⽩酒;威⼠忌;⻩酒</t>
  </si>
  <si>
    <t>句典</t>
  </si>
  <si>
    <t>酒精饮料（啤酒除外）;鸡尾酒;果酒;⻩酒;⽩酒;⽩兰地;威⼠忌;⽶酒;利⼝酒;葡萄酒</t>
  </si>
  <si>
    <t>五圆八方</t>
  </si>
  <si>
    <t>云南九樽酒业有限公司</t>
  </si>
  <si>
    <t>⽢蔗制烈酒;⽼酒（中国蒸馏烈酒）;⽩酒;蒸馏⽶酒（泡盛酒）;露酒;开胃酒;由⾕物蒸馏的⽩酒;⽶酒;⽩⼲酒（中国⽩酒）;含酒精的饮料（啤酒除外）</t>
  </si>
  <si>
    <t>旺小多</t>
  </si>
  <si>
    <t>任凯430602********1050</t>
  </si>
  <si>
    <t>葡萄酒;威⼠忌;⽩酒;酒精饮料（啤酒除外）;含⽔果酒精饮料;薄荷酒;开胃酒;蒸馏饮料;⻩酒;果酒（含酒精）</t>
  </si>
  <si>
    <t>咸阳文投广告传媒有限公司</t>
  </si>
  <si>
    <t>⽶酒;葡萄酒;清酒;⽩酒;烈酒（饮料）;果酒（含酒精）;⻩酒;⾷⽤酒精;烧酒;酒精饮料（啤酒除外）</t>
  </si>
  <si>
    <t>御三关</t>
  </si>
  <si>
    <t>葡萄酒;⽩酒;酒精饮料（啤酒除外）;⽶酒;烈酒（饮料）;鸡尾酒;烧酒;果酒（含酒精）;⻩酒;⻘稞酒</t>
  </si>
  <si>
    <t>重庆仙源肽生命健康研究院有限公司</t>
  </si>
  <si>
    <t>烈酒（饮料）;果酒;⽶酒;⻘稞酒;露酒;蒸馏饮料;⻩酒;烧酒;葡萄酒;⽩酒</t>
  </si>
  <si>
    <t>二代小白花</t>
  </si>
  <si>
    <t>陕西左岸香颂酒业集团有限公司</t>
  </si>
  <si>
    <t>烧酒;⽩酒;果酒（含酒精）;鸡尾酒;酒精饮料（啤酒除外）;⽶酒;⻩酒;葡萄酒;清酒（⽇本⽶酒）;烈酒（饮料）</t>
  </si>
  <si>
    <t>褚会长</t>
  </si>
  <si>
    <t>褚开文</t>
  </si>
  <si>
    <t>果酒（含酒精）;汽酒;⽩酒;⽶酒;⾷⽤酒精;⻩酒;烈酒;烧酒;⽩葡萄酒;⻘稞酒</t>
  </si>
  <si>
    <t>汗领</t>
  </si>
  <si>
    <t>何芹超</t>
  </si>
  <si>
    <t>⾼粱酒;烧酒（烈酒）;酒精饮料原汁;⽩⼲酒（中国⽩酒）;含酒精的充⽓饮料（啤酒除外）;⽩酒;烈酒;蒸煮提取物（利⼝酒和烈酒）;⽼酒（中国蒸馏烈酒）;⻩酒</t>
  </si>
  <si>
    <t>橙江万里</t>
  </si>
  <si>
    <t>周华峰</t>
  </si>
  <si>
    <t>⽩酒;烧酒;⻩酒;⽼酒（中国蒸馏烈酒）;烈酒（饮料）;⽶酒;酒精饮料（啤酒除外）;果酒（含酒精）;葡萄酒;鸡尾酒</t>
  </si>
  <si>
    <t>五代小白花</t>
  </si>
  <si>
    <t>⻩酒;⽶酒;烧酒;葡萄酒;烈酒（饮料）;酒精饮料（啤酒除外）;清酒（⽇本⽶酒）;⽩酒;鸡尾酒;果酒（含酒精）</t>
  </si>
  <si>
    <t>铁芝堂</t>
  </si>
  <si>
    <t>合肥皇健生物科技有限公司</t>
  </si>
  <si>
    <t>蜂蜜酒;⽶酒;⻩酒;开胃酒;酒精饮料原汁;含酒精的饮料（啤酒除外）;酒精饮料（啤酒除外）;果酒（含酒精）;含酒精⽔果饮料;⾕物制蒸馏酒精饮料</t>
  </si>
  <si>
    <t>FIBOO</t>
  </si>
  <si>
    <t>湖南西子健康集团股份有限公司</t>
  </si>
  <si>
    <t>烈酒（饮料）;含酒精⽔果饮料;鸡尾酒;⽩酒;除啤酒外的酒精饮料;含⽔果酒精饮料;以葡萄酒为主的饮料;果酒;烈酒;含酒精的⽔果鸡尾酒饮料</t>
  </si>
  <si>
    <t>果酒（含酒精）;苹果酒;含酒精的饮料（啤酒除外）;含酒精⽔果饮料;含酒精蛋奶酒;含酒精的鸡尾酒混合饮品;含酒精的充⽓饮料（啤酒除外）;含酒精的⽔果鸡尾酒饮料;含⽔果酒精饮料</t>
  </si>
  <si>
    <t>拾味山里人</t>
  </si>
  <si>
    <t>管曙初</t>
  </si>
  <si>
    <t>果酒（含酒精）;佐餐酒;露酒;⽶酒;⻘梅酒;⽩酒;杨梅酒;酒精饮料（啤酒除外）;烧酒;⻩酒</t>
  </si>
  <si>
    <t>锦泰明</t>
  </si>
  <si>
    <t>内蒙古锦泰明科技集团有限公司</t>
  </si>
  <si>
    <t>伏特加酒;葡萄酒;烈酒（饮料）;烧酒;汽酒;⽩酒;果酒（含酒精）;利⼝酒;⽶酒;鸡尾酒</t>
  </si>
  <si>
    <t>怡品墨客</t>
  </si>
  <si>
    <t>刘明英</t>
  </si>
  <si>
    <t>高粱酒;白酒</t>
  </si>
  <si>
    <t>VORTEXSCAPE</t>
  </si>
  <si>
    <t>南京蓝熵科技有限公司</t>
  </si>
  <si>
    <t>起泡红葡萄酒;⽼酒（中国蒸馏烈酒）;鸡尾酒;以葡萄酒为主的饮料;⽶酒;葡萄酒;⽩酒;红葡萄酒;以葡萄酒为主的开胃酒;⽩葡萄酒</t>
  </si>
  <si>
    <t>忙糯鼎云</t>
  </si>
  <si>
    <t>双江鼎云茶业有限公司</t>
  </si>
  <si>
    <t>果酒（含酒精）;⽩酒;烈酒（饮料）;蜂蜜酒;⻩酒;葡萄酒;酒精饮料（啤酒除外）;⻘稞酒;⽶酒;樱桃酒</t>
  </si>
  <si>
    <t>凤封</t>
  </si>
  <si>
    <t>周旭</t>
  </si>
  <si>
    <t>酒精饮料（啤酒除外）;葡萄酒;⽩酒;开胃酒;烈酒;清酒（⽇本⽶酒）;威⼠忌;⻩酒;果酒（含酒精）;鸡尾酒</t>
  </si>
  <si>
    <t>四代小白花</t>
  </si>
  <si>
    <t>清酒（⽇本⽶酒）;果酒（含酒精）;鸡尾酒;⽶酒;⻩酒;⽩酒;葡萄酒;烈酒（饮料）;酒精饮料（啤酒除外）;烧酒</t>
  </si>
  <si>
    <t>一代小白花</t>
  </si>
  <si>
    <t>鸡尾酒;葡萄酒;烈酒（饮料）;⻩酒;⽩酒;⽶酒;烧酒;果酒（含酒精）;酒精饮料（啤酒除外）;清酒（⽇本⽶酒）</t>
  </si>
  <si>
    <t>巧者</t>
  </si>
  <si>
    <t>合肥向成商贸有限公司</t>
  </si>
  <si>
    <t>葡萄酒;果酒;⻘稞酒;威⼠忌;⽶酒;利⼝酒;烧酒;鸡尾酒;⽩酒;⻩酒</t>
  </si>
  <si>
    <t>卤蛋的日常</t>
  </si>
  <si>
    <t>湖州大杨笔案文化传媒有限公司</t>
  </si>
  <si>
    <t>⽩酒;鸡尾酒;⻘稞酒;葡萄酒;⾷⽤酒精;⽶酒;果酒（含酒精）;威⼠忌;酒精饮料（啤酒除外）;蒸馏饮料</t>
  </si>
  <si>
    <t>博江</t>
  </si>
  <si>
    <t>贵州新视界酒业有限公司</t>
  </si>
  <si>
    <t>清酒;果酒;⻩酒;含酒精的饮料（啤酒除外）;汽酒;威⼠忌;⽼酒（中国蒸馏烈酒）;⽶酒;⽩酒;葡萄酒</t>
  </si>
  <si>
    <t>河北雄安卓悦贸易有限公司</t>
  </si>
  <si>
    <t>鸡尾酒;朗姆酒;威⼠忌;果酒（含酒精）;清酒（⽇本⽶酒）;含⽔果酒精饮料;以葡萄酒为主的饮料</t>
  </si>
  <si>
    <t>宝和台</t>
  </si>
  <si>
    <t>福建酒业通网络科技有限公司</t>
  </si>
  <si>
    <t>果酒（含酒精）;烧酒;烈酒（饮料）;⽢蔗制烈酒;⽶酒;⻩酒;葡萄酒;鸡尾酒;⽩酒;酒精饮料（啤酒除外）</t>
  </si>
  <si>
    <t>徜宏酒</t>
  </si>
  <si>
    <t>重庆长百宁健康信息科技有限公司</t>
  </si>
  <si>
    <t>⽩酒;⽼酒（中国蒸馏烈酒）;烈酒;蒸煮提取物（利⼝酒和烈酒）;⻘梅酒;⾼粱酒;烧酒（烈酒）;烧酒;⽩⼲酒（中国⽩酒）;苦味酒</t>
  </si>
  <si>
    <t>絔亗酒</t>
  </si>
  <si>
    <t>⽼酒（中国蒸馏烈酒）;烈酒;苦味酒;⽩⼲酒（中国⽩酒）;⾼粱酒;烧酒（烈酒）;烧酒;⽩酒;蒸煮提取物（利⼝酒和烈酒）;⻘梅酒</t>
  </si>
  <si>
    <t>夜澜春</t>
  </si>
  <si>
    <t>李彩虹</t>
  </si>
  <si>
    <t>葡萄酒;威⼠忌;酒精饮料（啤酒除外）;⽶酒;⻩酒;清酒（⽇本⽶酒）;烧酒;果酒（含酒精）;⻘稞酒;⽩酒</t>
  </si>
  <si>
    <t>凤承凰</t>
  </si>
  <si>
    <t>⻩酒;酒精饮料（啤酒除外）;烧酒;威⼠忌;⻘稞酒;葡萄酒;果酒（含酒精）;⽩酒;清酒（⽇本⽶酒）;⽶酒</t>
  </si>
  <si>
    <t>康舰</t>
  </si>
  <si>
    <t>毛吴超</t>
  </si>
  <si>
    <t>果酒（含酒精）;葡萄酒;⽩兰地;露酒;⻘稞酒;酒精饮料（啤酒除外）;⻩酒;⽶酒;⽩酒;清酒（⽇本⽶酒）</t>
  </si>
  <si>
    <t>家酉晋梁</t>
  </si>
  <si>
    <t>田浩130181********8515</t>
  </si>
  <si>
    <t>⾼粱酒;由⾕物蒸馏的⽩酒;烈酒;烧酒（烈酒）;⻩酒;酒精饮料（啤酒除外）;⾷⽤酒精;⽩酒;烧酒;⽶酒</t>
  </si>
  <si>
    <t>楚视</t>
  </si>
  <si>
    <t>湖北武昌鱼建筑设计有限公司</t>
  </si>
  <si>
    <t>威⼠忌;酒精饮料（啤酒除外）;⽶酒;果酒（含酒精）;⻩酒;葡萄酒;烧酒;⽩酒;蒸馏饮料;梨酒</t>
  </si>
  <si>
    <t>米凯利萨塔</t>
  </si>
  <si>
    <t>玖壹堂(上海)贸易有限公司</t>
  </si>
  <si>
    <t>葡萄酒;烈酒;起泡红葡萄酒;已调味的蒸馏酒;含酒精的⽓泡⽔;含酒精的⽔果鸡尾酒饮料;以葡萄酒为主的开胃酒;起泡⽩葡萄酒;含酒精的饮料（啤酒除外）;烈酒（饮料）</t>
  </si>
  <si>
    <t>五醍浆玉樽</t>
  </si>
  <si>
    <t>江苏震洲五醍浆酒业有限公司</t>
  </si>
  <si>
    <t>果酒（含酒精）;清酒（⽇本⽶酒）;⻩酒;酒精饮料（啤酒除外）;⽶酒;⽩酒;含⽔果酒精饮料;鸡尾酒;烧酒;葡萄酒</t>
  </si>
  <si>
    <t>达春祥运斋</t>
  </si>
  <si>
    <t>苏州正本堂健康管理有限公司</t>
  </si>
  <si>
    <t>果酒（含酒精）;⽶酒;⻩酒;含酒精的饮料（啤酒除外）;苦荞酒;五加⽪酒（中国混合烈酒）;⽩酒;开胃酒;清酒;甜酒</t>
  </si>
  <si>
    <t>LAFLER</t>
  </si>
  <si>
    <t>宁波甬创酒业有限公司</t>
  </si>
  <si>
    <t>加⾹料的热葡萄酒;起泡⽩葡萄酒;加烈葡萄酒;桃红葡萄酒;红葡萄酒;⽩葡萄酒;葡萄汽酒;以葡萄酒为主的饮料;不起泡葡萄酒;以葡萄酒为主的开胃酒</t>
  </si>
  <si>
    <t>泸宜遵</t>
  </si>
  <si>
    <t>泸宜遵酒业有限公司</t>
  </si>
  <si>
    <t>鸡尾酒;果酒（含酒精）;⻩酒;⽩兰地;酒精饮料原汁;含酒精⽔果饮料;⽩葡萄酒;含⽔果酒精饮料;酒精饮料（啤酒除外）;⽩酒</t>
  </si>
  <si>
    <t>北京华元康盛贸易有限公司</t>
  </si>
  <si>
    <t>含⽔果酒精饮料;酒精饮料浓缩汁;⽶酒;⾕物制蒸馏酒精饮料;⽩酒;酒精饮料（啤酒除外）;伏特加酒;利⼝酒;葡萄酒;果酒（含酒精）</t>
  </si>
  <si>
    <t>川锡窖</t>
  </si>
  <si>
    <t>内蒙古赤锡老窖酒业有限公司</t>
  </si>
  <si>
    <t>含⽔果酒精饮料;露酒;鸡尾酒;酒精饮料（啤酒除外）;⽼酒（中国蒸馏烈酒）;⾼粱酒;果酒;⽶酒;⽩酒;烈酒</t>
  </si>
  <si>
    <t>大千流</t>
  </si>
  <si>
    <t>宜宾邓祖企业管理有限公司</t>
  </si>
  <si>
    <t>⽩⼲酒（中国⽩酒）;梨酒;红葡萄酒;烧酒;⻩酒;利⼝酒;以葡萄酒为主的饮料;⽩酒;烈酒;⻘稞酒</t>
  </si>
  <si>
    <t>内臣</t>
  </si>
  <si>
    <t>⽩酒;⽼酒（中国蒸馏烈酒）;烧酒;⻘稞酒;⽩⼲酒（中国⽩酒）;烈酒;⻩酒;清酒;⾼粱酒;露酒</t>
  </si>
  <si>
    <t>蓝砂</t>
  </si>
  <si>
    <t>孙望</t>
  </si>
  <si>
    <t>果酒（含酒精）;烈酒（饮料）;酒精饮料（啤酒除外）;⻩酒;⽩酒;⽶酒;烧酒;含⽔果酒精饮料;含酒精的饮料（啤酒除外）;⽼酒（中国蒸馏烈酒）</t>
  </si>
  <si>
    <t>只是</t>
  </si>
  <si>
    <t>王砚国</t>
  </si>
  <si>
    <t>⽩兰地;清酒（⽇本⽶酒）;苹果酒;葡萄酒;烧酒;⽩酒;⽶酒;果酒（含酒精）;伏特加酒;⻘稞酒</t>
  </si>
  <si>
    <t>宝和贵</t>
  </si>
  <si>
    <t>酒精饮料（啤酒除外）;烧酒;葡萄酒;果酒（含酒精）;⽢蔗制烈酒;⽩酒;烈酒（饮料）;⻩酒;鸡尾酒;⽶酒</t>
  </si>
  <si>
    <t>CAPTAIN YAO</t>
  </si>
  <si>
    <t>上海三巡电子商务有限公司</t>
  </si>
  <si>
    <t>烧酒;⽩兰地;⽩酒;威⼠忌;鸡尾酒;果酒（含酒精）;葡萄酒;⻩酒;清酒（⽇本⽶酒）;汽酒</t>
  </si>
  <si>
    <t>石朱坞</t>
  </si>
  <si>
    <t>杭州石硃坞农业科技有限公司</t>
  </si>
  <si>
    <t>⽩酒;清酒;烧酒;果酒（含酒精）;⽶酒;烈酒;⻩酒;葡萄酒;含⽔果酒精饮料;酒精饮料（啤酒除外）</t>
  </si>
  <si>
    <t>安穆</t>
  </si>
  <si>
    <t>幸福简易股份有限公司</t>
  </si>
  <si>
    <t>伏特加酒</t>
  </si>
  <si>
    <t>倾国演义</t>
  </si>
  <si>
    <t>刘鲜艳</t>
  </si>
  <si>
    <t>鸡尾酒;酒精饮料（啤酒除外）;⽩酒;开胃酒;⻩酒;烧酒;蜂蜜酒;果酒（含酒精）;清酒（⽇本⽶酒）;葡萄酒</t>
  </si>
  <si>
    <t>艾慕优</t>
  </si>
  <si>
    <t>誓节桐汭河</t>
  </si>
  <si>
    <t>广德立人生态农业开发有限公司</t>
  </si>
  <si>
    <t>⽩酒;甜酒;烧酒;果酒;⾼粱酒;葡萄酒;樱桃酒;⻩酒;⽶酒;杨梅酒</t>
  </si>
  <si>
    <t>VS VEGA SOL 维嘉索尔</t>
  </si>
  <si>
    <t>洪永旺</t>
  </si>
  <si>
    <t>果酒（含酒精）;葡萄酒;酸酒（低等葡萄酒）;烧酒;烈酒（饮料）;开胃酒;⽩酒;⽶酒;伏特加酒;⽩兰地</t>
  </si>
  <si>
    <t>久洋栋梁</t>
  </si>
  <si>
    <t>宿迁市洋河镇久洋酒业有限公司</t>
  </si>
  <si>
    <t>清酒（⽇本⽶酒）;酒精饮料（啤酒除外）;⻩酒;⽩酒;⽶酒;葡萄酒;烈酒（饮料）;果酒（含酒精）;鸡尾酒;烧酒</t>
  </si>
  <si>
    <t>汇茂（石家庄）商贸有限公司</t>
  </si>
  <si>
    <t>烧酒;⽩⼲酒（中国⽩酒）;⻘稞酒;梨酒;清酒;含⽔果酒精饮料;⽶酒;⻩酒;⽩酒;汽酒</t>
  </si>
  <si>
    <t>忆卢登</t>
  </si>
  <si>
    <t>东阳阿雅文化科技有限公司</t>
  </si>
  <si>
    <t>开胃酒;威⼠忌;果酒（含酒精）;葡萄酒;⽩酒;烧酒;烈酒（饮料）;⽶酒;⻩酒;含⽔果酒精饮料</t>
  </si>
  <si>
    <t>拾榴坊</t>
  </si>
  <si>
    <t>郑州阿成互联科技有限公司</t>
  </si>
  <si>
    <t>含⽔果酒精饮料;利⼝酒;清酒;⽶酒;酒精饮料（啤酒除外）;果酒（含酒精）;汽酒;蒸馏饮料;⽩酒;葡萄酒</t>
  </si>
  <si>
    <t>金台潭</t>
  </si>
  <si>
    <t>李世应</t>
  </si>
  <si>
    <t>烧酒;葡萄酒;开胃酒;利⼝酒;酒精饮料（啤酒除外）;鸡尾酒;清酒（⽇本⽶酒）;果酒;朗姆酒;⽩酒</t>
  </si>
  <si>
    <t>金酿忆</t>
  </si>
  <si>
    <t>开胃酒;利⼝酒;葡萄酒;鸡尾酒;朗姆酒;烧酒;⽩酒;清酒（⽇本⽶酒）;果酒;酒精饮料（啤酒除外）</t>
  </si>
  <si>
    <t>绍粱台</t>
  </si>
  <si>
    <t>酒精饮料（啤酒除外）;⽶酒;⾼粱酒;酒精饮料浓缩汁;⽩酒;烧酒;果酒（含酒精）;⾷⽤酒精;蒸煮提取物（利⼝酒和烈酒）;葡萄酒</t>
  </si>
  <si>
    <t>DREAM SNOW</t>
  </si>
  <si>
    <t>赵光鑫</t>
  </si>
  <si>
    <t>果酒（含酒精）;杜松⼦酒;伏特加酒;⽩兰地;威⼠忌;利⼝酒;⽩酒;鸡尾酒;葡萄酒;⽶酒</t>
  </si>
  <si>
    <t>潞贤</t>
  </si>
  <si>
    <t>李双枝</t>
  </si>
  <si>
    <t>开胃酒;葡萄酒;烧酒;⻘稞酒;⻩酒;由⾕物蒸馏的⽩酒;利⼝酒;⽩酒;烈酒（饮料）;⽶酒</t>
  </si>
  <si>
    <t>郴比</t>
  </si>
  <si>
    <t>肖秋泉</t>
  </si>
  <si>
    <t>烈酒（饮料）;⾷⽤酒精;⽩酒;佐餐酒;葡萄酒;⾕物制蒸馏酒精饮料;⽶酒;⻩酒;果酒（含酒精）;含⽔果酒精饮料</t>
  </si>
  <si>
    <t>龙林人</t>
  </si>
  <si>
    <t>福州市龙林人品牌管理有限公司</t>
  </si>
  <si>
    <t>葡萄酒;威⼠忌;⽶酒;烧酒;⻩酒;果酒（含酒精）;酒精饮料（啤酒除外）;烈酒（饮料）;鸡尾酒;⽩酒</t>
  </si>
  <si>
    <t>老霸久</t>
  </si>
  <si>
    <t>鸡尾酒;葡萄酒;清酒（⽇本⽶酒）;酒精饮料（啤酒除外）;⽶酒;⻩酒;烈酒（饮料）;⽩酒;果酒（含酒精）;烧酒</t>
  </si>
  <si>
    <t>金三锣锅</t>
  </si>
  <si>
    <t>临沂市金三锣锅餐饮服务有限公司</t>
  </si>
  <si>
    <t>果酒;葡萄酒;⽶酒;烈酒;预先混合的酒精饮料（以啤酒为主的除外）;⽩酒;酒精饮料（啤酒除外）;威⼠忌;开胃酒;烧酒</t>
  </si>
  <si>
    <t>醉杏酌</t>
  </si>
  <si>
    <t>酒精饮料（啤酒除外）;⽩酒;⾷⽤酒精;果酒;酒精饮料浓缩汁;果酒（含酒精）;⽶酒;蒸煮提取物（利⼝酒和烈酒）;葡萄酒;烧酒</t>
  </si>
  <si>
    <t>金杏忆</t>
  </si>
  <si>
    <t>李保辉</t>
  </si>
  <si>
    <t>⽩酒;葡萄酒;朗姆酒;烧酒;鸡尾酒;开胃酒;清酒（⽇本⽶酒）;果酒;酒精饮料（啤酒除外）;利⼝酒</t>
  </si>
  <si>
    <t>淄一方</t>
  </si>
  <si>
    <t>冯振波37030********5591X</t>
  </si>
  <si>
    <t>果酒（含酒精）;⻩酒;葡萄酒;⽩酒;⽩兰地;烈酒（饮料）;⽶酒;威⼠忌;烧酒;鸡尾酒</t>
  </si>
  <si>
    <t>大汗王大汗白</t>
  </si>
  <si>
    <t>呼伦贝尔手工坊酿酒有限责任公司</t>
  </si>
  <si>
    <t>⻘稞酒;烧酒;鸡尾酒;酒精饮料（啤酒除外）;葡萄酒;⽶酒;⽩酒;已调味的蒸馏酒;果酒（含酒精）;⻩酒</t>
  </si>
  <si>
    <t>ASAR BASPANA</t>
  </si>
  <si>
    <t>张妍</t>
  </si>
  <si>
    <t>鸡尾酒;⽶酒;朗姆酒;威⼠忌;⽩酒;伏特加酒;果酒（含酒精）;葡萄酒;⽩兰地;已调味的⻨芽酿制的酒精饮料（啤酒除外）</t>
  </si>
  <si>
    <t>柔山河</t>
  </si>
  <si>
    <t>⾷⽤酒精;蒸煮提取物（利⼝酒和烈酒）;⽶酒;酒精饮料浓缩汁;烧酒;清酒;酒精饮料（啤酒除外）;⽩酒;果酒（含酒精）;葡萄酒</t>
  </si>
  <si>
    <t>金甘鸽红运</t>
  </si>
  <si>
    <t>威⼠忌;伏特加酒;鸡尾酒;⽩兰地;葡萄酒;烈酒（饮料）;酒精饮料原汁;酒精饮料（啤酒除外）;朗姆酒;酸酒（低等葡萄酒）</t>
  </si>
  <si>
    <t>汉帝圣君</t>
  </si>
  <si>
    <t>鸡尾酒;果酒（含酒精）;⽩酒;蜂蜜酒;含⽔果酒精饮料;烧酒;⻩酒;葡萄酒;⽶酒;烈酒（饮料）</t>
  </si>
  <si>
    <t>金杏禧</t>
  </si>
  <si>
    <t>清酒（⽇本⽶酒）;酒精饮料（啤酒除外）;果酒;⽩酒;利⼝酒;烧酒;葡萄酒;开胃酒;朗姆酒;鸡尾酒</t>
  </si>
  <si>
    <t>醉两汉西汉</t>
  </si>
  <si>
    <t>⽶酒;⾕物制蒸馏酒精饮料;⽩酒;⾷⽤酒精;果酒;葡萄酒;预先混合的酒精饮料（以啤酒为主的除外）;威⼠忌;⻩酒;酒精饮料（啤酒除外）</t>
  </si>
  <si>
    <t>南屏月翁</t>
  </si>
  <si>
    <t>翁文伟</t>
  </si>
  <si>
    <t>果酒（含酒精）;⻩酒;⽶酒;蜂蜜酒;烧酒;清酒（⽇本⽶酒）;葡萄酒;梨酒;⽩酒;⻘稞酒</t>
  </si>
  <si>
    <t>汉帝圣旨</t>
  </si>
  <si>
    <t>鸡尾酒;烈酒（饮料）;⽩酒;果酒（含酒精）;⽶酒;含⽔果酒精饮料;烧酒;⻩酒;蜂蜜酒;葡萄酒</t>
  </si>
  <si>
    <t>嘿久雅宴</t>
  </si>
  <si>
    <t>贵州我在等你餐饮管理有限公司</t>
  </si>
  <si>
    <t>烈酒;烧酒;甜酒;鸡尾酒;⻩酒;⾷⽤酒精;杨梅酒;威⼠忌;⽩酒;⽶酒</t>
  </si>
  <si>
    <t>羚羊谷 THE EYE ANTELOPE CANYON PARK</t>
  </si>
  <si>
    <t>新和县文旅投资发展有限公司</t>
  </si>
  <si>
    <t>葡萄酒;蒸馏饮料;清酒（⽇本⽶酒）;烧酒;⽩酒;鸡尾酒;汽酒;含⽔果酒精饮料;⻩酒;⽶酒</t>
  </si>
  <si>
    <t>御二福</t>
  </si>
  <si>
    <t>⽼酒（中国蒸馏烈酒）;⾷⽤酒精;酒精饮料浓缩汁;葡萄酒;⽶酒;烧酒;果酒（含酒精）;酒精饮料（啤酒除外）;蒸煮提取物（利⼝酒和烈酒）;⽩酒</t>
  </si>
  <si>
    <t>久洋老霸</t>
  </si>
  <si>
    <t>⽩酒;果酒（含酒精）;鸡尾酒;葡萄酒;⽶酒;烈酒（饮料）;清酒（⽇本⽶酒）;⻩酒;酒精饮料（啤酒除外）;烧酒</t>
  </si>
  <si>
    <t>盏控</t>
  </si>
  <si>
    <t>雷登华</t>
  </si>
  <si>
    <t>酒精饮料（啤酒除外）;⽩酒;威⼠忌;烈酒;清酒（⽇本⽶酒）;开胃酒;葡萄酒;⻩酒;鸡尾酒;果酒（含酒精）</t>
  </si>
  <si>
    <t>长汀县自然汀州农业有限公司</t>
  </si>
  <si>
    <t>⽩酒;蒸馏饮料;⻩酒;⾕物制蒸馏酒精饮料;酒精饮料（啤酒除外）;清酒;⽶酒;葡萄酒;⽼酒（中国蒸馏烈酒）;⽩⼲酒（中国⽩酒）</t>
  </si>
  <si>
    <t>栖凤人间</t>
  </si>
  <si>
    <t>果酒（含酒精）;葡萄酒;威⼠忌;⽶酒;鸡尾酒;⽩酒;⻩酒;酒精饮料（啤酒除外）;汽酒;烧酒</t>
  </si>
  <si>
    <t>华涛</t>
  </si>
  <si>
    <t>重庆华涛药业有限公司</t>
  </si>
  <si>
    <t>酒精饮料（啤酒除外）;⻩酒;⽩酒;葡萄酒;开胃酒;汽酒;酒精饮料原汁;蒸馏饮料;⽶酒;果酒（含酒精）</t>
  </si>
  <si>
    <t>吉岗香</t>
  </si>
  <si>
    <t>冯彦平</t>
  </si>
  <si>
    <t>酒精饮料（啤酒除外）;酒精饮料原汁;含⽔果酒精饮料;⽩酒;葡萄酒;烧酒;烈酒;果酒（含酒精）;蒸馏饮料;露酒</t>
  </si>
  <si>
    <t>惜福酒</t>
  </si>
  <si>
    <t>李雪婧</t>
  </si>
  <si>
    <t>酒精饮料（啤酒除外）;烧酒;⽩酒;酒精饮料原汁;⾷⽤酒精;⻩酒;⽼酒（中国蒸馏烈酒）;烈酒;烈酒（饮料）;⽶酒</t>
  </si>
  <si>
    <t>翰老</t>
  </si>
  <si>
    <t>符效源</t>
  </si>
  <si>
    <t>⽼酒（中国蒸馏烈酒）;酒精饮料（啤酒除外）;⽶酒;烧酒（烈酒）;烧酒;酒精饮料原汁;⻩酒;⽩酒;由⾕物蒸馏的⽩酒;葡萄酒</t>
  </si>
  <si>
    <t>⽶酒;含⽔果酒精饮料;酒精饮料（啤酒除外）;⻩酒;果酒（含酒精）;葡萄酒;伏特加酒;⽩兰地;酒精饮料原汁;⽩酒</t>
  </si>
  <si>
    <t>牧翁</t>
  </si>
  <si>
    <t>海伦市牧翁商贸有限公司西安未央分公司</t>
  </si>
  <si>
    <t>烈酒（饮料）;葡萄酒;酒精饮料（啤酒除外）;⽩酒;鸡尾酒;烧酒;⽶酒;果酒（含酒精）;⻩酒;伏特加酒</t>
  </si>
  <si>
    <t>朝闻味天下</t>
  </si>
  <si>
    <t>胡四华422201********1956</t>
  </si>
  <si>
    <t>酒精饮料原汁;蒸馏饮料;蜂蜜酒;烧酒;⽩酒;果酒（含酒精）;酸酒（低等葡萄酒）;⽶酒;⻩酒;开胃酒</t>
  </si>
  <si>
    <t>藏无极</t>
  </si>
  <si>
    <t>陕西藏玖健康管理有限公司</t>
  </si>
  <si>
    <t>酒精饮料（啤酒除外）;⾕物制蒸馏酒精饮料;苦味酒;蜂蜜酒;⽶酒;烧酒;樱桃酒;⾼粱酒;酒精饮料原汁;葡萄酒</t>
  </si>
  <si>
    <t>乐九天</t>
  </si>
  <si>
    <t>蕙林科普（佛山）科技有限公司</t>
  </si>
  <si>
    <t>烈酒（饮料）;烧酒;含⽔果酒精饮料;⽩酒;⽶酒;葡萄酒;酒精饮料浓缩汁;酒精饮料（啤酒除外）;蒸馏饮料;果酒（含酒精）</t>
  </si>
  <si>
    <t>WUTANXIAN</t>
  </si>
  <si>
    <t>贵州省赖家侠酒业有限公司</t>
  </si>
  <si>
    <t>葡萄酒;果酒（含酒精）;酒精饮料（啤酒除外）;⻩酒;⽩兰地;开胃酒;烧酒;威⼠忌;清酒;⽩酒</t>
  </si>
  <si>
    <t>联合追球</t>
  </si>
  <si>
    <t>贵州省仁怀市茅台镇联合酿酒有限公司</t>
  </si>
  <si>
    <t>酒精饮料原汁;酒精饮料浓缩汁;⾼粱酒;蒸馏饮料;葡萄酒;果酒（含酒精）;含⽔果酒精饮料;⽩酒;露酒;烧酒</t>
  </si>
  <si>
    <t>棘开心</t>
  </si>
  <si>
    <t>杭州吉开星供应链管理有限公司</t>
  </si>
  <si>
    <t>烈酒（饮料）;汽酒;开胃酒;⽩酒;⾕物制蒸馏酒精饮料;蜂蜜酒;酒精饮料原汁;含⽔果酒精饮料;酒精饮料（啤酒除外）;果酒（含酒精）</t>
  </si>
  <si>
    <t>醉芗泉</t>
  </si>
  <si>
    <t>邓湘萍</t>
  </si>
  <si>
    <t>烈酒（饮料）;⽩兰地;以葡萄酒为主的饮料;果酒（含酒精）;威⼠忌;鸡尾酒;酒精饮料浓缩汁;⽩酒;餐后酒（利⼝酒和烈酒）;清酒（⽇本⽶酒）</t>
  </si>
  <si>
    <t>孟一生</t>
  </si>
  <si>
    <t>邓张喜</t>
  </si>
  <si>
    <t>鸡尾酒;葡萄酒;果酒;清酒;含酒精的饮料（啤酒除外）;⽩兰地;威⼠忌;⾼粱酒;⽩酒;⽶酒</t>
  </si>
  <si>
    <t>劢</t>
  </si>
  <si>
    <t>邰秀文</t>
  </si>
  <si>
    <t>⻘稞酒;⽩兰地;威⼠忌;⻨芽威⼠忌;葡萄酒;汽酒;⽩⼲酒（中国⽩酒）;鸡尾酒;⽩酒;果酒</t>
  </si>
  <si>
    <t>酒大凰</t>
  </si>
  <si>
    <t>清酒（⽇本⽶酒）;烈酒;⽶酒;威⼠忌;果酒（含酒精）;⽩酒;鸡尾酒;葡萄酒;除啤酒外的酒精饮料;⻩酒</t>
  </si>
  <si>
    <t>LOST MARY</t>
  </si>
  <si>
    <t>达兴乐事有限公司</t>
  </si>
  <si>
    <t>以朗姆酒为主的饮料;以葡萄酒为主的开胃酒;含酒精⽔果饮料;伏特加酒;果酒（含酒精）;威⼠忌;预先混合的酒精饮料（以啤酒为主的除外）;⽩酒;含酒精的充⽓饮料（啤酒除外）;烈酒浓缩汁</t>
  </si>
  <si>
    <t>柳芈春</t>
  </si>
  <si>
    <t>邢园园</t>
  </si>
  <si>
    <t>梅酒;果酒;葡萄酒;威⼠忌;⽩酒;伏特加酒;朗姆酒;汽酒;⻩酒;鸡尾酒</t>
  </si>
  <si>
    <t>XIJIEPINYOUHUI</t>
  </si>
  <si>
    <t>⽩酒;果酒;鸡尾酒;葡萄酒;⾼粱酒;⽶酒;含酒精的饮料（啤酒除外）;清酒;威⼠忌;⽩兰地</t>
  </si>
  <si>
    <t>礼心谷</t>
  </si>
  <si>
    <t>刘磊</t>
  </si>
  <si>
    <t>鸡尾酒;葡萄酒;露酒;威⼠忌;⽶酒;果酒;酒精饮料（啤酒除外）;⽩酒;⻩酒;清酒</t>
  </si>
  <si>
    <t>京都丽人</t>
  </si>
  <si>
    <t>南通圣山酒业有限公司</t>
  </si>
  <si>
    <t>清酒（⽇本⽶酒）;烧酒;⽶酒;酒精饮料（啤酒除外）;葡萄酒;含⽔果酒精饮料;薄荷酒;烈酒（饮料）;⽩酒;⻩酒</t>
  </si>
  <si>
    <t>枫榕窖 嘉宴</t>
  </si>
  <si>
    <t>遵义恒天酒业有限公司</t>
  </si>
  <si>
    <t>葡萄酒;⾕物制蒸馏酒精饮料;果酒（含酒精）;苹果酒;⽩酒;蒸馏饮料;餐后酒（利⼝酒和烈酒）;⽶酒;露酒;烈酒（饮料）</t>
  </si>
  <si>
    <t>醉翁仙虫</t>
  </si>
  <si>
    <t>邓建</t>
  </si>
  <si>
    <t>葡萄酒;鸡尾酒;⽩兰地;⽶酒;⻘稞酒;薄荷酒;威⼠忌;⻩酒;烧酒;⽩酒</t>
  </si>
  <si>
    <t>钦州市钦北区雄富种养专业合作社</t>
  </si>
  <si>
    <t>⽶酒;果酒（含酒精）;烈酒（饮料）;蒸馏饮料;含酒精的⽓泡⽔;⾷⽤酒精;杨梅酒;甜酒;葡萄酒;蜂蜜酒</t>
  </si>
  <si>
    <t>清远市农业投资集团有限公司</t>
  </si>
  <si>
    <t>⾷⽤酒精;鸡尾酒;威⼠忌;⽩兰地;⽩酒;烧酒;⻩酒;果酒（含酒精）;汽酒;⻘稞酒</t>
  </si>
  <si>
    <t>金中液</t>
  </si>
  <si>
    <t>隆益中</t>
  </si>
  <si>
    <t>葡萄酒;⽩酒;⽶酒;清酒（⽇本⽶酒）;酒精饮料（啤酒除外）;烈酒（饮料）;酒精饮料原汁;伏特加酒;鸡尾酒;威⼠忌</t>
  </si>
  <si>
    <t>师说名</t>
  </si>
  <si>
    <t>汪克梦</t>
  </si>
  <si>
    <t>烧酒;果酒;黄酒;烈酒;露酒;酒精饮料原汁;食用酒精;高粱酒;葡萄酒;白酒</t>
  </si>
  <si>
    <t>头号牛</t>
  </si>
  <si>
    <t>泰神实业（深圳）有限公司</t>
  </si>
  <si>
    <t>烧酒;葡萄酒;酒精饮料原汁;含水果酒精饮料;烈酒;含酒精的充气饮料（啤酒除外）;米酒;白酒;黄酒</t>
  </si>
  <si>
    <t>DH</t>
  </si>
  <si>
    <t>邓洪波</t>
  </si>
  <si>
    <t>葡萄酒;酒精饮料（啤酒除外）;果酒（含酒精）;蒸馏饮料;⽩酒;⻘稞酒;⻩酒;⽶酒;⾷⽤酒精;清酒（⽇本⽶酒）</t>
  </si>
  <si>
    <t>云顶翠微</t>
  </si>
  <si>
    <t>刘牧野</t>
  </si>
  <si>
    <t>汽酒;⽶酒;果酒;⽩酒;葡萄酒;⻩酒;开胃酒;蜂蜜酒;烧酒;含⽔果酒精饮料</t>
  </si>
  <si>
    <t>跑调的唐不二</t>
  </si>
  <si>
    <t>湖南跑调餐饮管理有限公司</t>
  </si>
  <si>
    <t>⽩酒;⾷⽤酒精;蒸馏饮料;烈酒（饮料）;⻩酒;果酒（含酒精）;葡萄酒;酒精饮料（啤酒除外）;清酒;⽶酒</t>
  </si>
  <si>
    <t>武道玖</t>
  </si>
  <si>
    <t>潍坊市鹅卵石文化发展有限公司</t>
  </si>
  <si>
    <t>烧酒（烈酒）;葡萄酒;⽩兰地;⽩酒;威⼠忌;⻩酒;利⼝酒;朗姆酒;鸡尾酒;⽶酒</t>
  </si>
  <si>
    <t>大朝仁酿</t>
  </si>
  <si>
    <t>贵州省仁怀市仁酿酒业有限公司</t>
  </si>
  <si>
    <t>⽼酒（中国蒸馏烈酒）;⽩酒;⽶酒;清酒;蒸煮提取物（利⼝酒和烈酒）;烧酒（烈酒）;苦味酒;⾷⽤酒精</t>
  </si>
  <si>
    <t>沙润红</t>
  </si>
  <si>
    <t>内蒙古沙润葡萄酒业有限公司</t>
  </si>
  <si>
    <t>苹果酒;果酒（含酒精）;烈酒（饮料）;⽩兰地;朗姆酒;葡萄酒;利⼝酒;威⼠忌;开胃酒;蒸馏饮料</t>
  </si>
  <si>
    <t>贵州堡酱作贸易有限公司</t>
  </si>
  <si>
    <t>⽩兰地;⽶酒;酒精饮料（啤酒除外）;果酒（含酒精）;⻩酒;⽩酒;蒸馏饮料;烈酒（饮料）;⾼粱酒;烧酒</t>
  </si>
  <si>
    <t>蒙儿红</t>
  </si>
  <si>
    <t>通辽市中科肥业有限公司</t>
  </si>
  <si>
    <t>酒精饮料原汁;苹果酒;果酒（含酒精）;甜果酒;⽩兰地;开胃酒;葡萄酒</t>
  </si>
  <si>
    <t>得胜陀</t>
  </si>
  <si>
    <t>王文宇</t>
  </si>
  <si>
    <t>果酒;汽酒;蜂蜜酒;酒精饮料（啤酒除外）;⽩酒;烧酒;葡萄酒;⻩酒;⽶酒;⽩兰地</t>
  </si>
  <si>
    <t>林啖伯</t>
  </si>
  <si>
    <t>三界外（深圳）商事咨询服务有限公司</t>
  </si>
  <si>
    <t>⽩兰地;葡萄酒;⻘稞酒;预先混合的酒精饮料（以啤酒为主的除外）;⻩酒;烈酒（饮料）;⽶酒;⽩酒;果酒（含酒精）;鸡尾酒</t>
  </si>
  <si>
    <t>最球</t>
  </si>
  <si>
    <t>葡萄酒;烧酒;果酒（含酒精）;酒精饮料原汁;露酒;⾼粱酒;⽩酒;蒸馏饮料;酒精饮料浓缩汁;含⽔果酒精饮料</t>
  </si>
  <si>
    <t>刀郎哥哥</t>
  </si>
  <si>
    <t>杨治疆</t>
  </si>
  <si>
    <t>烧酒;⻩酒;⽩酒;烈酒;葡萄酒;甜酒;⾼粱酒;果酒;烈酒（饮料）;⽶酒</t>
  </si>
  <si>
    <t>惜福宴酒</t>
  </si>
  <si>
    <t>酒精饮料（啤酒除外）;⽶酒;⽩酒;⽼酒（中国蒸馏烈酒）;酒精饮料原汁;⻩酒;⾷⽤酒精;烧酒;烈酒;烈酒（饮料）</t>
  </si>
  <si>
    <t>西北回忆</t>
  </si>
  <si>
    <t>百年赤水酒业有限公司</t>
  </si>
  <si>
    <t>威⼠忌;⽶酒;烧酒;蒸馏饮料;⽩兰地;鸡尾酒;⽩酒;果酒（含酒精）;葡萄酒;⻩酒</t>
  </si>
  <si>
    <t>拥花醉</t>
  </si>
  <si>
    <t>胡火生</t>
  </si>
  <si>
    <t>⻩酒;⾷⽤酒精;⽶酒;烈酒（饮料）;烧酒;含⽔果酒精饮料;威⼠忌;果酒（含酒精）;⽩酒;⻘稞酒</t>
  </si>
  <si>
    <t>E号柜</t>
  </si>
  <si>
    <t>赵鹏鸽</t>
  </si>
  <si>
    <t>开胃酒;甜酒;⽩酒;汽酒;⻩酒;⾷⽤酒精;果酒;⽶酒;葡萄酒;清酒</t>
  </si>
  <si>
    <t>熊州记</t>
  </si>
  <si>
    <t>熊祥斌512201********4032</t>
  </si>
  <si>
    <t>烈酒（饮料）;蒸馏饮料;⽩酒;葡萄酒;鸡尾酒;烧酒;汽酒;⾷⽤酒精;果酒（含酒精）;⽶酒</t>
  </si>
  <si>
    <t>顶圈</t>
  </si>
  <si>
    <t>⻩酒;⽩兰地;果酒（含酒精）;葡萄酒;鸡尾酒;开胃酒;酒精饮料（啤酒除外）;⽩酒;⽶酒;威⼠忌</t>
  </si>
  <si>
    <t>安酒珍品</t>
  </si>
  <si>
    <t>贵州安酒集团有限公司</t>
  </si>
  <si>
    <t>含酒精的饮料（啤酒除外）;蒸馏饮料;威⼠忌;汽酒;⻩酒;葡萄酒;⾼粱酒;果酒;烈酒;⽩酒</t>
  </si>
  <si>
    <t>MAISON ANSAC SASU</t>
  </si>
  <si>
    <t>张子玲</t>
  </si>
  <si>
    <t>伏特加酒;⽩酒;苹果酒;葡萄酒;⽩兰地;餐后酒（利⼝酒和烈酒）;酒精饮料（啤酒除外）;威⼠忌;果酒（含酒精）;鸡尾酒</t>
  </si>
  <si>
    <t>酒造社社</t>
  </si>
  <si>
    <t>银川一山一宁文化有限公司</t>
  </si>
  <si>
    <t>⻩酒;伏特加酒;酒精饮料（啤酒除外）;果酒;葡萄酒;调制好的葡萄酒鸡尾酒;汽酒;⽩酒;以葡萄酒为主的饮料;清酒</t>
  </si>
  <si>
    <t>金清照</t>
  </si>
  <si>
    <t>酒精饮料（啤酒除外）;⽶酒;⽩酒;开胃酒;酸酒（低等葡萄酒）;⻩酒;果酒（含酒精）;汽酒;苹果酒;葡萄酒</t>
  </si>
  <si>
    <t>安酒庄园</t>
  </si>
  <si>
    <t>含酒精的饮料（啤酒除外）;蒸馏饮料;⻩酒;威⼠忌;果酒;烈酒;葡萄酒;⽩酒;⾼粱酒;汽酒</t>
  </si>
  <si>
    <t>九宫趣</t>
  </si>
  <si>
    <t>⽩酒;开胃酒;烧酒;威⼠忌;鸡尾酒;⽩兰地;伏特加酒;清酒（⽇本⽶酒）;薄荷酒;葡萄酒</t>
  </si>
  <si>
    <t>安酒传奇</t>
  </si>
  <si>
    <t>汽酒;果酒;含酒精的饮料（啤酒除外）;蒸馏饮料;⽩酒;⾼粱酒;烈酒;威⼠忌;葡萄酒;⻩酒</t>
  </si>
  <si>
    <t>汉满樽</t>
  </si>
  <si>
    <t>辣妹子食品股份有限公司</t>
  </si>
  <si>
    <t>⽶酒;果酒（含酒精）;⽩酒;葡萄酒;汽酒;烧酒;含酒精⽔果饮料;酒精饮料（啤酒除外）;威⼠忌;苹果酒</t>
  </si>
  <si>
    <t>斟品侯</t>
  </si>
  <si>
    <t>青岛慈初达贸易有限公司</t>
  </si>
  <si>
    <t>烧酒;⽶酒;酒精饮料（啤酒除外）;果酒（含酒精）;蒸馏饮料;鸡尾酒;清酒（⽇本⽶酒）;⽩酒;⽩⼲酒（中国⽩酒）;⾕物制蒸馏酒精饮料</t>
  </si>
  <si>
    <t>耒甜甜</t>
  </si>
  <si>
    <t>湖南省耒甜甜食品科技有限公司</t>
  </si>
  <si>
    <t>葡萄酒;⽶酒;⻩酒;苹果酒;鸡尾酒;烧酒;果酒（含酒精）;朗姆酒;⽩酒;汽酒</t>
  </si>
  <si>
    <t>乡村小蒋</t>
  </si>
  <si>
    <t>湖南金丰绿源农业开发有限公司</t>
  </si>
  <si>
    <t>蜂蜜酒;果酒（含酒精）;烧酒;葡萄酒;⽶酒;⽩酒;⻩酒</t>
  </si>
  <si>
    <t>金狮元贵</t>
  </si>
  <si>
    <t>珠海横琴东方韵文化商贸有限公司</t>
  </si>
  <si>
    <t>烧酒;威⼠忌;果酒（含酒精）;⽩酒;⽶酒;酒精饮料（啤酒除外）;利⼝酒;烈酒（饮料）;樱桃酒;葡萄酒</t>
  </si>
  <si>
    <t>荔吉棒</t>
  </si>
  <si>
    <t>广州荔吉棒健康产业有限责任公司</t>
  </si>
  <si>
    <t>酒精饮料（啤酒除外）;烧酒;葡萄酒;⽩酒;⻩酒;鸡尾酒;⽶酒;⻘稞酒;烈酒;果酒</t>
  </si>
  <si>
    <t>名之洋</t>
  </si>
  <si>
    <t>深圳市名之洋生物科技有限公司</t>
  </si>
  <si>
    <t>不起泡葡萄酒;葡萄酒;⽩酒;⽩葡萄酒;烈酒（饮料）;葡萄汽酒;酒精饮料原汁;含⽔果酒精饮料;红葡萄酒;酒精饮料（啤酒除外）</t>
  </si>
  <si>
    <t>安酒品味</t>
  </si>
  <si>
    <t>⽩酒;含酒精的饮料（啤酒除外）;烈酒;蒸馏饮料;汽酒;果酒;威⼠忌;葡萄酒;⻩酒;⾼粱酒</t>
  </si>
  <si>
    <t>延养臣</t>
  </si>
  <si>
    <t>青岛悠悠我欣商贸有限公司</t>
  </si>
  <si>
    <t>蒸馏饮料;含酒精的饮料（啤酒除外）;由⾕物蒸馏的⽩酒;⽩酒;⻩酒;⽼酒（中国蒸馏烈酒）;⽩⼲酒（中国⽩酒）;果酒（含酒精）;⽶酒;含酒精⽔果饮料</t>
  </si>
  <si>
    <t>百脉泉上游</t>
  </si>
  <si>
    <t>⽩酒;开胃酒;苹果酒;酸酒（低等葡萄酒）;酒精饮料（啤酒除外）;汽酒;⻩酒;果酒（含酒精）;葡萄酒;⽶酒</t>
  </si>
  <si>
    <t>叼淳</t>
  </si>
  <si>
    <t>赵穆林</t>
  </si>
  <si>
    <t>苦味酒;清酒;果酒（含酒精）;⽶酒;开胃酒;烈酒（饮料）;⻩酒;清酒（⽇本⽶酒）;含⽔果酒精饮料;⽩酒</t>
  </si>
  <si>
    <t>洋帆</t>
  </si>
  <si>
    <t>曹权信</t>
  </si>
  <si>
    <t>威⼠忌;烈酒（饮料）;⻩酒;果酒（含酒精）;葡萄酒;⽩酒;酒精饮料（啤酒除外）;清酒（⽇本⽶酒）;烧酒;⽶酒</t>
  </si>
  <si>
    <t>横怡</t>
  </si>
  <si>
    <t>林远群</t>
  </si>
  <si>
    <t>薄荷酒;果酒（含酒精）;含⽔果酒精饮料;⻩酒;⻘梅酒;⽩酒;甜酒;葡萄酒;⽶酒;果酒</t>
  </si>
  <si>
    <t>乌泥</t>
  </si>
  <si>
    <t>蔡永锋</t>
  </si>
  <si>
    <t>⽩⼲酒（中国⽩酒）;果酒;⽼酒（中国蒸馏烈酒）;烧酒;⾼粱酒;⽩酒;烈性⼲酒;⽶酒;清酒;烈酒</t>
  </si>
  <si>
    <t>黔匠圣尊</t>
  </si>
  <si>
    <t>贵州众陶醉酒业销售有限公司</t>
  </si>
  <si>
    <t>薄荷酒;鸡尾酒;⽶酒;⽩酒;烧酒;果酒（含酒精）;⽩兰地;开胃酒;⻩酒;葡萄酒</t>
  </si>
  <si>
    <t>盘恋</t>
  </si>
  <si>
    <t>贵州双吧佳食品有限公司</t>
  </si>
  <si>
    <t>清酒;由⾕物蒸馏的⽩酒;⽩酒;⽶酒;⾕物制蒸馏酒精饮料;烧酒;果酒;鸡尾酒;果酒（含酒精）;⾼粱酒</t>
  </si>
  <si>
    <t>西湘里</t>
  </si>
  <si>
    <t>杭州萧山晋级中古再生资源回收站</t>
  </si>
  <si>
    <t>杨梅酒;预先混合的酒精饮料（以啤酒为主的除外）;含酒精的充⽓饮料（啤酒除外）;果酒（含酒精）;⽶酒;含⽔果酒精饮料;含酒精⽔果饮料;含酒精的鸡尾酒混合饮品;酒精饮料（啤酒除外）;⾕物制蒸馏酒精饮料</t>
  </si>
  <si>
    <t>解氏忆家</t>
  </si>
  <si>
    <t>解素林</t>
  </si>
  <si>
    <t>鸡尾酒;⽩酒;⻘稞酒;烈酒;⽶酒;果酒（含酒精）;葡萄酒;酒精饮料（啤酒除外）;烧酒;⻩酒</t>
  </si>
  <si>
    <t>景盛源</t>
  </si>
  <si>
    <t>青岛恒运工艺品有限公司</t>
  </si>
  <si>
    <t>⾷⽤酒精;⻩酒;烈酒;⽶酒;清酒;⽼酒（中国蒸馏烈酒）;酒精饮料（啤酒除外）;烧酒（烈酒）;⽩酒;葡萄酒</t>
  </si>
  <si>
    <t>儒将清宫御进</t>
  </si>
  <si>
    <t>鸡尾酒;⽩兰地;⽶酒;烧酒;⻩酒;葡萄酒;烈酒（饮料）;威⼠忌;果酒（含酒精）;⽩酒</t>
  </si>
  <si>
    <t>金周辰瑞</t>
  </si>
  <si>
    <t>西安辰瑞农业农民专业合作社</t>
  </si>
  <si>
    <t>蒸馏饮料;苹果酒;开胃酒;利⼝酒;鸡尾酒;苦味酒;⻩酒;⽩酒;亚⼒酒;果酒（含酒精）</t>
  </si>
  <si>
    <t>頔塘</t>
  </si>
  <si>
    <t>浙江今一能源科技有限公司</t>
  </si>
  <si>
    <t>蜂蜜酒;⽶酒;清酒（⽇本⽶酒）;酒精饮料（啤酒除外）;烈酒;烧酒;⽩酒;⻩酒;由⾕物蒸馏的⽩酒;葡萄酒</t>
  </si>
  <si>
    <t>穗赐</t>
  </si>
  <si>
    <t>陈尚文</t>
  </si>
  <si>
    <t>清酒（⽇本⽶酒）;⽩酒;烈酒;⻩酒;开胃酒;威⼠忌;葡萄酒;鸡尾酒;酒精饮料（啤酒除外）;果酒（含酒精）</t>
  </si>
  <si>
    <t>斟隆</t>
  </si>
  <si>
    <t>鸡尾酒;烈酒;酒精饮料（啤酒除外）;⽩酒;葡萄酒;威⼠忌;开胃酒;清酒（⽇本⽶酒）;⻩酒;果酒（含酒精）</t>
  </si>
  <si>
    <t>纯敬</t>
  </si>
  <si>
    <t>清酒（⽇本⽶酒）;果酒（含酒精）;鸡尾酒;酒精饮料（啤酒除外）;烈酒;开胃酒;⽩酒;⻩酒;威⼠忌;葡萄酒</t>
  </si>
  <si>
    <t>盘江老尊</t>
  </si>
  <si>
    <t>陈剑510229********3439</t>
  </si>
  <si>
    <t>⽼酒（中国蒸馏烈酒）;含酒精的饮料（啤酒除外）;甜酒;⾼粱酒;蒸馏饮料;⽩酒;烈酒;梅酒;烧酒;果酒</t>
  </si>
  <si>
    <t>将王魁</t>
  </si>
  <si>
    <t>赵耀煜</t>
  </si>
  <si>
    <t>⽶酒;威⼠忌;⻩酒;果酒;清酒;汽酒;⽩兰地;⽩酒;葡萄酒;烧酒</t>
  </si>
  <si>
    <t>重庆塞腾电子商务有限公司</t>
  </si>
  <si>
    <t>⽶酒;果酒;烧酒;⽩酒;清酒;利⼝酒;薄荷酒;⻩酒;开胃酒;⾼粱酒</t>
  </si>
  <si>
    <t>领奥</t>
  </si>
  <si>
    <t>石家庄铁狮子酿酒科技有限公司</t>
  </si>
  <si>
    <t>葡萄酒;⻩酒;朗姆酒;烧酒;⾷⽤酒精;鸡尾酒;酒精饮料（啤酒除外）;⻘稞酒;⽩酒;清酒</t>
  </si>
  <si>
    <t>弗雷沃（北京）科技有限公司</t>
  </si>
  <si>
    <t>鸡尾酒;含酒精的⽔果鸡尾酒饮料;含酒精的鸡尾酒混合饮品</t>
  </si>
  <si>
    <t>董伦镜</t>
  </si>
  <si>
    <t>葡萄酒;⽶酒;蒸馏饮料;露酒;果酒（含酒精）;⽩酒;⾕物制蒸馏酒精饮料;餐后酒（利⼝酒和烈酒）;烈酒（饮料）;苹果酒</t>
  </si>
  <si>
    <t>渡西游</t>
  </si>
  <si>
    <t>陈子洪</t>
  </si>
  <si>
    <t>鸡尾酒;威⼠忌;酒精饮料（啤酒除外）;果酒（含酒精）;开胃酒;烈酒;⽩酒;清酒（⽇本⽶酒）;⻩酒;葡萄酒</t>
  </si>
  <si>
    <t>咏魂</t>
  </si>
  <si>
    <t>开胃酒;清酒（⽇本⽶酒）;威⼠忌;⻩酒;⽩酒;葡萄酒;果酒（含酒精）;烈酒;鸡尾酒;酒精饮料（啤酒除外）</t>
  </si>
  <si>
    <t>BAR FLAVOUR</t>
  </si>
  <si>
    <t>含酒精的⽔果鸡尾酒饮料;含酒精的鸡尾酒混合饮品;鸡尾酒</t>
  </si>
  <si>
    <t>金窖筑</t>
  </si>
  <si>
    <t>⽩兰地;威⼠忌;清酒;⻩酒;烧酒;⽩酒;汽酒;果酒;葡萄酒;⽶酒</t>
  </si>
  <si>
    <t>MARTHA WITTON</t>
  </si>
  <si>
    <t>田涛</t>
  </si>
  <si>
    <t>葡萄酒;⽩酒;烧酒;酒精饮料（啤酒除外）;清酒;⻩酒;果酒;烈酒;开胃酒;⽶酒</t>
  </si>
  <si>
    <t>臻杏欢</t>
  </si>
  <si>
    <t>齐光燕</t>
  </si>
  <si>
    <t>鸡尾酒;蜂蜜酒;⽩酒;甜酒;葡萄酒;⽶酒;⽩兰地;烧酒;果酒（含酒精）;烈酒（饮料）</t>
  </si>
  <si>
    <t>黄金青春</t>
  </si>
  <si>
    <t>孔庆潮</t>
  </si>
  <si>
    <t>酒精饮料原汁;葡萄酒;烈酒（饮料）;果酒（含酒精）;⽩酒;蒸煮提取物（利⼝酒和烈酒）;酒精饮料（啤酒除外）;烧酒;⻩酒;⾷⽤酒精</t>
  </si>
  <si>
    <t>蜜灵琼</t>
  </si>
  <si>
    <t>郑祎</t>
  </si>
  <si>
    <t>⽩酒;⽶酒;⻩酒;葡萄酒;清酒（⽇本⽶酒）;鸡尾酒;烈酒（饮料）;果酒;酒精饮料（啤酒除外）;烧酒</t>
  </si>
  <si>
    <t>食尚海红</t>
  </si>
  <si>
    <t>府谷县新通路供应链科技有限公司</t>
  </si>
  <si>
    <t>⽩酒;果酒（含酒精）;酒精饮料（啤酒除外）;烧酒;⽶酒;鸡尾酒;葡萄酒;烈酒（饮料）;威⼠忌;蒸馏饮料</t>
  </si>
  <si>
    <t>宝陀</t>
  </si>
  <si>
    <t>亳州十里飘香酒业有限公司</t>
  </si>
  <si>
    <t>⾷⽤酒精;蒸馏饮料;⽩酒;清酒（⽇本⽶酒）;烧酒;⻩酒;⻘稞酒;⽼酒（中国蒸馏烈酒）;⽶酒;葡萄酒</t>
  </si>
  <si>
    <t>中品佳</t>
  </si>
  <si>
    <t>葛晓玲</t>
  </si>
  <si>
    <t>利⼝酒;⽩酒;清酒（⽇本⽶酒）;葡萄酒;果酒;朗姆酒;酒精饮料（啤酒除外）;烧酒;鸡尾酒;开胃酒</t>
  </si>
  <si>
    <t>鸡尾酒</t>
  </si>
  <si>
    <t>蔡思迁</t>
  </si>
  <si>
    <t>⽶酒;⾷⽤酒精;烧酒;⻩酒;⽼酒（中国蒸馏烈酒）;⽩酒;汽酒;餐后酒（利⼝酒和烈酒）;葡萄酒;果酒（含酒精）</t>
  </si>
  <si>
    <t>越舜汇</t>
  </si>
  <si>
    <t>绍兴栎峰农业科技有限责任公司</t>
  </si>
  <si>
    <t>⽩酒;蒸馏饮料;苹果酒;餐后酒（利⼝酒和烈酒）;葡萄酒;利⼝酒;柑⾹酒;威⼠忌;鸡尾酒;杜松⼦酒</t>
  </si>
  <si>
    <t>BARBERSBURG</t>
  </si>
  <si>
    <t>果酒;⽩酒;烧酒;酒精饮料（啤酒除外）;⻩酒;开胃酒;清酒;⽶酒;葡萄酒;烈酒</t>
  </si>
  <si>
    <t>YUESTING 悦丝汀</t>
  </si>
  <si>
    <t>西安典玛文化传媒有限公司</t>
  </si>
  <si>
    <t>果酒（含酒精）;酒精饮料原汁;酒精饮料（啤酒除外）;预先混合的酒精饮料（以啤酒为主的除外）;含⽔果酒精饮料;酒精饮料浓缩汁;蒸馏饮料;⾷⽤酒精;以葡萄酒为主的饮料;含酒精的⽓泡⽔</t>
  </si>
  <si>
    <t>含⽔果酒精饮料;果酒（含酒精）;烈酒;鸡尾酒;酒精饮料（啤酒除外）;烧酒;⽩酒;葡萄酒;清酒（⽇本⽶酒）;烈酒（饮料）</t>
  </si>
  <si>
    <t>崇承</t>
  </si>
  <si>
    <t>邹友辉</t>
  </si>
  <si>
    <t>蜂蜜酒;清酒（⽇本⽶酒）;酒精饮料（啤酒除外）;⽶酒;⽩酒;烧酒;果酒（含酒精）;蒸馏饮料;⻩酒;朗姆酒</t>
  </si>
  <si>
    <t>贵品佳</t>
  </si>
  <si>
    <t>⽩酒;开胃酒;酒精饮料（啤酒除外）;鸡尾酒;葡萄酒;烧酒;利⼝酒;清酒（⽇本⽶酒）;朗姆酒;果酒</t>
  </si>
  <si>
    <t>尊鲨 ZUN SHARK</t>
  </si>
  <si>
    <t>赵越超</t>
  </si>
  <si>
    <t>果酒（含酒精）;⽩酒;葡萄酒;⽶酒;⽩⼲酒（中国⽩酒）;露酒;甜酒;汽酒;鸡尾酒;⻩酒</t>
  </si>
  <si>
    <t>巴赫乐章 BACH OPUSES</t>
  </si>
  <si>
    <t>桂川510726********0211</t>
  </si>
  <si>
    <t>苹果酒;葡萄酒;⽶酒;蒸馏饮料;烧酒;烈酒（饮料）;果酒（含酒精）;⽩酒;⻩酒;威⼠忌</t>
  </si>
  <si>
    <t>小梅屋（杭州）品牌管理有限公司</t>
  </si>
  <si>
    <t>酒精饮料浓缩汁;葡萄酒;蒸馏饮料;梅酒;果酒（含酒精）;⽶酒;鸡尾酒;含⽔果酒精饮料;开胃酒;樱桃酒</t>
  </si>
  <si>
    <t>井九匠</t>
  </si>
  <si>
    <t>黄学造</t>
  </si>
  <si>
    <t>黄酒;白酒;威士忌;果酒（含酒精）;葡萄酒;酒精饮料（啤酒除外）;开胃酒;清酒（日本米酒）;烈酒;鸡尾酒</t>
  </si>
  <si>
    <t>顿牟</t>
  </si>
  <si>
    <t>深圳市汇酩商贸有限公司</t>
  </si>
  <si>
    <t>以葡萄酒为主的饮料;鸡尾酒;烧酒（烈酒）;果酒（含酒精）;含水果酒精饮料;红葡萄酒;起泡红葡萄酒;威士忌;白酒;葡萄酒</t>
  </si>
  <si>
    <t>潭狮 DEEP POND LION</t>
  </si>
  <si>
    <t>广州海之鑫服饰有限公司</t>
  </si>
  <si>
    <t>⽼酒（中国蒸馏烈酒）;苦荞酒;⽩葡萄酒;清酒;⽩兰地;⻘梅酒;含酒精的饮料（啤酒除外）;清酒（⽇本⽶酒）;⽩酒;以葡萄酒为主的开胃酒</t>
  </si>
  <si>
    <t>俪盛酒业</t>
  </si>
  <si>
    <t>宁波普盛贸易有限公司</t>
  </si>
  <si>
    <t>酒精饮料原汁;葡萄酒;鸡尾酒;蒸馏饮料;果酒（含酒精）;蒸煮提取物（利⼝酒和烈酒）;烧酒;含⽔果酒精饮料;利⼝酒;汽酒</t>
  </si>
  <si>
    <t>夏冬冬</t>
  </si>
  <si>
    <t>长沙要的文化传媒有限公司</t>
  </si>
  <si>
    <t>果酒;⾼粱酒;甜果酒;⽇式甜⽶酒;⽼酒（中国蒸馏烈酒）;⽩酒;甜酒;⻩酒</t>
  </si>
  <si>
    <t>龙权生肖酒</t>
  </si>
  <si>
    <t>清酒（⽇本⽶酒）;⽩酒;鸡尾酒;果酒（含酒精）;酒精饮料（啤酒除外）;葡萄酒;含⽔果酒精饮料;烈酒;烧酒;烈酒（饮料）</t>
  </si>
  <si>
    <t>赴江东</t>
  </si>
  <si>
    <t>⽩酒;清酒（⽇本⽶酒）;烈酒;⻩酒;果酒（含酒精）;鸡尾酒;酒精饮料（啤酒除外）;威⼠忌;葡萄酒;开胃酒</t>
  </si>
  <si>
    <t>玺耀长安</t>
  </si>
  <si>
    <t>西安汉玺酒业有限公司</t>
  </si>
  <si>
    <t>清酒（⽇本⽶酒）;⽩酒;果酒（含酒精）;开胃酒;⻩酒;葡萄酒;烈酒（饮料）;酒精饮料（啤酒除外）;烧酒;鸡尾酒</t>
  </si>
  <si>
    <t>江壶梁</t>
  </si>
  <si>
    <t>海口秀英品羊座食品经营部（个体工商户）</t>
  </si>
  <si>
    <t>酒精饮料原汁;清酒（⽇本⽶酒）;⾼粱酒;烧酒;⽩酒;⾕物制蒸馏酒精饮料;⾷⽤酒精;⽶酒;由⾕物蒸馏的⽩酒;烈酒（饮料）</t>
  </si>
  <si>
    <t>龙无止境</t>
  </si>
  <si>
    <t>侯街莲</t>
  </si>
  <si>
    <t>威⼠忌;烈酒（饮料）;⽩酒;含⽔果酒精饮料;鸡尾酒;葡萄酒;⻩酒;清酒（⽇本⽶酒）;烧酒;果酒（含酒精）</t>
  </si>
  <si>
    <t>忠厚仁</t>
  </si>
  <si>
    <t>买红霞</t>
  </si>
  <si>
    <t>烧酒;果酒（含酒精）;鸡尾酒;葡萄酒;⽩酒;威⼠忌;⽶酒;⻩酒;⽩兰地;蒸馏饮料</t>
  </si>
  <si>
    <t>薏明珠</t>
  </si>
  <si>
    <t>贵州薏粮醇酱酒有限公司</t>
  </si>
  <si>
    <t>酒精饮料原汁;烈酒;⽼酒（中国蒸馏烈酒）;烧酒（烈酒）;由⾕物蒸馏的⽩酒;烈性⼲酒;含酒精⽔果饮料;⽩⼲酒（中国⽩酒）;⽩酒;苦荞酒</t>
  </si>
  <si>
    <t>谷鸽上马</t>
  </si>
  <si>
    <t>江阴盛泰科技有限公司</t>
  </si>
  <si>
    <t>果酒（含酒精）;葡萄酒;⾼粱酒;⽩酒;⻩酒;⽩葡萄酒;鸡尾酒;烈酒（饮料）;清酒（⽇本⽶酒）;⽶酒</t>
  </si>
  <si>
    <t>炎玺</t>
  </si>
  <si>
    <t>鸡尾酒;葡萄酒;⻩酒;清酒（⽇本⽶酒）;开胃酒;酒精饮料（啤酒除外）;果酒（含酒精）;威⼠忌;⽩酒;烈酒</t>
  </si>
  <si>
    <t>榆香福</t>
  </si>
  <si>
    <t>杨志勇</t>
  </si>
  <si>
    <t>果酒;⽶酒;酒精饮料（啤酒除外）;烧酒;鸡尾酒;⽩酒;⻩酒;烈酒;葡萄酒;⽢蔗制烈酒</t>
  </si>
  <si>
    <t>首薏</t>
  </si>
  <si>
    <t>苦荞酒;⽼酒（中国蒸馏烈酒）;由⾕物蒸馏的⽩酒;酒精饮料原汁;烧酒（烈酒）;烈酒;⽩⼲酒（中国⽩酒）;含酒精⽔果饮料;烈性⼲酒;⽩酒</t>
  </si>
  <si>
    <t>乐秉信</t>
  </si>
  <si>
    <t>武汉乐秉信商贸有限公司</t>
  </si>
  <si>
    <t>由⾕物蒸馏的⽩酒;含⽔果酒精饮料;⽶酒;以葡萄酒为主的饮料;⽢蔗制酒精饮料;蜂蜜酒;以蒸馏酒为主的开胃酒;葡萄潘趣酒;蒸煮提取物（利⼝酒和烈酒）;桃红葡萄酒</t>
  </si>
  <si>
    <t>英雄渡酩酒优品</t>
  </si>
  <si>
    <t>贵州省仁怀市英雄渡酒业有限公司</t>
  </si>
  <si>
    <t>⾼粱酒;⽶酒;烧酒;果酒;⻩酒;⽩酒;红葡萄酒;烈酒;酒精饮料原汁;⽩兰地</t>
  </si>
  <si>
    <t>草街</t>
  </si>
  <si>
    <t>⽩酒;果酒（含酒精）;清酒（⽇本⽶酒）;酒精饮料（啤酒除外）;⻩酒;鸡尾酒;⽩兰地;威⼠忌;⽶酒;⾷⽤酒精</t>
  </si>
  <si>
    <t>花海溏</t>
  </si>
  <si>
    <t>广西溏寅酒业有限公司</t>
  </si>
  <si>
    <t>鸡尾酒;烈酒（饮料）;果酒（含酒精）;五加⽪酒（中国混合烈酒）;⽩酒;⽶酒;露酒;预先混合的酒精饮料（以啤酒为主的除外）;酒精饮料（啤酒除外）;烧酒</t>
  </si>
  <si>
    <t>VOLUMIZEME</t>
  </si>
  <si>
    <t>潘红贤</t>
  </si>
  <si>
    <t>⻩酒;⽩酒;酒精饮料浓缩汁;开胃酒;樱桃酒;烧酒;伏特加酒;鸡尾酒;薄荷酒;利⼝酒</t>
  </si>
  <si>
    <t>邮通成</t>
  </si>
  <si>
    <t>高邮市通成建设工程有限公司</t>
  </si>
  <si>
    <t>酸酒（低等葡萄酒）;烈酒（饮料）;朗姆酒;烧酒;苹果酒;⽶酒;薄荷酒;苦味酒;茴⾹酒（利⼝酒）;餐后酒（利⼝酒和烈酒）</t>
  </si>
  <si>
    <t>齐天鉴</t>
  </si>
  <si>
    <t>贵州省仁怀市将军河酒业有限公司</t>
  </si>
  <si>
    <t>烧酒;由⾕物蒸馏的⽩酒;⽶酒;亚⼒酒;烈酒;葡萄酒;⻘稞酒;⽩酒;⾼粱酒;果酒（含酒精）</t>
  </si>
  <si>
    <t>陕贤</t>
  </si>
  <si>
    <t>贵州酒投酒业发展（集团）有限责任公司</t>
  </si>
  <si>
    <t>⽶酒;鸡尾酒;葡萄酒;甜果酒;含⽔果酒精饮料;苹果酒;⻘稞酒;⻩酒;⽩酒;果酒（含酒精）</t>
  </si>
  <si>
    <t>百粹山</t>
  </si>
  <si>
    <t>万洋集团有限公司</t>
  </si>
  <si>
    <t>果酒（含酒精）;⽶酒;酒精饮料（啤酒除外）;鸡尾酒;⽩酒;⽩兰地;⾷⽤酒精;含⽔果酒精饮料;⻩酒;葡萄酒</t>
  </si>
  <si>
    <t>建厦</t>
  </si>
  <si>
    <t>玉儿叫</t>
  </si>
  <si>
    <t>威⼠忌;烧酒;烈酒（饮料）;葡萄酒;⽩酒;含⽔果酒精饮料;清酒（⽇本⽶酒）;鸡尾酒;果酒（含酒精）;⻩酒</t>
  </si>
  <si>
    <t>NNDQ</t>
  </si>
  <si>
    <t>广州黄牛牛电器有限公司</t>
  </si>
  <si>
    <t>⽩兰地;苹果酒;威⼠忌;葡萄酒;烧酒;果酒（含酒精）;鸡尾酒;⽩酒;⽶酒;⻩酒</t>
  </si>
  <si>
    <t>龙凤论</t>
  </si>
  <si>
    <t>酒精饮料（啤酒除外）;葡萄酒;⻩酒;烈酒;清酒（⽇本⽶酒）;⽩酒;威⼠忌;鸡尾酒;果酒（含酒精）;开胃酒</t>
  </si>
  <si>
    <t>大漠三叶草</t>
  </si>
  <si>
    <t>甘肃贞元企业管理有限公司</t>
  </si>
  <si>
    <t>⽩酒;开胃酒;⾷⽤酒精;⽶酒;酒精饮料（啤酒除外）;蒸馏饮料;⻩酒;烧酒;葡萄酒;果酒（含酒精）</t>
  </si>
  <si>
    <t>杜酩主</t>
  </si>
  <si>
    <t>酒精饮料（啤酒除外）;清酒（⽇本⽶酒）;威⼠忌;⽩酒;⻩酒;葡萄酒;果酒（含酒精）;开胃酒;鸡尾酒;烈酒</t>
  </si>
  <si>
    <t>鸿义门</t>
  </si>
  <si>
    <t>赵恩兵</t>
  </si>
  <si>
    <t>⾼粱酒;葡萄酒;除啤酒外的酒精饮料;含⽔果酒精饮料;蒸馏饮料;蜂蜜酒;烈酒（饮料）;⽶酒;⽩兰地;⽩酒</t>
  </si>
  <si>
    <t>天龙一珍</t>
  </si>
  <si>
    <t>福州肆野科技有限公司</t>
  </si>
  <si>
    <t>以葡萄酒为主的饮料;威⼠忌;⽶酒;果酒（含酒精）;葡萄酒;⽩酒;⾼粱酒;鸡尾酒;含酒精的饮料（啤酒除外）;⻘稞酒</t>
  </si>
  <si>
    <t>取古今</t>
  </si>
  <si>
    <t>清酒（⽇本⽶酒）;威⼠忌;葡萄酒;果酒（含酒精）;烧酒;⻩酒;⻘稞酒;⽩兰地;⽩酒;⽶酒</t>
  </si>
  <si>
    <t>崇江辞</t>
  </si>
  <si>
    <t>徐洪兰</t>
  </si>
  <si>
    <t>果酒（含酒精）;⽩酒;酒精饮料（啤酒除外）;⻩酒;威⼠忌;烈酒;鸡尾酒;葡萄酒;清酒（⽇本⽶酒）;开胃酒</t>
  </si>
  <si>
    <t>陇味缘</t>
  </si>
  <si>
    <t>甘肃康元食品有限责任公司</t>
  </si>
  <si>
    <t>⾷⽤酒精;⻩酒;⽶酒;烧酒;开胃酒;酒精饮料（啤酒除外）;⽩酒;葡萄酒;果酒（含酒精）;烈酒</t>
  </si>
  <si>
    <t>荣泰斗</t>
  </si>
  <si>
    <t>谢心恩</t>
  </si>
  <si>
    <t>⽩酒;⽩兰地;⽶酒;葡萄酒;⾷⽤酒精;⻩酒;威⼠忌;果酒（含酒精）;烧酒</t>
  </si>
  <si>
    <t>山金源</t>
  </si>
  <si>
    <t>枣庄山金酒业有限公司</t>
  </si>
  <si>
    <t>⻩酒;伏特加酒;⽩酒;开胃酒;葡萄酒;烧酒;⽶酒;果酒（含酒精）;餐后酒（利⼝酒和烈酒）;烈酒（饮料）</t>
  </si>
  <si>
    <t>贺乡醇</t>
  </si>
  <si>
    <t>广西贺粮食品有限公司</t>
  </si>
  <si>
    <t>⾷⽤酒精;含⽔果酒精饮料;烈酒（饮料）;葡萄酒;烧酒;⽶酒;⻩酒;⾕物制蒸馏酒精饮料;⽩酒;果酒（含酒精）</t>
  </si>
  <si>
    <t>南醇醇翠</t>
  </si>
  <si>
    <t>东莞市醇翠商贸有限公司</t>
  </si>
  <si>
    <t>果酒（含酒精）;葡萄酒;酒精饮料（啤酒除外）;⻩酒;薄荷酒;威⼠忌;蒸馏饮料;⽩酒;含⽔果酒精饮料;开胃酒</t>
  </si>
  <si>
    <t>岁越稽山</t>
  </si>
  <si>
    <t>绍兴岁越酒业有限公司</t>
  </si>
  <si>
    <t>果酒（含酒精）;汽酒;葡萄酒;⽶酒;⻩酒;⽩酒</t>
  </si>
  <si>
    <t>西裕河</t>
  </si>
  <si>
    <t>酒精饮料（啤酒除外）;葡萄酒;⽩酒;清酒（⽇本⽶酒）;威⼠忌;果酒（含酒精）;⻩酒;鸡尾酒;开胃酒;烈酒</t>
  </si>
  <si>
    <t>禄仕 LUXUR</t>
  </si>
  <si>
    <t>深圳联合禄仕食品科技有限公司</t>
  </si>
  <si>
    <t>伏特加酒;⽩兰地;鸡尾酒;酒精饮料（啤酒除外）;烈酒（饮料）;⽩酒;开胃酒;薄荷酒;葡萄酒;果酒（含酒精）</t>
  </si>
  <si>
    <t>茹宴</t>
  </si>
  <si>
    <t>福建茗玖汇商贸有限公司</t>
  </si>
  <si>
    <t>开胃酒;⻩酒;果酒;除啤酒外的酒精饮料;⽶酒;⾼粱酒;葡萄酒;⽩酒;⽼酒（中国蒸馏烈酒）;烧酒</t>
  </si>
  <si>
    <t>龙安驿</t>
  </si>
  <si>
    <t>南昌修洁商贸有限公司</t>
  </si>
  <si>
    <t>果酒;⽶酒;含⽔果酒精饮料;⾷⽤酒精;酒精饮料（啤酒除外）;葡萄酒;⽩酒;烧酒;⻩酒;清酒</t>
  </si>
  <si>
    <t>小福仙</t>
  </si>
  <si>
    <t>小糊涂仙酒业(集团)有限公司</t>
  </si>
  <si>
    <t>果酒;⽩兰地;⽶酒;葡萄酒;烧酒;⽩酒;开胃酒;清酒（⽇本⽶酒）;⻩酒;酒精饮料（啤酒除外）</t>
  </si>
  <si>
    <t>清凉五薹</t>
  </si>
  <si>
    <t>胡建荣</t>
  </si>
  <si>
    <t>开胃酒;蒸馏饮料;含⽔果酒精饮料;薄荷酒;⽩酒;果酒（含酒精）;葡萄酒;威⼠忌;酒精饮料（啤酒除外）;⻩酒</t>
  </si>
  <si>
    <t>御沙酣趣</t>
  </si>
  <si>
    <t>贵州聆河酒业销售有限公司</t>
  </si>
  <si>
    <t>葡萄酒;清酒（⽇本⽶酒）;⽶酒;鸡尾酒;⻩酒;果酒（含酒精）;烈酒（饮料）;⽩酒;酒精饮料（啤酒除外）;烧酒</t>
  </si>
  <si>
    <t>梅塞思</t>
  </si>
  <si>
    <t>上海盛煦德贸易有限公司</t>
  </si>
  <si>
    <t>烈酒（饮料）;⽩酒;蒸煮提取物（利⼝酒和烈酒）;果酒（含酒精）;鸡尾酒;⻩酒;酒精饮料原汁;葡萄酒;⽩兰地;威⼠忌</t>
  </si>
  <si>
    <t>奔斯</t>
  </si>
  <si>
    <t>葡萄酒;威⼠忌;⽩兰地;果酒（含酒精）;蒸煮提取物（利⼝酒和烈酒）;⽩酒;鸡尾酒;酒精饮料原汁;烈酒（饮料）;⻩酒</t>
  </si>
  <si>
    <t>超秒集物</t>
  </si>
  <si>
    <t>深圳新辰润科科技有限公司</t>
  </si>
  <si>
    <t>黄酒;果酒（含酒精）;葡萄酒;酸酒（低等葡萄酒）;酒精饮料（啤酒除外）;米酒;预先混合的酒精饮料（以啤酒为主的除外）;白酒;烧酒;含水果酒精饮料</t>
  </si>
  <si>
    <t>宝汇泉</t>
  </si>
  <si>
    <t>王世伟</t>
  </si>
  <si>
    <t>葡萄酒;威⼠忌;清酒（⽇本⽶酒）;酒精饮料原汁;果酒（含酒精）;预先混合的酒精饮料（以啤酒为主的除外）;⾷⽤酒精;蒸馏饮料;⽩酒;酒精饮料（啤酒除外）</t>
  </si>
  <si>
    <t>豫九哥</t>
  </si>
  <si>
    <t>翟耀中412825********3739</t>
  </si>
  <si>
    <t>⻩酒;⽶酒;清酒（⽇本⽶酒）;⽩酒;烧酒;葡萄酒;果酒（含酒精）;酒精饮料（啤酒除外）;烈酒（饮料）;伏特加酒</t>
  </si>
  <si>
    <t>盏中金</t>
  </si>
  <si>
    <t>深圳市智慧猫创意设计有限公司</t>
  </si>
  <si>
    <t>烈酒（饮料）;⽶酒;⾷⽤酒精;烧酒;⻩酒;果酒（含酒精）;含⽔果酒精饮料;⽩酒;开胃酒;蒸煮提取物（利⼝酒和烈酒）</t>
  </si>
  <si>
    <t>程酝陶存</t>
  </si>
  <si>
    <t>王丽</t>
  </si>
  <si>
    <t>威⼠忌;⽶酒;鸡尾酒;烧酒;⽩酒;⻩酒;葡萄酒;⾕物制蒸馏酒精饮料;烈酒（饮料）;果酒（含酒精）</t>
  </si>
  <si>
    <t>淝水之战</t>
  </si>
  <si>
    <t>梅倩</t>
  </si>
  <si>
    <t>⽶酒;开胃酒;蒸馏饮料;葡萄酒;⽩酒;⻩酒;佐餐酒;甜酒;⾼粱酒;烧酒</t>
  </si>
  <si>
    <t>忆赤壁</t>
  </si>
  <si>
    <t>⽩酒;⻩酒;烈酒;鸡尾酒;葡萄酒;开胃酒;清酒（⽇本⽶酒）;威⼠忌;酒精饮料（啤酒除外）;果酒（含酒精）</t>
  </si>
  <si>
    <t>蔡红</t>
  </si>
  <si>
    <t>烧酒;蒸馏饮料;⻩酒;⽩酒;酒精饮料浓缩汁;预先混合的酒精饮料（以啤酒为主的除外）;汽酒;果酒（含酒精）;蜂蜜酒;开胃酒</t>
  </si>
  <si>
    <t>醉步休</t>
  </si>
  <si>
    <t>安徽魏泉酒业有限公司</t>
  </si>
  <si>
    <t>⽶酒;威⼠忌;烈酒（饮料）;⽩酒;烧酒;利⼝酒;预先混合的酒精饮料（以啤酒为主的除外）;果酒（含酒精）;葡萄酒;⻩酒</t>
  </si>
  <si>
    <t>至遵赋</t>
  </si>
  <si>
    <t>⽩酒;清酒（⽇本⽶酒）;⻩酒;开胃酒;果酒（含酒精）;葡萄酒;威⼠忌;烈酒;酒精饮料（啤酒除外）;鸡尾酒</t>
  </si>
  <si>
    <t>酩徽粮液</t>
  </si>
  <si>
    <t>预先混合的酒精饮料（以啤酒为主的除外）;葡萄酒;⻩酒;⽶酒;果酒（含酒精）;烧酒;威⼠忌;烈酒（饮料）;利⼝酒;⽩酒</t>
  </si>
  <si>
    <t>赫尔莫萨</t>
  </si>
  <si>
    <t>上海赫纳商务咨询有限公司</t>
  </si>
  <si>
    <t>烈酒;开胃酒;鸡尾酒;⽼酒（中国蒸馏烈酒）;威⼠忌;含酒精的⽔果鸡尾酒饮料;杜松⼦酒;利⼝酒;蒸煮提取物（利⼝酒和烈酒）;葡萄酒</t>
  </si>
  <si>
    <t>OTHER LOVE</t>
  </si>
  <si>
    <t>东莞市涵骏科技有限公司</t>
  </si>
  <si>
    <t>果酒（含酒精）;⽶酒;烧酒;烈酒（饮料）;含⽔果酒精饮料;酒精饮料浓缩汁;⽢蔗制酒精饮料;开胃酒;蒸馏饮料;酒精饮料原汁</t>
  </si>
  <si>
    <t>零态无界</t>
  </si>
  <si>
    <t>零态文化发展（济南）有限公司</t>
  </si>
  <si>
    <t>酒精饮料（啤酒除外）;烧酒;⾷⽤酒精;⽩酒;汽酒;果酒（含酒精）;清酒（⽇本⽶酒）;⽩兰地;葡萄酒;开胃酒</t>
  </si>
  <si>
    <t>岳忠台</t>
  </si>
  <si>
    <t>杜雪培</t>
  </si>
  <si>
    <t>鸡尾酒;开胃酒;⽩酒;⻩酒;葡萄酒;清酒（⽇本⽶酒）;酒精饮料（啤酒除外）;果酒（含酒精）;威⼠忌;烈酒</t>
  </si>
  <si>
    <t>上海科梁医疗科技有限公司</t>
  </si>
  <si>
    <t>果酒（含酒精）;鸡尾酒;⽩酒;葡萄酒;威⼠忌;⽩兰地</t>
  </si>
  <si>
    <t>巽王府</t>
  </si>
  <si>
    <t>⾼粱酒;⻘稞酒;⽼酒（中国蒸馏烈酒）;葡萄酒;果酒;酒精饮料（啤酒除外）;⽩酒;烈酒（饮料）;⽶酒;烧酒</t>
  </si>
  <si>
    <t>汉武加冕</t>
  </si>
  <si>
    <t>⽩酒;酒精饮料（啤酒除外）;葡萄酒;清酒（⽇本⽶酒）;⽶酒;威⼠忌;⽩兰地;烧酒;果酒（含酒精）;⻩酒</t>
  </si>
  <si>
    <t>鸟立塘</t>
  </si>
  <si>
    <t>董春龙</t>
  </si>
  <si>
    <t>葡萄酒;甜酒;⽶酒;⽩酒;⻩酒;⾷⽤酒精;⽩兰地;果酒（含酒精）;含⽔果酒精饮料;烧酒</t>
  </si>
  <si>
    <t>淳花</t>
  </si>
  <si>
    <t>王晓</t>
  </si>
  <si>
    <t>清酒（⽇本⽶酒）;⽩酒;⻩酒;烧酒;⻘稞酒;伏特加酒;果酒（含酒精）;酒精饮料（啤酒除外）;⽶酒;葡萄酒</t>
  </si>
  <si>
    <t>坦辰</t>
  </si>
  <si>
    <t>廖串妹</t>
  </si>
  <si>
    <t>烧酒;⽶酒;威⼠忌;果酒（含酒精）;⽩兰地;葡萄酒;⽩酒;鸡尾酒;酒精饮料（啤酒除外）;烈酒（饮料）</t>
  </si>
  <si>
    <t>掇山理水 水</t>
  </si>
  <si>
    <t>掇山理水文化创意（上海）有限公司</t>
  </si>
  <si>
    <t>果酒;果酒（含酒精）;⻩酒</t>
  </si>
  <si>
    <t>南粮苏</t>
  </si>
  <si>
    <t>北京大都京韵酿酒有限公司</t>
  </si>
  <si>
    <t>开胃酒;⾷⽤酒精;⻩酒;葡萄酒;果酒（含酒精）;酒精饮料（啤酒除外）;⽶酒;烧酒;⽩酒;烈酒（饮料）</t>
  </si>
  <si>
    <t>白九圣 BAI JIU SHENG BAI JIU SHENG</t>
  </si>
  <si>
    <t>⻩酒;葡萄酒;酒精饮料（啤酒除外）;⽩酒;烈酒;⽶酒;甜酒;果酒;清酒;烧酒</t>
  </si>
  <si>
    <t>轻季</t>
  </si>
  <si>
    <t>康雪梅</t>
  </si>
  <si>
    <t>葡萄酒;⾷⽤酒精;汽酒;甜酒;果酒;⻩酒;开胃酒;清酒;⽶酒;⽩酒</t>
  </si>
  <si>
    <t>喜天池</t>
  </si>
  <si>
    <t>酒精饮料（啤酒除外）;威⼠忌;鸡尾酒;烧酒;葡萄酒;⽩兰地;果酒（含酒精）;烈酒（饮料）;⽩酒;⽶酒</t>
  </si>
  <si>
    <t>至尊加冕</t>
  </si>
  <si>
    <t>清酒（⽇本⽶酒）;⽩酒;威⼠忌;葡萄酒;烧酒;⽩兰地;果酒（含酒精）;⽶酒;酒精饮料（啤酒除外）;⻘稞酒</t>
  </si>
  <si>
    <t>DOMAINE BEAUXSENTIERS</t>
  </si>
  <si>
    <t>上海乾达维吉酒业有限公司</t>
  </si>
  <si>
    <t>开胃酒;薄荷酒;苦味酒;亚⼒酒;茴芹酒（利⼝酒）;茴⾹酒（利⼝酒）;果酒（含酒精）</t>
  </si>
  <si>
    <t>TAITOA ESTATE</t>
  </si>
  <si>
    <t>临沂市盛世众成投资有限公司</t>
  </si>
  <si>
    <t>葡萄酒;果酒;蒸煮提取物（利⼝酒和烈酒）;含⽔果酒精饮料;⽩酒;以葡萄酒为主的饮料;酒精饮料原汁;烈酒（饮料）;酒精饮料（啤酒除外）;⾷⽤酒精</t>
  </si>
  <si>
    <t>泰途</t>
  </si>
  <si>
    <t>酒精饮料（啤酒除外）;以葡萄酒为主的饮料;果酒;⽩酒;烈酒（饮料）;⾷⽤酒精;蒸煮提取物（利⼝酒和烈酒）;含⽔果酒精饮料;葡萄酒;酒精饮料原汁</t>
  </si>
  <si>
    <t>云海湾庄园</t>
  </si>
  <si>
    <t>⽩酒;⾷⽤酒精;烈酒（饮料）;以葡萄酒为主的饮料;酒精饮料（啤酒除外）;果酒;蒸煮提取物（利⼝酒和烈酒）;酒精饮料原汁;葡萄酒;含⽔果酒精饮料</t>
  </si>
  <si>
    <t>甲嗑虫</t>
  </si>
  <si>
    <t>北京喜丽恒友科技有限公司</t>
  </si>
  <si>
    <t>酒精饮料（啤酒除外）;苹果酒;葡萄酒;烧酒;果酒（含酒精）;⽩酒;鸡尾酒;⻩酒;⽶酒;含⽔果酒精饮料</t>
  </si>
  <si>
    <t>DUNROBIN</t>
  </si>
  <si>
    <t>邓罗宾酿酒厂有限公司</t>
  </si>
  <si>
    <t>含酒精的⽔果鸡尾酒饮料;朗姆酒;葡萄酒;混合威⼠忌酒;清酒;威⼠忌;杜松⼦酒;鸡尾酒;含酒精的鸡尾酒混合饮品;⻨芽威⼠忌</t>
  </si>
  <si>
    <t>台瓷潭</t>
  </si>
  <si>
    <t>临沂汛江酒业有限公司</t>
  </si>
  <si>
    <t>酒精饮料（啤酒除外）;含⽔果酒精饮料;葡萄酒;⽩酒;鸡尾酒;蜂蜜酒;利⼝酒;果酒（含酒精）;⽩兰地;烧酒</t>
  </si>
  <si>
    <t>福选 酒</t>
  </si>
  <si>
    <t>贵州贵之礼酒业有限公司</t>
  </si>
  <si>
    <t>露酒;蒸馏饮料;果酒（含酒精）;苹果酒;⽩酒;烈酒（饮料）;餐后酒（利⼝酒和烈酒）;⾕物制蒸馏酒精饮料;⽶酒;葡萄酒</t>
  </si>
  <si>
    <t>洋湖</t>
  </si>
  <si>
    <t>清酒（⽇本⽶酒）;⽶酒;⻩酒;果酒（含酒精）;葡萄酒;⽩酒;⻘稞酒;烧酒;酒精饮料（啤酒除外）;伏特加酒</t>
  </si>
  <si>
    <t>酒香营门</t>
  </si>
  <si>
    <t>酒精饮料（啤酒除外）;⻘稞酒;果酒（含酒精）;葡萄酒;⽩酒;⻩酒;烧酒;清酒（⽇本⽶酒）;⽶酒;伏特加酒</t>
  </si>
  <si>
    <t>玉净竹</t>
  </si>
  <si>
    <t>江西臻探酒业有限公司</t>
  </si>
  <si>
    <t>⽩兰地;烈酒（饮料）;⻩酒;⽩酒;果酒（含酒精）;⽶酒;⾼粱酒;⾷⽤酒精;威⼠忌;蜂蜜酒</t>
  </si>
  <si>
    <t>沽曲贡酒</t>
  </si>
  <si>
    <t>亳州市古曹酝酒业有限公司</t>
  </si>
  <si>
    <t>苦味酒;开胃酒;⽩酒;烧酒;酒精饮料浓缩汁;蜂蜜酒;⽶酒;果酒（含酒精）;梨酒;葡萄酒</t>
  </si>
  <si>
    <t>盛粮台</t>
  </si>
  <si>
    <t>禤海东</t>
  </si>
  <si>
    <t>开胃酒;葡萄酒;梨酒;⽶酒;⻩酒;鸡尾酒;樱桃酒;⽩兰地;⽩酒;烧酒</t>
  </si>
  <si>
    <t>老医森</t>
  </si>
  <si>
    <t>康鲜红</t>
  </si>
  <si>
    <t>开胃酒;汽酒;果酒;清酒;⻩酒;葡萄酒;⾷⽤酒精;⽩酒;⽶酒;甜酒</t>
  </si>
  <si>
    <t>QIANGHUAZHONGYI</t>
  </si>
  <si>
    <t>宁海强华医院投资管理有限公司</t>
  </si>
  <si>
    <t>⽩酒;蜂蜜酒;酒精饮料浓缩汁;含⽔果酒精饮料;⻩酒;酒精饮料原汁;葡萄酒;⽶酒;烈酒（饮料）;果酒（含酒精）</t>
  </si>
  <si>
    <t>山海异兽录</t>
  </si>
  <si>
    <t>临沂前行商贸有限公司</t>
  </si>
  <si>
    <t>葡萄酒;⾷⽤酒精;⽶酒;果酒（含酒精）;⻩酒;蒸馏饮料;烈酒（饮料）;⽩酒;酒精饮料（啤酒除外）;开胃酒</t>
  </si>
  <si>
    <t>飞宫</t>
  </si>
  <si>
    <t>清酒（⽇本⽶酒）;酒精饮料（啤酒除外）;⽶酒;伏特加酒;烧酒;葡萄酒;⽩酒;果酒（含酒精）;⻩酒;⻘稞酒</t>
  </si>
  <si>
    <t>喜看今朝</t>
  </si>
  <si>
    <t>程奕博</t>
  </si>
  <si>
    <t>⽩⼲酒（中国⽩酒）;果酒（含酒精）;⾕物制蒸馏酒精饮料;⾷⽤酒精;⽼酒（中国蒸馏烈酒）;⽶酒;⽩酒;烧酒;⻩酒;由⾕物蒸馏的⽩酒</t>
  </si>
  <si>
    <t>贵骊</t>
  </si>
  <si>
    <t>开胃酒;鸡尾酒;梨酒;烧酒;⻩酒;⽩兰地;⽶酒;樱桃酒;⽩酒;葡萄酒</t>
  </si>
  <si>
    <t>苗养仁</t>
  </si>
  <si>
    <t>程志光</t>
  </si>
  <si>
    <t>⾷⽤酒精;葡萄酒;⻩酒;果酒（含酒精）;鸡尾酒;⽶酒;含⽔果酒精饮料;⽩酒;⽩兰地;酒精饮料（啤酒除外）</t>
  </si>
  <si>
    <t>宣瓷</t>
  </si>
  <si>
    <t>赵秀国</t>
  </si>
  <si>
    <t>⻘稞酒;清酒（⽇本⽶酒）;⽶酒;伏特加酒;烧酒;⻩酒;⽩酒;葡萄酒;酒精饮料（啤酒除外）;果酒（含酒精）</t>
  </si>
  <si>
    <t>工律</t>
  </si>
  <si>
    <t>贵州工律信用管理服务有限公司</t>
  </si>
  <si>
    <t>含酒精⽔果饮料;由⾕物蒸馏的⽩酒;含⽔果酒精饮料;烧酒;开胃酒;以蒸馏酒为主的开胃酒;鸡尾酒;⻘稞酒;⾼粱酒;⽶酒</t>
  </si>
  <si>
    <t>久戈</t>
  </si>
  <si>
    <t>刘鹏</t>
  </si>
  <si>
    <t>露酒;薄荷酒;蒸馏饮料;果酒（含酒精）;酒精饮料（啤酒除外）;⽶酒;⻩酒;烧酒;开胃酒;⽩酒</t>
  </si>
  <si>
    <t>PARADACSA</t>
  </si>
  <si>
    <t>爱尔兰国际酿酒有限公司</t>
  </si>
  <si>
    <t>威⼠忌;酒精饮料（啤酒除外）</t>
  </si>
  <si>
    <t>祖者</t>
  </si>
  <si>
    <t>罗红静</t>
  </si>
  <si>
    <t>开胃酒;清酒（⽇本⽶酒）;威⼠忌;果酒（含酒精）;⻩酒;⽩酒;烈酒;鸡尾酒;葡萄酒;酒精饮料（啤酒除外）</t>
  </si>
  <si>
    <t>灵魂之约</t>
  </si>
  <si>
    <t>蔡明刚</t>
  </si>
  <si>
    <t>葡萄酒;酒精饮料原汁;⻘稞酒;⽩酒;⻩酒;烈酒;⽶酒;朗姆酒;果酒;鸡尾酒</t>
  </si>
  <si>
    <t>华商龙</t>
  </si>
  <si>
    <t>果酒（含酒精）;葡萄酒;清酒（⽇本⽶酒）;伏特加酒;烧酒;⻘稞酒;酒精饮料（啤酒除外）;⽶酒;⻩酒;⽩酒</t>
  </si>
  <si>
    <t>大福九缘</t>
  </si>
  <si>
    <t>贵州贵仁大福酒业有限公司</t>
  </si>
  <si>
    <t>⽶酒;⾷⽤酒精;⽩酒;由⾕物蒸馏的⽩酒;烈酒;⻩酒;果酒;⾼粱酒;蒸煮提取物（利⼝酒和烈酒）;烧酒</t>
  </si>
  <si>
    <t>匠满江</t>
  </si>
  <si>
    <t>刘雪阳</t>
  </si>
  <si>
    <t>⻩酒;⽩兰地;⽩酒;酒精饮料（啤酒除外）;⾷⽤酒精;葡萄酒;威⼠忌;烈酒（饮料）;⽶酒;鸡尾酒</t>
  </si>
  <si>
    <t>褚夫子</t>
  </si>
  <si>
    <t>王长琴</t>
  </si>
  <si>
    <t>蜂蜜酒;鸡尾酒;红葡萄酒;开胃酒;烈酒;⾼粱酒;⽶酒;酒精饮料（啤酒除外）;伏特加酒;⽩酒</t>
  </si>
  <si>
    <t>长浏香</t>
  </si>
  <si>
    <t>贵州长留香酒业（集团）有限公司</t>
  </si>
  <si>
    <t>⽩酒;酒精饮料（啤酒除外）;鸡尾酒;葡萄酒;开胃酒;⽶酒;果酒（含酒精）;⽩兰地;⻩酒;⻘稞酒</t>
  </si>
  <si>
    <t>情怀君品</t>
  </si>
  <si>
    <t>烈酒（饮料）;⻩酒;利⼝酒;开胃酒;酒精饮料（啤酒除外）;烧酒;酒精饮料原汁;⽶酒;⾼粱酒;⽩酒</t>
  </si>
  <si>
    <t>苏软软</t>
  </si>
  <si>
    <t>李钦钦</t>
  </si>
  <si>
    <t>葡萄酒;烈酒（饮料）;果酒（含酒精）;开胃酒;含⽔果酒精饮料;⽩酒;酒精饮料原汁;鸡尾酒;⽶酒;烧酒</t>
  </si>
  <si>
    <t>剑纪</t>
  </si>
  <si>
    <t>威⼠忌;⽩酒;⻩酒;烧酒;⽶酒;葡萄酒;⽩兰地;⻘稞酒;烈酒;鸡尾酒</t>
  </si>
  <si>
    <t>喜面娘</t>
  </si>
  <si>
    <t>贵州喜面娘食品有限公司</t>
  </si>
  <si>
    <t>⽩兰地;威⼠忌;⾼粱酒;烈酒;⽩酒;汽酒;含酒精的饮料（啤酒除外）;葡萄酒;⻩酒;鸡尾酒</t>
  </si>
  <si>
    <t>旖鹏</t>
  </si>
  <si>
    <t>贵州傻台酒业有限公司</t>
  </si>
  <si>
    <t>⾼粱酒;清酒（⽇本⽶酒）;果酒（含酒精）;酒精饮料（啤酒除外）;烧酒;烈酒（饮料）;⻩酒;⽩酒;⽼酒（中国蒸馏烈酒）;五加⽪酒（中国混合烈酒）</t>
  </si>
  <si>
    <t>民荣合越</t>
  </si>
  <si>
    <t>河南民荣合越商贸有限公司</t>
  </si>
  <si>
    <t>葡萄酒;⽩兰地;⽶酒;烧酒;开胃酒;果酒（含酒精）;鸡尾酒;威⼠忌;酒精饮料原汁;薄荷酒</t>
  </si>
  <si>
    <t>顺心之城</t>
  </si>
  <si>
    <t>贵州省仁怀市红粮谷酒业销售有限公司</t>
  </si>
  <si>
    <t>果酒;酒精饮料原汁;⾷⽤酒精;⾼粱酒;烈酒;葡萄酒;露酒;烧酒;⻩酒;⽩酒</t>
  </si>
  <si>
    <t>乡酒九香</t>
  </si>
  <si>
    <t>邱世斌</t>
  </si>
  <si>
    <t>果酒（含酒精）;伏特加酒;⻩酒;烧酒;⻘稞酒;葡萄酒;酒精饮料（啤酒除外）;⽶酒;清酒（⽇本⽶酒）;⽩酒</t>
  </si>
  <si>
    <t>镇之远</t>
  </si>
  <si>
    <t>贵州镇之远酒业有限公司</t>
  </si>
  <si>
    <t>开胃酒;⾕物制蒸馏酒精饮料;烧酒;⽩酒;葡萄酒;果酒（含酒精）;烈酒（饮料）;清酒（⽇本⽶酒）;酒精饮料（啤酒除外）;⽶酒</t>
  </si>
  <si>
    <t>御案</t>
  </si>
  <si>
    <t>谷世国</t>
  </si>
  <si>
    <t>烈酒（饮料）;⽶酒;酒精饮料原汁;烧酒;利⼝酒;⻩酒;⾼粱酒;酒精饮料（啤酒除外）;开胃酒;⽩酒</t>
  </si>
  <si>
    <t>汉霖</t>
  </si>
  <si>
    <t>⻘稞酒;果酒（含酒精）;葡萄酒;清酒（⽇本⽶酒）;⽩酒;烧酒;伏特加酒;⻩酒;酒精饮料（啤酒除外）;⽶酒</t>
  </si>
  <si>
    <t>江苏灵匠企业管理有限公司</t>
  </si>
  <si>
    <t>⻘稞酒;桑格利亚汽酒;茴⾹酒;阿夸维特酒;朝鲜族⽶酒;刺五加酒;梨酒;柑⾹酒;含酒精⽔果饮料;含酒精的潘趣酒</t>
  </si>
  <si>
    <t>贵州华台名府酒业有限公司</t>
  </si>
  <si>
    <t>葡萄酒;酒精饮料（啤酒除外）;⽶酒;⾼粱酒;⻩酒;烈酒;烧酒;⽼酒（中国蒸馏烈酒）;果酒（含酒精）;⽩酒</t>
  </si>
  <si>
    <t>春城嘉华</t>
  </si>
  <si>
    <t>云南嘉荷食品有限公司</t>
  </si>
  <si>
    <t>葡萄酒;⽩酒;⽩兰地;含酒精⽔果饮料;含酒精的饮料（啤酒除外）;果酒（含酒精）;⽶酒;酒精饮料（啤酒除外）;含⽔果酒精饮料;威⼠忌</t>
  </si>
  <si>
    <t>长鎏香</t>
  </si>
  <si>
    <t>酒精饮料（啤酒除外）;果酒（含酒精）;鸡尾酒;葡萄酒;⻘稞酒;⽩酒;开胃酒;⽶酒;⽩兰地;⻩酒</t>
  </si>
  <si>
    <t>四囍真井</t>
  </si>
  <si>
    <t>冉小春</t>
  </si>
  <si>
    <t>⻩酒;清酒;⽩酒;果酒（含酒精）;烧酒;⾼粱酒;由⾕物蒸馏的⽩酒;⽼酒（中国蒸馏烈酒）;酒精饮料（啤酒除外）;⽶酒</t>
  </si>
  <si>
    <t>双锦</t>
  </si>
  <si>
    <t>威⼠忌;⽩兰地;⽩酒;葡萄酒;酒精饮料（啤酒除外）;鸡尾酒;⽶酒;⻩酒;烈酒（饮料）;⾷⽤酒精</t>
  </si>
  <si>
    <t>特鼎</t>
  </si>
  <si>
    <t>罗文刚</t>
  </si>
  <si>
    <t>威⼠忌;果酒（含酒精）;开胃酒;鸡尾酒;烈酒;⻩酒;葡萄酒;酒精饮料（啤酒除外）;⽩酒;清酒（⽇本⽶酒）</t>
  </si>
  <si>
    <t>秋谷香禧</t>
  </si>
  <si>
    <t>沧州秋谷香酒业有限公司</t>
  </si>
  <si>
    <t>⽩酒;开胃酒;苹果酒;酒精饮料（啤酒除外）;⽶酒;⾼粱酒;⻩酒;葡萄酒;果酒（含酒精）;烈酒（饮料）</t>
  </si>
  <si>
    <t>乐明道</t>
  </si>
  <si>
    <t>乐明道（山东）茶业有限公司</t>
  </si>
  <si>
    <t>⽩酒;酒精饮料（啤酒除外）;⻩酒;开胃酒;葡萄酒;蒸馏饮料;⽼酒（中国蒸馏烈酒）;果酒（含酒精）;⽶酒;清酒</t>
  </si>
  <si>
    <t>MEESOUNE</t>
  </si>
  <si>
    <t>深圳前方无限进出口有限公司</t>
  </si>
  <si>
    <t>清酒;烧酒;果酒;鸡尾酒;⻩酒;葡萄酒;烈酒;⽶酒;酒精饮料（啤酒除外）;⽩酒</t>
  </si>
  <si>
    <t>蓉品凤</t>
  </si>
  <si>
    <t>肖彦姣</t>
  </si>
  <si>
    <t>⽼酒（中国蒸馏烈酒）;果酒;烧酒;⻩酒;葡萄酒;⽩酒;⽶酒;鸡尾酒;⾼粱酒;露酒</t>
  </si>
  <si>
    <t>凤依</t>
  </si>
  <si>
    <t>贵州凤依酒业有限公司</t>
  </si>
  <si>
    <t>葡萄酒;⽶酒;⽩酒;已调味的蒸馏酒;烈酒（饮料）;汽酒;果酒（含酒精）;开胃酒;鸡尾酒;苹果酒</t>
  </si>
  <si>
    <t>东越</t>
  </si>
  <si>
    <t>⽶酒;烧酒;葡萄酒;⻩酒;⽩酒;伏特加酒;⻘稞酒;果酒（含酒精）;清酒（⽇本⽶酒）;酒精饮料（啤酒除外）</t>
  </si>
  <si>
    <t>波尔山谷</t>
  </si>
  <si>
    <t>中诺（山东）酒业有限公司</t>
  </si>
  <si>
    <t>烧酒;露酒;⽩酒;⽩⼲酒（中国⽩酒）;烧酒（烈酒）;⽶酒;果酒（含酒精）;朗姆酒（酒精饮料）;由⾕物蒸馏的⽩酒;蒸馏⽶酒（泡盛酒）</t>
  </si>
  <si>
    <t>蜀引剑</t>
  </si>
  <si>
    <t>烈酒;⽩兰地;烧酒;威⼠忌;⻩酒;葡萄酒;⻘稞酒;⽩酒;鸡尾酒;⽶酒</t>
  </si>
  <si>
    <t>故芗春</t>
  </si>
  <si>
    <t>伊通满族自治县靠山镇宏业农业专业合作社</t>
  </si>
  <si>
    <t>开胃酒;蒸馏饮料;伏特加酒;果酒;烧酒;⽼酒（中国蒸馏烈酒）;葡萄酒;烈酒;⽩酒;酒精饮料（啤酒除外）</t>
  </si>
  <si>
    <t>褚佳酒坊</t>
  </si>
  <si>
    <t>褚明辉</t>
  </si>
  <si>
    <t>由⾕物蒸馏的⽩酒;⽩⼲酒（中国⽩酒）;⽩酒</t>
  </si>
  <si>
    <t>钱粮典</t>
  </si>
  <si>
    <t>禤晓龙</t>
  </si>
  <si>
    <t>鸡尾酒;⽩兰地;⻩酒;葡萄酒;烧酒;樱桃酒;开胃酒;梨酒;⽩酒;⽶酒</t>
  </si>
  <si>
    <t>绿凝坊</t>
  </si>
  <si>
    <t>汤新波</t>
  </si>
  <si>
    <t>烈酒（饮料）;⽩酒;鸡尾酒;利⼝酒;⻩酒;蒸馏饮料;⽶酒;葡萄酒;清酒（⽇本⽶酒）;酒精饮料（啤酒除外）</t>
  </si>
  <si>
    <t>粮鼎仙</t>
  </si>
  <si>
    <t>酒精饮料（啤酒除外）;甜酒;果酒;烧酒;葡萄酒;⻩酒;⽩酒;清酒;⽶酒;烈酒</t>
  </si>
  <si>
    <t>爱袈</t>
  </si>
  <si>
    <t>怡佳咏（上海）时装有限公司</t>
  </si>
  <si>
    <t>果酒（含酒精）;鸡尾酒;烧酒（烈酒）;⽩酒;威⼠忌;红葡萄酒;清酒（⽇本⽶酒）;含酒精的充⽓饮料（啤酒除外）;除啤酒外的酒精饮料;以葡萄酒为主的开胃酒</t>
  </si>
  <si>
    <t>主惠</t>
  </si>
  <si>
    <t>贵州国惠酒业有限公司</t>
  </si>
  <si>
    <t>葡萄酒;烈酒（饮料）;伏特加酒;果酒（含酒精）;烧酒;⽶酒;⻩酒;⽩酒;⽩兰地;鸡尾酒</t>
  </si>
  <si>
    <t>老哈河</t>
  </si>
  <si>
    <t>内蒙古禾为贵农业发展（集团）有限公司</t>
  </si>
  <si>
    <t>蒸馏饮料;⾷⽤酒精;果酒（含酒精）;⽩酒;⽶酒;葡萄酒;酒精饮料原汁;⻩酒;烈酒（饮料）;烧酒</t>
  </si>
  <si>
    <t>2024/05/16</t>
  </si>
  <si>
    <t>沼山 古村桃乡</t>
  </si>
  <si>
    <t>湖北沼山乡村文化旅游投资开发有限责任公司</t>
  </si>
  <si>
    <t>果酒（含酒精）;酒精饮料（啤酒除外）;⾷⽤酒精;葡萄酒;薄荷酒;蒸馏饮料;⽩酒;烧酒;鸡尾酒;蒸煮提取物（利⼝酒和烈酒）</t>
  </si>
  <si>
    <t>羲颉汇</t>
  </si>
  <si>
    <t>王玉红</t>
  </si>
  <si>
    <t>薄荷酒;蒸馏饮料;威⼠忌;⽩酒;开胃酒;葡萄酒;酒精饮料（啤酒除外）;⻩酒;果酒（含酒精）;含⽔果酒精饮料</t>
  </si>
  <si>
    <t>风光二十</t>
  </si>
  <si>
    <t>贵州富生同酒业有限公司</t>
  </si>
  <si>
    <t>果酒（含酒精）;鸡尾酒;葡萄酒;烧酒;威⼠忌;⻘稞酒;⻩酒;烈酒（饮料）;⽶酒;⽩酒</t>
  </si>
  <si>
    <t>海杉兄弟</t>
  </si>
  <si>
    <t>贵州省仁怀市向世元河酒业有限公司</t>
  </si>
  <si>
    <t>⻩酒;蒸馏饮料;果酒（含酒精）;⽩兰地;⽩酒;威⼠忌;葡萄酒;⽶酒;鸡尾酒;烧酒</t>
  </si>
  <si>
    <t>贵州省仁怀市矛康酒业有限公司</t>
  </si>
  <si>
    <t>果酒;清酒;葡萄酒;威⼠忌;⻩酒;⽶酒;⽩兰地;⽩酒;烈酒;鸡尾酒</t>
  </si>
  <si>
    <t>霓虹之夜</t>
  </si>
  <si>
    <t>郭德平</t>
  </si>
  <si>
    <t>烈酒（饮料）;酒精饮料（啤酒除外）;烧酒;以葡萄酒为主的饮料;鸡尾酒;清酒（⽇本⽶酒）;⻩酒;⽩酒;果酒（含酒精）;葡萄酒</t>
  </si>
  <si>
    <t>爱珠</t>
  </si>
  <si>
    <t>郑爱珠</t>
  </si>
  <si>
    <t>葡萄酒;威⼠忌;清酒;⽩兰地;酒精饮料（啤酒除外）;⽶酒;⽩酒;含⽔果酒精饮料;果酒（含酒精）;⻩酒</t>
  </si>
  <si>
    <t>笔舞画舞</t>
  </si>
  <si>
    <t>北京季季精彩文化科技有限公司</t>
  </si>
  <si>
    <t>果酒（含酒精）;葡萄酒;⻩酒;含酒精的充⽓饮料（啤酒除外）;⽩⼲酒（中国⽩酒）;酒精饮料（啤酒除外）;含酒精的⽓泡⽔;⾷⽤酒精;⽩酒;⾼粱酒</t>
  </si>
  <si>
    <t>福之交</t>
  </si>
  <si>
    <t>贵州源头酱香酒业有限公司</t>
  </si>
  <si>
    <t>⽩酒;果酒（含酒精）;烈酒（饮料）;葡萄酒;烧酒;⽶酒;开胃酒;汽酒;鸡尾酒;含⽔果酒精饮料</t>
  </si>
  <si>
    <t>萱铭健</t>
  </si>
  <si>
    <t>重庆萱铭健健康管理有限公司</t>
  </si>
  <si>
    <t>⽩兰地;威⼠忌;⽩酒;⽶酒;葡萄酒;⻘稞酒;果酒（含酒精）;清酒（⽇本⽶酒）;以葡萄酒为主的饮料;预先混合的酒精饮料（以啤酒为主的除外）</t>
  </si>
  <si>
    <t>朝暮万家 ZHAOMU HOMECARE</t>
  </si>
  <si>
    <t>贵州省仁怀市朝暮万家家政服务有限公司</t>
  </si>
  <si>
    <t>白酒;鸡尾酒;米酒;烈酒（饮料）;果酒;水果汽酒;白葡萄酒;葡萄酒;威士忌;甜酒</t>
  </si>
  <si>
    <t>蒙特斯开垦</t>
  </si>
  <si>
    <t>蒙黛丝有限公司</t>
  </si>
  <si>
    <t>御渤龙河宴</t>
  </si>
  <si>
    <t>烈酒;烧酒;含⽔果酒精饮料;酒精饮料浓缩汁;酒精饮料原汁;清酒;酒精饮料（啤酒除外）;预先混合的酒精饮料（以啤酒为主的除外）;蒸馏饮料;⽶酒</t>
  </si>
  <si>
    <t>彩小糯</t>
  </si>
  <si>
    <t>广东韶美农业生物科技有限公司</t>
  </si>
  <si>
    <t>葡萄酒;⻩酒;果酒（含酒精）;⽶酒;蜂蜜酒;烧酒;酒精饮料（啤酒除外）;伏特加酒;苹果酒;清酒</t>
  </si>
  <si>
    <t>MELCHOR RAMOS</t>
  </si>
  <si>
    <t>江苏浩礼国际贸易有限公司</t>
  </si>
  <si>
    <t>红葡萄酒;起泡⽩葡萄酒;烧酒;果酒（含酒精）;⽩酒;⻩酒;葡萄酒;含酒精⽔果饮料;加烈葡萄酒;起泡红葡萄酒</t>
  </si>
  <si>
    <t>亿品粮道</t>
  </si>
  <si>
    <t>山东百粮酿酒股份有限公司</t>
  </si>
  <si>
    <t>苹果酒;汽酒;果酒（含酒精）;酒精饮料（啤酒除外）;蜂蜜酒;鸡尾酒;葡萄酒;樱桃酒;⽩酒;含⽔果酒精饮料</t>
  </si>
  <si>
    <t>通邮</t>
  </si>
  <si>
    <t>叶鹏云</t>
  </si>
  <si>
    <t>酒精饮料原汁;鸡尾酒;⽶酒;烧酒;果酒（含酒精）;烈酒（饮料）;开胃酒;含⽔果酒精饮料;葡萄酒;蜂蜜酒</t>
  </si>
  <si>
    <t>MGT</t>
  </si>
  <si>
    <t>李杰</t>
  </si>
  <si>
    <t>⻘稞酒;梅酒;⾷⽤酒精;⽶酒;⽩⼲酒（中国⽩酒）;⽩酒;樱桃酒;果酒;葡萄酒;⾼粱酒</t>
  </si>
  <si>
    <t>州聚台</t>
  </si>
  <si>
    <t>程勇</t>
  </si>
  <si>
    <t>红葡萄酒;以蒸馏酒为主的开胃酒;含奶油利⼝酒;预调甜酒;烈酒;甜酒;不起泡葡萄酒;朝鲜烧酒;⽔果汽酒;烧酒（烈酒）</t>
  </si>
  <si>
    <t>韵马头</t>
  </si>
  <si>
    <t>淮安好帮手服务管理有限公司</t>
  </si>
  <si>
    <t>⾼粱酒;果酒;⽩酒;烈酒（饮料）;葡萄酒;烧酒（烈酒）;⽼酒（中国蒸馏烈酒）;⽶酒;清酒;⽩⼲酒（中国⽩酒）</t>
  </si>
  <si>
    <t>邛崃山醇香</t>
  </si>
  <si>
    <t>四川珑昶酒业有限公司</t>
  </si>
  <si>
    <t>葡萄酒;烧酒;⻘稞酒;⽩酒;⻩酒;清酒（⽇本⽶酒）;酒精饮料（啤酒除外）;⽩兰地;⽶酒;果酒（含酒精）</t>
  </si>
  <si>
    <t>邛崃山珍品</t>
  </si>
  <si>
    <t>清酒（⽇本⽶酒）;⽩兰地;⻘稞酒;葡萄酒;酒精饮料（啤酒除外）;⽶酒;烧酒;⽩酒;果酒（含酒精）;⻩酒</t>
  </si>
  <si>
    <t>兰竹</t>
  </si>
  <si>
    <t>崔清胜</t>
  </si>
  <si>
    <t>清酒;苹果酒;烧酒;葡萄酒;⽩酒;果酒;⽶酒;鸡尾酒;⻩酒</t>
  </si>
  <si>
    <t>喜液多</t>
  </si>
  <si>
    <t>海南八方财贸易有限责任公司</t>
  </si>
  <si>
    <t>清酒（⽇本⽶酒）;威⼠忌;开胃酒;⻘稞酒;⽶酒;⽩酒;⽩兰地;⻩酒;鸡尾酒;烧酒</t>
  </si>
  <si>
    <t>川传古窖</t>
  </si>
  <si>
    <t>李文清</t>
  </si>
  <si>
    <t>鸡尾酒;奶油利⼝酒;⽩酒;开胃酒;烈酒（饮料）;⻩酒;含酒精的饮料（啤酒除外）;葡萄酒;果酒;苹果酒</t>
  </si>
  <si>
    <t>樽道东方</t>
  </si>
  <si>
    <t>汤瑞英</t>
  </si>
  <si>
    <t>⽩酒;威⼠忌;烧酒;⽩兰地;⻘稞酒;果酒（含酒精）;清酒（⽇本⽶酒）;⽶酒;⻩酒;葡萄酒</t>
  </si>
  <si>
    <t>劲牌在水一方</t>
  </si>
  <si>
    <t>劲牌有限公司</t>
  </si>
  <si>
    <t>⽶酒;⾕物制蒸馏酒精饮料;烈酒（饮料）;露酒;⾼粱酒;酒精饮料（啤酒除外）;葡萄酒;果酒（含酒精）;⾷⽤酒精;⽩酒</t>
  </si>
  <si>
    <t>楼兰燕安</t>
  </si>
  <si>
    <t>新疆西域燕安商贸有限公司</t>
  </si>
  <si>
    <t>⽶酒;烈酒;含酒精的⽓泡⽔;果酒;⽼酒（中国蒸馏烈酒）;⽩酒;葡萄酒;蜂蜜酒;酒精饮料（啤酒除外）;苹果酒</t>
  </si>
  <si>
    <t>品马头</t>
  </si>
  <si>
    <t>⾼粱酒;果酒;⽩⼲酒（中国⽩酒）;⽼酒（中国蒸馏烈酒）;葡萄酒;⽩酒;烈酒（饮料）;烧酒（烈酒）;清酒;⽶酒</t>
  </si>
  <si>
    <t>剑楠寻</t>
  </si>
  <si>
    <t>鸡尾酒;⽩兰地;威⼠忌;葡萄酒;烧酒;⽩酒;⽶酒;⻘稞酒;⻩酒;烈酒</t>
  </si>
  <si>
    <t>六浒</t>
  </si>
  <si>
    <t>赵雄</t>
  </si>
  <si>
    <t>开胃酒;酒精饮料（啤酒除外）;鸡尾酒;葡萄酒;⽩酒;威⼠忌;烈酒;果酒（含酒精）;清酒（⽇本⽶酒）;⻩酒</t>
  </si>
  <si>
    <t>杰卡斯澳金</t>
  </si>
  <si>
    <t>保乐力加酿酒师有限公司</t>
  </si>
  <si>
    <t>1师来德</t>
  </si>
  <si>
    <t>河北永建堂药业连锁有限公司</t>
  </si>
  <si>
    <t>蝮蛇酒;起泡⽩葡萄酒;葡萄酒;⽶酒;含酒精⽔果饮料;⽩酒;果酒;鸡尾酒;酒精饮料原汁;开胃酒</t>
  </si>
  <si>
    <t>红缘囍</t>
  </si>
  <si>
    <t>郓城卓屹商贸有限公司</t>
  </si>
  <si>
    <t>⽶酒;烈酒;葡萄酒;⾼粱酒;果酒;⽼酒（中国蒸馏烈酒）;⽩⼲酒（中国⽩酒）;⽩酒;⻩酒;烧酒</t>
  </si>
  <si>
    <t>酩扬大唐</t>
  </si>
  <si>
    <t>谢旭</t>
  </si>
  <si>
    <t>鸡尾酒;葡萄酒;⻩酒;清酒（⽇本⽶酒）;果酒（含酒精）;⽩酒;开胃酒;威⼠忌;酒精饮料（啤酒除外）;烈酒</t>
  </si>
  <si>
    <t>酿桥泉</t>
  </si>
  <si>
    <t>广东顺德酒厂有限公司</t>
  </si>
  <si>
    <t>烧酒;⾼粱酒;酒精饮料（啤酒除外）;⽼酒（中国蒸馏烈酒）;已调味的蒸馏酒;⻩酒;果酒（含酒精）;烈酒;⽩酒;⽶酒</t>
  </si>
  <si>
    <t>BABY UNICORN</t>
  </si>
  <si>
    <t>北京纳大科技有限公司</t>
  </si>
  <si>
    <t>⽶酒;⾼粱酒;烧酒（烈酒）;⻩酒;咖啡利⼝酒;含酒精的饮料（啤酒除外）;⽩酒;果酒;佐餐酒;葡萄酒</t>
  </si>
  <si>
    <t>粮聚福</t>
  </si>
  <si>
    <t>魏雪廷</t>
  </si>
  <si>
    <t>含⽔果酒精饮料;葡萄酒;果酒（含酒精）;酒精饮料（啤酒除外）;⽩兰地;⽶酒;⾷⽤酒精;鸡尾酒;⻩酒;⽩酒</t>
  </si>
  <si>
    <t>辰无忧</t>
  </si>
  <si>
    <t>福建天辰供应链管理有限公司</t>
  </si>
  <si>
    <t>开胃酒;鸡尾酒;威⼠忌;⽩酒;⽶酒;葡萄酒;⻩酒;⽩兰地;酒精饮料（啤酒除外）;果酒（含酒精）</t>
  </si>
  <si>
    <t>艾说</t>
  </si>
  <si>
    <t>海南英睿投资控股有限公司</t>
  </si>
  <si>
    <t>⽶酒;⽩酒;果酒（含酒精）;酒精饮料（啤酒除外）;⻩酒;清酒;葡萄酒;威⼠忌;烈酒（饮料）;⾷⽤酒精</t>
  </si>
  <si>
    <t>映象草原</t>
  </si>
  <si>
    <t>内蒙古草园丝路生态建设有限公司</t>
  </si>
  <si>
    <t>餐后酒（利⼝酒和烈酒）;葡萄酒;清酒（⽇本⽶酒）;果酒（含酒精）;⽶酒;⻩酒;酒精饮料原汁;⽩酒;酒精饮料浓缩汁;烈酒（饮料）</t>
  </si>
  <si>
    <t>垣真酒业</t>
  </si>
  <si>
    <t>浙江恒真酒业有限公司</t>
  </si>
  <si>
    <t>果酒（含酒精）;酒精饮料（啤酒除外）;葡萄酒;⽶酒;⽩酒;烈酒（饮料）;烧酒;红葡萄酒;酒精饮料浓缩汁;⾷⽤酒精</t>
  </si>
  <si>
    <t>征途荣耀</t>
  </si>
  <si>
    <t>内蒙古沛妤商贸有限公司</t>
  </si>
  <si>
    <t>开胃酒;清酒（⽇本⽶酒）;⻩酒;⽩酒;烈酒;鸡尾酒;梅酒;蒸馏饮料;葡萄酒;果酒（含酒精）</t>
  </si>
  <si>
    <t>道博·霞光金</t>
  </si>
  <si>
    <t>贵州易生无忧酒业有限公司</t>
  </si>
  <si>
    <t>⾕物制蒸馏酒精饮料;烧酒;⽩酒;蒸煮提取物（利⼝酒和烈酒）;⾼粱酒;鸡尾酒;⽶酒;由⾕物蒸馏的⽩酒;⽩⼲酒（中国⽩酒）;葡萄酒</t>
  </si>
  <si>
    <t>海棠多多</t>
  </si>
  <si>
    <t>内蒙古华弟商贸有限公司</t>
  </si>
  <si>
    <t>果酒（含酒精）;⽶酒;苦荞酒;⾼粱酒;露酒;⽼酒（中国蒸馏烈酒）;⾕物制蒸馏酒精饮料;⽩酒;酒精饮料（啤酒除外）;含酒精的鸡尾酒混合饮品</t>
  </si>
  <si>
    <t>鲜妹当家</t>
  </si>
  <si>
    <t>徐依苒330802********5029</t>
  </si>
  <si>
    <t>鸡尾酒;⽶酒;⽩酒;果酒（含酒精）;⻩酒;⽩兰地;威⼠忌;烧酒;葡萄酒;蒸馏饮料</t>
  </si>
  <si>
    <t>杭州奇诺贸易有限公司</t>
  </si>
  <si>
    <t>开胃酒;含⽔果酒精饮料;葡萄酒;蒸馏饮料;酒精饮料原汁;预先混合的酒精饮料（以啤酒为主的除外）;烧酒;酒精饮料浓缩汁;酒精饮料（啤酒除外）;果酒（含酒精）</t>
  </si>
  <si>
    <t>吾三邀</t>
  </si>
  <si>
    <t>珠海头鲸网络科技有限公司</t>
  </si>
  <si>
    <t>葡萄酒;果酒（含酒精）;含酒精的饮料（啤酒除外）;烈酒;清酒;⽶酒;⽩酒;烧酒;甜酒;⻩酒</t>
  </si>
  <si>
    <t>十滔</t>
  </si>
  <si>
    <t>董士凯</t>
  </si>
  <si>
    <t>⽩酒;鸡尾酒;葡萄酒;清酒（⽇本⽶酒）;酒精饮料（啤酒除外）;烈酒;开胃酒;威⼠忌;果酒（含酒精）;⻩酒</t>
  </si>
  <si>
    <t>武湖会</t>
  </si>
  <si>
    <t>贵州很有财商贸有限公司</t>
  </si>
  <si>
    <t>鸡尾酒;酒精饮料（啤酒除外）;烈酒（饮料）;烧酒;⽩酒;伏特加酒;果酒（含酒精）;葡萄酒;⽶酒;威⼠忌</t>
  </si>
  <si>
    <t>蟠颂</t>
  </si>
  <si>
    <t>江油市樵夫家庭农场</t>
  </si>
  <si>
    <t>梅酒;清酒;蟠桃酒;果酒;甜果酒;⽶酒;含⽔果酒精饮料;含酒精的饮料（啤酒除外）;⽔果汽酒;蜂蜜酒</t>
  </si>
  <si>
    <t>树里枝里</t>
  </si>
  <si>
    <t>上海万疆源食品科技有限公司</t>
  </si>
  <si>
    <t>⽩兰地;酒精饮料原汁;酒精饮料（啤酒除外）;鸡尾酒;葡萄酒;威⼠忌;汽酒;预先混合的酒精饮料（以啤酒为主的除外）;⽩酒;伏特加酒</t>
  </si>
  <si>
    <t>酣髓</t>
  </si>
  <si>
    <t>西安金世家酒业有限公司</t>
  </si>
  <si>
    <t>露酒;⽶酒;⾼粱酒;⽼酒（中国蒸馏烈酒）;由⾕物蒸馏的⽩酒;果酒（含酒精）;⽩酒;⽩⼲酒（中国⽩酒）;烧酒（烈酒）;⻩酒</t>
  </si>
  <si>
    <t>弄清风</t>
  </si>
  <si>
    <t>李新</t>
  </si>
  <si>
    <t>⽩酒;⻩酒;开胃酒;酒精饮料（啤酒除外）;清酒（⽇本⽶酒）;蒸煮提取物（利⼝酒和烈酒）;果酒（含酒精）;⽶酒;葡萄酒;烧酒</t>
  </si>
  <si>
    <t>芋和天下</t>
  </si>
  <si>
    <t>荔浦芋和天下农业科技有限公司</t>
  </si>
  <si>
    <t>⽶酒;含⽔果酒精饮料;⽩兰地;伏特加酒;⾕物制蒸馏酒精饮料;⽩酒;酒精饮料（啤酒除外）;已调味的⻨芽酿制的酒精饮料（啤酒除外）;鸡尾酒;威⼠忌</t>
  </si>
  <si>
    <t>GULDEN DRAAK</t>
  </si>
  <si>
    <t>成都犸摩斯国际贸易有限公司</t>
  </si>
  <si>
    <t>葡萄酒;蒸馏饮料;⽶酒;烧酒;⽩酒;⻘稞酒;甜酒;⾼粱酒;果酒（含酒精）;梨酒</t>
  </si>
  <si>
    <t>暗流王子</t>
  </si>
  <si>
    <t>贵州金久酒业有限公司</t>
  </si>
  <si>
    <t>果酒（含酒精）;鸡尾酒;利⼝酒;葡萄酒;苹果酒;烧酒;威⼠忌;⾕物制蒸馏酒精饮料;⽩酒;烈酒（饮料）</t>
  </si>
  <si>
    <t>辉功</t>
  </si>
  <si>
    <t>⾼粱酒;⽶酒;露酒;烧酒（烈酒）;餐后酒（利⼝酒和烈酒）;果酒（含酒精）;葡萄酒;⻩酒;⽩酒;清酒</t>
  </si>
  <si>
    <t>荣岳</t>
  </si>
  <si>
    <t>上海盟帝文化传媒有限公司</t>
  </si>
  <si>
    <t>⽩酒;酒精饮料（啤酒除外）;利⼝酒;⻩酒;清酒（⽇本⽶酒）;含⽔果酒精饮料;开胃酒;烧酒;葡萄酒;⾷⽤酒精</t>
  </si>
  <si>
    <t>BLUEDAYS</t>
  </si>
  <si>
    <t>山东多美未来酒业有限公司</t>
  </si>
  <si>
    <t>利⼝酒;含酒精的⽔果鸡尾酒饮料;奶油利⼝酒;鸡尾酒;咖啡利⼝酒;含⽜奶的鸡尾酒;含酒精的鸡尾酒混合饮品;苹果酒;酒精饮料（啤酒除外）;开胃酒</t>
  </si>
  <si>
    <t>源沁珍宝</t>
  </si>
  <si>
    <t>李茂清</t>
  </si>
  <si>
    <t>⽶酒;汽酒;烈酒（饮料）;⽩酒;餐后酒（利⼝酒和烈酒）;⻩酒;⻘稞酒;酸酒（低等葡萄酒）;开胃酒;烧酒</t>
  </si>
  <si>
    <t>荆曲</t>
  </si>
  <si>
    <t>刘强芳</t>
  </si>
  <si>
    <t>⾷⽤酒精;⽩酒;⽶酒;清酒（⽇本⽶酒）;酒精饮料（啤酒除外）;果酒（含酒精）;鸡尾酒;威⼠忌;⻩酒;⽩兰地</t>
  </si>
  <si>
    <t>SHASH SHASH</t>
  </si>
  <si>
    <t>艾斯卡·艾麦提</t>
  </si>
  <si>
    <t>开胃酒;葡萄汽酒;红葡萄酒;果酒;⽩兰地;汽酒;⽶酒;以葡萄酒为主的开胃酒;⽩酒;葡萄酒</t>
  </si>
  <si>
    <t>湛月湾</t>
  </si>
  <si>
    <t>詹宗喜</t>
  </si>
  <si>
    <t>⽶酒;果酒;⻩酒;清酒;烧酒;葡萄酒;果酒（含酒精）;鸡尾酒;酒精饮料（啤酒除外）;⽩酒</t>
  </si>
  <si>
    <t>懂酣</t>
  </si>
  <si>
    <t>鸡尾酒;果酒（含酒精）;开胃酒;⻩酒;酒精饮料（啤酒除外）;清酒（⽇本⽶酒）;烈酒;葡萄酒;威⼠忌;⽩酒</t>
  </si>
  <si>
    <t>熊拳王</t>
  </si>
  <si>
    <t>杨飞</t>
  </si>
  <si>
    <t>果酒（含酒精）;酒精饮料（啤酒除外）;烧酒;⾷⽤酒精;果酒;葡萄酒;杜松⼦酒;⽶酒;⽩⼲酒（中国⽩酒）;⽩酒</t>
  </si>
  <si>
    <t>FM FASMARIE 法玛丽</t>
  </si>
  <si>
    <t>厦门罄玉酒业有限公司</t>
  </si>
  <si>
    <t>薄荷酒;伏特加酒;红葡萄酒;蒸馏饮料;⽩酒;酒精饮料（啤酒除外）;汽酒;葡萄酒;威⼠忌;⽩兰地</t>
  </si>
  <si>
    <t>承皇</t>
  </si>
  <si>
    <t>果酒（含酒精）;酒精饮料（啤酒除外）;烈酒;⽶酒;烧酒;⻩酒;鸡尾酒;⽩⼲酒（中国⽩酒）;葡萄酒;⽩酒</t>
  </si>
  <si>
    <t>熊猫真功夫</t>
  </si>
  <si>
    <t>五月阳光酒业（泸州）有限公司</t>
  </si>
  <si>
    <t>⽩酒;葡萄酒;开胃酒;烈酒;烧酒;果酒（含酒精）;⽩兰地;⻩酒;⽶酒;利⼝酒</t>
  </si>
  <si>
    <t>FANLOK</t>
  </si>
  <si>
    <t>凡络新材料科技（广东）有限公司</t>
  </si>
  <si>
    <t>朗姆酒;利⼝酒;亚⼒酒;⻘稞酒;松叶酒;梅酒;蝮蛇酒;梨酒;⻩酒;柑⾹酒</t>
  </si>
  <si>
    <t>岸堤</t>
  </si>
  <si>
    <t>苗中成</t>
  </si>
  <si>
    <t>⽩酒;葡萄酒;⻩酒;清酒（⽇本⽶酒）;烧酒;⽶酒;伏特加酒;果酒（含酒精）;酒精饮料（啤酒除外）;烈酒（饮料）</t>
  </si>
  <si>
    <t>帝皇龙都</t>
  </si>
  <si>
    <t>杨菊香</t>
  </si>
  <si>
    <t>⽩酒;葡萄酒;⽩兰地;酒精饮料（啤酒除外）;梅酒;威⼠忌;⾕物制蒸馏酒精饮料;⽼酒（中国蒸馏烈酒）;露酒;⾼粱酒</t>
  </si>
  <si>
    <t>博思尼菲 BASINFE</t>
  </si>
  <si>
    <t>深圳酒思醇商贸有限公司</t>
  </si>
  <si>
    <t>鸡尾酒;葡萄酒;酒精饮料浓缩汁;预先混合的酒精饮料（以啤酒为主的除外）;⽶酒;果酒（含酒精）;⻩酒;烧酒;⽩酒;利⼝酒</t>
  </si>
  <si>
    <t>荣赋烧坊</t>
  </si>
  <si>
    <t>鸡尾酒;葡萄酒;酒精饮料浓缩汁;⽶酒;果酒;蒸煮提取物（利⼝酒和烈酒）;含⽔果酒精饮料;⽩酒;蒸馏饮料;⾷⽤酒精</t>
  </si>
  <si>
    <t>绚龙台</t>
  </si>
  <si>
    <t>郑广菊</t>
  </si>
  <si>
    <t>威⼠忌;葡萄酒;烧酒;⽶酒;⻩酒;果酒（含酒精）;烈酒;⽩兰地;⽩酒;鸡尾酒</t>
  </si>
  <si>
    <t>凤迎台</t>
  </si>
  <si>
    <t>李斌玄</t>
  </si>
  <si>
    <t>⽩酒;开胃酒;鸡尾酒;酒精饮料（啤酒除外）;⻩酒;威⼠忌;烈酒（饮料）;清酒（⽇本⽶酒）;果酒（含酒精）;葡萄酒</t>
  </si>
  <si>
    <t>黄琪惠</t>
  </si>
  <si>
    <t>黄明岐</t>
  </si>
  <si>
    <t>烧酒;清酒（⽇本⽶酒）;葡萄酒;⻩酒;酒精饮料（啤酒除外）;果酒（含酒精）;烈酒（饮料）;⽩酒;鸡尾酒;⽶酒</t>
  </si>
  <si>
    <t>极慧猫</t>
  </si>
  <si>
    <t>北京幽灵猫科技有限公司</t>
  </si>
  <si>
    <t>⾼粱酒;汽酒;伏特加酒;甜酒;⽩兰地;果酒（含酒精）;梨酒;⽩酒;葡萄酒;开胃酒</t>
  </si>
  <si>
    <t>岳尚喜凤</t>
  </si>
  <si>
    <t>平原县德缘酒业有限公司</t>
  </si>
  <si>
    <t>葡萄酒;果酒（含酒精）;鸡尾酒;⻩酒;⽩酒;开胃酒;酒精饮料（啤酒除外）;蜂蜜酒;⽶酒;烈酒（饮料）</t>
  </si>
  <si>
    <t>豫之祥</t>
  </si>
  <si>
    <t>河南笋发商贸有限公司</t>
  </si>
  <si>
    <t>⽢蔗制烈酒;酒精饮料（啤酒除外）;烧酒;⽩酒;烈酒（饮料）;果酒（含酒精）;鸡尾酒;⻩酒;葡萄酒;⽶酒</t>
  </si>
  <si>
    <t>布鲁之星</t>
  </si>
  <si>
    <t>鸡尾酒;咖啡利⼝酒;开胃酒;含酒精的鸡尾酒混合饮品;含⽜奶的鸡尾酒;含酒精的⽔果鸡尾酒饮料;奶油利⼝酒;苹果酒;酒精饮料（啤酒除外）;利⼝酒</t>
  </si>
  <si>
    <t>神鹿通</t>
  </si>
  <si>
    <t>吉林省鹿通酿酒有限公司</t>
  </si>
  <si>
    <t>酒精饮料（啤酒除外）;果酒（含酒精）;⽩酒;⽩⼲酒（中国⽩酒）;⽼酒（中国蒸馏烈酒）;烧酒;刺五加酒;含酒精⽔果饮料;露酒;⾼粱酒</t>
  </si>
  <si>
    <t>忆溪沙</t>
  </si>
  <si>
    <t>⻩酒;开胃酒;威⼠忌;鸡尾酒;葡萄酒;烈酒;果酒（含酒精）;清酒（⽇本⽶酒）;酒精饮料（啤酒除外）;⽩酒</t>
  </si>
  <si>
    <t>乾佳酒业</t>
  </si>
  <si>
    <t>威⼠忌;烈酒;鸡尾酒;果酒（含酒精）;葡萄酒;⻩酒;⽩酒;清酒（⽇本⽶酒）;酒精饮料（啤酒除外）;开胃酒</t>
  </si>
  <si>
    <t>辰无虑</t>
  </si>
  <si>
    <t>开胃酒;鸡尾酒;葡萄酒;酒精饮料（啤酒除外）;威士忌;黄酒;白酒;果酒（含酒精）;米酒;白兰地</t>
  </si>
  <si>
    <t>蓝喜鹊</t>
  </si>
  <si>
    <t>云南云之鹊酒业有限公司</t>
  </si>
  <si>
    <t>烈酒（饮料）;⽩酒;果酒（含酒精）;烧酒;⾷⽤酒精;开胃酒;蒸馏饮料;⽶酒;酒精饮料（啤酒除外）;清酒（⽇本⽶酒）</t>
  </si>
  <si>
    <t>云潭白</t>
  </si>
  <si>
    <t>河南闹乐网络科技有限公司</t>
  </si>
  <si>
    <t>⻩酒;⽩酒;蒸馏饮料;葡萄酒;蒸煮提取物（利⼝酒和烈酒）;酒精饮料（啤酒除外）;⽶酒;酒精饮料原汁;烧酒;烈酒（饮料）</t>
  </si>
  <si>
    <t>福恒道远</t>
  </si>
  <si>
    <t>河北柒月食品有限公司</t>
  </si>
  <si>
    <t>果酒（含酒精）;⽩酒;⻩酒;酒精饮料浓缩汁;烧酒;蒸煮提取物（利⼝酒和烈酒）;梨酒;甜酒;露酒;葡萄酒</t>
  </si>
  <si>
    <t>识君拾福</t>
  </si>
  <si>
    <t>酒精饮料（啤酒除外）;果酒（含酒精）;烈酒（饮料）;鸡尾酒;⻩酒;开胃酒;葡萄酒;蜂蜜酒;⽶酒;⽩酒</t>
  </si>
  <si>
    <t>绍令</t>
  </si>
  <si>
    <t>王建森</t>
  </si>
  <si>
    <t>威⼠忌;⻩酒;清酒（⽇本⽶酒）;⽩酒;⽶酒;以葡萄酒为主的饮料;烧酒;酒精饮料原汁;利⼝酒;⻘稞酒</t>
  </si>
  <si>
    <t>朱大男320525********4113</t>
  </si>
  <si>
    <t>烧酒;⻩酒;由⾕物蒸馏的⽩酒;⽶酒;葡萄酒;⽼酒（中国蒸馏烈酒）;⾼粱酒;杨梅酒;⽩酒;清酒</t>
  </si>
  <si>
    <t>虞三秋</t>
  </si>
  <si>
    <t>新乡淘小酿酒业有限公司</t>
  </si>
  <si>
    <t>烈酒（饮料）;苹果酒;含⽔果酒精饮料;⽶酒;烧酒;⽩酒;果酒（含酒精）;鸡尾酒;酒精饮料（啤酒除外）;⻩酒</t>
  </si>
  <si>
    <t>绵山龙</t>
  </si>
  <si>
    <t>⻩酒;⽩酒;⾼粱酒;⽶酒;苦荞酒;薄荷酒;葡萄酒;蜂蜜酒;烧酒;烈酒</t>
  </si>
  <si>
    <t>人对</t>
  </si>
  <si>
    <t>⽩酒;⽩兰地;⻩酒;⽶酒;鸡尾酒;威⼠忌;果酒（含酒精）;⾷⽤酒精;葡萄酒;烧酒</t>
  </si>
  <si>
    <t>剑蜀季</t>
  </si>
  <si>
    <t>烈酒;⽶酒;⽩兰地;⽩酒;⻩酒;鸡尾酒;葡萄酒;威⼠忌;⻘稞酒;烧酒</t>
  </si>
  <si>
    <t>五酿蓝</t>
  </si>
  <si>
    <t>袁建东</t>
  </si>
  <si>
    <t>⽩葡萄酒;蒸馏⽶酒（泡盛酒）;松叶酒;⽩⼲酒（中国⽩酒）;⽩酒;烈酒（饮料）;红葡萄酒;⽩兰地;⽶酒</t>
  </si>
  <si>
    <t>酿泉桥</t>
  </si>
  <si>
    <t>烈酒;已调味的蒸馏酒;⽼酒（中国蒸馏烈酒）;⽶酒;烧酒;酒精饮料（啤酒除外）;⻩酒;⾼粱酒;⽩酒;果酒（含酒精）</t>
  </si>
  <si>
    <t>剑岚今</t>
  </si>
  <si>
    <t>鸡尾酒;⻘稞酒;⽩酒;烈酒;葡萄酒;威⼠忌;⻩酒;烧酒;⽶酒;⽩兰地</t>
  </si>
  <si>
    <t>未尽</t>
  </si>
  <si>
    <t>清酒（⽇本⽶酒）;威⼠忌;烈酒;⻩酒;酒精饮料（啤酒除外）;鸡尾酒;果酒（含酒精）;⽩酒;葡萄酒;开胃酒</t>
  </si>
  <si>
    <t>识广</t>
  </si>
  <si>
    <t>⽶酒;⽩兰地;⾷⽤酒精;烧酒;鸡尾酒;⻩酒;果酒（含酒精）;威⼠忌;葡萄酒;⽩酒</t>
  </si>
  <si>
    <t>珍彩</t>
  </si>
  <si>
    <t>利⼝酒;酒精饮料（啤酒除外）;果酒（含酒精）;烈酒（饮料）;⻩酒;预先混合的酒精饮料（以啤酒为主的除外）;葡萄酒;⽩酒;⽶酒;威⼠忌</t>
  </si>
  <si>
    <t>兖之友礼</t>
  </si>
  <si>
    <t>吴龙涛</t>
  </si>
  <si>
    <t>烧酒;⽶酒;⻩酒;果酒;以葡萄酒为主的饮料;含酒精⽔果饮料;⽩葡萄酒;茴⾹酒;烈酒浓缩汁;⽩酒</t>
  </si>
  <si>
    <t>大美恰塔</t>
  </si>
  <si>
    <t>呼伦贝尔市海拉尔区金良经贸有限公司</t>
  </si>
  <si>
    <t>酒精饮料原汁;鸡尾酒;葡萄酒;酒精饮料（啤酒除外）;威⼠忌;蒸馏饮料;含⽔果酒精饮料;⽩酒;⽩兰地;果酒（含酒精）</t>
  </si>
  <si>
    <t>冯七</t>
  </si>
  <si>
    <t>冯自伟</t>
  </si>
  <si>
    <t>果酒（含酒精）;酒精饮料（啤酒除外）;威⼠忌;⽩酒;⽶酒;烧酒;⻩酒;葡萄酒;鸡尾酒;⾷⽤酒精</t>
  </si>
  <si>
    <t>龙御口</t>
  </si>
  <si>
    <t>烧酒;果酒（含酒精）;⽶酒;⾷⽤酒精;⽩酒;威⼠忌;⽩兰地;葡萄酒;鸡尾酒;⻩酒</t>
  </si>
  <si>
    <t>赣工</t>
  </si>
  <si>
    <t>江西赣工项目管理有限公司</t>
  </si>
  <si>
    <t>葡萄酒;烈酒（饮料）;果酒（含酒精）;鸡尾酒;⽩酒;⻩酒;开胃酒;⽶酒;烧酒;酒精饮料（啤酒除外）</t>
  </si>
  <si>
    <t>锦泉潺露</t>
  </si>
  <si>
    <t>贵州溢汇安商贸有限公司</t>
  </si>
  <si>
    <t>果酒（含酒精）;⽼酒（中国蒸馏烈酒）;威⼠忌;⽶酒;⻩酒;⽩酒;鸡尾酒;葡萄酒;酒精饮料（啤酒除外）;⻘梅酒</t>
  </si>
  <si>
    <t>猫魔璃宫</t>
  </si>
  <si>
    <t>上海七草实业有限公司</t>
  </si>
  <si>
    <t>红葡萄酒;果酒（含酒精）;清酒（⽇本⽶酒）;⽇式甜⽶酒;鸡尾酒;⽩酒;酒精饮料（啤酒除外）;⻩酒;葡萄酒;烧酒</t>
  </si>
  <si>
    <t>宝盛行</t>
  </si>
  <si>
    <t>深圳市宝盛行商业发展有限公司</t>
  </si>
  <si>
    <t>⽶酒;⽩酒;⽩兰地;烈酒（饮料）;清酒（⽇本⽶酒）;鸡尾酒;⾼粱酒;果酒（含酒精）;葡萄酒;威⼠忌</t>
  </si>
  <si>
    <t>淮马头</t>
  </si>
  <si>
    <t>烧酒（烈酒）;⾼粱酒;清酒;果酒;葡萄酒;⽩⼲酒（中国⽩酒）;⽩酒;⽼酒（中国蒸馏烈酒）;⽶酒;烈酒（饮料）</t>
  </si>
  <si>
    <t>邛崃山美酒</t>
  </si>
  <si>
    <t>⻩酒;⽩兰地;⻘稞酒;果酒（含酒精）;⽩酒;葡萄酒;清酒（⽇本⽶酒）;酒精饮料（啤酒除外）;烧酒;⽶酒</t>
  </si>
  <si>
    <t>果酒;葡萄酒;⽩酒;苹果酒;⽶酒;清酒;烧酒;鸡尾酒;⻩酒</t>
  </si>
  <si>
    <t>松古白老</t>
  </si>
  <si>
    <t>浙江松古文旅有限公司</t>
  </si>
  <si>
    <t>除啤酒外的酒精饮料;梅酒;由⾕物蒸馏的⽩酒;五加⽪酒（中国混合烈酒）;佐餐酒;烈酒;甜酒;⽩⼲酒（中国⽩酒）;⾼粱酒;⽼酒（中国蒸馏烈酒）</t>
  </si>
  <si>
    <t>红喜鹊</t>
  </si>
  <si>
    <t>⽩酒;烈酒（饮料）;酒精饮料（啤酒除外）;果酒（含酒精）;⾷⽤酒精;开胃酒;⽶酒;蒸馏饮料;清酒（⽇本⽶酒）;烧酒</t>
  </si>
  <si>
    <t>顺纳福</t>
  </si>
  <si>
    <t>泸州顺纳福酒类销售有限公司</t>
  </si>
  <si>
    <t>鸡尾酒;烧酒;含⽔果酒精饮料;蒸馏饮料;酒精饮料原汁;⽶酒;清酒;⻩酒;酒精饮料（啤酒除外）;烈酒（饮料）</t>
  </si>
  <si>
    <t>御墨</t>
  </si>
  <si>
    <t>山东鲁墨酒业有限公司</t>
  </si>
  <si>
    <t>⻩酒;⽼酒（中国蒸馏烈酒）;果酒（含酒精）;⽶酒;⽩酒;预先混合的酒精饮料（以啤酒为主的除外）;⼲型苹果酒;甜果酒;以葡萄酒为主的开胃酒;烈酒</t>
  </si>
  <si>
    <t>源氏源集鲜</t>
  </si>
  <si>
    <t>源集鲜（重庆）供应链管理有限公司</t>
  </si>
  <si>
    <t>果酒（含酒精）;烧酒;鸡尾酒;酒精饮料（啤酒除外）;⽩酒;⻩酒;葡萄酒;⽶酒;汽酒;含⽔果酒精饮料</t>
  </si>
  <si>
    <t>见盛事</t>
  </si>
  <si>
    <t>玉罗</t>
  </si>
  <si>
    <t>烧酒;⻩酒;⽶酒;⽩兰地;⾷⽤酒精;鸡尾酒;威⼠忌;葡萄酒;⽩酒;果酒（含酒精）</t>
  </si>
  <si>
    <t>大唐胜酝</t>
  </si>
  <si>
    <t>⽩酒;清酒（⽇本⽶酒）;威⼠忌;果酒（含酒精）;酒精饮料（啤酒除外）;鸡尾酒;葡萄酒;开胃酒;烈酒;⻩酒</t>
  </si>
  <si>
    <t>丞满</t>
  </si>
  <si>
    <t>⽶酒;酒精饮料（啤酒除外）;烧酒;蒸煮提取物（利⼝酒和烈酒）;清酒（⽇本⽶酒）;果酒（含酒精）;⻩酒;开胃酒;葡萄酒;⽩酒</t>
  </si>
  <si>
    <t>四川鼎峪臻酿酒业集团有限公司</t>
  </si>
  <si>
    <t>蜂蜜酒;葡萄酒;烈酒（饮料）;含⽔果酒精饮料;烧酒;果酒（含酒精）;酒精饮料（啤酒除外）;酒精饮料原汁;蒸馏饮料;⽩酒</t>
  </si>
  <si>
    <t>塞上漠王</t>
  </si>
  <si>
    <t>内蒙古千里醉酒业有限公司</t>
  </si>
  <si>
    <t>葡萄酒;⽶酒;⽩酒;烈酒;清酒;汽酒;果酒（含酒精）;开胃酒;烧酒;⻩酒</t>
  </si>
  <si>
    <t>宴醉青</t>
  </si>
  <si>
    <t>清香核心产区山西酿酒股份有限公司</t>
  </si>
  <si>
    <t>威⼠忌;⽶酒;酒精饮料（啤酒除外）;果酒（含酒精）;⻩酒;预先混合的酒精饮料（以啤酒为主的除外）;鸡尾酒;⽩兰地;⽩酒;葡萄酒</t>
  </si>
  <si>
    <t>HUABIN</t>
  </si>
  <si>
    <t>福建华宾茶业有限公司</t>
  </si>
  <si>
    <t>鸡尾酒;调制好的葡萄酒鸡尾酒;清酒;起泡⽩葡萄酒;伏特加酒;烈酒;⽩⼲酒（中国⽩酒）;利⼝酒;威⼠忌;⻩酒</t>
  </si>
  <si>
    <t>蒙澜情</t>
  </si>
  <si>
    <t>内蒙古伊鼎商贸有限责任公司</t>
  </si>
  <si>
    <t>⽩酒;⾼粱酒;烧酒;汽酒;⻩酒;⾷⽤酒精;果酒;葡萄酒;烈酒;清酒</t>
  </si>
  <si>
    <t>星藜瀚寿</t>
  </si>
  <si>
    <t>李东卫</t>
  </si>
  <si>
    <t>烈酒;⾕物制蒸馏酒精饮料;⽩酒;清酒;葡萄酒;鸡尾酒;⽩兰地;酒精饮料（啤酒除外）;蒸馏饮料;烧酒</t>
  </si>
  <si>
    <t>入竹康</t>
  </si>
  <si>
    <t>朱军</t>
  </si>
  <si>
    <t>苦味酒;开胃酒;⽶酒;⽩酒;⾕物制蒸馏酒精饮料;烧酒;汽酒;鸡尾酒;葡萄酒;果酒（含酒精）</t>
  </si>
  <si>
    <t>喵洁仕</t>
  </si>
  <si>
    <t>喵洁仕（海南）酒业有限公司</t>
  </si>
  <si>
    <t>开胃酒;葡萄酒;烈酒（饮料）;清酒（⽇本⽶酒）;烧酒;⻘稞酒;⽩酒;果酒（含酒精）;威⼠忌;⽶酒</t>
  </si>
  <si>
    <t>爱情伴侣</t>
  </si>
  <si>
    <t>浙江艾尔斯山酒业有限公司</t>
  </si>
  <si>
    <t>鸡尾酒;烧酒;⽩酒;葡萄酒;含酒精的饮料（啤酒除外）;含酒精⽔果饮料;朗姆酒;伏特加酒;威⼠忌;清酒</t>
  </si>
  <si>
    <t>阿湟</t>
  </si>
  <si>
    <t>普宁市洪盛贸易有限公司</t>
  </si>
  <si>
    <t>⽶酒;⽩酒;果酒（含酒精）;烧酒;⻩酒;酒精饮料（啤酒除外）;鸡尾酒;以葡萄酒为主的开胃酒;葡萄酒;烈酒（饮料）</t>
  </si>
  <si>
    <t>贵州省仁怀市古台天下酒业有限公司</t>
  </si>
  <si>
    <t>⽩酒;开胃酒;果酒（含酒精）;鸡尾酒;酒精饮料浓缩汁;⽶酒;烧酒;⽩⼲酒（中国⽩酒）;威⼠忌;葡萄酒</t>
  </si>
  <si>
    <t>这有森</t>
  </si>
  <si>
    <t>吴金亮</t>
  </si>
  <si>
    <t>⾼粱酒;由⾕物蒸馏的⽩酒;开胃酒;鸡尾酒;⽩酒;薄荷酒;⻘稞酒;烧酒;⾷⽤酒精;葡萄酒</t>
  </si>
  <si>
    <t>玺酋长</t>
  </si>
  <si>
    <t>陈丽萍</t>
  </si>
  <si>
    <t>⽶酒;清酒（⽇本⽶酒）;果酒（含酒精）;烈酒（饮料）;酒精饮料（啤酒除外）;梅酒;开胃酒;⽩酒;⾼粱酒;⻩酒</t>
  </si>
  <si>
    <t>榔韵雅丹</t>
  </si>
  <si>
    <t>李广业</t>
  </si>
  <si>
    <t>⽩兰地;⻘稞酒;⻩酒;甜酒;⽩⼲酒（中国⽩酒）;葡萄酒;鸡尾酒;⽶酒;⽩酒;⽼酒（中国蒸馏烈酒）</t>
  </si>
  <si>
    <t>麦乔拉莫</t>
  </si>
  <si>
    <t>葡萄酒;烧酒;果酒（含酒精）;⽩酒;⻩酒;加烈葡萄酒;红葡萄酒;起泡红葡萄酒;含酒精⽔果饮料;起泡⽩葡萄酒</t>
  </si>
  <si>
    <t>仙歌美景</t>
  </si>
  <si>
    <t>果酒（含酒精）;⽩酒;朗姆酒;鸡尾酒;伏特加酒;葡萄酒;烈酒（饮料）;杜松⼦酒;⽩兰地;威⼠忌</t>
  </si>
  <si>
    <t>少闻</t>
  </si>
  <si>
    <t>⽩酒;威⼠忌;烧酒;⻩酒;⽶酒;葡萄酒;果酒（含酒精）;清酒（⽇本⽶酒）;⻘稞酒;⽩兰地</t>
  </si>
  <si>
    <t>浩跃鸿发</t>
  </si>
  <si>
    <t>沈明才</t>
  </si>
  <si>
    <t>⾼粱酒;烧酒;果酒(含酒精);⽩酒;酒精饮料(啤酒除外);⻩酒;由⾕物蒸馏的⽩酒;⽶酒;蒸馏饮料;葡萄酒</t>
  </si>
  <si>
    <t>至尊銮</t>
  </si>
  <si>
    <t>⽶酒;果酒（含酒精）;威⼠忌;鸡尾酒;⾷⽤酒精;烧酒;⽩酒;⻩酒;葡萄酒;⽩兰地</t>
  </si>
  <si>
    <t>龙之遥</t>
  </si>
  <si>
    <t>刘宾</t>
  </si>
  <si>
    <t>汽酒;烧酒;酒精饮料（啤酒除外）;开胃酒;⽩兰地;⾷⽤酒精;⽩酒;果酒（含酒精）;清酒（⽇本⽶酒）;葡萄酒</t>
  </si>
  <si>
    <t>香原珍稀</t>
  </si>
  <si>
    <t>四川香原珍稀中药科技开发有限公司</t>
  </si>
  <si>
    <t>⾷⽤酒精;酒精饮料浓缩汁;酒精饮料（啤酒除外）;蒸馏饮料;⾕物制蒸馏酒精饮料;⽩酒;利⼝酒;含⽔果酒精饮料;果酒（含酒精）;预先混合的酒精饮料（以啤酒为主的除外）</t>
  </si>
  <si>
    <t>粱中魂</t>
  </si>
  <si>
    <t>李绍飞</t>
  </si>
  <si>
    <t>酒精饮料（啤酒除外）;烈酒（饮料）;⻩酒;⽩酒;⾕物制蒸馏酒精饮料;⾷⽤酒精;烧酒;蒸馏饮料;⽶酒;⻘稞酒</t>
  </si>
  <si>
    <t>君馔台</t>
  </si>
  <si>
    <t>周慧500236********1863</t>
  </si>
  <si>
    <t>烧酒;酒精饮料（啤酒除外）;蒸煮提取物（利⼝酒和烈酒）;⾼粱酒;露酒;⽶酒;⽩酒;烈酒;⽩⼲酒（中国⽩酒）;果酒</t>
  </si>
  <si>
    <t>揭甄</t>
  </si>
  <si>
    <t>揭西县国有资产经营有限公司</t>
  </si>
  <si>
    <t>⾕物制蒸馏酒精饮料;果酒（含酒精）;葡萄酒;⽩酒;⻩酒;樱桃酒;酒精饮料（啤酒除外）;含⽔果酒精饮料;⽶酒;蜂蜜酒</t>
  </si>
  <si>
    <t>春酲梓里</t>
  </si>
  <si>
    <t>贵州省兆禹电子商务有限责任公司</t>
  </si>
  <si>
    <t>果酒;甜果酒;含酒精的⽔果鸡尾酒饮料;含⽔果酒精饮料;含酒精⽔果饮料;蜂蜜酒;⽔果汽酒;预先混合的酒精饮料（以啤酒为主的除外）;酒精饮料原汁;苦味酒</t>
  </si>
  <si>
    <t>2024/05/17</t>
  </si>
  <si>
    <t>望光明</t>
  </si>
  <si>
    <t>贵州白酒交易所股份有限公司</t>
  </si>
  <si>
    <t>果酒（含酒精）;鸡尾酒;汽酒;酒精饮料（啤酒除外）;⽩酒;烧酒;⻩酒;酒精饮料原汁;⽶酒;含⽔果酒精饮料</t>
  </si>
  <si>
    <t>WYNN MESSENGER</t>
  </si>
  <si>
    <t>罗思柏丽葡萄酒私人有限公司</t>
  </si>
  <si>
    <t>⽩兰地;餐后酒（利⼝酒和烈酒）;葡萄酒;烈酒（饮料）;起泡红葡萄酒;⽩酒;起泡⽩葡萄酒;酒精饮料（啤酒除外）;加烈葡萄酒;葡萄汽酒</t>
  </si>
  <si>
    <t>SUPERDIMOND</t>
  </si>
  <si>
    <t>深圳钻前实业有限公司</t>
  </si>
  <si>
    <t>⽩酒;⽩葡萄酒;⽩兰地;鸡尾酒;威⼠忌;葡萄酒;红葡萄酒;⻩酒;烧酒;清酒</t>
  </si>
  <si>
    <t>单梁王</t>
  </si>
  <si>
    <t>河北田耀食品有限公司</t>
  </si>
  <si>
    <t>⽩酒;茴⾹酒;酸酒（低等葡萄酒）;⽶酒;薄荷酒;酒精饮料（啤酒除外）;果酒;蜂蜜酒;⻩酒;⻘稞酒</t>
  </si>
  <si>
    <t>潜香楚韵</t>
  </si>
  <si>
    <t>游圣军</t>
  </si>
  <si>
    <t>⽩⼲酒（中国⽩酒）;果酒（含酒精）;鸡尾酒;柑⾹酒;烈酒（饮料）;烧酒;⽩酒;⽶酒;葡萄酒;⾼粱酒</t>
  </si>
  <si>
    <t>淡青家</t>
  </si>
  <si>
    <t>田中沛</t>
  </si>
  <si>
    <t>酒精饮料（啤酒除外）;果酒（含酒精）;杜松⼦酒;⻩酒;威⼠忌;鸡尾酒;葡萄酒;清酒（⽇本⽶酒）;⽩酒;烈酒（饮料）</t>
  </si>
  <si>
    <t>中智冷</t>
  </si>
  <si>
    <t>中国供销冷链物流有限公司</t>
  </si>
  <si>
    <t>酒精饮料（啤酒除外）;酒精饮料浓缩汁;⽩酒;梨酒;汽酒;苹果酒;酒精饮料原汁;果酒（含酒精）;鸡尾酒;含⽔果酒精饮料</t>
  </si>
  <si>
    <t>越九歌</t>
  </si>
  <si>
    <t>滕州市茂康环保工程有限公司</t>
  </si>
  <si>
    <t>烧酒;蜂蜜酒;⽶酒;果酒（含酒精）;蒸馏饮料;薄荷酒;鸡尾酒;汽酒;⻩酒;⽩酒</t>
  </si>
  <si>
    <t>三航</t>
  </si>
  <si>
    <t>⽶酒;开胃酒;果酒（含酒精）;蜂蜜酒;⽩酒;鸡尾酒;蒸馏饮料;酒精饮料（啤酒除外）;葡萄酒;含⽔果酒精饮料</t>
  </si>
  <si>
    <t>幡</t>
  </si>
  <si>
    <t>宋元元</t>
  </si>
  <si>
    <t>开胃酒;利⼝酒;葡萄酒;鸡尾酒;烧酒;清酒（⽇本⽶酒）;朗姆酒;⽩酒;酒精饮料（啤酒除外）;果酒</t>
  </si>
  <si>
    <t>家昱美</t>
  </si>
  <si>
    <t>湖北时空奇点健康产业有限公司</t>
  </si>
  <si>
    <t>以葡萄酒为主的饮料;含酒精的⽓泡⽔;葡萄酒;⾕物制蒸馏酒精饮料;鸡尾酒;果酒（含酒精）;酒精饮料（啤酒除外）;含⽔果酒精饮料;⽶酒;薄荷酒</t>
  </si>
  <si>
    <t>竹溪夜雨 酒</t>
  </si>
  <si>
    <t>彭世友</t>
  </si>
  <si>
    <t>烈酒（饮料）;梨酒;⽶酒;果酒（含酒精）;⽩酒;樱桃酒;含⽔果酒精饮料;蜂蜜酒;葡萄酒;酒精饮料（啤酒除外）</t>
  </si>
  <si>
    <t>厚进台</t>
  </si>
  <si>
    <t>贵州厚进酒业有限公司</t>
  </si>
  <si>
    <t>⽶酒;⻩酒;清酒;⾷⽤酒精;果酒;烈酒;烧酒;由⾕物蒸馏的⽩酒;⽩酒;⾕物制蒸馏酒精饮料</t>
  </si>
  <si>
    <t>今回昆仑</t>
  </si>
  <si>
    <t>乔小录</t>
  </si>
  <si>
    <t>汽酒;清酒;甜酒;⽩酒;果酒;⻩酒;开胃酒;葡萄酒;⾷⽤酒精;⽶酒</t>
  </si>
  <si>
    <t>刘十酒</t>
  </si>
  <si>
    <t>王飞321324********2031</t>
  </si>
  <si>
    <t>烧酒;⻘稞酒;烧酒（烈酒）;⽶酒;⾼粱酒;薄荷酒;葡萄酒;⻩酒;⽩酒;露酒</t>
  </si>
  <si>
    <t>纯山堂</t>
  </si>
  <si>
    <t>温木平</t>
  </si>
  <si>
    <t>开胃酒;甜酒;果酒;汽酒;⽶酒;葡萄酒;⾷⽤酒精;清酒;⽩酒;⻩酒</t>
  </si>
  <si>
    <t>华黁</t>
  </si>
  <si>
    <t>梅州嫩酒科技有限公司</t>
  </si>
  <si>
    <t>甜酒;烧酒;葡萄酒;⽩酒;⻩酒;果酒;含酒精的饮料（啤酒除外）;烧酒（烈酒）;⽶酒;⾼粱酒</t>
  </si>
  <si>
    <t>GOTLANDS GINFABRIK</t>
  </si>
  <si>
    <t>歌得兰金酒酿造有限公司</t>
  </si>
  <si>
    <t>杜松⼦酒;鸡尾酒;薄荷酒;烈酒;⻩酒;汽酒;苹果酒;含酒精的⽓泡⽔;葡萄酒;开胃酒</t>
  </si>
  <si>
    <t>诗酒穗月</t>
  </si>
  <si>
    <t>五常市天源米业有限公司</t>
  </si>
  <si>
    <t>⾷⽤酒精;⻩酒;⽩兰地;⽩酒;⽶酒;伏特加酒;葡萄酒;鸡尾酒;烧酒;⽩⼲酒（中国⽩酒）</t>
  </si>
  <si>
    <t>行式</t>
  </si>
  <si>
    <t>张悦</t>
  </si>
  <si>
    <t>⻩酒;⽶酒;预先混合的酒精饮料（以啤酒为主的除外）;酒精饮料原汁;⽩酒;烧酒;酒精饮料（啤酒除外）;红葡萄酒;清酒;含⽔果酒精饮料</t>
  </si>
  <si>
    <t>娥</t>
  </si>
  <si>
    <t>葡萄酒;⽩酒;鸡尾酒;清酒（⽇本⽶酒）;酒精饮料（啤酒除外）;烧酒;朗姆酒;利⼝酒;开胃酒;果酒</t>
  </si>
  <si>
    <t>柏牡乡丹</t>
  </si>
  <si>
    <t>王少微</t>
  </si>
  <si>
    <t>⽶酒;利⼝酒;⽩酒;葡萄酒;开胃酒;⾷⽤酒精;烧酒;除啤酒外的酒精饮料;果酒（含酒精）;⻩酒</t>
  </si>
  <si>
    <t>旺德门</t>
  </si>
  <si>
    <t>葡萄酒;⻩酒;烈酒;露酒;烧酒;果酒（含酒精）;⽶酒;清酒;⽩酒;⾼粱酒</t>
  </si>
  <si>
    <t>苍莲特</t>
  </si>
  <si>
    <t>山东松友综合贸易有限公司</t>
  </si>
  <si>
    <t>果酒（含酒精）;葡萄酒;⽶酒;⻩酒;烈酒;⽩⼲酒（中国⽩酒）;蒸馏饮料;烧酒;⽩酒;蜂蜜酒</t>
  </si>
  <si>
    <t>葡佑</t>
  </si>
  <si>
    <t>民权县有丰食品有限公司</t>
  </si>
  <si>
    <t>⽩兰地;酒精饮料浓缩汁;甜酒;红葡萄酒;⽩酒;以葡萄酒为主的饮料;葡萄酒;起泡⽩葡萄酒;⽩葡萄酒;佐餐酒</t>
  </si>
  <si>
    <t>天下李氏</t>
  </si>
  <si>
    <t>贵州省仁怀市永忠酒业有限公司</t>
  </si>
  <si>
    <t>清酒（⽇本⽶酒）;葡萄酒;蜂蜜酒;酒精饮料（啤酒除外）;蒸煮提取物（利⼝酒和烈酒）;⻩酒;⽩酒;⽶酒;烧酒;⽼酒（中国蒸馏烈酒）</t>
  </si>
  <si>
    <t>康神</t>
  </si>
  <si>
    <t>雪豹电子商务集团有限公司</t>
  </si>
  <si>
    <t>威⼠忌;⽶酒;伏特加酒;⽩酒;⻩酒;鸡尾酒;葡萄酒;⽩兰地;清酒（⽇本⽶酒）;果酒（含酒精）</t>
  </si>
  <si>
    <t>匠神问世</t>
  </si>
  <si>
    <t>张志刚</t>
  </si>
  <si>
    <t>威⼠忌;果酒（含酒精）;鸡尾酒;清酒（⽇本⽶酒）;烈酒;开胃酒;葡萄酒;酒精饮料（啤酒除外）;⽩酒;⻩酒</t>
  </si>
  <si>
    <t>晚边风情</t>
  </si>
  <si>
    <t>贵州圣丰鑫域供应链管理有限公司</t>
  </si>
  <si>
    <t>烧酒;汽酒;烈酒（饮料）;葡萄酒;清酒;⾷⽤酒精;⽩酒;果酒（含酒精）;⽼酒（中国蒸馏烈酒）;⽶酒</t>
  </si>
  <si>
    <t>光明志</t>
  </si>
  <si>
    <t>果酒（含酒精）;⻩酒;酒精饮料原汁;酒精饮料（啤酒除外）;⽩酒;含⽔果酒精饮料;⽶酒;烧酒;汽酒;鸡尾酒</t>
  </si>
  <si>
    <t>欧阳修（江西）酒业有限公司</t>
  </si>
  <si>
    <t>⽶酒;⽩酒;果酒（含酒精）;鸡尾酒;⽩兰地;含⽔果酒精饮料;酒精饮料（啤酒除外）;烧酒;薄荷酒;开胃酒</t>
  </si>
  <si>
    <t>兰斯槟纷</t>
  </si>
  <si>
    <t>上海蕙泽电子商务有限公司</t>
  </si>
  <si>
    <t>鸡尾酒;酒精饮料原汁;⽩兰地;威⼠忌;葡萄酒;⽩酒;汽酒;果酒（含酒精）;开胃酒;伏特加酒</t>
  </si>
  <si>
    <t>BY HAUSSMANN 豪斯曼德拜</t>
  </si>
  <si>
    <t>豪斯曼家族</t>
  </si>
  <si>
    <t>JANX 坚安信</t>
  </si>
  <si>
    <t>温州市龙湾天河爱佳电器厂</t>
  </si>
  <si>
    <t>葡萄酒;⾷⽤酒精;果酒（含酒精）;⽩酒;甜酒;⽼酒（中国蒸馏烈酒）;含⽔果酒精饮料;果酒;含酒精⽔果饮料;烈酒</t>
  </si>
  <si>
    <t>昱果醇</t>
  </si>
  <si>
    <t>河北昱果生物科技发展有限公司</t>
  </si>
  <si>
    <t>⽩酒;葡萄酒;开胃酒;⽶酒;烧酒;果酒（含酒精）;鸡尾酒;⾷⽤酒精;⻩酒;威⼠忌</t>
  </si>
  <si>
    <t>长皇</t>
  </si>
  <si>
    <t>刘杨</t>
  </si>
  <si>
    <t>⻩酒;烈酒;果酒（含酒精）;清酒（⽇本⽶酒）;⽩酒;酒精饮料（啤酒除外）;鸡尾酒;葡萄酒;威⼠忌;开胃酒</t>
  </si>
  <si>
    <t>三家梦酩酊</t>
  </si>
  <si>
    <t>贵州三家梦贸易有限公司</t>
  </si>
  <si>
    <t>酒精饮料（啤酒除外）;葡萄酒;清酒（⽇本⽶酒）;开胃酒;⽶酒;威⼠忌;烧酒;⽩酒;果酒（含酒精）;烈酒（饮料）</t>
  </si>
  <si>
    <t>玫迪蓝</t>
  </si>
  <si>
    <t>贵州洪鑫阳生态农业发展有限公司</t>
  </si>
  <si>
    <t>CHATEAU DE JAU</t>
  </si>
  <si>
    <t>法国大加烈葡萄酒公司</t>
  </si>
  <si>
    <t>楚羲</t>
  </si>
  <si>
    <t>鸡尾酒;果酒（含酒精）;柑⾹酒;⽩酒;烧酒;⽩⼲酒（中国⽩酒）;葡萄酒;烈酒（饮料）;⽶酒;⾼粱酒</t>
  </si>
  <si>
    <t>毓泰兴鼓楼金记</t>
  </si>
  <si>
    <t>北京毓泰兴金记餐饮有限公司</t>
  </si>
  <si>
    <t>⽩兰地;清酒（⽇本⽶酒）;朗姆酒;果酒;⽩酒;葡萄酒;烈酒（饮料）;⻩酒;利⼝酒;伏特加酒</t>
  </si>
  <si>
    <t>迪嘛哥</t>
  </si>
  <si>
    <t>贵州盘州果迪吉图白酒制造有限公司</t>
  </si>
  <si>
    <t>⾕物制蒸馏酒精饮料;果酒;蒸馏⽶酒（泡盛酒）;汽酒;⽩⼲酒（中国⽩酒）;杨梅酒;⻘梅酒;⽶酒;⽩酒;⾼粱酒</t>
  </si>
  <si>
    <t>至樽匠鼎</t>
  </si>
  <si>
    <t>⽩兰地;清酒;⽩酒;葡萄酒;汽酒;威⼠忌;烧酒;⻩酒;果酒;⽶酒</t>
  </si>
  <si>
    <t>坪洋清韵</t>
  </si>
  <si>
    <t>客家腊味科研院（广东）科技产业有限公司</t>
  </si>
  <si>
    <t>酒精饮料（啤酒除外）;烧酒;开胃酒;⽶酒;葡萄酒;⽩酒;果酒（含酒精）;威⼠忌;餐后酒（利⼝酒和烈酒）;⻩酒</t>
  </si>
  <si>
    <t>FOXCUP</t>
  </si>
  <si>
    <t>合肥祥慧恒昕商贸有限公司</t>
  </si>
  <si>
    <t>酒精饮料（啤酒除外）;⻩酒;鸡尾酒;葡萄酒;⽶酒;烧酒;果酒（含酒精）;烈酒（饮料）;清酒（⽇本⽶酒）;⽩酒</t>
  </si>
  <si>
    <t>三家梦畅饮</t>
  </si>
  <si>
    <t>⽩酒;开胃酒;葡萄酒;烈酒（饮料）;烧酒;威⼠忌;⽶酒;果酒（含酒精）;酒精饮料（啤酒除外）;清酒（⽇本⽶酒）</t>
  </si>
  <si>
    <t>ROOFTOP BY HAUSSMANN 豪斯曼房塔屋</t>
  </si>
  <si>
    <t>珠步</t>
  </si>
  <si>
    <t>内蒙古银牧商贸有限公司</t>
  </si>
  <si>
    <t>⽩酒;葡萄酒;⽩兰地;⽶酒;伏特加酒;以葡萄酒为主的饮料;果酒（含酒精）;鸡尾酒;烈酒（饮料）;酒精饮料（啤酒除外）</t>
  </si>
  <si>
    <t>荷年荷月</t>
  </si>
  <si>
    <t>桂乡见食品有限公司</t>
  </si>
  <si>
    <t>果酒（含酒精）;葡萄酒;酒精饮料（啤酒除外）;鸡尾酒;⽩兰地;⽶酒;⾷⽤酒精;⽩酒;⻩酒;含⽔果酒精饮料</t>
  </si>
  <si>
    <t>徽匠台</t>
  </si>
  <si>
    <t>贵州仁彩包装有限公司</t>
  </si>
  <si>
    <t>烈酒（饮料）;烧酒;酒精饮料（啤酒除外）;果酒（含酒精）;⽩酒;利⼝酒;朗姆酒;蒸馏饮料;⻩酒;蒸煮提取物（利⼝酒和烈酒）</t>
  </si>
  <si>
    <t>素与素愿</t>
  </si>
  <si>
    <t>宁波市素满香餐饮管理有限公司</t>
  </si>
  <si>
    <t>蒸馏饮料;⻘稞酒;烈酒（饮料）;⽩兰地;⽩酒;蜂蜜酒;烧酒;伏特加酒;⾕物制蒸馏酒精饮料;葡萄酒</t>
  </si>
  <si>
    <t>陛庆坊</t>
  </si>
  <si>
    <t>果酒（含酒精）;⽩酒;烈酒;鸡尾酒;清酒（⽇本⽶酒）;⻩酒;开胃酒;威⼠忌;葡萄酒;酒精饮料（啤酒除外）</t>
  </si>
  <si>
    <t>千脉黄河</t>
  </si>
  <si>
    <t>四川酒海酒城供应链管理有限公司</t>
  </si>
  <si>
    <t>⽼酒（中国蒸馏烈酒）;烧酒;利⼝酒;⽩⼲酒（中国⽩酒）;葡萄酒;烈酒;⽩酒;⽶酒;⾕物制蒸馏酒精饮料;果酒</t>
  </si>
  <si>
    <t>单府玉春酩</t>
  </si>
  <si>
    <t>单小东</t>
  </si>
  <si>
    <t>果酒（含酒精）;含⽔果酒精饮料;⽼酒（中国蒸馏烈酒）;⽩⼲酒（中国⽩酒）;鸡尾酒;含酒精的饮料（啤酒除外）;⽩酒;清酒;含酒精的充⽓饮料（啤酒除外）;葡萄酒</t>
  </si>
  <si>
    <t>三生胡杨</t>
  </si>
  <si>
    <t>沙雅县国有资产营运公司</t>
  </si>
  <si>
    <t>烧酒;葡萄酒;蒸馏饮料;酒精饮料原汁;果酒（含酒精）;⽩酒;鸡尾酒;酒精饮料（啤酒除外）;蒸煮提取物（利⼝酒和烈酒）;预先混合的酒精饮料（以啤酒为主的除外）</t>
  </si>
  <si>
    <t>鸡尾酒;葡萄酒;蒸馏饮料;⽩酒;果酒（含酒精）;含⽔果酒精饮料;⽶酒;酒精饮料（啤酒除外）;开胃酒;蜂蜜酒</t>
  </si>
  <si>
    <t>金元王</t>
  </si>
  <si>
    <t>内蒙古金元集团呼和浩特制酒厂股份有限公司</t>
  </si>
  <si>
    <t>果酒（含酒精）;酒精饮料（啤酒除外）;⻘稞酒;⻩酒;⽶酒;烈酒（饮料）;⽩酒;烧酒;葡萄酒;开胃酒</t>
  </si>
  <si>
    <t>甄祖红</t>
  </si>
  <si>
    <t>江西金戈井红酒业有限公司</t>
  </si>
  <si>
    <t>酒精饮料原汁;含酒精的饮料（啤酒除外）;果酒;⾕物制蒸馏酒精饮料;⽩酒;⽩⼲酒（中国⽩酒）;葡萄酒;酒精饮料（啤酒除外）;烈酒;⾷⽤酒精</t>
  </si>
  <si>
    <t>同跃</t>
  </si>
  <si>
    <t>贵州淘天香老酒有限公司</t>
  </si>
  <si>
    <t>葡萄酒;酒精饮料（啤酒除外）;清酒（⽇本⽶酒）;鸡尾酒;⽩酒;⽶酒;烧酒;果酒（含酒精）;烈酒（饮料）;⻩酒</t>
  </si>
  <si>
    <t>遇茸</t>
  </si>
  <si>
    <t>延边国福商贸有限公司</t>
  </si>
  <si>
    <t>⻩酒;果酒（含酒精）;葡萄酒;⽩酒;⽶酒;烧酒;鸡尾酒;清酒（⽇本⽶酒）;酒精饮料（啤酒除外）;烈酒（饮料）</t>
  </si>
  <si>
    <t>郁仪</t>
  </si>
  <si>
    <t>刘航</t>
  </si>
  <si>
    <t>果酒（含酒精）;葡萄酒;烈酒（饮料）;清酒（⽇本⽶酒）;⽩酒;⻩酒;烈酒;鸡尾酒;酒精饮料原汁;⽶酒</t>
  </si>
  <si>
    <t>彝玫花</t>
  </si>
  <si>
    <t>云南博喻农业发展有限公司</t>
  </si>
  <si>
    <t>烧酒;含⽔果酒精饮料;⽶酒;葡萄酒;⻩酒;威⼠忌;清酒;酒精饮料（啤酒除外）;⽩兰地;⽩酒</t>
  </si>
  <si>
    <t>吉星嘉伟</t>
  </si>
  <si>
    <t>钦州市嘉伟酒业有限公司</t>
  </si>
  <si>
    <t>蒸馏⽶酒（泡盛酒）;⽶酒;甜果酒;葡萄酒;⻘稞酒;由⾕物蒸馏的⽩酒;果酒（含酒精）;露酒;⾼粱酒;甜酒</t>
  </si>
  <si>
    <t>谷馫春</t>
  </si>
  <si>
    <t>金国刚</t>
  </si>
  <si>
    <t>威⼠忌;烧酒;⻩酒;⾼粱酒;鸡尾酒;葡萄酒;⽶酒;⾷⽤酒精;⽩酒;果酒（含酒精）</t>
  </si>
  <si>
    <t>快板</t>
  </si>
  <si>
    <t>沛县酣厚酒水经营部（个体工商户）</t>
  </si>
  <si>
    <t>葡萄酒;⻘稞酒;⽩酒;开胃酒;烧酒;梨酒;清酒（⽇本⽶酒）;利⼝酒;⽶酒;⻩酒</t>
  </si>
  <si>
    <t>凤凰台凤仙</t>
  </si>
  <si>
    <t>开胃酒;⻩酒;⽩兰地;威⼠忌;烈酒（饮料）;酒精饮料（啤酒除外）;酒精饮料原汁;⽶酒;酒精饮料浓缩汁;⽩酒</t>
  </si>
  <si>
    <t>运情</t>
  </si>
  <si>
    <t>黄勇</t>
  </si>
  <si>
    <t>果酒（含酒精）;鸡尾酒;烈酒;清酒（⽇本⽶酒）;威⼠忌;⽩酒;开胃酒;葡萄酒;酒精饮料（啤酒除外）;⻩酒</t>
  </si>
  <si>
    <t>鹮见</t>
  </si>
  <si>
    <t>王建成612323********0016</t>
  </si>
  <si>
    <t>利⼝酒;葡萄酒;清酒（⽇本⽶酒）;烧酒;⻩酒;⽶酒;果酒（含酒精）;梨酒;⽩酒;蜂蜜酒</t>
  </si>
  <si>
    <t>覃钧台</t>
  </si>
  <si>
    <t>吴婵</t>
  </si>
  <si>
    <t>威⼠忌;⻘稞酒;鸡尾酒;烧酒;⽩兰地;⻩酒;⽶酒;葡萄酒;烈酒;⽩酒</t>
  </si>
  <si>
    <t>古载</t>
  </si>
  <si>
    <t>果酒（含酒精）;⽶酒;⻩酒;葡萄酒;威⼠忌;清酒（⽇本⽶酒）;⽩酒;⽩兰地;⻘稞酒;烧酒</t>
  </si>
  <si>
    <t>卫士亮剑</t>
  </si>
  <si>
    <t>贵州乾贞利商贸有限公司</t>
  </si>
  <si>
    <t>⽼酒（中国蒸馏烈酒）;烈酒（饮料）;烧酒;蜂蜜酒;⾕物制蒸馏酒精饮料;⽶酒;⽩酒;鸡尾酒;葡萄酒;樱桃酒</t>
  </si>
  <si>
    <t>三斑海骉</t>
  </si>
  <si>
    <t>东山渔速达电子商务有限公司</t>
  </si>
  <si>
    <t>清酒（⽇本⽶酒）;烈酒;⻩酒;果酒（含酒精）;酒精饮料（啤酒除外）;⽶酒;葡萄酒;鸡尾酒;⽩酒;烧酒</t>
  </si>
  <si>
    <t>YHON</t>
  </si>
  <si>
    <t>源鸿物联科技有限公司</t>
  </si>
  <si>
    <t>⽩兰地;⻩酒;⽶酒;威⼠忌;烧酒;果酒（含酒精）;蒸馏饮料;鸡尾酒;葡萄酒;⽩酒</t>
  </si>
  <si>
    <t>传池</t>
  </si>
  <si>
    <t>泸州礼物品牌管理有限公司</t>
  </si>
  <si>
    <t>含酒精⽔果饮料;⾼粱酒;葡萄酒;烧酒;⽩酒;蒸馏饮料;⽶酒;果酒;果酒（含酒精）;⽩⼲酒（中国⽩酒）</t>
  </si>
  <si>
    <t>懋书</t>
  </si>
  <si>
    <t>贵州殳懋房竹木有限公司</t>
  </si>
  <si>
    <t>鸡尾酒;含⽔果酒精饮料;⽶酒;以葡萄酒为主的饮料;⽼酒（中国蒸馏烈酒）;⾕物制蒸馏酒精饮料;⽩酒;蒸馏饮料;酒精饮料原汁;葡萄酒</t>
  </si>
  <si>
    <t>雷悍</t>
  </si>
  <si>
    <t>贾芳芳</t>
  </si>
  <si>
    <t>⽩酒;利⼝酒;烧酒;⻩酒;鸡尾酒;薄荷酒;开胃酒;酒精饮料浓缩汁;樱桃酒;伏特加酒</t>
  </si>
  <si>
    <t>港窖</t>
  </si>
  <si>
    <t>葡萄酒;⾕物制蒸馏酒精饮料;苹果酒;蒸馏饮料;露酒;餐后酒（利⼝酒和烈酒）;果酒（含酒精）;烈酒（饮料）;⽶酒;⽩酒</t>
  </si>
  <si>
    <t>龙鼇台</t>
  </si>
  <si>
    <t>善华科技（深圳）集团有限公司</t>
  </si>
  <si>
    <t>⽩兰地;烈酒（饮料）;开胃酒;⽩酒;咖啡利⼝酒;含酒精的充⽓饮料（啤酒除外）;⻩酒;⽶酒;含酒精的⽔果鸡尾酒饮料;果酒（含酒精）</t>
  </si>
  <si>
    <t>汀北</t>
  </si>
  <si>
    <t>田浩</t>
  </si>
  <si>
    <t>清酒（⽇本⽶酒）;⽇式甜⽶酒;开胃酒;⾕物制蒸馏酒精饮料;果酒（含酒精）;⻩酒;预先混合的酒精饮料（以啤酒为主的除外）;含⽔果酒精饮料;⽩酒;⽶酒</t>
  </si>
  <si>
    <t>藏初堂</t>
  </si>
  <si>
    <t>赵天勇</t>
  </si>
  <si>
    <t>开胃酒;⽩酒;⾷⽤酒精;汽酒;果酒;甜酒;⽶酒;葡萄酒;⻩酒;清酒</t>
  </si>
  <si>
    <t>果酒（含酒精）;鸡尾酒;酒精饮料浓缩汁;含⽔果酒精饮料;酒精饮料原汁;⽩酒;酒精饮料（啤酒除外）;苹果酒;梨酒;汽酒</t>
  </si>
  <si>
    <t>海和琳</t>
  </si>
  <si>
    <t>甘肃海和琳酒业有限公司</t>
  </si>
  <si>
    <t>葡萄酒;威⼠忌;薄荷酒;蒸馏饮料;含⽔果酒精饮料;果酒（含酒精）;开胃酒;酒精饮料（啤酒除外）;⻩酒;⽩酒</t>
  </si>
  <si>
    <t>豫液台</t>
  </si>
  <si>
    <t>常乘乘</t>
  </si>
  <si>
    <t>⽶酒;蜂蜜酒;⻩酒;果酒;葡萄酒;威⼠忌;清酒;伏特加酒;烧酒;⽩酒</t>
  </si>
  <si>
    <t>凤凰台荷香</t>
  </si>
  <si>
    <t>酒精饮料浓缩汁;酒精饮料原汁;⽩酒;烈酒（饮料）;⽶酒;威⼠忌;开胃酒;酒精饮料（啤酒除外）;⻩酒;⽩兰地</t>
  </si>
  <si>
    <t>白江帝</t>
  </si>
  <si>
    <t>蒋志康</t>
  </si>
  <si>
    <t>清酒;酒精饮料（啤酒除外）;威⼠忌;⽶酒;⽩酒;葡萄酒;烧酒;烧酒（烈酒）;果酒（含酒精）;以葡萄酒为主的饮料</t>
  </si>
  <si>
    <t>2024/05/18</t>
  </si>
  <si>
    <t>好威友</t>
  </si>
  <si>
    <t>青岛单一麦芽威士忌有限公司</t>
  </si>
  <si>
    <t>威⼠忌;伏特加酒;薄荷酒;果酒（含酒精）;⽩酒;葡萄酒;⽩兰地;蒸馏饮料;烈酒（饮料）;鸡尾酒</t>
  </si>
  <si>
    <t>联俊丰露</t>
  </si>
  <si>
    <t>肖华俊</t>
  </si>
  <si>
    <t>酒精饮料原汁;酒精饮料（啤酒除外）;果酒（含酒精）;葡萄酒;烧酒;蒸馏饮料;烈酒（饮料）;⾷⽤酒精;⽩酒;⽶酒</t>
  </si>
  <si>
    <t>鑫湘御</t>
  </si>
  <si>
    <t>谢权</t>
  </si>
  <si>
    <t>果酒（含酒精）;烈酒（饮料）;蒸馏饮料;⽩酒;由⾕物蒸馏的⽩酒;烧酒;酒精饮料（啤酒除外）;葡萄酒;⾕物制蒸馏酒精饮料;⽶酒</t>
  </si>
  <si>
    <t>井太傅</t>
  </si>
  <si>
    <t>酒精饮料（啤酒除外）;葡萄酒;烧酒（烈酒）;清酒;烧酒;以葡萄酒为主的饮料;⽩酒;果酒（含酒精）;威⼠忌;⽶酒</t>
  </si>
  <si>
    <t>精诚信</t>
  </si>
  <si>
    <t>青岛优芝食品有限公司</t>
  </si>
  <si>
    <t>酒精饮料（啤酒除外）;鸡尾酒;威⼠忌;清酒;葡萄酒;⻩酒;⽶酒;开胃酒;果酒;⽩酒</t>
  </si>
  <si>
    <t>香溢佳</t>
  </si>
  <si>
    <t>桐乡市李阿姨餐饮管理服务有限公司</t>
  </si>
  <si>
    <t>酒精饮料（啤酒除外）;⽶酒;开胃酒;葡萄酒;⻩酒;果酒（含酒精）;柑⾹酒;烧酒;⻘稞酒;⽩酒</t>
  </si>
  <si>
    <t>海岱楼</t>
  </si>
  <si>
    <t>山东渤翔国际贸易有限公司</t>
  </si>
  <si>
    <t>⾼粱酒;果酒;开胃酒;利⼝酒;⽩酒;鸡尾酒;葡萄酒;烈酒（饮料）;烧酒;⽩⼲酒（中国⽩酒）</t>
  </si>
  <si>
    <t>孟传</t>
  </si>
  <si>
    <t>郑莉娜</t>
  </si>
  <si>
    <t>⻩酒;开胃酒;清酒（⽇本⽶酒）;酒精饮料（啤酒除外）;烈酒;鸡尾酒;葡萄酒;⽩酒;威⼠忌;果酒（含酒精）</t>
  </si>
  <si>
    <t>祥开福道</t>
  </si>
  <si>
    <t>那通兵</t>
  </si>
  <si>
    <t>葡萄酒;清酒（⽇本⽶酒）;果酒（含酒精）;伏特加酒;汽酒;烈酒（饮料）;⽩酒;⽩兰地;⻩酒;酒精饮料（啤酒除外）</t>
  </si>
  <si>
    <t>悦莱悦好</t>
  </si>
  <si>
    <t>王双鹏</t>
  </si>
  <si>
    <t>⽶酒;烧酒;⽩酒;蜂蜜酒;⻩酒;开胃酒;葡萄酒;利⼝酒;烈酒（饮料）;果酒（含酒精）</t>
  </si>
  <si>
    <t>陶汝情</t>
  </si>
  <si>
    <t>彭德忠</t>
  </si>
  <si>
    <t>果酒（含酒精）;烧酒;蒸馏饮料;酒精饮料（啤酒除外）;烈酒（饮料）;⽶酒;⾷⽤酒精;葡萄酒;⽩酒;酒精饮料原汁</t>
  </si>
  <si>
    <t>聿人河</t>
  </si>
  <si>
    <t>以葡萄酒为主的饮料;威⼠忌;⽶酒;烧酒;清酒;葡萄酒;⽩酒;烧酒（烈酒）;果酒（含酒精）;酒精饮料（啤酒除外）</t>
  </si>
  <si>
    <t>欢啦</t>
  </si>
  <si>
    <t>葡萄酒;⽩酒;汽酒;葡萄汽酒;红葡萄酒;开胃酒;果酒;⽶酒;以葡萄酒为主的开胃酒;⽩兰地</t>
  </si>
  <si>
    <t>螺丝</t>
  </si>
  <si>
    <t>李现海</t>
  </si>
  <si>
    <t>开胃酒;⽩酒;葡萄酒;⻩酒;烧酒;果酒（含酒精）;蒸馏饮料;⽶酒;酒精饮料（啤酒除外）;⾷⽤酒精</t>
  </si>
  <si>
    <t>岜沙苗</t>
  </si>
  <si>
    <t>贵州苗岭云山药业有限公司</t>
  </si>
  <si>
    <t>果酒（含酒精）;预先混合的酒精饮料（以啤酒为主的除外）;酒精饮料浓缩汁;⽩⼲酒（中国⽩酒）;烈酒（饮料）;酒精饮料（啤酒除外）;⾕物制蒸馏酒精饮料;蝮蛇酒;酒精饮料原汁;⽩酒</t>
  </si>
  <si>
    <t>碰酒仙</t>
  </si>
  <si>
    <t>赵云鹏</t>
  </si>
  <si>
    <t>开胃酒;清酒（⽇本⽶酒）;威⼠忌;酒精饮料（啤酒除外）;⻩酒;烈酒;果酒（含酒精）;鸡尾酒;葡萄酒;⽩酒</t>
  </si>
  <si>
    <t>悦四方</t>
  </si>
  <si>
    <t>蜂蜜酒;烈酒（饮料）;烧酒;果酒（含酒精）;⽩酒;⻩酒;开胃酒;葡萄酒;⽶酒;利⼝酒</t>
  </si>
  <si>
    <t>CHEDMAN</t>
  </si>
  <si>
    <t>张金林</t>
  </si>
  <si>
    <t>⽶酒;⾼粱酒;葡萄酒;酒精饮料原汁;甜酒;⽔果汽酒;鸡尾酒;烈酒（饮料）;烧酒;酒精饮料（啤酒除外）</t>
  </si>
  <si>
    <t>乐仁醒</t>
  </si>
  <si>
    <t>京都乐寿堂国药（石家庄）有限公司</t>
  </si>
  <si>
    <t>⽶酒;伏特加酒;蒸馏饮料;⽩酒;⻩酒;清酒（⽇本⽶酒）;⽩兰地;烧酒;威⼠忌;⻘稞酒</t>
  </si>
  <si>
    <t>粤瑞港</t>
  </si>
  <si>
    <t>佛山市聚墨品牌管理有限公司</t>
  </si>
  <si>
    <t>果酒（含酒精）;葡萄酒;清酒;利⼝酒;⾷⽤酒精;⻘梅酒;⻩酒;佐餐酒;⻘稞酒;⽶酒</t>
  </si>
  <si>
    <t>旦姆得</t>
  </si>
  <si>
    <t>赵强</t>
  </si>
  <si>
    <t>果酒（含酒精）;葡萄酒;烧酒;汽酒;酒精饮料（啤酒除外）;开胃酒;蜂蜜酒;⽶酒;烈酒（饮料）;⽩酒</t>
  </si>
  <si>
    <t>特诚</t>
  </si>
  <si>
    <t>鸡尾酒;⽩酒;酒精饮料（啤酒除外）;⻩酒;清酒;开胃酒;果酒;葡萄酒;威⼠忌;⽶酒</t>
  </si>
  <si>
    <t>龘飍</t>
  </si>
  <si>
    <t>开胃酒;⽶酒;利⼝酒;蜂蜜酒;⽩酒;葡萄酒;烈酒（饮料）;烧酒;⻩酒;果酒（含酒精）</t>
  </si>
  <si>
    <t>奇迹商人</t>
  </si>
  <si>
    <t>⽶酒;⽩酒;开胃酒;葡萄酒;烧酒;⻩酒;果酒（含酒精）;利⼝酒;蜂蜜酒;烈酒（饮料）</t>
  </si>
  <si>
    <t>BUAAERS</t>
  </si>
  <si>
    <t>⽩⼲酒（中国⽩酒）;葡萄酒;⽩兰地;伏特加酒;威⼠忌;鸡尾酒;⾼粱酒;烧酒（烈酒）;⽩酒;⻩酒</t>
  </si>
  <si>
    <t>和谷香2号</t>
  </si>
  <si>
    <t>深圳汉西荣实业有限公司</t>
  </si>
  <si>
    <t>果酒（含酒精）;蒸馏饮料;利⼝酒;⽩酒;清酒;⽶酒;葡萄酒;烈酒（饮料）;烧酒;⻩酒</t>
  </si>
  <si>
    <t>和谷香7号</t>
  </si>
  <si>
    <t>果酒（含酒精）;蒸馏饮料;⽩酒;葡萄酒;烈酒（饮料）;烧酒;⻩酒;⽶酒;清酒;利⼝酒</t>
  </si>
  <si>
    <t>汨故罗事</t>
  </si>
  <si>
    <t>湖南大湘联贸供销服务有限公司</t>
  </si>
  <si>
    <t>甜酒;葡萄酒;⽶酒;汽酒;清酒;⾷⽤酒精;⽩酒;⻩酒;果酒;酒精饮料（啤酒除外）</t>
  </si>
  <si>
    <t>逍遥御川酒</t>
  </si>
  <si>
    <t>四川御川佳酿酒业股份有限公司</t>
  </si>
  <si>
    <t>烈酒（饮料）;含酒精的充⽓饮料（啤酒除外）;⾷⽤酒精;甜酒;⽩酒;⽶酒;果酒;含酒精的⽓泡⽔;⾼粱酒;葡萄酒</t>
  </si>
  <si>
    <t>原地辉煌</t>
  </si>
  <si>
    <t>湖北大勇酒业有限公司</t>
  </si>
  <si>
    <t>伏特加酒;⽶酒;烧酒（烈酒）;⽩⼲酒（中国⽩酒）;⻩酒;汽酒;葡萄酒;酒精饮料（啤酒除外）;清酒;果酒</t>
  </si>
  <si>
    <t>和谷香1号</t>
  </si>
  <si>
    <t>⽩酒;果酒（含酒精）;利⼝酒;烧酒;⻩酒;烈酒（饮料）;⽶酒;蒸馏饮料;葡萄酒;清酒</t>
  </si>
  <si>
    <t>和谷香3号</t>
  </si>
  <si>
    <t>葡萄酒;利⼝酒;烧酒;清酒;⻩酒;蒸馏饮料;烈酒（饮料）;⽩酒;⽶酒;果酒（含酒精）</t>
  </si>
  <si>
    <t>北京世纪广茂国际影视文化发展有限公司</t>
  </si>
  <si>
    <t>酒精饮料（啤酒除外）;葡萄酒;威⼠忌;酒精饮料原汁;烈酒（饮料）;鸡尾酒;⽩酒;⽩兰地;茴⾹酒（利⼝酒）;果酒（含酒精）</t>
  </si>
  <si>
    <t>和谷香基酒</t>
  </si>
  <si>
    <t>蒸馏饮料;果酒（含酒精）;葡萄酒;利⼝酒;⽩酒;⽶酒;⻩酒;清酒;烈酒（饮料）;烧酒</t>
  </si>
  <si>
    <t>盈寨</t>
  </si>
  <si>
    <t>湖南盈寨农业科技开发有限公司</t>
  </si>
  <si>
    <t>果酒（含酒精）;⽩酒;蜂蜜酒;烧酒;⻘稞酒;苹果酒;苦味酒;⽶酒;开胃酒;⾷⽤酒精</t>
  </si>
  <si>
    <t>汉类</t>
  </si>
  <si>
    <t>李智华</t>
  </si>
  <si>
    <t>清酒（⽇本⽶酒）;蜂蜜酒;酒精饮料（啤酒除外）;葡萄酒;⽩酒;⽶酒;鸡尾酒;果酒（含酒精）;含⽔果酒精饮料;烧酒</t>
  </si>
  <si>
    <t>凡小爷</t>
  </si>
  <si>
    <t>东莞市彩华商贸有限公司</t>
  </si>
  <si>
    <t>烧酒;⻩酒;⽶酒;清酒;⽩兰地;⽩酒;鸡尾酒;蜂蜜酒;葡萄酒;果酒（含酒精）</t>
  </si>
  <si>
    <t>莲莱雅</t>
  </si>
  <si>
    <t>浦江小棉哚商贸有限公司</t>
  </si>
  <si>
    <t>苹果酒;威⼠忌;汽酒;⽩酒;烧酒;鸡尾酒;葡萄酒;清酒（⽇本⽶酒）;⻩酒;薄荷酒</t>
  </si>
  <si>
    <t>汉结</t>
  </si>
  <si>
    <t>果酒（含酒精）;含⽔果酒精饮料;⽶酒;蜂蜜酒;⽩酒;鸡尾酒;葡萄酒;烧酒;清酒（⽇本⽶酒）;酒精饮料（啤酒除外）</t>
  </si>
  <si>
    <t>凡小哥</t>
  </si>
  <si>
    <t>烧酒;⻩酒;蜂蜜酒;⽶酒;鸡尾酒;果酒（含酒精）;⽩兰地;葡萄酒;⽩酒;清酒</t>
  </si>
  <si>
    <t>情十义</t>
  </si>
  <si>
    <t>严光友</t>
  </si>
  <si>
    <t>烈酒;⽩酒;⻩酒;⾼粱酒;⽶酒;烧酒;果酒;梅酒;葡萄酒;鸡尾酒</t>
  </si>
  <si>
    <t>小双胞</t>
  </si>
  <si>
    <t>墨江地道酒业有限公司</t>
  </si>
  <si>
    <t>果酒（含酒精）;威士忌;白酒;葡萄酒;酒精饮料浓缩汁;清酒（日本米酒）;烈酒（饮料）;米酒;酒精饮料（啤酒除外）;鸡尾酒</t>
  </si>
  <si>
    <t>凡小爸</t>
  </si>
  <si>
    <t>烧酒;⽩兰地;葡萄酒;⽶酒;清酒;果酒（含酒精）;⻩酒;鸡尾酒;蜂蜜酒;⽩酒</t>
  </si>
  <si>
    <t>几小妹</t>
  </si>
  <si>
    <t>⻩酒;⽩酒;鸡尾酒;⽩兰地;葡萄酒;清酒;果酒（含酒精）;烧酒;蜂蜜酒;⽶酒</t>
  </si>
  <si>
    <t>酣巧</t>
  </si>
  <si>
    <t>果酒（含酒精）;含⽔果酒精饮料;⽶酒;酒精饮料（啤酒除外）;鸡尾酒;葡萄酒;蜂蜜酒;⽩酒;烧酒;清酒（⽇本⽶酒）</t>
  </si>
  <si>
    <t>孟姑 GLRL OF DREAM</t>
  </si>
  <si>
    <t>甘肃孟姑食品有限公司</t>
  </si>
  <si>
    <t>⾕物制蒸馏酒精饮料;酒精饮料原汁;⽩酒;烈酒（饮料）;已调味的⻨芽酿制的酒精饮料（啤酒除外）;⻩酒;酒精饮料（啤酒除外）;⾷⽤酒精;烧酒;葡萄酒</t>
  </si>
  <si>
    <t>2024/05/20</t>
  </si>
  <si>
    <t>谢呈御腊酒</t>
  </si>
  <si>
    <t>含酒精的充⽓饮料（啤酒除外）;⻩酒;葡萄酒;开胃酒;汽酒;⽩酒;⽶酒;预先混合的酒精饮料（以啤酒为主的除外）;果酒;酒精饮料（啤酒除外）</t>
  </si>
  <si>
    <t>淇是很美</t>
  </si>
  <si>
    <t>河南林祖山农业科技有限公司</t>
  </si>
  <si>
    <t>果酒;含酒精⽔果饮料;⽩酒;伏特加酒;酒精饮料（啤酒除外）;红葡萄酒;烧酒;⽶酒;⾼粱酒;⽩⼲酒（中国⽩酒）</t>
  </si>
  <si>
    <t>南苏紫金麦</t>
  </si>
  <si>
    <t>泰安德朗宁门窗科技有限公司</t>
  </si>
  <si>
    <t>蒸煮提取物（利⼝酒和烈酒）;烧酒;红葡萄酒;葡萄酒;苹果酒;果酒（含酒精）;⽩酒;⽶酒;⽼酒（中国蒸馏烈酒）;蒸馏饮料</t>
  </si>
  <si>
    <t>白澈</t>
  </si>
  <si>
    <t>张鑫磊</t>
  </si>
  <si>
    <t>清酒（⽇本⽶酒）;烈酒;鸡尾酒;⽩酒;酒精饮料（啤酒除外）;威⼠忌;葡萄酒;果酒（含酒精）;⻩酒;开胃酒</t>
  </si>
  <si>
    <t>欢乐汇四季生活</t>
  </si>
  <si>
    <t>河北众实商业集团有限公司</t>
  </si>
  <si>
    <t>⽩酒;果酒;含⽔果酒精饮料;⽶酒;杨梅酒;清酒;酒精饮料（啤酒除外）;以葡萄酒为主的饮料;葡萄酒;鸡尾酒</t>
  </si>
  <si>
    <t>语茉花开</t>
  </si>
  <si>
    <t>河南第五元素品牌管理有限公司</t>
  </si>
  <si>
    <t>果酒;蜂蜜酒</t>
  </si>
  <si>
    <t>钻石诱惑</t>
  </si>
  <si>
    <t>熙蔓世家有限公司</t>
  </si>
  <si>
    <t>汽酒;葡萄酒</t>
  </si>
  <si>
    <t>徽谣 年份贡酒</t>
  </si>
  <si>
    <t>张侠</t>
  </si>
  <si>
    <t>烧酒;⽩酒;威⼠忌;酒精饮料（啤酒除外）;开胃酒;鸡尾酒;⻩酒;⽶酒;葡萄酒;果酒（含酒精）</t>
  </si>
  <si>
    <t>思邈芊思</t>
  </si>
  <si>
    <t>湖南孙思邈医药有限公司</t>
  </si>
  <si>
    <t>烧酒;果酒（含酒精）;⽶酒;烈酒（饮料）;酒精饮料（啤酒除外）;⽩酒;鸡尾酒;清酒（⽇本⽶酒）;葡萄酒;⻩酒</t>
  </si>
  <si>
    <t>贵菲诚</t>
  </si>
  <si>
    <t>李贵明</t>
  </si>
  <si>
    <t>威⼠忌;⽩酒;⽶酒;清酒（⽇本⽶酒）;鸡尾酒;葡萄酒;烈酒（饮料）;酒精饮料原汁;伏特加酒;酒精饮料（啤酒除外）</t>
  </si>
  <si>
    <t>中荷六和坊</t>
  </si>
  <si>
    <t>北京环球中荷环境科技有限公司</t>
  </si>
  <si>
    <t>⽩酒;果酒;烧酒;烈酒;⽶酒;清酒;葡萄酒;威⼠忌;伏特加酒;甜果酒</t>
  </si>
  <si>
    <t>锋味森林</t>
  </si>
  <si>
    <t>黄强</t>
  </si>
  <si>
    <t>甜酒;⾷⽤酒精;⻩酒;果酒;⽶酒;清酒;葡萄酒;开胃酒;⽩酒;汽酒</t>
  </si>
  <si>
    <t>今回关中</t>
  </si>
  <si>
    <t>⽩酒;葡萄酒;汽酒;清酒;⾷⽤酒精;果酒;甜酒;⽶酒;⻩酒;开胃酒</t>
  </si>
  <si>
    <t>荒堂 辽阔无垠</t>
  </si>
  <si>
    <t>北京斟致酒业文化有限公司</t>
  </si>
  <si>
    <t>威⼠忌;清酒;果酒;⽩酒;佐餐酒;清酒（⽇本⽶酒）;鸡尾酒;⽼酒（中国蒸馏烈酒）;烈酒;⽩兰地</t>
  </si>
  <si>
    <t>醉缘潭</t>
  </si>
  <si>
    <t>⽩酒;朗姆酒;酒精饮料（啤酒除外）;烧酒;鸡尾酒;果酒;葡萄酒;清酒（⽇本⽶酒）;利⼝酒;开胃酒</t>
  </si>
  <si>
    <t>CHFGFY 辰峰福源</t>
  </si>
  <si>
    <t>泉州市晋江辰峰福源商贸有限公司</t>
  </si>
  <si>
    <t>鸡尾酒;朗姆酒;果酒（含酒精）;⽩兰地;威⼠忌;伏特加酒;⽩酒;⾷⽤酒精;⽶酒;葡萄酒</t>
  </si>
  <si>
    <t>泸钦</t>
  </si>
  <si>
    <t>高建</t>
  </si>
  <si>
    <t>⽩酒;⽶酒;烧酒;果酒（含酒精）;⻩酒;鸡尾酒;葡萄酒;威⼠忌;酒精饮料（啤酒除外）;蒸馏饮料</t>
  </si>
  <si>
    <t>第徒</t>
  </si>
  <si>
    <t>宜宾龙莱福酒业有限责任公司</t>
  </si>
  <si>
    <t>酒精饮料原汁;⽩酒;果酒（含酒精）;⽶酒;烈酒;烧酒;⽩⼲酒（中国⽩酒）;⾷⽤酒精;含酒精的饮料（啤酒除外）;⾕物制蒸馏酒精饮料</t>
  </si>
  <si>
    <t>仁中柔</t>
  </si>
  <si>
    <t>王桂香</t>
  </si>
  <si>
    <t>⽩酒;开胃酒;烈酒;葡萄酒;⻩酒;威⼠忌;酒精饮料（啤酒除外）;果酒（含酒精）;鸡尾酒;清酒（⽇本⽶酒）</t>
  </si>
  <si>
    <t>才华兄弟</t>
  </si>
  <si>
    <t>李俊英</t>
  </si>
  <si>
    <t>⻘稞酒;⽩酒;⽼酒（中国蒸馏烈酒）;⽩⼲酒（中国⽩酒）;⾕物制蒸馏酒精饮料;⾼粱酒;由⾕物蒸馏的⽩酒;葡萄酒;果酒（含酒精）;酒精饮料（啤酒除外）</t>
  </si>
  <si>
    <t>时珍五行</t>
  </si>
  <si>
    <t>北京周氏时珍堂药业有限公司</t>
  </si>
  <si>
    <t>果酒（含酒精）;红葡萄酒;⾷⽤酒精;葡萄酒;含酒精⽔果饮料;⻩酒;鸡尾酒;烈酒（饮料）;汽酒;⽩酒</t>
  </si>
  <si>
    <t>港井</t>
  </si>
  <si>
    <t>苗文菁</t>
  </si>
  <si>
    <t>果酒（含酒精）;酒精饮料（啤酒除外）;清酒（⽇本⽶酒）;开胃酒;烈酒;⽩酒;⻩酒;鸡尾酒;葡萄酒;威⼠忌</t>
  </si>
  <si>
    <t>今自在</t>
  </si>
  <si>
    <t>黄酒;白酒;葡萄酒;鸡尾酒;清酒（日本米酒）;威士忌;白兰地;米酒;烈酒（饮料）;果酒（含酒精）</t>
  </si>
  <si>
    <t>祥阖</t>
  </si>
  <si>
    <t>江苏京赛酒业发展有限公司</t>
  </si>
  <si>
    <t>利⼝酒;果酒（含酒精）;葡萄酒;预先混合的酒精饮料（以啤酒为主的除外）;⻩酒;烈酒（饮料）;⽩酒;⽶酒;蒸馏饮料;酒精饮料（啤酒除外）</t>
  </si>
  <si>
    <t>赢养宝</t>
  </si>
  <si>
    <t>裴春艳</t>
  </si>
  <si>
    <t>甜酒;⽶酒;汽酒;清酒;⻩酒;开胃酒;果酒;葡萄酒;⾷⽤酒精;⽩酒</t>
  </si>
  <si>
    <t>均义坊</t>
  </si>
  <si>
    <t>泸州景琰设计策划有限公司</t>
  </si>
  <si>
    <t>葡萄酒;烧酒;果酒（含酒精）;⻩酒;含酒精的饮料（啤酒除外）;⽶酒;烈酒;⽩酒;⾼粱酒;酒精饮料（啤酒除外）</t>
  </si>
  <si>
    <t>坊城醉</t>
  </si>
  <si>
    <t>开胃酒;清酒（⽇本⽶酒）;果酒;利⼝酒;鸡尾酒;葡萄酒;朗姆酒;酒精饮料（啤酒除外）;烧酒;⽩酒</t>
  </si>
  <si>
    <t>大秦李斯</t>
  </si>
  <si>
    <t>施雪莲</t>
  </si>
  <si>
    <t>开胃酒;酒精饮料（啤酒除外）;⻩酒;利⼝酒;果酒（含酒精）;⽩酒;葡萄酒;烈酒（饮料）;⽶酒;烧酒</t>
  </si>
  <si>
    <t>獒猎</t>
  </si>
  <si>
    <t>胡正林321088********0491</t>
  </si>
  <si>
    <t>葡萄酒;烈酒（饮料）;⽶酒;⻘稞酒;⽩酒;⽩⼲酒（中国⽩酒）;果酒（含酒精）;⻩酒;⾼粱酒;⽩兰地</t>
  </si>
  <si>
    <t>锅庄</t>
  </si>
  <si>
    <t>四川酒原品牌管理有限公司</t>
  </si>
  <si>
    <t>烧酒;酒精饮料（啤酒除外）;酒精饮料原汁;⽶酒;⻩酒;果酒（含酒精）;⽩酒;葡萄酒;蒸煮提取物（利⼝酒和烈酒）;开胃酒</t>
  </si>
  <si>
    <t>海清生</t>
  </si>
  <si>
    <t>贵州省仁怀市海清酒业有限公司</t>
  </si>
  <si>
    <t>开胃酒;烧酒;⽶酒;葡萄酒;威⼠忌;樱桃酒;果酒（含酒精）;伏特加酒;⽩酒;⻩酒</t>
  </si>
  <si>
    <t>画皇</t>
  </si>
  <si>
    <t>开胃酒;清酒（⽇本⽶酒）;酒精饮料（啤酒除外）;⽩酒;威⼠忌;鸡尾酒;葡萄酒;⻩酒;果酒（含酒精）;烈酒</t>
  </si>
  <si>
    <t>山语心醉</t>
  </si>
  <si>
    <t>泰安市华茗商贸有限公司</t>
  </si>
  <si>
    <t>蒸馏饮料;清酒（⽇本⽶酒）;⽶酒;⽩酒;⻩酒;酒精饮料（啤酒除外）;酒精饮料原汁;烧酒;果酒（含酒精）;葡萄酒</t>
  </si>
  <si>
    <t>丹布</t>
  </si>
  <si>
    <t>河北暗星商贸有限公司</t>
  </si>
  <si>
    <t>烧酒;⽩酒;果酒（含酒精）;烈酒（饮料）;酒精饮料（啤酒除外）;⽶酒;⽩⼲酒（中国⽩酒）;⾼粱酒;预先混合的酒精饮料（以啤酒为主的除外）;⾷⽤酒精</t>
  </si>
  <si>
    <t>乃容</t>
  </si>
  <si>
    <t>北京珂鸣贸易有限公司</t>
  </si>
  <si>
    <t>烧酒;⽶酒;葡萄酒;果酒（含酒精）;⻩酒;烈酒（饮料）;蒸馏饮料;鸡尾酒;酒精饮料（啤酒除外）;⽩酒</t>
  </si>
  <si>
    <t>欣井</t>
  </si>
  <si>
    <t>果酒（含酒精）;葡萄酒;清酒（⽇本⽶酒）;⽩酒;烈酒;威⼠忌;鸡尾酒;酒精饮料（啤酒除外）;⻩酒;开胃酒</t>
  </si>
  <si>
    <t>林功懋</t>
  </si>
  <si>
    <t>漳州市美途文化旅游有限公司</t>
  </si>
  <si>
    <t>蒸馏饮料;⾷⽤酒精;酒精饮料原汁;葡萄酒;⽩酒;果酒（含酒精）;酒精饮料（啤酒除外）;含⽔果酒精饮料;⽶酒;威⼠忌</t>
  </si>
  <si>
    <t>杰麦伦</t>
  </si>
  <si>
    <t>洪树豪</t>
  </si>
  <si>
    <t>⽩兰地;酒精饮料（啤酒除外）;⽩酒;烈酒;清酒;⻩酒;⽶酒;威⼠忌;汽酒;果酒（含酒精）</t>
  </si>
  <si>
    <t>厨太太</t>
  </si>
  <si>
    <t>江阴市一品酿酒有限公司</t>
  </si>
  <si>
    <t>⻩酒;⽶酒;果酒（含酒精）;⽩酒;利⼝酒;葡萄酒;烈酒（饮料）;清酒（⽇本⽶酒）;甜酒;烧酒</t>
  </si>
  <si>
    <t>酌彩</t>
  </si>
  <si>
    <t>范现立</t>
  </si>
  <si>
    <t>烧酒（烈酒）;⽩⼲酒（中国⽩酒）;⽼酒（中国蒸馏烈酒）;⾼粱酒;含酒精的饮料（啤酒除外）;已调味的蒸馏酒;由⾕物蒸馏的⽩酒;酒精饮料（啤酒除外）;果酒;⽩酒</t>
  </si>
  <si>
    <t>九暹 XIAN</t>
  </si>
  <si>
    <t>贵州九暹酒业有限公司</t>
  </si>
  <si>
    <t>苹果酒;葡萄酒;⽩酒;果酒（含酒精）;⽶酒;亚⼒酒;清酒（⽇本⽶酒）;酒精饮料（啤酒除外）;⻩酒;烈酒（饮料）</t>
  </si>
  <si>
    <t>灵岩飞仙</t>
  </si>
  <si>
    <t>陕西醉翻天酒业有限公司</t>
  </si>
  <si>
    <t>鸡尾酒;烈酒（饮料）;葡萄酒;⽩酒;⻩酒;蜂蜜酒;⽶酒;果酒;⾷⽤酒精;开胃酒</t>
  </si>
  <si>
    <t>普航印象</t>
  </si>
  <si>
    <t>孙衍航</t>
  </si>
  <si>
    <t>⽶酒;烧酒;⻘稞酒;⽩酒;由⾕物蒸馏的⽩酒;葡萄酒;蜂蜜酒;⾼粱酒;果酒;⽼酒（中国蒸馏烈酒）</t>
  </si>
  <si>
    <t>团坝源</t>
  </si>
  <si>
    <t>李平上</t>
  </si>
  <si>
    <t>云涞坊</t>
  </si>
  <si>
    <t>上海云来茶业有限公司</t>
  </si>
  <si>
    <t>⽼酒（中国蒸馏烈酒）;葡萄酒;果酒;⽩⼲酒（中国⽩酒）;鸡尾酒;⻩酒;⽩酒;烈酒;含酒精的充⽓饮料（啤酒除外）;⽶酒</t>
  </si>
  <si>
    <t>古儒</t>
  </si>
  <si>
    <t>戴楠欣</t>
  </si>
  <si>
    <t>酸酒（低等葡萄酒）;鸡尾酒;酒精饮料浓缩汁;葡萄酒;⽩酒;清酒（⽇本⽶酒）;酒精饮料（啤酒除外）;⻩酒;柑⾹酒;⽶酒</t>
  </si>
  <si>
    <t>豪博士</t>
  </si>
  <si>
    <t>李志豪</t>
  </si>
  <si>
    <t>除啤酒外的酒精饮料;由⾕物蒸馏的⽩酒;梅酒;蒸馏⽶酒（泡盛酒）;果酒;⽩酒;以葡萄酒为主的开胃酒;清酒;⻩酒;蒸煮提取物（利⼝酒和烈酒）</t>
  </si>
  <si>
    <t>喜九多力</t>
  </si>
  <si>
    <t>常嵚鹏</t>
  </si>
  <si>
    <t>⽩酒;葡萄酒;樱桃酒;⽩兰地;烧酒;⻩酒;开胃酒;鸡尾酒;梨酒;⽶酒</t>
  </si>
  <si>
    <t>桅</t>
  </si>
  <si>
    <t>鸡尾酒;清酒（⽇本⽶酒）;⽩酒;开胃酒;葡萄酒;利⼝酒;朗姆酒;烧酒;酒精饮料（啤酒除外）;果酒</t>
  </si>
  <si>
    <t>EL MERENDERO</t>
  </si>
  <si>
    <t>圣卢西亚食品有限公司</t>
  </si>
  <si>
    <t>烈酒浓缩汁;餐后酒（利⼝酒和烈酒）;酒精饮料浓缩汁;已调味的蒸馏酒;⾕物制蒸馏酒精饮料;烈酒;以蒸馏酒为主的开胃酒;烈性⼲酒;由⾕物蒸馏的⽩酒;蒸煮提取物（利⼝酒和烈酒）</t>
  </si>
  <si>
    <t>佳倍爱 酒</t>
  </si>
  <si>
    <t>贵州国缘程贸易有限公司</t>
  </si>
  <si>
    <t>果酒;葡萄酒;烧酒;蒸馏饮料;苹果酒;含⽔果酒精饮料;⽶酒;⾕物制蒸馏酒精饮料;⽩酒;蜂蜜酒</t>
  </si>
  <si>
    <t>龙元妙酒</t>
  </si>
  <si>
    <t>醉一斗酒业集团有限公司</t>
  </si>
  <si>
    <t>露酒;⽶酒;⻩酒;鸡尾酒;⽩兰地;苹果酒;伏特加酒;葡萄酒;⽩酒;开胃酒</t>
  </si>
  <si>
    <t>蒙顶本草</t>
  </si>
  <si>
    <t>四川蒙顶酒业有限公司</t>
  </si>
  <si>
    <t>鸡尾酒;果酒;葡萄酒;烈酒;⻩酒;利⼝酒;朗姆酒;清酒;⽶酒;⽩酒</t>
  </si>
  <si>
    <t>长穗村</t>
  </si>
  <si>
    <t>⻩酒;开胃酒;清酒（⽇本⽶酒）;鸡尾酒;酒精饮料（啤酒除外）;烈酒;葡萄酒;⽩酒;威⼠忌;果酒（含酒精）</t>
  </si>
  <si>
    <t>农佳鲜</t>
  </si>
  <si>
    <t>河池市源元种养专业合作社</t>
  </si>
  <si>
    <t>⽩酒;鸡尾酒;威⼠忌;⽶酒;果酒;⽼酒（中国蒸馏烈酒）;葡萄酒;烧酒;⾼粱酒;⻩酒</t>
  </si>
  <si>
    <t>帝都龙腾</t>
  </si>
  <si>
    <t>⾼粱酒;⽩酒;樱桃酒;蒸馏饮料;酒精饮料（啤酒除外）;果酒（含酒精）;威⼠忌;梅酒;烈酒（饮料）;⽩⼲酒（中国⽩酒）</t>
  </si>
  <si>
    <t>黔福进</t>
  </si>
  <si>
    <t>湄潭县静静婚纱摄影服务有限公司</t>
  </si>
  <si>
    <t>⻩酒;⽶酒;⾕物制蒸馏酒精饮料;⽩酒;威⼠忌;酒精饮料（啤酒除外）;葡萄酒;蜂蜜酒;⾷⽤酒精;⽩兰地</t>
  </si>
  <si>
    <t>MR.DIL.OO</t>
  </si>
  <si>
    <t>浙江疆心疆选文化传媒有限公司</t>
  </si>
  <si>
    <t>葡萄酒;⻩酒;⽩兰地;果酒;朗姆酒（酒精饮料）;鸡尾酒;⽼酒（中国蒸馏烈酒）;酒精饮料（啤酒除外）;⽩酒;烈酒</t>
  </si>
  <si>
    <t>豫龙仙</t>
  </si>
  <si>
    <t>杭州潇亿食品贸易有限公司</t>
  </si>
  <si>
    <t>果酒（含酒精）;利⼝酒;威⼠忌;⻩酒;葡萄酒;开胃酒;⽩酒;⽶酒;烧酒;⾷⽤酒精</t>
  </si>
  <si>
    <t>知艾</t>
  </si>
  <si>
    <t>葡萄酒;⽶酒;⽩酒;威⼠忌;清酒;⾷⽤酒精;烈酒（饮料）;果酒（含酒精）;酒精饮料（啤酒除外）;⻩酒</t>
  </si>
  <si>
    <t>煮氿人</t>
  </si>
  <si>
    <t>含⽔果酒精饮料;烧酒;⾷⽤酒精;威⼠忌;⻩酒;烈酒（饮料）;⽩酒;⽶酒;⻘稞酒;果酒（含酒精）</t>
  </si>
  <si>
    <t>衍浩</t>
  </si>
  <si>
    <t>海南衍浩商业管理有限责任公司</t>
  </si>
  <si>
    <t>⽩兰地;果酒（含酒精）;朗姆酒;⻩酒;伏特加酒;⾷⽤酒精;葡萄酒;烈酒（饮料）;威⼠忌;⽩酒</t>
  </si>
  <si>
    <t>栎海</t>
  </si>
  <si>
    <t>山海印象（重庆）文化旅游发展有限公司</t>
  </si>
  <si>
    <t>薄荷酒;苦荞酒;苹果酒;葡萄酒;阿蒙蒂拉多⽩葡萄酒;蒸馏饮料;⽶酒;⽩葡萄酒;含酒精的⽔果鸡尾酒饮料;佐餐酒</t>
  </si>
  <si>
    <t>阿帕尔酒庄</t>
  </si>
  <si>
    <t>广东君越科技有限公司</t>
  </si>
  <si>
    <t>葡萄酒;利⼝酒;清酒（⽇本⽶酒）;⽶酒;⻩酒;烧酒;果酒（含酒精）;苹果酒;鸡尾酒;⽩酒</t>
  </si>
  <si>
    <t>醉缘咏</t>
  </si>
  <si>
    <t>⽩酒;鸡尾酒;果酒;葡萄酒;利⼝酒;酒精饮料（啤酒除外）;烧酒;清酒（⽇本⽶酒）;朗姆酒;开胃酒</t>
  </si>
  <si>
    <t>遇见山上红</t>
  </si>
  <si>
    <t>纪小琴</t>
  </si>
  <si>
    <t>葡萄酒;⻩酒;烧酒;苦味酒;果酒（含酒精）;苹果酒;蜂蜜酒;樱桃酒;⽩酒;⽶酒</t>
  </si>
  <si>
    <t>仁义天下</t>
  </si>
  <si>
    <t>贵州仁义天下文化传媒有限公司</t>
  </si>
  <si>
    <t>烧酒;梅酒;⽼酒（中国蒸馏烈酒）;开胃酒;果酒;烧酒（烈酒）;葡萄酒;⽶酒;⽩酒;⻩酒</t>
  </si>
  <si>
    <t>小顽皮</t>
  </si>
  <si>
    <t>王刚</t>
  </si>
  <si>
    <t>甜酒;葡萄酒;果酒;汽酒;⽩酒;⾷⽤酒精;⻩酒;⽶酒;开胃酒;清酒</t>
  </si>
  <si>
    <t>旗仙女</t>
  </si>
  <si>
    <t>绵阳巾帼梦文化传播有限公司</t>
  </si>
  <si>
    <t>⽩兰地;⻘稞酒;露酒;⽩酒;梨酒;酒精饮料原汁;葡萄酒;果酒（含酒精）;⻩酒;⽶酒</t>
  </si>
  <si>
    <t>方街本草</t>
  </si>
  <si>
    <t>徐广流440121********1212</t>
  </si>
  <si>
    <t>⽩酒;薄荷酒;烈酒（饮料）;⽶酒;蜂蜜酒;开胃酒;酒精饮料（啤酒除外）;果酒（含酒精）;葡萄酒;烧酒</t>
  </si>
  <si>
    <t>探酌白</t>
  </si>
  <si>
    <t>上海初渼科技有限公司</t>
  </si>
  <si>
    <t>⽶酒;葡萄酒;果酒（含酒精）;鸡尾酒;烈酒（饮料）;⻩酒;清酒（⽇本⽶酒）;酒精饮料（啤酒除外）;⽩酒;烧酒</t>
  </si>
  <si>
    <t>神农旭</t>
  </si>
  <si>
    <t>焦作鑫相汇商贸有限公司</t>
  </si>
  <si>
    <t>烧酒;葡萄酒;烈酒（饮料）;汽酒;⽶酒;酒精饮料（啤酒除外）;⻩酒;果酒（含酒精）;⽩酒;鸡尾酒</t>
  </si>
  <si>
    <t>巴脑</t>
  </si>
  <si>
    <t>雪凤泉酒业有限公司</t>
  </si>
  <si>
    <t>⽩酒;葡萄酒;酒精饮料（啤酒除外）;开胃酒;⻩酒;含⽔果酒精饮料;⽶酒;⽩兰地;⻘稞酒;烈酒（饮料）</t>
  </si>
  <si>
    <t>御仓</t>
  </si>
  <si>
    <t>果酒;酒精饮料（啤酒除外）;鸡尾酒;开胃酒;利⼝酒;葡萄酒;清酒（⽇本⽶酒）;朗姆酒;烧酒;⽩酒</t>
  </si>
  <si>
    <t>FLYNEW</t>
  </si>
  <si>
    <t>广东海赫生物医药科技有限公司</t>
  </si>
  <si>
    <t>酒精饮料（啤酒除外）;含⽔果酒精饮料;果酒（含酒精）;薄荷酒;⻩酒;开胃酒;蒸馏饮料;葡萄酒;威⼠忌;⽩酒</t>
  </si>
  <si>
    <t>茹之源</t>
  </si>
  <si>
    <t>陈春红</t>
  </si>
  <si>
    <t>烧酒（烈酒）;⾼粱酒;⽩酒;预先混合的酒精饮料（以啤酒为主的除外）;⽩⼲酒（中国⽩酒）;⽼酒（中国蒸馏烈酒）;烧酒;⻩酒;由⾕物蒸馏的⽩酒;烈性⼲酒</t>
  </si>
  <si>
    <t>豪酒元亨</t>
  </si>
  <si>
    <t>黄酒;以葡萄酒为主的开胃酒;蒸馏米酒（泡盛酒）;白酒;清酒;除啤酒外的酒精饮料;由谷物蒸馏的白酒;梅酒;果酒;蒸煮提取物（利口酒和烈酒）</t>
  </si>
  <si>
    <t>IIIBOOM</t>
  </si>
  <si>
    <t>四川荣达鑫盛企业管理有限公司</t>
  </si>
  <si>
    <t>葡萄酒;鸡尾酒;酒精饮料（啤酒除外）;伏特加酒;混合威⼠忌酒;清酒（⽇本⽶酒）;朗姆酒;烈酒（饮料）;含酒精的鸡尾酒混合饮品;露酒</t>
  </si>
  <si>
    <t>OVCE</t>
  </si>
  <si>
    <t>谭春雷</t>
  </si>
  <si>
    <t>⽩酒;⻩酒;葡萄酒;烈酒（饮料）;⽼酒（中国蒸馏烈酒）;开胃酒;鸡尾酒;烧酒;⽶酒;⽩⼲酒（中国⽩酒）</t>
  </si>
  <si>
    <t>柒宇鑫时代</t>
  </si>
  <si>
    <t>湖南大旺家贸易有限公司</t>
  </si>
  <si>
    <t>葡萄酒;⾕物制蒸馏酒精饮料;以葡萄酒为主的饮料;果酒（含酒精）;酒精饮料（啤酒除外）;含⽔果酒精饮料;⾷⽤酒精;⽶酒;鸡尾酒;⽩酒</t>
  </si>
  <si>
    <t>道山秘镜</t>
  </si>
  <si>
    <t>十堰天香黄酒有限公司</t>
  </si>
  <si>
    <t>烈酒（饮料）;酒精饮料（啤酒除外）;⽩酒;清酒;⻩酒;果酒（含酒精）;烧酒;⾷⽤酒精;汽酒;⽶酒</t>
  </si>
  <si>
    <t>陕要</t>
  </si>
  <si>
    <t>杨根生</t>
  </si>
  <si>
    <t>酒精饮料（啤酒除外）;开胃酒;⽶酒;含⽔果酒精饮料;⽩酒;鸡尾酒;葡萄酒;烈酒（饮料）;⻩酒;烧酒</t>
  </si>
  <si>
    <t>绍仙琥</t>
  </si>
  <si>
    <t>绍兴柯桥子望酒业商行（个体工商户）</t>
  </si>
  <si>
    <t>杨梅酒;⽩酒;清酒;⽶酒;⽼酒（中国蒸馏烈酒）;⻩酒;烧酒;酒精饮料（啤酒除外）;威⼠忌;果酒</t>
  </si>
  <si>
    <t>酣至樽</t>
  </si>
  <si>
    <t>葡萄酒;⽩酒;清酒（⽇本⽶酒）;含⽔果酒精饮料;烧酒;鸡尾酒;果酒（含酒精）;⻩酒;威⼠忌;烈酒（饮料）</t>
  </si>
  <si>
    <t>德伯特</t>
  </si>
  <si>
    <t>烟台衡冠食品有限公司</t>
  </si>
  <si>
    <t>烈酒（饮料）;酒精饮料（啤酒除外）;葡萄酒;汽酒;⻩酒;利⼝酒;果酒（含酒精）;⽩兰地;开胃酒;威⼠忌</t>
  </si>
  <si>
    <t>酌序</t>
  </si>
  <si>
    <t>果酒;已调味的蒸馏酒;含酒精的饮料（啤酒除外）;由⾕物蒸馏的⽩酒;⾼粱酒;⽩酒;烧酒（烈酒）;酒精饮料（啤酒除外）;⽼酒（中国蒸馏烈酒）;⽩⼲酒（中国⽩酒）</t>
  </si>
  <si>
    <t>粤舞</t>
  </si>
  <si>
    <t>杨勇</t>
  </si>
  <si>
    <t>除啤酒外的酒精饮料;已调味的蒸馏酒;开胃酒;鸡尾酒;酒精饮料（啤酒除外）;汽酒;含酒精的充⽓饮料（啤酒除外）;⽩酒;葡萄酒;果酒（含酒精）</t>
  </si>
  <si>
    <t>金贡父</t>
  </si>
  <si>
    <t>利⼝酒;酒精饮料（啤酒除外）;清酒（⽇本⽶酒）;烧酒;鸡尾酒;开胃酒;⽩酒;葡萄酒;朗姆酒;果酒</t>
  </si>
  <si>
    <t>悍胜</t>
  </si>
  <si>
    <t>范卫华</t>
  </si>
  <si>
    <t>⽩酒;利⼝酒;⻩酒;鸡尾酒;酒精饮料浓缩汁;樱桃酒;烧酒;伏特加酒;薄荷酒;开胃酒</t>
  </si>
  <si>
    <t>蓝色势能</t>
  </si>
  <si>
    <t>四川欣智造科技有限公司</t>
  </si>
  <si>
    <t>⽩酒;蜂蜜酒;烧酒;葡萄酒;朗姆酒;鸡尾酒;含⽔果酒精饮料;⽶酒;苹果酒;薄荷酒</t>
  </si>
  <si>
    <t>水月酒</t>
  </si>
  <si>
    <t>贵州恒坤酒业有限公司</t>
  </si>
  <si>
    <t>⽩酒;⽼酒（中国蒸馏烈酒）;烧酒;鸡尾酒;威⼠忌;⽶酒;酒精饮料（啤酒除外）;烈酒;⾼粱酒;葡萄酒</t>
  </si>
  <si>
    <t>大汗贵族</t>
  </si>
  <si>
    <t>鸡尾酒;⽩酒;果酒（含酒精）;清酒（⽇本⽶酒）;葡萄酒;梅酒;开胃酒;烈酒;蒸馏饮料;⻩酒</t>
  </si>
  <si>
    <t>乐智嘉</t>
  </si>
  <si>
    <t>西安乐智嘉机电科技有限公司</t>
  </si>
  <si>
    <t>葡萄酒;樱桃酒;果酒（含酒精）;⽶酒;⽩酒;甜酒;蜂蜜酒;果酒;⻩酒;苹果酒</t>
  </si>
  <si>
    <t>星靇饮</t>
  </si>
  <si>
    <t>山东华奕生命科学有限公司</t>
  </si>
  <si>
    <t>黄酒;以葡萄酒为主的饮料;米酒;开胃酒;葡萄酒;含水果酒精饮料;白酒</t>
  </si>
  <si>
    <t>华滨巴洛克</t>
  </si>
  <si>
    <t>宣宁</t>
  </si>
  <si>
    <t>鸡尾酒;⽩酒;⽔果汽酒;⽶酒;朗姆酒;⽩兰地;红葡萄酒;威⼠忌;含⽔果酒精饮料;葡萄酒</t>
  </si>
  <si>
    <t>胤糸阁</t>
  </si>
  <si>
    <t>琉璃工坊（重庆）工艺品有限公司</t>
  </si>
  <si>
    <t>⽩酒;⽢蔗制酒精饮料;酒精饮料（啤酒除外）;果酒（含酒精）;蜂蜜酒;汽酒;⻘稞酒;⻩酒;⾷⽤酒精;烧酒</t>
  </si>
  <si>
    <t>琥上</t>
  </si>
  <si>
    <t>浙江古越龙山绍兴酒股份有限公司</t>
  </si>
  <si>
    <t>⽩酒;汽酒;⻩酒;果酒;蒸煮提取物（利⼝酒和烈酒）;烧酒;⽶酒;葡萄酒;含酒精的饮料（啤酒除外）;⽩兰地</t>
  </si>
  <si>
    <t>邓巴</t>
  </si>
  <si>
    <t>湖南湘宗酒业有限公司</t>
  </si>
  <si>
    <t>⽩兰地;烧酒;鸡尾酒;开胃酒;⽶酒;⽩酒;⻩酒;葡萄酒;威⼠忌;酒精饮料（啤酒除外）</t>
  </si>
  <si>
    <t>浪板瞪</t>
  </si>
  <si>
    <t>元阳县酿佣酒厂</t>
  </si>
  <si>
    <t>含⽔果酒精饮料;苹果酒;酒精饮料（啤酒除外）;鸡尾酒;⽩酒;葡萄酒;⽶酒;亚⼒酒;蒸馏饮料;果酒</t>
  </si>
  <si>
    <t>京来令</t>
  </si>
  <si>
    <t>葡萄酒;含⽔果酒精饮料;鸡尾酒;⻩酒;烈酒（饮料）;清酒（⽇本⽶酒）;⽩酒;威⼠忌;烧酒;果酒（含酒精）</t>
  </si>
  <si>
    <t>HELEAKA 赫兰卡</t>
  </si>
  <si>
    <t>孙淑丽</t>
  </si>
  <si>
    <t>酒精饮料（啤酒除外）;威⼠忌;果酒（含酒精）;葡萄酒;伏特加酒;⽩酒;含⽔果酒精饮料;鸡尾酒;清酒（⽇本⽶酒）;朗姆酒</t>
  </si>
  <si>
    <t>状元灯</t>
  </si>
  <si>
    <t>鲤城区中润伟业食品商行</t>
  </si>
  <si>
    <t>清酒（⽇本⽶酒）;果酒（含酒精）;葡萄酒;威⼠忌;⽩兰地;汽酒;⻩酒;⽩酒;伏特加酒;烧酒</t>
  </si>
  <si>
    <t>九洲赋酿艺人</t>
  </si>
  <si>
    <t>四川省醉美天下贸易有限公司</t>
  </si>
  <si>
    <t>除啤酒外的酒精饮料;含酒精的饮料（啤酒除外）;以蒸馏酒为主的开胃酒;⽩⼲酒（中国⽩酒）;⾼粱酒;烈酒;⽼酒（中国蒸馏烈酒）;由⾕物蒸馏的⽩酒</t>
  </si>
  <si>
    <t>东方墨兰</t>
  </si>
  <si>
    <t>海南东芳墨兰餐饮管理有限公司</t>
  </si>
  <si>
    <t>烧酒;果酒（含酒精）;⽶酒;威⼠忌;酒精饮料（啤酒除外）;鸡尾酒;葡萄酒;蒸馏饮料;烈酒（饮料）;⽩酒</t>
  </si>
  <si>
    <t>房陵秘境</t>
  </si>
  <si>
    <t>⻩酒;烧酒;⾷⽤酒精;烈酒（饮料）;⽩酒;汽酒;果酒（含酒精）;清酒;⽶酒;酒精饮料（啤酒除外）</t>
  </si>
  <si>
    <t>思邈瑞品</t>
  </si>
  <si>
    <t>烧酒;鸡尾酒;葡萄酒;清酒（⽇本⽶酒）;烈酒（饮料）;⻩酒;⽩酒;⽶酒;果酒（含酒精）;酒精饮料（啤酒除外）</t>
  </si>
  <si>
    <t>海南椰乡泉酒业有限公司</t>
  </si>
  <si>
    <t>果酒（含酒精）;清酒（⽇本⽶酒）;威⼠忌;烧酒;⻘稞酒;烈酒（饮料）;⽶酒;葡萄酒;开胃酒;⽩酒</t>
  </si>
  <si>
    <t>周德付</t>
  </si>
  <si>
    <t>葡萄酒;⽩兰地;烧酒;⻩酒;伏特加酒;苹果酒;⽶酒;⽩酒;开胃酒;果酒（含酒精）</t>
  </si>
  <si>
    <t>繁穰</t>
  </si>
  <si>
    <t>山西汇硕食用菌科技开发有限公司</t>
  </si>
  <si>
    <t>鸡尾酒;⾼粱酒;烈酒;⻩酒;⽼酒（中国蒸馏烈酒）;⽩酒;由⾕物蒸馏的⽩酒;开胃酒;果酒;葡萄酒</t>
  </si>
  <si>
    <t>湘蛋蛋小农场</t>
  </si>
  <si>
    <t>李艺佳</t>
  </si>
  <si>
    <t>酒精饮料（啤酒除外）;含⽔果酒精饮料;⻘稞酒;果酒（含酒精）;蒸馏饮料;葡萄酒;⽶酒;⾷⽤酒精</t>
  </si>
  <si>
    <t>宝洞道</t>
  </si>
  <si>
    <t>贵州宝洞酒业有限公司</t>
  </si>
  <si>
    <t>⽶酒;⾼粱酒;⻩酒;⽩酒;⽼酒（中国蒸馏烈酒）;⽩⼲酒（中国⽩酒）;果酒;烧酒;酒精饮料（啤酒除外）;蒸煮提取物（利⼝酒和烈酒）</t>
  </si>
  <si>
    <t>省蔺</t>
  </si>
  <si>
    <t>杨会强</t>
  </si>
  <si>
    <t>果酒（含酒精）;开胃酒;⻩酒;⽩酒;烈酒（饮料）;利⼝酒;以葡萄酒为主的饮料;烧酒;鸡尾酒;酒精饮料（啤酒除外）</t>
  </si>
  <si>
    <t>窖相思</t>
  </si>
  <si>
    <t>威⼠忌;鸡尾酒;⻩酒;开胃酒;酒精饮料（啤酒除外）;⽩酒;烈酒（饮料）;果酒（含酒精）;清酒（⽇本⽶酒）;葡萄酒</t>
  </si>
  <si>
    <t>西装爆厨</t>
  </si>
  <si>
    <t>段大华</t>
  </si>
  <si>
    <t>⽶酒;果酒（含酒精）;葡萄酒;酒精饮料（啤酒除外）;⽩兰地;⾼粱酒;甜酒;鸡尾酒;烈酒（饮料）;⽩酒</t>
  </si>
  <si>
    <t>2024/05/21</t>
  </si>
  <si>
    <t>静运</t>
  </si>
  <si>
    <t>湖南汨秘酒业有限公司</t>
  </si>
  <si>
    <t>果酒（含酒精）;烧酒;⽶酒;⽩兰地;蜂蜜酒;⽩酒;烈酒（饮料）;清酒（⽇本⽶酒）;鸡尾酒;葡萄酒</t>
  </si>
  <si>
    <t>桂雪</t>
  </si>
  <si>
    <t>佛山市光英冷链设备有限公司</t>
  </si>
  <si>
    <t>⽶酒;由⾕物蒸馏的⽩酒;蜂蜜酒;⽼酒（中国蒸馏烈酒）;⽢蔗汁酿朗姆酒;果酒（含酒精）;烧酒;甜酒;⾼粱酒;⻩酒</t>
  </si>
  <si>
    <t>窦小二</t>
  </si>
  <si>
    <t>贵州酒聚点酒业有限公司</t>
  </si>
  <si>
    <t>鸡尾酒;⽶酒;果酒;烧酒;烈酒;⾼粱酒;⽩酒;甜酒;清酒;⻩酒</t>
  </si>
  <si>
    <t>琉璃瑶</t>
  </si>
  <si>
    <t>北京便利酿造信息技术咨询服务有限公司</t>
  </si>
  <si>
    <t>酒精饮料（啤酒除外）;⽔果汽酒;含⽔果酒精饮料;⽩酒;葡萄酒;威⼠忌;⽼酒（中国蒸馏烈酒）;果酒（含酒精）;鸡尾酒;果酒</t>
  </si>
  <si>
    <t>汉陌烧坊</t>
  </si>
  <si>
    <t>酒精饮料（啤酒除外）;⻩酒;烧酒;⽶酒;果酒;烧酒（烈酒）;⾕物制蒸馏酒精饮料;烈酒;⽩酒;⾷⽤酒精</t>
  </si>
  <si>
    <t>帝富龙</t>
  </si>
  <si>
    <t>王健国</t>
  </si>
  <si>
    <t>⽼酒（中国蒸馏烈酒）;⾼粱酒;⽩酒;⽶酒;葡萄酒;烧酒;⽩⼲酒（中国⽩酒）;烧酒（烈酒）;烈酒;⻩酒</t>
  </si>
  <si>
    <t>万物契约</t>
  </si>
  <si>
    <t>上海暖叠网络科技有限公司</t>
  </si>
  <si>
    <t>鸡尾酒;葡萄酒;利⼝酒;⽩兰地;烧酒;开胃酒;果酒（含酒精）;⽶酒;⾷⽤酒精;⻩酒</t>
  </si>
  <si>
    <t>嘎拉氿</t>
  </si>
  <si>
    <t>内蒙古嘎啦仓储有限责任公司</t>
  </si>
  <si>
    <t>⻩酒;酒精饮料（啤酒除外）;⽩酒;烧酒;⾕物制蒸馏酒精饮料;⽶酒;⾷⽤酒精;汽酒;葡萄酒;果酒（含酒精）</t>
  </si>
  <si>
    <t>藏郎贡布方</t>
  </si>
  <si>
    <t>江西正和大健康产业有限公司</t>
  </si>
  <si>
    <t>梅酒;开胃酒;蒸馏饮料;⾷⽤酒精;甜酒;酒精饮料（啤酒除外）;⽶酒;⻩酒;蒸煮提取物（利⼝酒和烈酒）;⽩酒</t>
  </si>
  <si>
    <t>浩三石</t>
  </si>
  <si>
    <t>深邃（天津）科技有限公司</t>
  </si>
  <si>
    <t>梨酒;鸡尾酒;开胃酒;烈酒（饮料）;果酒（含酒精）;⽩酒;⾼粱酒;⻩酒;烧酒;⽶酒</t>
  </si>
  <si>
    <t>小闲即欢</t>
  </si>
  <si>
    <t>张文涛</t>
  </si>
  <si>
    <t>果酒（含酒精）;烈酒（饮料）;葡萄酒;威⼠忌;⽩酒;⽶酒;烧酒;酒精饮料（啤酒除外）;⾼粱酒;鸡尾酒</t>
  </si>
  <si>
    <t>东方家书</t>
  </si>
  <si>
    <t>聂金珠</t>
  </si>
  <si>
    <t>⽼酒（中国蒸馏烈酒）;⻩酒;果酒（含酒精）;⻘稞酒;葡萄酒;⽶酒;烧酒;⽩酒;清酒（⽇本⽶酒）;清酒</t>
  </si>
  <si>
    <t>唐宋诗圣</t>
  </si>
  <si>
    <t>⻘稞酒;⽶酒;⽼酒（中国蒸馏烈酒）;⽩酒;葡萄酒;烧酒;清酒（⽇本⽶酒）;⻩酒;果酒（含酒精）;清酒</t>
  </si>
  <si>
    <t>义勇小曹</t>
  </si>
  <si>
    <t>花投经数字科技（上海）有限公司</t>
  </si>
  <si>
    <t>果酒（含酒精）;⻩酒;⽶酒;已调味的⻨芽酿制的酒精饮料（啤酒除外）;蜂蜜酒;葡萄酒;鸡尾酒;⽩酒;薄荷酒;预先混合的酒精饮料（以啤酒为主的除外）</t>
  </si>
  <si>
    <t>邵氏虎头醇</t>
  </si>
  <si>
    <t>邵晓宝</t>
  </si>
  <si>
    <t>蜂蜜酒;⽶酒;烧酒;⽩酒;⽩⼲酒（中国⽩酒）;⽼酒（中国蒸馏烈酒）;⾼粱酒;果酒;⻩酒;葡萄酒</t>
  </si>
  <si>
    <t>小即</t>
  </si>
  <si>
    <t>肖德健</t>
  </si>
  <si>
    <t>茴芹酒（利⼝酒）;茴⾹酒（利⼝酒）;开胃酒;蒸馏饮料;薄荷酒;苹果酒;果酒（含酒精）;苦味酒;鸡尾酒;亚⼒酒</t>
  </si>
  <si>
    <t>睿龙琳</t>
  </si>
  <si>
    <t>佛山市壹心网络科技有限公司</t>
  </si>
  <si>
    <t>含⽔果酒精饮料;烧酒（烈酒）;⽶酒;⾷⽤酒精;酒精饮料原汁;蒸馏饮料;烈酒（饮料）;烧酒;蒸煮提取物（利⼝酒和烈酒）;果酒（含酒精）</t>
  </si>
  <si>
    <t>祥瑞清花</t>
  </si>
  <si>
    <t>⽼酒（中国蒸馏烈酒）;⾼粱酒;酒精饮料（啤酒除外）;汽酒;烈酒;⽩酒;果酒;开胃酒;由⾕物蒸馏的⽩酒;葡萄酒</t>
  </si>
  <si>
    <t>祺聚泥巴院</t>
  </si>
  <si>
    <t>河南祺聚传媒科技有限公司</t>
  </si>
  <si>
    <t>果酒（含酒精）;烈酒（饮料）;⾷⽤酒精;葡萄酒;⻩酒;烧酒;酒精饮料原汁;酒精饮料（啤酒除外）;⾕物制蒸馏酒精饮料;餐后酒（利⼝酒和烈酒）</t>
  </si>
  <si>
    <t>瑞熙恩</t>
  </si>
  <si>
    <t>云南三迤非物质文化遗产开发有限公司</t>
  </si>
  <si>
    <t>⾼粱酒;酒精饮料（啤酒除外）;由⾕物蒸馏的⽩酒;⽩酒;杨梅酒;果酒（含酒精）;已调味的蒸馏酒;清酒;⽼酒（中国蒸馏烈酒）;烧酒</t>
  </si>
  <si>
    <t>鑫后羿</t>
  </si>
  <si>
    <t>胡卡成</t>
  </si>
  <si>
    <t>烈酒（饮料）;⽶酒;烧酒;⽩酒;鸡尾酒;葡萄酒;酒精饮料（啤酒除外）;汽酒;⻩酒;开胃酒</t>
  </si>
  <si>
    <t>花田萃</t>
  </si>
  <si>
    <t>云南花田萃品牌管理有限公司</t>
  </si>
  <si>
    <t>蒸馏饮料;⽩酒;果酒（含酒精）;含⽔果酒精饮料;⽔果汽酒;烈酒（饮料）;果酒;含酒精⽔果饮料;甜酒;以葡萄酒为主的饮料</t>
  </si>
  <si>
    <t>阿莫蒂</t>
  </si>
  <si>
    <t>孙凯</t>
  </si>
  <si>
    <t>红葡萄酒;威⼠忌;酒精饮料（啤酒除外）;⽶酒;⽩酒;果酒（含酒精）;鸡尾酒;烧酒;⻩酒;葡萄酒</t>
  </si>
  <si>
    <t>陕西安康福天原酒业有限公司</t>
  </si>
  <si>
    <t>⽩酒;烧酒;甜酒;⻩酒;烈酒;⾼粱酒;果酒;苦荞酒;由⾕物蒸馏的⽩酒;⽶酒</t>
  </si>
  <si>
    <t>粱河酒天</t>
  </si>
  <si>
    <t>贵州江湖仁酒业有限公司</t>
  </si>
  <si>
    <t>利⼝酒;⾼粱酒;烧酒;⽶酒;⽩酒;果酒（含酒精）;杨梅酒;⻘稞酒;⽩⼲酒（中国⽩酒）;蜂蜜酒</t>
  </si>
  <si>
    <t>古渡拾里</t>
  </si>
  <si>
    <t>衢州市山海投资有限公司</t>
  </si>
  <si>
    <t>⽩酒;⾷⽤酒精;烈酒（饮料）;果酒（含酒精）;酸酒（低等葡萄酒）;烧酒;⻩酒;⽶酒;开胃酒;葡萄酒</t>
  </si>
  <si>
    <t>士井</t>
  </si>
  <si>
    <t>葡萄酒;酒精饮料（啤酒除外）;开胃酒;鸡尾酒;烈酒;⽩酒;⻩酒;果酒（含酒精）;威⼠忌;清酒（⽇本⽶酒）</t>
  </si>
  <si>
    <t>光合彩虹</t>
  </si>
  <si>
    <t>⾷⽤酒精;开胃酒;清酒;⽩酒;果酒;汽酒;甜酒;⽶酒;葡萄酒;⻩酒</t>
  </si>
  <si>
    <t>安塔拉之歌</t>
  </si>
  <si>
    <t>⽩兰地;果酒（含酒精）;开胃酒;葡萄酒;⾷⽤酒精;⻩酒;鸡尾酒;利⼝酒;⽶酒;烧酒</t>
  </si>
  <si>
    <t>硬刻</t>
  </si>
  <si>
    <t>王芝超</t>
  </si>
  <si>
    <t>葡萄酒;蒸煮提取物（利⼝酒和烈酒）;⽶酒;含酒精的饮料（啤酒除外）;⾼粱酒;鸡尾酒;烈酒（饮料）;⻩酒;⽩酒;果酒（含酒精）</t>
  </si>
  <si>
    <t>元大昌</t>
  </si>
  <si>
    <t>苏州元大昌酒业有限公司</t>
  </si>
  <si>
    <t>⻩酒;烧酒;葡萄酒;酒精饮料（啤酒除外）;果酒;⽶酒;⽩酒;烈酒（饮料）;预先混合的酒精饮料（以啤酒为主的除外）;含⽔果酒精饮料</t>
  </si>
  <si>
    <t>晋玲珑</t>
  </si>
  <si>
    <t>廖玉山</t>
  </si>
  <si>
    <t>⽶酒;⽩酒;酒精饮料（啤酒除外）;汽酒;⾼粱酒;烧酒;⻩酒;⾷⽤酒精;葡萄酒;果酒</t>
  </si>
  <si>
    <t>幸福汉匠</t>
  </si>
  <si>
    <t>⽩酒;⽶酒;烧酒;葡萄酒;果酒（含酒精）;⽼酒（中国蒸馏烈酒）;⻘稞酒;清酒;清酒（⽇本⽶酒）;⻩酒</t>
  </si>
  <si>
    <t>衡昌宝藏</t>
  </si>
  <si>
    <t>开胃酒;蒸煮提取物（利⼝酒和烈酒）;由⾕物蒸馏的⽩酒;⻘稞酒;⽩⼲酒（中国⽩酒）;⾼粱酒;五加⽪酒（中国混合烈酒）;⻩酒;⽩酒;烧酒</t>
  </si>
  <si>
    <t>乾宝珍</t>
  </si>
  <si>
    <t>宿迁元体电子商务有限公司</t>
  </si>
  <si>
    <t>蜂蜜酒;烈酒（饮料）;酒精饮料浓缩汁;果酒（含酒精）;蒸煮提取物（利⼝酒和烈酒）;葡萄酒;杜松⼦酒;⻩酒;清酒;⻘稞酒</t>
  </si>
  <si>
    <t>耕意 酒</t>
  </si>
  <si>
    <t>深圳市索玛印象投资管理有限公司</t>
  </si>
  <si>
    <t>葡萄酒;威⼠忌;⽶酒;烈酒（饮料）;⽩酒;⻘稞酒;⻩酒;蒸馏饮料;烧酒;利⼝酒</t>
  </si>
  <si>
    <t>⻘稞酒;果酒（含酒精）;烧酒;利⼝酒;杨梅酒;⽩⼲酒（中国⽩酒）;蜂蜜酒;⾼粱酒;⽩酒;⽶酒</t>
  </si>
  <si>
    <t>临榆印记</t>
  </si>
  <si>
    <t>秦皇岛科蒂贸易有限公司</t>
  </si>
  <si>
    <t>苹果酒;葡萄酒;蜂蜜酒;⽶酒;汽酒;酒精饮料浓缩汁;⻩酒;含⽔果酒精饮料;烈酒（饮料）</t>
  </si>
  <si>
    <t>剑井</t>
  </si>
  <si>
    <t>清酒（⽇本⽶酒）;威⼠忌;果酒（含酒精）;酒精饮料（啤酒除外）;开胃酒;⻩酒;鸡尾酒;葡萄酒;烈酒;⽩酒</t>
  </si>
  <si>
    <t>梵人浩顺</t>
  </si>
  <si>
    <t>夏邑县飞天商贸有限公司</t>
  </si>
  <si>
    <t>薄荷酒;葡萄酒;酒精饮料（啤酒除外）;果酒（含酒精）;含⽔果酒精饮料;⽩酒;威⼠忌;开胃酒;⻩酒;蒸馏饮料</t>
  </si>
  <si>
    <t>HM</t>
  </si>
  <si>
    <t>张敖</t>
  </si>
  <si>
    <t>葡萄酒;烧酒;含酒精的饮料（啤酒除外）;⽩酒;⽶酒;果酒;汽酒;⻩酒;⽩⼲酒（中国⽩酒）;佐餐酒</t>
  </si>
  <si>
    <t>玖天祥</t>
  </si>
  <si>
    <t>青岛玖天祥商贸有限公司</t>
  </si>
  <si>
    <t>伏特加酒;酒精饮料原汁;⽶酒;果酒（含酒精）;⻩酒;烈酒（饮料）;开胃酒;烧酒;含酒精的⽓泡⽔;⽩酒</t>
  </si>
  <si>
    <t>江恒羽</t>
  </si>
  <si>
    <t>魏思涵</t>
  </si>
  <si>
    <t>果酒（含酒精）;蒸馏饮料;酒精饮料原汁;含⽔果酒精饮料;⽩酒;威⼠忌;鸡尾酒;清酒;烈酒（饮料）;烧酒</t>
  </si>
  <si>
    <t>坛不忘</t>
  </si>
  <si>
    <t>贵州坛不忘酒业有限公司</t>
  </si>
  <si>
    <t>烧酒;果酒（含酒精）;⽩酒;开胃酒;⾷⽤酒精;蒸煮提取物（利⼝酒和烈酒）;酒精饮料浓缩汁;⻩酒;葡萄酒;酒精饮料（啤酒除外）</t>
  </si>
  <si>
    <t>田捌玖零壹田</t>
  </si>
  <si>
    <t>邢美达</t>
  </si>
  <si>
    <t>⽶酒;⽩酒;预先混合的酒精饮料（以啤酒为主的除外）;含⽔果酒精饮料;蒸馏饮料;果酒（含酒精）;烧酒;葡萄酒;酒精饮料（啤酒除外）;烈酒</t>
  </si>
  <si>
    <t>迤合号</t>
  </si>
  <si>
    <t>⻘稞酒;酒精饮料浓缩汁;已调味的⻨芽酿制的酒精饮料（啤酒除外）;烧酒;⾼粱酒;⽩酒;果酒（含酒精）;⽼酒（中国蒸馏烈酒）;⽩⼲酒（中国⽩酒）;苦荞酒</t>
  </si>
  <si>
    <t>彩虹有基</t>
  </si>
  <si>
    <t>马艳艳</t>
  </si>
  <si>
    <t>清酒;开胃酒;⽩酒;⽶酒;汽酒;⾷⽤酒精;甜酒;⻩酒;果酒;葡萄酒</t>
  </si>
  <si>
    <t>钊文袋</t>
  </si>
  <si>
    <t>王卯</t>
  </si>
  <si>
    <t>烧酒;鸡尾酒;⽶酒;利⼝酒;⾷⽤酒精;⻩酒;酒精饮料（啤酒除外）;⽩酒;烈酒（饮料）;威⼠忌</t>
  </si>
  <si>
    <t>德谟克利</t>
  </si>
  <si>
    <t>龙口市三棋商贸有限公司</t>
  </si>
  <si>
    <t>⽩兰地;酒精饮料（啤酒除外）;起泡红葡萄酒;以葡萄酒为主的饮料;红葡萄酒;起泡⽩葡萄酒;⽩酒;威⼠忌;葡萄酒;⻨芽威⼠忌</t>
  </si>
  <si>
    <t>客嘉福韵</t>
  </si>
  <si>
    <t>⽶酒;果酒（含酒精）;⻩酒;含酒精⽔果饮料;蜂蜜酒;烧酒;⽩酒;⽔果汽酒;酒精饮料（啤酒除外）;甜酒</t>
  </si>
  <si>
    <t>杲杳</t>
  </si>
  <si>
    <t>刘龙</t>
  </si>
  <si>
    <t>⻩酒;⽩酒;烧酒;果酒（含酒精）;清酒（⽇本⽶酒）;鸡尾酒;烈酒（饮料）;酒精饮料（啤酒除外）;葡萄酒;⽶酒</t>
  </si>
  <si>
    <t>⾷⽤酒精;汽酒;⽩酒;⾕物制蒸馏酒精饮料;葡萄酒;⽶酒;酒精饮料（啤酒除外）;烧酒;⻩酒;果酒（含酒精）</t>
  </si>
  <si>
    <t>酒四朝元醇</t>
  </si>
  <si>
    <t>李辽元</t>
  </si>
  <si>
    <t>⻩酒;葡萄酒;酒精饮料原汁;果酒（含酒精）;⽶酒;⽢蔗制酒精饮料;⾷⽤酒精;⽩酒;烈酒（饮料）;⽼酒（中国蒸馏烈酒）</t>
  </si>
  <si>
    <t>贵州锦银润企业管理有限公司</t>
  </si>
  <si>
    <t>⽩兰地;葡萄酒;利⼝酒;果酒（含酒精）;清酒;⻘稞酒;烈酒（饮料）;酒精饮料（啤酒除外）;⽩酒;⻩酒</t>
  </si>
  <si>
    <t>秘养集</t>
  </si>
  <si>
    <t>张忠怀</t>
  </si>
  <si>
    <t>甜酒;开胃酒;⽶酒;⾷⽤酒精;⻩酒;汽酒;清酒;⽩酒;葡萄酒;果酒</t>
  </si>
  <si>
    <t>屾昇坊</t>
  </si>
  <si>
    <t>吴鹏</t>
  </si>
  <si>
    <t>⾼粱酒;⽩兰地;⽩酒;苹果酒;⻩酒;葡萄酒;果酒（含酒精）;⻘梅酒;威⼠忌;⽶酒</t>
  </si>
  <si>
    <t>神仙居.跃迁</t>
  </si>
  <si>
    <t>泮建飞</t>
  </si>
  <si>
    <t>⽶酒;果酒（含酒精）;葡萄酒;⽩酒;含酒精的鸡尾酒混合饮品;⽼酒（中国蒸馏烈酒）;⻩酒</t>
  </si>
  <si>
    <t>古奥</t>
  </si>
  <si>
    <t>索迪亚（重庆）家居有限公司</t>
  </si>
  <si>
    <t>蒸馏饮料;汽酒;烧酒;红葡萄酒;⽔果汽酒;⾷⽤酒精;果酒（含酒精）;⽶酒;⻩酒;烈酒（饮料）</t>
  </si>
  <si>
    <t>硬火银子</t>
  </si>
  <si>
    <t>张莉</t>
  </si>
  <si>
    <t>⽶酒;葡萄酒;⾕物制蒸馏酒精饮料;露酒;烈酒（饮料）;蒸馏饮料;餐后酒（利⼝酒和烈酒）;果酒（含酒精）;苹果酒;⽩酒</t>
  </si>
  <si>
    <t>水当然</t>
  </si>
  <si>
    <t>云南水当然商业管理有限公司</t>
  </si>
  <si>
    <t>蒸馏饮料;⽩兰地;威⼠忌;露酒;亚⼒酒;⽩酒;清酒;果酒（含酒精）;葡萄酒;杜松⼦酒</t>
  </si>
  <si>
    <t>仙鲜梅坊</t>
  </si>
  <si>
    <t>仙居县程程杨梅专业合作社</t>
  </si>
  <si>
    <t>清酒（⽇本⽶酒）;⻩酒;烧酒;⽶酒;鸡尾酒;⽩酒;葡萄酒;杨梅酒;烈酒（饮料）;利⼝酒</t>
  </si>
  <si>
    <t>孝柳红</t>
  </si>
  <si>
    <t>郭海生14233********3009X</t>
  </si>
  <si>
    <t>烈酒（饮料）;⽩酒;果酒（含酒精）;开胃酒;⻩酒;露酒;烧酒;鸡尾酒;葡萄酒;利⼝酒</t>
  </si>
  <si>
    <t>皮卡兔</t>
  </si>
  <si>
    <t>刘翼640102********2421</t>
  </si>
  <si>
    <t>葡萄酒;蒸馏饮料;⽩酒;果酒（含酒精）;烈酒（饮料）;⻩酒;酒精饮料（啤酒除外）;烧酒;鸡尾酒;⽶酒</t>
  </si>
  <si>
    <t>泸淮粮液</t>
  </si>
  <si>
    <t>泸州弈丰包装材料有限公司</t>
  </si>
  <si>
    <t>鸡尾酒;含⽔果酒精饮料;⽩酒;⾷⽤酒精;⽶酒;酒精饮料（啤酒除外）;果酒（含酒精）;⻩酒;烧酒;烈酒（饮料）</t>
  </si>
  <si>
    <t>三味臻火</t>
  </si>
  <si>
    <t>四川省泸涛酒业有限公司</t>
  </si>
  <si>
    <t>蒸煮提取物（利⼝酒和烈酒）;酒精饮料原汁;⽩酒;开胃酒;酸酒（低等葡萄酒）;⾷⽤酒精;酒精饮料（啤酒除外）;⽶酒;烧酒;果酒（含酒精）</t>
  </si>
  <si>
    <t>OIEA</t>
  </si>
  <si>
    <t>张娅</t>
  </si>
  <si>
    <t>朗姆酒;伏特加酒;烈酒（饮料）;⻩酒;⽩兰地;葡萄酒;⽩酒;威⼠忌;果酒（含酒精）;⾷⽤酒精</t>
  </si>
  <si>
    <t>归润悦饕灻澄明真</t>
  </si>
  <si>
    <t>清酒;利⼝酒;⻘稞酒;⻩酒;⽩酒;酒精饮料（啤酒除外）;⽩兰地;葡萄酒;烈酒（饮料）;果酒（含酒精）</t>
  </si>
  <si>
    <t>酒统领</t>
  </si>
  <si>
    <t>美果（北京）科技开发有限公司</t>
  </si>
  <si>
    <t>蜂蜜酒;⾷⽤酒精;薄荷酒;葡萄酒;⽩酒;⽩兰地;⽶酒;果酒（含酒精）;开胃酒;伏特加酒</t>
  </si>
  <si>
    <t>墨娇子</t>
  </si>
  <si>
    <t>田甜</t>
  </si>
  <si>
    <t>果酒（含酒精）;梨酒;含⽔果酒精饮料;烧酒;⽩酒;葡萄酒;⽩⼲酒（中国⽩酒）;烈酒（饮料）;⽶酒;苹果酒</t>
  </si>
  <si>
    <t>厨届</t>
  </si>
  <si>
    <t>贵州坤源工贸发展有限公司</t>
  </si>
  <si>
    <t>⽩酒;蒸煮提取物（利⼝酒和烈酒）;⽼酒（中国蒸馏烈酒）;由⾕物蒸馏的⽩酒;烧酒;⽶酒;鸡尾酒;葡萄酒;⾼粱酒;果酒</t>
  </si>
  <si>
    <t>乐嘉年华</t>
  </si>
  <si>
    <t>葡萄酒;⽶酒;伏特加酒;露酒;⽩酒;⻩酒;⽩兰地;威⼠忌;酒精饮料（啤酒除外）;鸡尾酒</t>
  </si>
  <si>
    <t>隆力健</t>
  </si>
  <si>
    <t>西峡县隆瑞商贸有限公司</t>
  </si>
  <si>
    <t>果酒（含酒精）;含⽔果酒精饮料;露酒;葡萄酒;⽩酒;⽶酒;⻩酒;威⼠忌;蒸馏饮料;酒精饮料（啤酒除外）</t>
  </si>
  <si>
    <t>璧灵泉</t>
  </si>
  <si>
    <t>灵璧润括商贸有限公司</t>
  </si>
  <si>
    <t>葡萄酒;⻩酒;烧酒;⽩酒;苹果酒;利⼝酒;烈酒;⽶酒;鸡尾酒;清酒</t>
  </si>
  <si>
    <t>斟满赢</t>
  </si>
  <si>
    <t>吴甫胜</t>
  </si>
  <si>
    <t>⽩酒;烧酒;烈酒;⽶酒;果酒（含酒精）;酒精饮料（啤酒除外）;⻩酒;威⼠忌;葡萄酒;汽酒</t>
  </si>
  <si>
    <t>贺四喜</t>
  </si>
  <si>
    <t>齐文强</t>
  </si>
  <si>
    <t>烧酒;烈酒（饮料）;⽩兰地;⾼粱酒;果酒;⽩酒;⻩酒;酒精饮料（啤酒除外）;甜酒;葡萄酒</t>
  </si>
  <si>
    <t>瀚海莫兰迪</t>
  </si>
  <si>
    <t>齐河县鸿投城市建设发展有限公司</t>
  </si>
  <si>
    <t>⽩兰地;⻩酒;果酒（含酒精）;⽩酒;威⼠忌;⽶酒;烈酒（饮料）;薄荷酒;烧酒;葡萄酒</t>
  </si>
  <si>
    <t>弘顺源</t>
  </si>
  <si>
    <t>绵阳弘顺源供应链管理有限公司</t>
  </si>
  <si>
    <t>⻘稞酒;⻩酒;葡萄酒;烈酒（饮料）;果酒（含酒精）;酒精饮料（啤酒除外）;烧酒;⽶酒;⽩酒;酒精饮料原汁</t>
  </si>
  <si>
    <t>潭中月</t>
  </si>
  <si>
    <t>黄酒;开胃酒;烈酒;葡萄酒;鸡尾酒;清酒（日本米酒）;威士忌;果酒（含酒精）;酒精饮料（啤酒除外）;白酒</t>
  </si>
  <si>
    <t>羲龄窖</t>
  </si>
  <si>
    <t>河北久邦文化传媒有限公司</t>
  </si>
  <si>
    <t>清酒;⻘梅酒;含⽔果酒精饮料;⽩酒;甜果酒;杨梅酒;果酒（含酒精）;⽇本梅⼦酒;⽶酒;开胃酒</t>
  </si>
  <si>
    <t>捣要侠</t>
  </si>
  <si>
    <t>内蒙古蓉世家生物科技有限公司</t>
  </si>
  <si>
    <t>葡萄酒;烈酒;⽩酒;果酒（含酒精）;露酒;利⼝酒;果酒;⾼粱酒;梅酒;⽼酒（中国蒸馏烈酒）</t>
  </si>
  <si>
    <t>月华里</t>
  </si>
  <si>
    <t>威⼠忌;果酒;⽔果汽酒;果酒（含酒精）;⽼酒（中国蒸馏烈酒）;酒精饮料（啤酒除外）;⽩酒;鸡尾酒;含⽔果酒精饮料;葡萄酒</t>
  </si>
  <si>
    <t>京缘小王子</t>
  </si>
  <si>
    <t>北京汇聚七兄弟酒业有限公司</t>
  </si>
  <si>
    <t>⽩兰地;酒精饮料原汁;⽩酒;威⼠忌;烈酒（饮料）;以葡萄酒为主的饮料;利⼝酒;果酒（含酒精）;葡萄酒;⽶酒</t>
  </si>
  <si>
    <t>颍城</t>
  </si>
  <si>
    <t>汪哲</t>
  </si>
  <si>
    <t>⽼酒（中国蒸馏烈酒）;除啤酒外的酒精饮料;烧酒;⻩酒;⾼粱酒;烈酒（饮料）;⽩酒;葡萄酒;酒精饮料（啤酒除外）;果酒</t>
  </si>
  <si>
    <t>酿匠者藏品</t>
  </si>
  <si>
    <t>贵州酱时代酒业有限公司</t>
  </si>
  <si>
    <t>烈酒;鸡尾酒;葡萄酒;⻩酒;⽩酒;含酒精的充⽓饮料（啤酒除外）;果酒;⽩⼲酒（中国⽩酒）;⽶酒;⽼酒（中国蒸馏烈酒）</t>
  </si>
  <si>
    <t>临颖椒点</t>
  </si>
  <si>
    <t>万孝睿</t>
  </si>
  <si>
    <t>酒精饮料原汁;⽩酒;含⽔果酒精饮料;果酒;⻘梅酒;葡萄酒;⽶酒;烧酒;⽼酒（中国蒸馏烈酒）;鸡尾酒</t>
  </si>
  <si>
    <t>执椿堂</t>
  </si>
  <si>
    <t>谭果</t>
  </si>
  <si>
    <t>烧酒;⻩酒;含⽔果酒精饮料;⽶酒;薄荷酒;开胃酒;果酒（含酒精）;⽩酒;蜂蜜酒;葡萄酒</t>
  </si>
  <si>
    <t>君墨廷</t>
  </si>
  <si>
    <t>葡萄酒;⽩兰地;鸡尾酒;烧酒;酒精饮料（啤酒除外）;威⼠忌;果酒（含酒精）;⽶酒;⽩酒;烈酒（饮料）</t>
  </si>
  <si>
    <t>鸿元昌</t>
  </si>
  <si>
    <t>荆州市鸿元昌科技有限公司</t>
  </si>
  <si>
    <t>⻩酒;⽩酒;⾕物制蒸馏酒精饮料;葡萄酒;⽶酒;烧酒;汽酒;⻘稞酒;⽢蔗制酒精饮料;苹果酒</t>
  </si>
  <si>
    <t>GCJL REN</t>
  </si>
  <si>
    <t>上海智赫文化传媒有限公司</t>
  </si>
  <si>
    <t>⽩酒;⻩酒;烧酒;果酒;酒精饮料（啤酒除外）;⽶酒;开胃酒;烈酒;蒸馏饮料;葡萄酒</t>
  </si>
  <si>
    <t>五旭晖</t>
  </si>
  <si>
    <t>张旭儒</t>
  </si>
  <si>
    <t>利⼝酒;烈酒（饮料）;⽩酒;烧酒;葡萄酒;威⼠忌;果酒（含酒精）;⻩酒;⽶酒;预先混合的酒精饮料（以啤酒为主的除外）</t>
  </si>
  <si>
    <t>山辽水</t>
  </si>
  <si>
    <t>珍食汇有机食品（沈阳）有限公司</t>
  </si>
  <si>
    <t>开胃酒;酒精饮料（啤酒除外）;烈酒（饮料）;威⼠忌;果酒;葡萄酒;烧酒;⽩酒;预先混合的酒精饮料（以啤酒为主的除外）;⽶酒</t>
  </si>
  <si>
    <t>坤语</t>
  </si>
  <si>
    <t>贵州省仁怀市醇荣酒业有限公司</t>
  </si>
  <si>
    <t>开胃酒;烧酒;⽩酒;⾕物制蒸馏酒精饮料;鸡尾酒;清酒;果酒（含酒精）;⽶酒;烈酒;酒精饮料（啤酒除外）</t>
  </si>
  <si>
    <t>棣稻坊</t>
  </si>
  <si>
    <t>陈波</t>
  </si>
  <si>
    <t>⽩酒;⻩酒;果酒;甜酒;⽶酒;烧酒;葡萄酒;酒精饮料（啤酒除外）;汽酒;⻘稞酒</t>
  </si>
  <si>
    <t>君品酉心</t>
  </si>
  <si>
    <t>贵州酉心酒业有限公司</t>
  </si>
  <si>
    <t>威⼠忌;酒精饮料原汁;⻘稞酒;⽩酒;⻩酒;红葡萄酒;清酒;威末酒;⾷⽤酒精;含⽔果酒精饮料</t>
  </si>
  <si>
    <t>JY</t>
  </si>
  <si>
    <t>葡萄酒;利⼝酒;威⼠忌;⽶酒;酒精饮料原汁;⽩兰地;果酒（含酒精）;⽩酒;烈酒（饮料）;以葡萄酒为主的饮料</t>
  </si>
  <si>
    <t>颜山阙</t>
  </si>
  <si>
    <t>沛县品标生物科技有限公司</t>
  </si>
  <si>
    <t>⽶酒;葡萄酒;酒精饮料（啤酒除外）;⽢蔗制烈酒;烈酒（饮料）;果酒（含酒精）;⻩酒;烧酒;鸡尾酒;⽩酒</t>
  </si>
  <si>
    <t>酉光芒</t>
  </si>
  <si>
    <t>⻘稞酒;⻩酒;威末酒;⾷⽤酒精;含⽔果酒精饮料;⽩酒;酒精饮料原汁;清酒;威⼠忌;红葡萄酒</t>
  </si>
  <si>
    <t>原始有基</t>
  </si>
  <si>
    <t>穆麦玲</t>
  </si>
  <si>
    <t>汽酒;甜酒;葡萄酒;⻩酒;⾷⽤酒精;清酒;⽶酒;果酒;⽩酒;开胃酒</t>
  </si>
  <si>
    <t>石缸坪</t>
  </si>
  <si>
    <t>唐施兵</t>
  </si>
  <si>
    <t>含酒精的饮料（啤酒除外）;⾕物制蒸馏酒精饮料;利⼝酒;⻘稞酒;⽩酒;⻩酒;⽼酒（中国蒸馏烈酒）;果酒（含酒精）;⾷⽤酒精;⾼粱酒</t>
  </si>
  <si>
    <t>繁祉</t>
  </si>
  <si>
    <t>贵州省仁怀市兴泉酒业销售有限公司</t>
  </si>
  <si>
    <t>果酒（含酒精）;烧酒;⽩酒;烈酒（饮料）;⾕物制蒸馏酒精饮料;葡萄酒;清酒（⽇本⽶酒）;酒精饮料（啤酒除外）;⽶酒;开胃酒</t>
  </si>
  <si>
    <t>雀桥</t>
  </si>
  <si>
    <t>湖南省泰和昌贸易有限公司</t>
  </si>
  <si>
    <t>薄荷酒;蒸馏饮料;威⼠忌;果酒（含酒精）;⽩酒;含⽔果酒精饮料;葡萄酒;酒精饮料（啤酒除外）;⻩酒;开胃酒</t>
  </si>
  <si>
    <t>蓉兆君涵</t>
  </si>
  <si>
    <t>范赵林</t>
  </si>
  <si>
    <t>蒸煮提取物（利⼝酒和烈酒）;鸡尾酒;酒精饮料原汁;烧酒;酒精饮料浓缩汁;蒸馏饮料;⽩酒;葡萄酒;薄荷酒;⽶酒</t>
  </si>
  <si>
    <t>蒙萌马</t>
  </si>
  <si>
    <t>内蒙古元瓷酒业有限公司</t>
  </si>
  <si>
    <t>甜酒;烈酒;果酒（含酒精）;鸡尾酒;⻩酒;葡萄酒;⽶酒;⽩酒;烧酒;汽酒</t>
  </si>
  <si>
    <t>酿匠者境界</t>
  </si>
  <si>
    <t>⽩酒;鸡尾酒;⽶酒;烈酒;葡萄酒;⽼酒（中国蒸馏烈酒）;⽩⼲酒（中国⽩酒）;⻩酒;果酒;含酒精的充⽓饮料（啤酒除外）</t>
  </si>
  <si>
    <t>轻团</t>
  </si>
  <si>
    <t>余泽51010********2003X</t>
  </si>
  <si>
    <t>清酒（⽇本⽶酒）;葡萄酒;⾷⽤酒精;烧酒;尼⽡（以⽢蔗为主的酒精饮料）;⻩酒;果酒（含酒精）;预先混合的酒精饮料（以啤酒为主的除外）;⽩酒;⽶酒</t>
  </si>
  <si>
    <t>GCJL</t>
  </si>
  <si>
    <t>⽩酒;蒸馏饮料;⻩酒;开胃酒;烈酒;酒精饮料（啤酒除外）;果酒;葡萄酒;烧酒;⽶酒</t>
  </si>
  <si>
    <t>甄乾道</t>
  </si>
  <si>
    <t>芦震</t>
  </si>
  <si>
    <t>果酒（含酒精）;葡萄酒;酒精饮料（啤酒除外）;蒸馏饮料;烈酒（饮料）;⽩酒;⽶酒;烧酒;⻩酒;鸡尾酒</t>
  </si>
  <si>
    <t>弘普健康 HONGPU HEALTH</t>
  </si>
  <si>
    <t>上海镕昊医院管理有限公司</t>
  </si>
  <si>
    <t>威⼠忌;烧酒;葡萄酒;蒸煮提取物（利⼝酒和烈酒）;苦味酒;开胃酒;⽩酒;果酒（含酒精）;⻘稞酒;⻩酒</t>
  </si>
  <si>
    <t>家乡金点</t>
  </si>
  <si>
    <t>漳州市芗城友恩贸易有限公司</t>
  </si>
  <si>
    <t>⻩酒;甜酒;鸡尾酒;酒精饮料（啤酒除外）;⽩酒;⾼粱酒;含酒精的⽔果鸡尾酒饮料;清酒;⽶酒;⽩⼲酒（中国⽩酒）</t>
  </si>
  <si>
    <t>诺米岁月</t>
  </si>
  <si>
    <t>宜宾蜀乡源酒业有限公司</t>
  </si>
  <si>
    <t>⻩酒;葡萄酒;鸡尾酒;烧酒;⽩酒;含⽔果酒精饮料;⽶酒;果酒（含酒精）;预先混合的酒精饮料（以啤酒为主的除外）;⽩兰地</t>
  </si>
  <si>
    <t>创功牌</t>
  </si>
  <si>
    <t>中创辰芯（福建）文旅有限公司</t>
  </si>
  <si>
    <t>葡萄酒;⾷⽤酒精;⽶酒;含⽔果酒精饮料;⻩酒;果酒（含酒精）;蒸馏饮料;酒精饮料（啤酒除外）;烧酒;⻘稞酒</t>
  </si>
  <si>
    <t>传奇诗圣</t>
  </si>
  <si>
    <t>清酒（⽇本⽶酒）;⻘稞酒;⻩酒;烧酒;⽼酒（中国蒸馏烈酒）;⽩酒;果酒（含酒精）;清酒;⽶酒;葡萄酒</t>
  </si>
  <si>
    <t>董岚井</t>
  </si>
  <si>
    <t>葡萄酒;烈酒;⻩酒;鸡尾酒;⽶酒;威⼠忌;⻘稞酒;⽩酒;烧酒;⽩兰地</t>
  </si>
  <si>
    <t>黄鱼浪</t>
  </si>
  <si>
    <t>姑苏区唐吟创意设计工作室</t>
  </si>
  <si>
    <t>酒精饮料（啤酒除外）;葡萄酒;果酒（含酒精）;⽩酒;⻩酒;烧酒;清酒;蜂蜜酒;⽶酒;梅酒</t>
  </si>
  <si>
    <t>酉心之人</t>
  </si>
  <si>
    <t>⻘稞酒;⽩酒;酒精饮料原汁;威末酒;⻩酒;清酒;威⼠忌;红葡萄酒;含⽔果酒精饮料;⾷⽤酒精</t>
  </si>
  <si>
    <t>古雪在</t>
  </si>
  <si>
    <t>北京万水泉酒文化有限公司</t>
  </si>
  <si>
    <t>朝鲜烧酒;烧酒（烈酒）;烧酒;蒸馏⽶酒（泡盛酒）</t>
  </si>
  <si>
    <t>2024/05/22</t>
  </si>
  <si>
    <t>清泉流</t>
  </si>
  <si>
    <t>烧酒（烈酒）;烧酒;蒸馏⽶酒（泡盛酒）;朝鲜烧酒</t>
  </si>
  <si>
    <t>JAQUET DROZ 雅克德罗</t>
  </si>
  <si>
    <t>成都繁江酒文化传播有限公司</t>
  </si>
  <si>
    <t>⽶酒;蜂蜜酒;阿夸维特酒;葡萄酒;⽩酒;伏特加酒;烧酒;果酒;梅酒;威⼠忌</t>
  </si>
  <si>
    <t>林纾</t>
  </si>
  <si>
    <t>石家庄雄睿塑胶制品有限公司</t>
  </si>
  <si>
    <t>果酒（含酒精）;烈酒（饮料）;开胃酒;⻩酒;预先混合的酒精饮料（以啤酒为主的除外）;鸡尾酒;葡萄酒;⽶酒;混合威⼠忌酒;⽩酒</t>
  </si>
  <si>
    <t>云上千禾</t>
  </si>
  <si>
    <t>天津云上千禾餐饮管理有限公司</t>
  </si>
  <si>
    <t>⽩酒;含酒精的饮料（啤酒除外）;⻩酒;⽩葡萄酒;果酒;清酒;红葡萄酒;甜酒;⽶酒;梨酒</t>
  </si>
  <si>
    <t>汁片达人</t>
  </si>
  <si>
    <t>沈洪杰</t>
  </si>
  <si>
    <t>果酒（含酒精）;开胃酒;葡萄酒;⽩兰地;⽩酒;利⼝酒;烈酒（饮料）;⾕物制蒸馏酒精饮料;⾷⽤酒精;蒸馏饮料</t>
  </si>
  <si>
    <t>郝嗬</t>
  </si>
  <si>
    <t>冯德兄</t>
  </si>
  <si>
    <t>果酒;⽩酒;含⽔果酒精饮料;烧酒;开胃酒;露酒;苦味酒;⾕物制蒸馏酒精饮料;⻩酒;⽶酒</t>
  </si>
  <si>
    <t>鸡尾酒;含⽔果酒精饮料;⽶酒;开胃酒;⻩酒;蜂蜜酒;⽩酒;果酒（含酒精）;葡萄酒;利⼝酒</t>
  </si>
  <si>
    <t>YIMAGE</t>
  </si>
  <si>
    <t>隐象威士忌庄园（杭州千岛湖）有限公司</t>
  </si>
  <si>
    <t>混合威⼠忌酒;威⼠忌;含⽔果酒精饮料;⾕物制蒸馏酒精饮料;蒸馏饮料;⻨芽威⼠忌;预先混合的酒精饮料（以啤酒为主的除外）;鸡尾酒;餐后酒（利⼝酒和烈酒）;烈酒（饮料）;烈酒浓缩汁;已调味的蒸馏酒;酒精饮料（啤酒除外）;含酒精的鸡尾酒混合饮品</t>
  </si>
  <si>
    <t>晓萍帝</t>
  </si>
  <si>
    <t>⽩⼲酒（中国⽩酒）;⽩酒;⾼粱酒;烧酒;⻩酒;葡萄酒;烈酒;⽶酒;甜酒;⽼酒（中国蒸馏烈酒）</t>
  </si>
  <si>
    <t>崇尚雪礼</t>
  </si>
  <si>
    <t>张家口市永恒贸易有限公司</t>
  </si>
  <si>
    <t>⻩酒;⽩兰地;开胃酒;烧酒;⽩酒;露酒;伏特加酒;鸡尾酒;葡萄酒;⽶酒</t>
  </si>
  <si>
    <t>暖食家</t>
  </si>
  <si>
    <t>北京暖食家未来食品科技有限公司</t>
  </si>
  <si>
    <t>酒精饮料（啤酒除外）;⻩酒;烧酒;⽶酒;清酒（⽇本⽶酒）;葡萄酒;烈酒（饮料）;⽩酒;果酒（含酒精）;鸡尾酒</t>
  </si>
  <si>
    <t>庆裕昌</t>
  </si>
  <si>
    <t>河北清醇酒业有限公司</t>
  </si>
  <si>
    <t>苹果酒;鸡尾酒;葡萄酒;伏特加酒;⽩酒;果酒;烧酒;⻘稞酒;⾼粱酒;⻩酒</t>
  </si>
  <si>
    <t>寻陇</t>
  </si>
  <si>
    <t>李肖颖</t>
  </si>
  <si>
    <t>⻩酒;清酒（⽇本⽶酒）;烈酒;酒精饮料（啤酒除外）;果酒（含酒精）;⽩酒;开胃酒;威⼠忌;鸡尾酒;葡萄酒</t>
  </si>
  <si>
    <t>毛盏</t>
  </si>
  <si>
    <t>鸡尾酒;⻩酒;威⼠忌;烧酒;⽶酒;蒸馏饮料;⽩兰地;⽩酒;果酒（含酒精）;葡萄酒</t>
  </si>
  <si>
    <t>梁蓝韵</t>
  </si>
  <si>
    <t>李国俊</t>
  </si>
  <si>
    <t>葡萄酒;⽩酒;⽩葡萄酒;鸡尾酒;含酒精的鸡尾酒混合饮品;含酒精的⽓泡⽔;以葡萄酒为主的饮料;果酒（含酒精）</t>
  </si>
  <si>
    <t>贵州仁怀酒意酒业有限公司</t>
  </si>
  <si>
    <t>⻘稞酒;鸡尾酒;酒精饮料（啤酒除外）;葡萄酒;⻩酒;含⽔果酒精饮料;烧酒;⽩酒;⾷⽤酒精;果酒（含酒精）</t>
  </si>
  <si>
    <t>古河魂</t>
  </si>
  <si>
    <t>陈宇</t>
  </si>
  <si>
    <t>果酒（含酒精）;⽩酒;⾷⽤酒精;利⼝酒;⻩酒;朗姆酒;烧酒;⽶酒;除啤酒外的酒精饮料;⽩兰地</t>
  </si>
  <si>
    <t>澜之蓝</t>
  </si>
  <si>
    <t>含酒精的⽓泡⽔;果酒（含酒精）;⽩葡萄酒;鸡尾酒;以葡萄酒为主的饮料;含酒精的鸡尾酒混合饮品;葡萄酒;⽩酒</t>
  </si>
  <si>
    <t>晓萍泸</t>
  </si>
  <si>
    <t>⽼酒（中国蒸馏烈酒）;烧酒;葡萄酒;烈酒;⻩酒;甜酒;⾼粱酒;⽩酒;⽶酒;⽩⼲酒（中国⽩酒）</t>
  </si>
  <si>
    <t>楠霆醉</t>
  </si>
  <si>
    <t>滕海敏</t>
  </si>
  <si>
    <t>果酒;清酒;⽶酒;⻩酒;葡萄酒;⽩兰地;含⽔果酒精饮料;⽩酒;烧酒;由⾕物蒸馏的⽩酒</t>
  </si>
  <si>
    <t>南山几度</t>
  </si>
  <si>
    <t>京之徽（重庆）餐饮管理有限公司</t>
  </si>
  <si>
    <t>葡萄酒;⽶酒;果酒（含酒精）;鸡尾酒;烧酒;樱桃酒;汽酒;烈酒（饮料）;酒精饮料（啤酒除外）;⽩酒</t>
  </si>
  <si>
    <t>喜蕊康</t>
  </si>
  <si>
    <t>秦峡</t>
  </si>
  <si>
    <t>⻩酒;果酒（含酒精）;⽩酒;蒸馏饮料;烧酒;⽩兰地;威⼠忌;⽶酒;葡萄酒;鸡尾酒</t>
  </si>
  <si>
    <t>武尊台</t>
  </si>
  <si>
    <t>买玉旺</t>
  </si>
  <si>
    <t>果酒（含酒精）;鸡尾酒;葡萄酒;⻩酒;烧酒;威⼠忌;⽶酒;⽩酒;蒸馏饮料;⽩兰地</t>
  </si>
  <si>
    <t>仙鹤湾</t>
  </si>
  <si>
    <t>董志春</t>
  </si>
  <si>
    <t>⽩酒;酒精饮料（啤酒除外）;⽩兰地;⽶酒;朗姆酒（酒精饮料）;果酒（含酒精）;葡萄酒;烧酒（烈酒）;含酒精的⽔果鸡尾酒饮料;利⼝酒</t>
  </si>
  <si>
    <t>云上纬度</t>
  </si>
  <si>
    <t>陈小林510922********4634</t>
  </si>
  <si>
    <t>烧酒;清酒;⻩酒;甜果酒;⽶酒;鸡尾酒;果酒;红葡萄酒;⽩酒;⾼粱酒</t>
  </si>
  <si>
    <t>林仟毅</t>
  </si>
  <si>
    <t>福建政和仟毅食品有限公司</t>
  </si>
  <si>
    <t>⽩酒;⽶酒;⽩兰地;葡萄酒;果酒;⻘稞酒;酒精饮料浓缩汁;⾼粱酒;清酒;⻩酒</t>
  </si>
  <si>
    <t>YMZG</t>
  </si>
  <si>
    <t>河南省云濛朝歌酒业有限公司</t>
  </si>
  <si>
    <t>⻩酒;⾼粱酒;烈酒;⽼酒（中国蒸馏烈酒）;利⼝酒;果酒（含酒精）;葡萄酒;开胃酒;⽩酒;⽩⼲酒（中国⽩酒）</t>
  </si>
  <si>
    <t>PAPPA KOPI</t>
  </si>
  <si>
    <t>何永发</t>
  </si>
  <si>
    <t>烈酒（饮料）;清酒（⽇本⽶酒）;威⼠忌;⽩酒;伏特加酒;开胃酒;烧酒;果酒（含酒精）;朗姆酒;薄荷酒</t>
  </si>
  <si>
    <t>豫中王地和</t>
  </si>
  <si>
    <t>河南省豫中王酒业有限公司</t>
  </si>
  <si>
    <t>桃红葡萄酒;果酒（含酒精）;⻘稞酒;含酒精的⽓泡⽔;⽶酒;苹果酒;葡萄酒;⻩酒;⽩酒;以葡萄酒为主的饮料</t>
  </si>
  <si>
    <t>浒酒仙</t>
  </si>
  <si>
    <t>覃稳重</t>
  </si>
  <si>
    <t>烈酒;威⼠忌;酒精饮料（啤酒除外）;葡萄酒;鸡尾酒;清酒（⽇本⽶酒）;⽩酒;果酒（含酒精）;开胃酒;⻩酒</t>
  </si>
  <si>
    <t>煜世康</t>
  </si>
  <si>
    <t>安顺市康程贸易有限公司</t>
  </si>
  <si>
    <t>果酒（含酒精）;烈酒（饮料）;烧酒;⻩酒;⻘稞酒;含酒精的⽓泡⽔;⾕物制蒸馏酒精饮料;⽩酒;以葡萄酒为主的饮料;蒸馏饮料</t>
  </si>
  <si>
    <t>鲜小扎</t>
  </si>
  <si>
    <t>张宗杰</t>
  </si>
  <si>
    <t>开胃酒;⽶酒;烧酒;果酒;⽩酒;含⽔果酒精饮料;葡萄酒;烈酒（饮料）;⻩酒;苹果酒</t>
  </si>
  <si>
    <t>扶雨</t>
  </si>
  <si>
    <t>蒸馏⽶酒（泡盛酒）;含酒精的饮料（啤酒除外）;酒精饮料（啤酒除外）;烧酒（烈酒）;朝鲜烧酒;烧酒;清酒</t>
  </si>
  <si>
    <t>芝华派 CHIWARPARS</t>
  </si>
  <si>
    <t>厦门恒安泰商贸有限公司</t>
  </si>
  <si>
    <t>⽼酒（中国蒸馏烈酒）;⽶酒;葡萄酒;果酒;酒精饮料（啤酒除外）;⾼粱酒;⻩酒;烧酒;⽩酒;烈酒</t>
  </si>
  <si>
    <t>卫琳芳</t>
  </si>
  <si>
    <t>杨卫林</t>
  </si>
  <si>
    <t>⽩酒;汽酒;⽶酒;含⽔果酒精饮料;葡萄酒;⻩酒;⻘稞酒;清酒（⽇本⽶酒）;果酒（含酒精）;烧酒</t>
  </si>
  <si>
    <t>慢享流年</t>
  </si>
  <si>
    <t>杨红光</t>
  </si>
  <si>
    <t>酒精饮料（啤酒除外）;⽩酒</t>
  </si>
  <si>
    <t>烽晏</t>
  </si>
  <si>
    <t>梁国权</t>
  </si>
  <si>
    <t>果酒（含酒精）;⽶酒;烧酒;酒精饮料（啤酒除外）;含⽔果酒精饮料;清酒;蒸馏饮料;葡萄酒;利⼝酒;⽩酒</t>
  </si>
  <si>
    <t>九涎</t>
  </si>
  <si>
    <t>⻩酒;开胃酒;清酒（⽇本⽶酒）;鸡尾酒;葡萄酒;⽩酒;威⼠忌;烈酒;酒精饮料（啤酒除外）;果酒（含酒精）</t>
  </si>
  <si>
    <t>百客来</t>
  </si>
  <si>
    <t>赵德志</t>
  </si>
  <si>
    <t>开胃酒;鸡尾酒;蜂蜜酒;果酒（含酒精）;⽩酒;⽶酒;⽩兰地;清酒（⽇本⽶酒）;⻩酒;烈酒（饮料）</t>
  </si>
  <si>
    <t>京燕庭</t>
  </si>
  <si>
    <t>胡廉彬</t>
  </si>
  <si>
    <t>酒精饮料（啤酒除外）;食用酒精;清酒（日本米酒）;果酒（含酒精）;烈酒（饮料）;葡萄酒;米酒;蒸馏饮料;汽酒;白酒</t>
  </si>
  <si>
    <t>至樽符号</t>
  </si>
  <si>
    <t>江桂珊</t>
  </si>
  <si>
    <t>开胃酒;⽩酒;威⼠忌;烈酒;⻩酒;清酒（⽇本⽶酒）;酒精饮料（啤酒除外）;果酒（含酒精）;葡萄酒;鸡尾酒</t>
  </si>
  <si>
    <t>鹿华佗</t>
  </si>
  <si>
    <t>王晶</t>
  </si>
  <si>
    <t>果酒（含酒精）;烧酒;⽶酒;开胃酒;⻩酒;酒精饮料（啤酒除外）;鸡尾酒;葡萄酒;⻘稞酒;⽩酒</t>
  </si>
  <si>
    <t>知茗师</t>
  </si>
  <si>
    <t>王基楚</t>
  </si>
  <si>
    <t>威⼠忌;⽩兰地;烧酒;樱桃酒;⻩酒;以葡萄酒为主的饮料;⾕物制蒸馏酒精饮料;⽩酒;⽶酒;鸡尾酒</t>
  </si>
  <si>
    <t>泸祁</t>
  </si>
  <si>
    <t>王康辉</t>
  </si>
  <si>
    <t>酒精饮料（啤酒除外）;⽶酒;烧酒;蒸馏饮料;威⼠忌;烈酒（饮料）;⽩酒;⻩酒;果酒（含酒精）;葡萄酒</t>
  </si>
  <si>
    <t>醉随便</t>
  </si>
  <si>
    <t>上海富华酒业有限公司</t>
  </si>
  <si>
    <t>由⾕物蒸馏的⽩酒;⽩兰地;苹果酒;⽩酒;伏特加酒;威⼠忌;鸡尾酒;以葡萄酒为主的饮料;含⽔果酒精饮料;⽩⼲酒（中国⽩酒）</t>
  </si>
  <si>
    <t>白舀</t>
  </si>
  <si>
    <t>周岳阳</t>
  </si>
  <si>
    <t>⻩酒;清酒（⽇本⽶酒）;酒精饮料（啤酒除外）;⽩酒;果酒（含酒精）;鸡尾酒;威⼠忌;开胃酒;葡萄酒;烈酒</t>
  </si>
  <si>
    <t>中凭</t>
  </si>
  <si>
    <t>刘伟</t>
  </si>
  <si>
    <t>⽶酒;⻘稞酒;烧酒;酒精饮料（啤酒除外）;葡萄酒;⽩酒;果酒（含酒精）;⻩酒;清酒（⽇本⽶酒）;烈酒（饮料）</t>
  </si>
  <si>
    <t>汶香传味</t>
  </si>
  <si>
    <t>汶川县汶兴资产管理有限公司</t>
  </si>
  <si>
    <t>⽩酒;甜果酒;除啤酒外的酒精饮料;⻘稞酒;⻩酒;含⽔果酒精饮料;清酒;蜂蜜酒;葡萄酒;⽶酒</t>
  </si>
  <si>
    <t>环醉客</t>
  </si>
  <si>
    <t>济南市高新区国诚商贸中心（个体工商户）</t>
  </si>
  <si>
    <t>烈酒（饮料）;果酒（含酒精）;⽼酒（中国蒸馏烈酒）;酒精饮料（啤酒除外）;除啤酒外的酒精饮料;烧酒;⻩酒;葡萄酒;含⽔果酒精饮料;⽩酒</t>
  </si>
  <si>
    <t>盐岸仁商</t>
  </si>
  <si>
    <t>贵州省仁怀市本镇酒业销售有限公司</t>
  </si>
  <si>
    <t>蒸馏饮料;米酒;烧酒;高粱酒;黄酒;白酒;果酒;烈酒;青稞酒;葡萄酒</t>
  </si>
  <si>
    <t>万亲家</t>
  </si>
  <si>
    <t>贵州天生喜酒业有限公司</t>
  </si>
  <si>
    <t>烧酒;果酒（含酒精）;酒精饮料（啤酒除外）;⻘稞酒;烈酒（饮料）;⽩兰地;⻩酒;威⼠忌;⽶酒;利⼝酒</t>
  </si>
  <si>
    <t>乐绪</t>
  </si>
  <si>
    <t>覃鹏</t>
  </si>
  <si>
    <t>威⼠忌;⽩酒;开胃酒;酒精饮料（啤酒除外）;清酒（⽇本⽶酒）;葡萄酒;⻩酒;烈酒;果酒（含酒精）;鸡尾酒</t>
  </si>
  <si>
    <t>鹿元刚</t>
  </si>
  <si>
    <t>吴顺就</t>
  </si>
  <si>
    <t>⽩酒;⾼粱酒;⽶酒;果酒;五加⽪酒（中国混合烈酒）;⽩⼲酒（中国⽩酒）;葡萄酒;⽼酒（中国蒸馏烈酒）;烧酒（烈酒）;⻩酒</t>
  </si>
  <si>
    <t>釜曲三兴</t>
  </si>
  <si>
    <t>李兴武22032********5751X</t>
  </si>
  <si>
    <t>葡萄酒;烈酒（饮料）;⽶酒;酒精饮料原汁;烧酒;⻩酒;酒精饮料（啤酒除外）;果酒（含酒精）;⾷⽤酒精;⽩酒</t>
  </si>
  <si>
    <t>季度思念</t>
  </si>
  <si>
    <t>贵州野马云上青山品牌管理有限公司</t>
  </si>
  <si>
    <t>⻘稞酒;烧酒;开胃酒;清酒（⽇本⽶酒）;蜂蜜酒;威⼠忌;鸡尾酒;⻩酒;烈酒（饮料）;⽩酒</t>
  </si>
  <si>
    <t>肥猫当家</t>
  </si>
  <si>
    <t>狐里娜娜（山东）供应链有限公司</t>
  </si>
  <si>
    <t>酒精饮料（啤酒除外）;清酒（⽇本⽶酒）;威⼠忌;鸡尾酒;⽶酒;葡萄酒;蒸煮提取物（利⼝酒和烈酒）;⽩酒;果酒;烈酒（饮料）</t>
  </si>
  <si>
    <t>滇中美</t>
  </si>
  <si>
    <t>贵州玖茗堂文化传播有限公司</t>
  </si>
  <si>
    <t>⽩兰地;⽩酒;汽酒;果酒;鸡尾酒;利⼝酒;梨酒;威⼠忌;烧酒;葡萄酒</t>
  </si>
  <si>
    <t>晋时代</t>
  </si>
  <si>
    <t>石峰</t>
  </si>
  <si>
    <t>利⼝酒;果酒;烈酒;⽶酒;威⼠忌;⾷⽤酒精;⾼粱酒;鸡尾酒;⽩酒;⻩酒</t>
  </si>
  <si>
    <t>晓萍君</t>
  </si>
  <si>
    <t>⾼粱酒;烈酒;烧酒;甜酒;⽼酒（中国蒸馏烈酒）;⽶酒;⻩酒;葡萄酒;⽩⼲酒（中国⽩酒）;⽩酒</t>
  </si>
  <si>
    <t>贵悟天下</t>
  </si>
  <si>
    <t>张璐颖</t>
  </si>
  <si>
    <t>由⾕物蒸馏的⽩酒;烧酒（烈酒）;果酒;酒精饮料（啤酒除外）;⽩⼲酒（中国⽩酒）;含酒精的饮料（啤酒除外）;⽩酒;⽼酒（中国蒸馏烈酒）;⾼粱酒;已调味的蒸馏酒</t>
  </si>
  <si>
    <t>富头老闷</t>
  </si>
  <si>
    <t>井冈山市富头酒厂</t>
  </si>
  <si>
    <t>威⼠忌;开胃酒;⽩酒;⻩酒;清酒（⽇本⽶酒）;果酒（含酒精）;葡萄酒;鸡尾酒;⽶酒;蜂蜜酒</t>
  </si>
  <si>
    <t>品尚紫云轩</t>
  </si>
  <si>
    <t>刘英广</t>
  </si>
  <si>
    <t>苹果酒;⻩酒;果酒（含酒精）;开胃酒;已调味的⻨芽酿制的酒精饮料（啤酒除外）;酒精饮料（啤酒除外）;⻘稞酒;⽩酒;⾷⽤酒精;葡萄酒</t>
  </si>
  <si>
    <t>屹佬乡</t>
  </si>
  <si>
    <t>贵州省仁怀市艺彩包装有限公司</t>
  </si>
  <si>
    <t>烈酒;蒸煮提取物（利⼝酒和烈酒）;⽩⼲酒（中国⽩酒）;烧酒（烈酒）;果酒（含酒精）;⽼酒（中国蒸馏烈酒）;⾼粱酒;⾷⽤酒精;⽶酒;⽩酒</t>
  </si>
  <si>
    <t>SHENG JIN LE</t>
  </si>
  <si>
    <t>辛科烈酒集团有限责任公司</t>
  </si>
  <si>
    <t>玉龙涎</t>
  </si>
  <si>
    <t>王兴斌</t>
  </si>
  <si>
    <t>叶雄酣</t>
  </si>
  <si>
    <t>王宏伟</t>
  </si>
  <si>
    <t>⽩酒;鸡尾酒;烈酒（饮料）;含⽔果酒精饮料;清酒;果酒（含酒精）;威⼠忌;蒸馏饮料;酒精饮料原汁;烧酒</t>
  </si>
  <si>
    <t>GEBDHOPE</t>
  </si>
  <si>
    <t>北京热心肠生物技术研究院有限公司</t>
  </si>
  <si>
    <t>烈酒（饮料）;威⼠忌;清酒（⽇本⽶酒）;⽩兰地;烧酒;⽩酒;含⽔果酒精饮料;鸡尾酒;朗姆酒;⽶酒</t>
  </si>
  <si>
    <t>风如沐</t>
  </si>
  <si>
    <t>烧酒;蒸馏⽶酒（泡盛酒）;朝鲜烧酒;烧酒（烈酒）</t>
  </si>
  <si>
    <t>松柏茂</t>
  </si>
  <si>
    <t>挚悦</t>
  </si>
  <si>
    <t>东明铭系商贸有限公司</t>
  </si>
  <si>
    <t>⻩酒;烧酒;鸡尾酒;果酒（含酒精）;清酒（⽇本⽶酒）;⽶酒;汽酒;葡萄酒;⽩酒;含⽔果酒精饮料</t>
  </si>
  <si>
    <t>郧津</t>
  </si>
  <si>
    <t>十堰梓罡生态建设工程有限公司</t>
  </si>
  <si>
    <t>⽶酒;烈酒（饮料）;酒精饮料（啤酒除外）;葡萄酒;⾷⽤酒精;烧酒;蜂蜜酒;⻩酒;果酒（含酒精）;⽩酒</t>
  </si>
  <si>
    <t>季度重逢</t>
  </si>
  <si>
    <t>开胃酒;蜂蜜酒;烈酒（饮料）;⽩酒;清酒（⽇本⽶酒）;鸡尾酒;⻩酒;⻘稞酒;烧酒;威⼠忌</t>
  </si>
  <si>
    <t>汉舰</t>
  </si>
  <si>
    <t>邹焕兵</t>
  </si>
  <si>
    <t>⽶酒;含⽔果酒精饮料;烈酒（饮料）;⽩⼲酒（中国⽩酒）;蒸馏饮料;威⼠忌;利⼝酒;⾷⽤酒精;⽩酒;葡萄酒</t>
  </si>
  <si>
    <t>达尔鑫</t>
  </si>
  <si>
    <t>怀化达尔鑫科技发展有限公司</t>
  </si>
  <si>
    <t>桃红葡萄酒;甜酒;⽩⼲酒（中国⽩酒）;烧酒;清酒;果酒（含酒精）;威⼠忌;⽩酒;⽼酒（中国蒸馏烈酒）;⽩兰地</t>
  </si>
  <si>
    <t>顺稻来</t>
  </si>
  <si>
    <t>胡彩珍</t>
  </si>
  <si>
    <t>葡萄酒;⻩酒;烧酒;果酒（含酒精）;烈酒（饮料）;⽩酒;蒸馏饮料;酒精饮料（啤酒除外）;⽩兰地;⽶酒</t>
  </si>
  <si>
    <t>古相承</t>
  </si>
  <si>
    <t>刘传娇</t>
  </si>
  <si>
    <t>⽩酒;烧酒（烈酒）;⽶酒;⻩酒;⽼酒（中国蒸馏烈酒）;果酒;⽩⼲酒（中国⽩酒）;烧酒;清酒;果酒（含酒精）</t>
  </si>
  <si>
    <t>松鼠棒棒</t>
  </si>
  <si>
    <t>福建顺利投资有限公司</t>
  </si>
  <si>
    <t>⽩兰地;烧酒;酒精饮料（啤酒除外）;含酒精的⽓泡⽔;伏特加酒;果酒（含酒精）;威⼠忌;葡萄酒;朗姆酒;⽩酒</t>
  </si>
  <si>
    <t>巅往</t>
  </si>
  <si>
    <t>张嘉玲</t>
  </si>
  <si>
    <t>⾷⽤酒精;⻩酒;威⼠忌;鸡尾酒;葡萄酒;⽩酒;⽶酒;⽩兰地;果酒（含酒精）;烧酒</t>
  </si>
  <si>
    <t>水岸仁商</t>
  </si>
  <si>
    <t>烈酒;葡萄酒;⻘稞酒;⾼粱酒;⽩酒;烧酒;⻩酒;蒸馏饮料;⽶酒;果酒</t>
  </si>
  <si>
    <t>秦张子</t>
  </si>
  <si>
    <t>利⼝酒;⽩酒;⾷⽤酒精;⽩兰地;葡萄酒;蒸馏饮料;烈酒（饮料）;⾕物制蒸馏酒精饮料;果酒（含酒精）;开胃酒</t>
  </si>
  <si>
    <t>薙</t>
  </si>
  <si>
    <t>⽩酒;⻘稞酒;酒精饮料（啤酒除外）;清酒（⽇本⽶酒）;烧酒;烈酒（饮料）;⽶酒;葡萄酒;⻩酒;果酒（含酒精）</t>
  </si>
  <si>
    <t>薄太后</t>
  </si>
  <si>
    <t>刘宏</t>
  </si>
  <si>
    <t>⽶酒;汽酒;⻘稞酒;⻩酒;酒精饮料（啤酒除外）;⽼酒（中国蒸馏烈酒）;果酒（含酒精）;葡萄酒;清酒（⽇本⽶酒）;烈酒</t>
  </si>
  <si>
    <t>尹珍鸿</t>
  </si>
  <si>
    <t>贵州鸿枫针织有限公司</t>
  </si>
  <si>
    <t>⻩酒;朗姆酒;果酒（含酒精）;葡萄酒;⽶酒;开胃酒;酒精饮料（啤酒除外）;⻘稞酒;⽩兰地;⽩酒</t>
  </si>
  <si>
    <t>允景</t>
  </si>
  <si>
    <t>滁州奇猫信息科技有限公司</t>
  </si>
  <si>
    <t>果酒（含酒精）;烈酒（饮料）;⽶酒;酒精饮料（啤酒除外）;⽩酒;葡萄酒;预先混合的酒精饮料（以啤酒为主的除外）;清酒（⽇本⽶酒）;⻩酒;蒸馏饮料</t>
  </si>
  <si>
    <t>八井畲家</t>
  </si>
  <si>
    <t>牛得很（福建）健康管理有限公司</t>
  </si>
  <si>
    <t>⽩酒;烈酒;⽩兰地;鸡尾酒;威⼠忌;果酒;酒精饮料（啤酒除外）;⻩酒;烧酒;⽶酒</t>
  </si>
  <si>
    <t>伊佳尚品</t>
  </si>
  <si>
    <t>兰州伊佳商贸有限公司</t>
  </si>
  <si>
    <t>⻩酒;苦艾酒;含⽔果酒精饮料;甜果酒;⽩酒;⻘稞酒;⾷⽤酒精;⽶酒;苦荞酒;果酒（含酒精）</t>
  </si>
  <si>
    <t>享芝道</t>
  </si>
  <si>
    <t>灵瑞阳（广东）健康科技有限公司</t>
  </si>
  <si>
    <t>甜果酒;开胃酒;预先混合的酒精饮料（以啤酒为主的除外）;⽩酒;⻩酒;果酒;甜酒;餐后酒（利⼝酒和烈酒）;葡萄酒;酒精饮料浓缩汁</t>
  </si>
  <si>
    <t>祁合酒业</t>
  </si>
  <si>
    <t>烈酒;清酒（⽇本⽶酒）;威⼠忌;⽩酒;⻩酒;葡萄酒;开胃酒;酒精饮料（啤酒除外）;果酒（含酒精）;鸡尾酒</t>
  </si>
  <si>
    <t>敬传</t>
  </si>
  <si>
    <t>果酒（含酒精）;烈酒（饮料）;⻘稞酒;葡萄酒;酒精饮料（啤酒除外）;⻩酒;⽶酒;⽩酒;烧酒;清酒（⽇本⽶酒）</t>
  </si>
  <si>
    <t>缘生圆</t>
  </si>
  <si>
    <t>印江缘生圆家庭农场</t>
  </si>
  <si>
    <t>葡萄酒;果酒（含酒精）;鸡尾酒;⽶酒;⽩酒;威⼠忌;⻩酒;伏特加酒;烧酒;朗姆酒</t>
  </si>
  <si>
    <t>淳蔓</t>
  </si>
  <si>
    <t>沈体珍</t>
  </si>
  <si>
    <t>⽩酒;伏特加酒;烈酒;威⼠忌;鸡尾酒;清酒（⽇本⽶酒）;烧酒;酒精饮料原汁;⾷⽤酒精;酒精饮料（啤酒除外）</t>
  </si>
  <si>
    <t>LAN AUSTRI</t>
  </si>
  <si>
    <t>烈酒（饮料）;⽶酒;⾷⽤酒精;⻩酒;⻘稞酒;威⼠忌;烧酒;⽩酒;果酒（含酒精）;含⽔果酒精饮料</t>
  </si>
  <si>
    <t>凉都鹦哥</t>
  </si>
  <si>
    <t>王维峰</t>
  </si>
  <si>
    <t>⾼粱酒;葡萄酒;果酒（含酒精）;鸡尾酒;酒精饮料（啤酒除外）;⽶酒;烧酒;⻩酒;烈酒（饮料）;⽩酒</t>
  </si>
  <si>
    <t>尚家山</t>
  </si>
  <si>
    <t>山东谷朴新成新材料有限公司</t>
  </si>
  <si>
    <t>⾷⽤酒精;⽩酒;⽩兰地;清酒（⽇本⽶酒）;烧酒;⻩酒;葡萄酒;汽酒;果酒（含酒精）;酒精饮料（啤酒除外）</t>
  </si>
  <si>
    <t>漠龙福</t>
  </si>
  <si>
    <t>柯莹</t>
  </si>
  <si>
    <t>威⼠忌;葡萄酒;烈酒;⽩酒;开胃酒;鸡尾酒;果酒（含酒精）;酒精饮料（啤酒除外）;清酒（⽇本⽶酒）;⻩酒</t>
  </si>
  <si>
    <t>规作</t>
  </si>
  <si>
    <t>贵州贵能电气有限公司</t>
  </si>
  <si>
    <t>果酒（含酒精）;烈酒（饮料）;⽶酒;鸡尾酒;⽩酒;清酒（⽇本⽶酒）;⻩酒;烧酒;酒精饮料（啤酒除外）;葡萄酒</t>
  </si>
  <si>
    <t>九久红满天</t>
  </si>
  <si>
    <t>宋本洪</t>
  </si>
  <si>
    <t>威⼠忌;开胃酒;⽶酒;烧酒;葡萄酒;果酒（含酒精）;清酒（⽇本⽶酒）;烈酒（饮料）;⽩酒;⾷⽤酒精</t>
  </si>
  <si>
    <t>中该甄选</t>
  </si>
  <si>
    <t>菲斯可贸易有限公司</t>
  </si>
  <si>
    <t>⻩酒;烈酒（饮料）;酒精饮料（啤酒除外）;⽩酒;⽩⼲酒（中国⽩酒）;⽶酒;烧酒;果酒（含酒精）;葡萄酒;鸡尾酒</t>
  </si>
  <si>
    <t>魁老大</t>
  </si>
  <si>
    <t>钟礼魁</t>
  </si>
  <si>
    <t>蒸馏饮料;烧酒;⽶酒;鸡尾酒;甜酒;⽩酒;⾼粱酒;果酒（含酒精）;含⽔果酒精饮料;苦荞酒</t>
  </si>
  <si>
    <t>贵仁言</t>
  </si>
  <si>
    <t>⾷⽤酒精;威⼠忌;鸡尾酒;⻩酒;利⼝酒;⽩酒;⾼粱酒;果酒;⽶酒;烈酒</t>
  </si>
  <si>
    <t>欧颜</t>
  </si>
  <si>
    <t>烟台欧颜生物科技有限公司</t>
  </si>
  <si>
    <t>⽩酒;烧酒;⽩⼲酒（中国⽩酒）;汽酒;⽶酒;利⼝酒;果酒（含酒精）;酒精饮料（啤酒除外）;⽩兰地;葡萄酒</t>
  </si>
  <si>
    <t>豫窖龙</t>
  </si>
  <si>
    <t>郑州展迈商贸有限公司</t>
  </si>
  <si>
    <t>除啤酒外的酒精饮料;葡萄酒;⾼粱酒;烧酒（烈酒）;⻩酒;果酒（含酒精）;伏特加酒;⽩酒;由⾕物蒸馏的⽩酒;以葡萄酒为主的饮料</t>
  </si>
  <si>
    <t>望云端</t>
  </si>
  <si>
    <t>黄小川</t>
  </si>
  <si>
    <t>⽶酒;烧酒;⻩酒;果酒;⽩酒;⻘稞酒;酒精饮料（啤酒除外）;蒸馏饮料;葡萄酒;利⼝酒</t>
  </si>
  <si>
    <t>印象呼伦</t>
  </si>
  <si>
    <t>内蒙古哈撒尔王酒业有限责任公司</t>
  </si>
  <si>
    <t>烈酒（饮料）;烧酒;⻘稞酒;⾷⽤酒精;清酒;葡萄酒;酒精饮料（啤酒除外）;⽶酒;⻩酒;⽩酒</t>
  </si>
  <si>
    <t>节节生根</t>
  </si>
  <si>
    <t>韶关市曲江区小坑镇泉水酒坊（个体工商户）</t>
  </si>
  <si>
    <t>⾷⽤酒精;葡萄酒;苹果酒;⽩酒;果酒（含酒精）;⽶酒;酒精饮料原汁;⻩酒;含⽔果酒精饮料;鸡尾酒</t>
  </si>
  <si>
    <t>陇纯</t>
  </si>
  <si>
    <t>鸡尾酒;酒精饮料（啤酒除外）;果酒（含酒精）;清酒（⽇本⽶酒）;葡萄酒;⽩酒;开胃酒;威⼠忌;烈酒;⻩酒</t>
  </si>
  <si>
    <t>黑龙江省智谷天成农业科技发展有限责任公司</t>
  </si>
  <si>
    <t>⽩兰地;⽩酒;鸡尾酒;葡萄酒;清酒;果酒（含酒精）;开胃酒;⻩酒;烧酒;酒精饮料（啤酒除外）</t>
  </si>
  <si>
    <t>古河臻</t>
  </si>
  <si>
    <t>朗姆酒;烧酒;⽩兰地;⻩酒;⾷⽤酒精;利⼝酒;⽶酒;果酒（含酒精）;⽩酒;除啤酒外的酒精饮料</t>
  </si>
  <si>
    <t>桃园茗</t>
  </si>
  <si>
    <t>重庆至臻文化传播有限公司</t>
  </si>
  <si>
    <t>威⼠忌;餐后酒（利⼝酒和烈酒）;开胃酒;⼲型苹果酒;⽩酒;樱桃酒;酒精饮料原汁;含⽜奶的鸡尾酒;酒精饮料（啤酒除外）;梨酒</t>
  </si>
  <si>
    <t>梁东韵</t>
  </si>
  <si>
    <t>葡萄酒;含酒精的鸡尾酒混合饮品;鸡尾酒;以葡萄酒为主的饮料;果酒（含酒精）;⽩葡萄酒;⽩酒;含酒精的⽓泡⽔</t>
  </si>
  <si>
    <t>狼寨</t>
  </si>
  <si>
    <t>廖宇航</t>
  </si>
  <si>
    <t>果酒;清酒;烧酒;⾷⽤酒精;蒸煮提取物（利⼝酒和烈酒）;⽩酒;⻩酒;葡萄酒;⽶酒;酒精饮料（啤酒除外）</t>
  </si>
  <si>
    <t>盛金乐</t>
  </si>
  <si>
    <t>于大飞大师</t>
  </si>
  <si>
    <t>九易庄宸酒业（河北）有限公司</t>
  </si>
  <si>
    <t>开胃酒;果酒（含酒精）;⻩酒;烧酒;苹果酒;葡萄酒;酒精饮料（啤酒除外）;⽩酒;⽶酒;⻘稞酒</t>
  </si>
  <si>
    <t>星辰佳</t>
  </si>
  <si>
    <t>温日升</t>
  </si>
  <si>
    <t>⽩酒;果酒（含酒精）;威⼠忌;⽶酒;汽酒;烈酒（饮料）;酒精饮料（啤酒除外）;烧酒;伏特加酒;葡萄酒</t>
  </si>
  <si>
    <t>黔中鑫烨堂</t>
  </si>
  <si>
    <t>佘兴霞</t>
  </si>
  <si>
    <t>⽶酒;烈酒（饮料）;酒精饮料（啤酒除外）;果酒（含酒精）;⽩酒;葡萄酒;清酒（⽇本⽶酒）;⻩酒;烧酒;鸡尾酒</t>
  </si>
  <si>
    <t>翔轶</t>
  </si>
  <si>
    <t>⽩酒;⾷⽤酒精;鸡尾酒;酒精饮料（啤酒除外）;酒精饮料原汁;伏特加酒;威⼠忌;烈酒;烧酒;清酒（⽇本⽶酒）</t>
  </si>
  <si>
    <t>阿冠</t>
  </si>
  <si>
    <t>黄俊清</t>
  </si>
  <si>
    <t>葡萄酒;⽩酒;酒精饮料原汁;鸡尾酒;⽩兰地;威⼠忌;酒精饮料（啤酒除外）;蒸煮提取物（利⼝酒和烈酒）;⻩酒;果酒（含酒精）</t>
  </si>
  <si>
    <t>粮洞</t>
  </si>
  <si>
    <t>利⼝酒;葡萄酒;⾷⽤酒精;⽩酒;威⼠忌;⽩⼲酒（中国⽩酒）;烈酒（饮料）;含⽔果酒精饮料;蒸馏饮料;⽶酒</t>
  </si>
  <si>
    <t>眭哥</t>
  </si>
  <si>
    <t>眭发贤</t>
  </si>
  <si>
    <t>葡萄酒;⽩兰地;⻘稞酒;酒精饮料（啤酒除外）;烧酒;⽩酒;果酒（含酒精）;鸡尾酒;⻩酒;⽶酒</t>
  </si>
  <si>
    <t>浙莲香</t>
  </si>
  <si>
    <t>龙游毓硒酒业有限公司</t>
  </si>
  <si>
    <t>果酒;鸡尾酒;⾷⽤酒精;葡萄酒;烧酒;含⽔果酒精饮料;蒸煮提取物（利⼝酒和烈酒）;⽶酒;⻩酒;酒精饮料（啤酒除外）</t>
  </si>
  <si>
    <t>渝小民</t>
  </si>
  <si>
    <t>龙正华</t>
  </si>
  <si>
    <t>烈酒（饮料）;⽩兰地;⽩酒;鸡尾酒;酒精饮料（啤酒除外）;葡萄酒;⽶酒;烧酒;果酒（含酒精）;含⽔果酒精饮料</t>
  </si>
  <si>
    <t>潮汕犁斧</t>
  </si>
  <si>
    <t>李贵林</t>
  </si>
  <si>
    <t>葡萄酒;⽩兰地;⽩酒;⻩酒;开胃酒;含⽔果酒精饮料;果酒（含酒精）;⽶酒;烧酒;鸡尾酒</t>
  </si>
  <si>
    <t>善德湖</t>
  </si>
  <si>
    <t>湖南千年德商品牌管理有限公司</t>
  </si>
  <si>
    <t>⻘稞酒;⾷⽤酒精;⽩酒;烧酒;⽶酒;汽酒;⻩酒;薄荷酒;果酒（含酒精）;朗姆酒</t>
  </si>
  <si>
    <t>李记泸樽</t>
  </si>
  <si>
    <t>王英</t>
  </si>
  <si>
    <t>⽼酒（中国蒸馏烈酒）;⽩酒;由⾕物蒸馏的⽩酒;⻘稞酒;⽩⼲酒（中国⽩酒）;果酒（含酒精）;⾼粱酒;烧酒;⽶酒;⾕物制蒸馏酒精饮料</t>
  </si>
  <si>
    <t>瑶亦叙</t>
  </si>
  <si>
    <t>李遥</t>
  </si>
  <si>
    <t>威⼠忌;⽩酒;烧酒;蒸馏饮料;⽶酒;鸡尾酒;果酒（含酒精）;酒精饮料（啤酒除外）;葡萄酒;烈酒（饮料）</t>
  </si>
  <si>
    <t>规作之作</t>
  </si>
  <si>
    <t>烧酒;果酒（含酒精）;葡萄酒;烈酒（饮料）;鸡尾酒;⻩酒;⽶酒;酒精饮料（啤酒除外）;⽩酒;清酒（⽇本⽶酒）</t>
  </si>
  <si>
    <t>晓萍老</t>
  </si>
  <si>
    <t>⾼粱酒;甜酒;⽶酒;⽩⼲酒（中国⽩酒）;烧酒;⻩酒;葡萄酒;⽼酒（中国蒸馏烈酒）;烈酒;⽩酒</t>
  </si>
  <si>
    <t>乐活心</t>
  </si>
  <si>
    <t>刘彦霞</t>
  </si>
  <si>
    <t>清酒（⽇本⽶酒）;果酒（含酒精）;葡萄酒;烈酒（饮料）;⻩酒;⾼粱酒;⽩酒;蒸馏饮料;烧酒（烈酒）;⽶酒</t>
  </si>
  <si>
    <t>御粮义</t>
  </si>
  <si>
    <t>葡萄酒;烈酒（饮料）;⽶酒;⽩⼲酒（中国⽩酒）;含⽔果酒精饮料;⽩酒;烧酒;苹果酒;梨酒;果酒（含酒精）</t>
  </si>
  <si>
    <t>汉熙盈门</t>
  </si>
  <si>
    <t>汉熙酒业（广州）有限公司</t>
  </si>
  <si>
    <t>葡萄酒;利⼝酒;烧酒;⽶酒;⽩⼲酒（中国⽩酒）;⾷⽤酒精;酒精饮料（啤酒除外）;⽩酒;果酒;⻩酒</t>
  </si>
  <si>
    <t>三沈故里</t>
  </si>
  <si>
    <t>王冬</t>
  </si>
  <si>
    <t>葡萄酒;甜酒;⾼粱酒;⽼酒（中国蒸馏烈酒）;苦荞酒;烧酒;⻩酒;⽩酒;果酒;蜂蜜酒</t>
  </si>
  <si>
    <t>靛坪刘老头</t>
  </si>
  <si>
    <t>刘宏亮</t>
  </si>
  <si>
    <t>果酒（含酒精）;烧酒;蜂蜜酒;⽩酒;⻩酒;蒸馏饮料;开胃酒;含酒精的⽔果鸡尾酒饮料;葡萄酒;⽶酒</t>
  </si>
  <si>
    <t>酒州烟雨</t>
  </si>
  <si>
    <t>张传香</t>
  </si>
  <si>
    <t>⽶酒;酒精饮料（啤酒除外）;烈酒（饮料）;清酒（⽇本⽶酒）;葡萄酒;鸡尾酒;⽩酒;⻘稞酒;烧酒;⻩酒</t>
  </si>
  <si>
    <t>2024/05/23</t>
  </si>
  <si>
    <t>足古瑶</t>
  </si>
  <si>
    <t>广西西林足古瑶农林科技有限责任公司</t>
  </si>
  <si>
    <t>葡萄酒;烧酒;黄酒;老酒（中国蒸馏烈酒）;果酒（含酒精）;由谷物蒸馏的白酒;甘蔗制酒精饮料;蜂蜜酒;朗姆酒;白酒;米酒</t>
  </si>
  <si>
    <t>鹿圆坪</t>
  </si>
  <si>
    <t>恩施郎华商贸有限公司</t>
  </si>
  <si>
    <t>⽩兰地;⻩酒;果酒（含酒精）;葡萄酒;⽩酒;烈酒（饮料）;⽶酒;⻘稞酒;含酒精的饮料（啤酒除外）;果酒</t>
  </si>
  <si>
    <t>青农康旅</t>
  </si>
  <si>
    <t>江西青春康源集团有限公司</t>
  </si>
  <si>
    <t>⽩酒;果酒（含酒精）;烧酒;葡萄酒;⽶酒;⻩酒;含⽔果酒精饮料;鸡尾酒;烈酒（饮料）;威⼠忌</t>
  </si>
  <si>
    <t>正涂坦坦</t>
  </si>
  <si>
    <t>上海涂俊宏茶文化有限公司</t>
  </si>
  <si>
    <t>葡萄酒;酒精饮料（啤酒除外）;⽩酒;清酒（⽇本⽶酒）;含⽔果酒精饮料;果酒（含酒精）;鸡尾酒;⽶酒;⻩酒;威⼠忌</t>
  </si>
  <si>
    <t>王正干</t>
  </si>
  <si>
    <t>滕州欣瑞商贸有限公司</t>
  </si>
  <si>
    <t>果酒;鸡尾酒;⽩酒;⾼粱酒;清酒（⽇本⽶酒）;葡萄酒;预先混合的酒精饮料（以啤酒为主的除外）;⽶酒;酒精饮料（啤酒除外）;含⽔果酒精饮料</t>
  </si>
  <si>
    <t>缀云</t>
  </si>
  <si>
    <t>扬州市忠荣商贸有限公司</t>
  </si>
  <si>
    <t>含⽔果酒精饮料;葡萄酒;烈酒（饮料）;⻩酒;以葡萄酒为主的饮料;⽩葡萄酒;果酒（含酒精）;苹果酒;⽶酒;⽩酒</t>
  </si>
  <si>
    <t>果盛</t>
  </si>
  <si>
    <t>味霸食品科技（广州）有限公司</t>
  </si>
  <si>
    <t>⽩兰地;鸡尾酒;烈性⼲酒;⽇本松针酒;威⼠忌;清酒（⽇本⽶酒）;烧酒;⾕物制蒸馏酒精饮料;葡萄酒;清酒</t>
  </si>
  <si>
    <t>默醉仙</t>
  </si>
  <si>
    <t>魏涛</t>
  </si>
  <si>
    <t>烈酒（饮料）;伏特加酒;酒精饮料（啤酒除外）;葡萄酒;⽩酒;酒精饮料原汁;鸡尾酒;威⼠忌;清酒（⽇本⽶酒）;⽶酒</t>
  </si>
  <si>
    <t>金瓯全</t>
  </si>
  <si>
    <t>开胃酒;⻘稞酒;酒精饮料（啤酒除外）;鸡尾酒;果酒;⽩酒;苹果酒;含⽔果酒精饮料;⽶酒;葡萄酒</t>
  </si>
  <si>
    <t>今品颂</t>
  </si>
  <si>
    <t>王万祥</t>
  </si>
  <si>
    <t>威⼠忌;鸡尾酒;⽶酒;⽩酒;⾷⽤酒精;果酒（含酒精）;利⼝酒;⽩兰地;⻩酒;葡萄酒</t>
  </si>
  <si>
    <t>剑南春·鎏金纪</t>
  </si>
  <si>
    <t>果酒（含酒精）;酒精饮料浓缩汁;酒精饮料（啤酒除外）;⽶酒;烧酒;烈酒（饮料）;含⽔果酒精饮料;⻩酒;⽩酒;葡萄酒</t>
  </si>
  <si>
    <t>剑南春 鎏金纪</t>
  </si>
  <si>
    <t>烈酒（饮料）;酒精饮料（啤酒除外）;⽩酒;⻩酒;酒精饮料浓缩汁;果酒（含酒精）;葡萄酒;⽶酒;烧酒;含⽔果酒精饮料</t>
  </si>
  <si>
    <t>存象</t>
  </si>
  <si>
    <t>山东众意绩优铭农业科技有限公司</t>
  </si>
  <si>
    <t>烈酒;含酒精的饮料（啤酒除外）;由⾕物蒸馏的⽩酒;⽩酒;⾼粱酒;葡萄酒;果酒（含酒精）;⾕物制蒸馏酒精饮料;含⽔果酒精饮料;⻩酒</t>
  </si>
  <si>
    <t>袁红</t>
  </si>
  <si>
    <t>湖南谷基农业科技有限公司</t>
  </si>
  <si>
    <t>⽩酒;苦味酒;⻘稞酒;⻩酒;开胃酒;烧酒;葡萄酒;⽶酒;蜂蜜酒;⾷⽤酒精</t>
  </si>
  <si>
    <t>简佳徽</t>
  </si>
  <si>
    <t>阜南海佳商贸有限公司</t>
  </si>
  <si>
    <t>鸡尾酒;⽶酒;烈酒（饮料）;伏特加酒;⽩酒;葡萄酒;酒精饮料（啤酒除外）;烧酒;薄荷酒;威⼠忌</t>
  </si>
  <si>
    <t>驭虎</t>
  </si>
  <si>
    <t>葡萄酒;⽩酒;⽶酒;⻩酒;鸡尾酒;烈酒（饮料）;酒精饮料（啤酒除外）;烧酒;蒸馏饮料;果酒（含酒精）</t>
  </si>
  <si>
    <t>稻达富贵</t>
  </si>
  <si>
    <t>惠州市小仙壶酒商贸有限公司</t>
  </si>
  <si>
    <t>⾕物制蒸馏酒精饮料;含酒精的饮料（啤酒除外）;⽶酒;烈酒（饮料）;酒精饮料（啤酒除外）;⽩酒;烧酒</t>
  </si>
  <si>
    <t>糯相思</t>
  </si>
  <si>
    <t>王永涛</t>
  </si>
  <si>
    <t>烈酒;葡萄酒;威⼠忌;⽩酒;⻩酒;果酒（含酒精）;开胃酒;酒精饮料（啤酒除外）;清酒（⽇本⽶酒）;鸡尾酒</t>
  </si>
  <si>
    <t>盛粮门</t>
  </si>
  <si>
    <t>京城酒业（天津）有限公司</t>
  </si>
  <si>
    <t>果酒（含酒精）;汽酒;鸡尾酒;烧酒;葡萄酒;酒精饮料（啤酒除外）;威⼠忌;烈酒;⽩酒;⽩兰地</t>
  </si>
  <si>
    <t>聚宝磐</t>
  </si>
  <si>
    <t>钟议</t>
  </si>
  <si>
    <t>⽶酒;葡萄酒;⽩兰地;威⼠忌;烈酒（饮料）;烧酒;酒精饮料（啤酒除外）;⽩酒;鸡尾酒;果酒（含酒精）</t>
  </si>
  <si>
    <t>紫薇石圣</t>
  </si>
  <si>
    <t>香河锦阔软件开发工作室</t>
  </si>
  <si>
    <t>⽩酒;烈酒（饮料）;⽶酒;威⼠忌;烧酒;果酒（含酒精）;⾷⽤酒精;⻘稞酒;⻩酒;含⽔果酒精饮料</t>
  </si>
  <si>
    <t>糯王府</t>
  </si>
  <si>
    <t>云南糯王府饮品有限公司</t>
  </si>
  <si>
    <t>⻘稞酒;⽶酒;葡萄酒;⻩酒;⾕物制蒸馏酒精饮料;烧酒;果酒（含酒精）;烈酒（饮料）;酒精饮料（啤酒除外）;⽩酒</t>
  </si>
  <si>
    <t>酃客0734</t>
  </si>
  <si>
    <t>湖南青草桥酒铺商贸有限公司</t>
  </si>
  <si>
    <t>⽶酒;鸡尾酒;葡萄酒;烈酒（饮料）;清酒（⽇本⽶酒）;烧酒;果酒（含酒精）;酒精饮料（啤酒除外）;⽩酒;⻩酒</t>
  </si>
  <si>
    <t>紫圣乾之道</t>
  </si>
  <si>
    <t>⽶酒;⻘稞酒;含⽔果酒精饮料;威⼠忌;⻩酒;烧酒;⽩酒;⾷⽤酒精;烈酒（饮料）;果酒（含酒精）</t>
  </si>
  <si>
    <t>风之獭 OTTER OF WIND</t>
  </si>
  <si>
    <t>沈维业</t>
  </si>
  <si>
    <t>清酒;烈酒（饮料）;⻘稞酒;葡萄酒;清酒（⽇本⽶酒）;⻩酒;⽩酒;果酒（含酒精）;鸡尾酒;杜松⼦酒</t>
  </si>
  <si>
    <t>马如游龙</t>
  </si>
  <si>
    <t>李健</t>
  </si>
  <si>
    <t>葡萄酒;⻩酒;⽩酒;蒸馏饮料;烧酒;⽶酒;果酒（含酒精）;鸡尾酒;烈酒（饮料）;酒精饮料（啤酒除外）</t>
  </si>
  <si>
    <t>乐酒帝</t>
  </si>
  <si>
    <t>杨军华</t>
  </si>
  <si>
    <t>⻩酒;⽩⼲酒（中国⽩酒）;⾼粱酒;⽶酒;果酒（含酒精）;烧酒;苦荞酒;⽩酒;烈酒;开胃酒</t>
  </si>
  <si>
    <t>融亿人生</t>
  </si>
  <si>
    <t>遵义融亿酒业有限公司</t>
  </si>
  <si>
    <t>果酒（含酒精）;威⼠忌;葡萄酒;⽩酒;烧酒;烈酒（饮料）;清酒（⽇本⽶酒）;酒精饮料（啤酒除外）;⽶酒;开胃酒</t>
  </si>
  <si>
    <t>HERONSHINE</t>
  </si>
  <si>
    <t>北京京味情餐饮管理有限公司</t>
  </si>
  <si>
    <t>鸡尾酒;⽩⼲酒（中国⽩酒）;果酒（含酒精）;开胃酒;⻩酒;含奶油利⼝酒;葡萄酒;⽩兰地;酒精饮料（啤酒除外）;⽩酒</t>
  </si>
  <si>
    <t>恒杏缘</t>
  </si>
  <si>
    <t>陈登富</t>
  </si>
  <si>
    <t>威⼠忌;酒精饮料（啤酒除外）;⽩酒;果酒（含酒精）;⻩酒;薄荷酒;含⽔果酒精饮料;蒸馏饮料;葡萄酒;开胃酒</t>
  </si>
  <si>
    <t>十只喜鹊</t>
  </si>
  <si>
    <t>查正欢</t>
  </si>
  <si>
    <t>鸡尾酒;果酒（含酒精）;葡萄酒;⻩酒;⽶酒;酒精饮料（啤酒除外）;⽩酒;烈酒（饮料）;⻘稞酒;烧酒</t>
  </si>
  <si>
    <t>景君品</t>
  </si>
  <si>
    <t>柴燕飞</t>
  </si>
  <si>
    <t>⽩酒;⽶酒;烧酒（烈酒）;含酒精⽔果饮料;⾷⽤酒精;杨梅酒;果酒（含酒精）;葡萄酒;⻩酒;威⼠忌</t>
  </si>
  <si>
    <t>洞见米琪</t>
  </si>
  <si>
    <t>合肥洞见米琪酒业有限公司</t>
  </si>
  <si>
    <t>⽩兰地;露酒;清酒（⽇本⽶酒）;果酒（含酒精）;⽶酒;鸡尾酒;⻩酒;威⼠忌;⽩酒;葡萄酒</t>
  </si>
  <si>
    <t>尚美淇中</t>
  </si>
  <si>
    <t>王玲</t>
  </si>
  <si>
    <t>开胃酒;烧酒;清酒（⽇本⽶酒）;烧酒（烈酒）;红葡萄酒;⽶酒;⽩酒;葡萄酒;蜂蜜酒;果酒（含酒精）</t>
  </si>
  <si>
    <t>FAN MAKE</t>
  </si>
  <si>
    <t>揽华生物科技（山东）有限公司</t>
  </si>
  <si>
    <t>开胃酒;含⽔果酒精饮料;烧酒;酒精饮料（啤酒除外）;⽩酒;⻩酒;葡萄酒;⽶酒;鸡尾酒;烈酒（饮料）</t>
  </si>
  <si>
    <t>缘启不二</t>
  </si>
  <si>
    <t>张凯</t>
  </si>
  <si>
    <t>⾼粱酒;烈酒（饮料）;鸡尾酒;果酒（含酒精）;⽩酒;威⼠忌;葡萄酒;开胃酒;清酒（⽇本⽶酒）;⽩兰地</t>
  </si>
  <si>
    <t>汇仁</t>
  </si>
  <si>
    <t>汇仁酒业（河南）集团有限公司</t>
  </si>
  <si>
    <t>⽩兰地;葡萄酒;果酒（含酒精）;含⽔果酒精饮料;⻩酒;⽶酒;蒸煮提取物（利⼝酒和烈酒）;酒精饮料（啤酒除外）;威⼠忌;蒸馏饮料</t>
  </si>
  <si>
    <t>岳灵猫</t>
  </si>
  <si>
    <t>合肥市庐阳区岳灵酒行（个体工商户）</t>
  </si>
  <si>
    <t>含酒精的饮料（啤酒除外）;烈酒;⽩酒;朗姆酒（酒精饮料）;⽶酒;果酒;⾷⽤酒精;葡萄酒;酒精饮料原汁;伏特加酒</t>
  </si>
  <si>
    <t>极疆</t>
  </si>
  <si>
    <t>襄阳大巨商贸有限公司</t>
  </si>
  <si>
    <t>葡萄酒;酒精饮料（啤酒除外）;⽶酒;⽩酒;⻩酒;⾕物制蒸馏酒精饮料;鸡尾酒;蜂蜜酒;果酒（含酒精）;⻘稞酒</t>
  </si>
  <si>
    <t>律霖鏖醉</t>
  </si>
  <si>
    <t>靖边春谷酒业经营部（个体工商户）</t>
  </si>
  <si>
    <t>果酒（含酒精）;⽩酒;利⼝酒;含酒精的鸡尾酒混合饮品;酒精饮料（啤酒除外）;以朗姆酒为主的饮料;含酒精⽔果饮料;果酒;蒸煮提取物（利⼝酒和烈酒）;调制好的葡萄酒鸡尾酒</t>
  </si>
  <si>
    <t>FOOANT</t>
  </si>
  <si>
    <t>陈盈盈</t>
  </si>
  <si>
    <t>以葡萄酒为主的开胃酒;⾷⽤酒精;清酒;鸡尾酒;苦味酒;威⼠忌;⽩酒;含酒精的饮料（啤酒除外）;烧酒;⽇式甜⽶酒</t>
  </si>
  <si>
    <t>徽食久</t>
  </si>
  <si>
    <t>太原徽食久餐饮管理有限公司</t>
  </si>
  <si>
    <t>以葡萄酒为主的饮料;烧酒;葡萄酒;酒精饮料浓缩汁;⽩兰地;茴芹酒（利⼝酒）;餐后酒（利⼝酒和烈酒）;⽶酒;⽩酒;苦味酒</t>
  </si>
  <si>
    <t>域呈紫圣</t>
  </si>
  <si>
    <t>⾷⽤酒精;含⽔果酒精饮料;威⼠忌;烧酒;⽶酒;⻩酒;果酒（含酒精）;烈酒（饮料）;⽩酒;⻘稞酒</t>
  </si>
  <si>
    <t>今日宝宝</t>
  </si>
  <si>
    <t>山东晟帆文化传媒有限公司</t>
  </si>
  <si>
    <t>⽩酒;汽酒;威⼠忌;⽶酒;果酒（含酒精）;⻩酒;⾷⽤酒精;薄荷酒;含⽔果酒精饮料;葡萄酒</t>
  </si>
  <si>
    <t>神秘吴</t>
  </si>
  <si>
    <t>烈酒;⽶酒;葡萄酒;甜酒;⻩酒;烧酒;⾼粱酒;⽩⼲酒（中国⽩酒）;⽼酒（中国蒸馏烈酒）;⽩酒</t>
  </si>
  <si>
    <t>君赤为信</t>
  </si>
  <si>
    <t>马超伟</t>
  </si>
  <si>
    <t>⽶酒;⾕物制蒸馏酒精饮料;烧酒;⽩酒;酒精饮料（啤酒除外）;葡萄酒;烈酒（饮料）;清酒（⽇本⽶酒）;开胃酒;果酒（含酒精）</t>
  </si>
  <si>
    <t>百花山</t>
  </si>
  <si>
    <t>赵建明</t>
  </si>
  <si>
    <t>酒精饮料（啤酒除外）;烧酒;露酒;开胃酒;烈酒（饮料）;⻘稞酒;⻩酒;⽩酒;苦荞酒;蒸馏饮料</t>
  </si>
  <si>
    <t>晓萍鲁</t>
  </si>
  <si>
    <t>甜酒;烈酒;⾼粱酒;⽼酒（中国蒸馏烈酒）;葡萄酒;⽩⼲酒（中国⽩酒）;⽩酒;⽶酒;烧酒;⻩酒</t>
  </si>
  <si>
    <t>RCKUG</t>
  </si>
  <si>
    <t>张相强</t>
  </si>
  <si>
    <t>烈酒（饮料）;清酒（⽇本⽶酒）;蜂蜜酒;鸡尾酒;烧酒;⽩酒;⻘稞酒;开胃酒;威⼠忌;⻩酒</t>
  </si>
  <si>
    <t>冰宝家合</t>
  </si>
  <si>
    <t>桦川县鑫华米业有限公司</t>
  </si>
  <si>
    <t>⻩酒;烈酒;⽔果汽酒;含酒精的⽓泡⽔;天然汽酒;烧酒;⽩酒;烧酒（烈酒）;由⾕物蒸馏的⽩酒;⽶酒</t>
  </si>
  <si>
    <t>慈忆</t>
  </si>
  <si>
    <t>郑成明</t>
  </si>
  <si>
    <t>烧酒;果酒（含酒精）;葡萄酒;⽶酒;鸡尾酒;杨梅酒;利⼝酒;⻩酒;威⼠忌;⽩酒</t>
  </si>
  <si>
    <t>挑袍</t>
  </si>
  <si>
    <t>刘晓玲</t>
  </si>
  <si>
    <t>葡萄酒;⾷⽤酒精;果酒;鸡尾酒;⽶酒;蒸馏饮料;利⼝酒;酒精饮料浓缩汁;⻩酒;⽩酒</t>
  </si>
  <si>
    <t>佛山市博之润企业投资有限公司</t>
  </si>
  <si>
    <t>⽩酒;烧酒;烈酒（饮料）;含⽔果酒精饮料;⻩酒;果酒（含酒精）;葡萄酒;酒精饮料原汁;⾷⽤酒精;⽶酒</t>
  </si>
  <si>
    <t>金桥阑珊</t>
  </si>
  <si>
    <t>河北金桥大通新材料有限公司</t>
  </si>
  <si>
    <t>葡萄酒;含⽔果酒精饮料;预先混合的酒精饮料（以啤酒为主的除外）;⾕物制蒸馏酒精饮料;⽩酒;以葡萄酒为主的饮料;果酒（含酒精）;⽩兰地;酒精饮料（啤酒除外）;威⼠忌</t>
  </si>
  <si>
    <t>七鲜良品</t>
  </si>
  <si>
    <t>江苏卓誉信息技术有限公司</t>
  </si>
  <si>
    <t>开胃酒;含⽔果酒精饮料;葡萄酒;⽩酒;鸡尾酒;朗姆酒;果酒（含酒精）;酒精饮料浓缩汁;利⼝酒;酒精饮料（啤酒除外）</t>
  </si>
  <si>
    <t>旅小甄</t>
  </si>
  <si>
    <t>中农信供应链管理（北京）有限公司</t>
  </si>
  <si>
    <t>⽩酒;开胃酒;⾷⽤酒精;酒精饮料浓缩汁;⾕物制蒸馏酒精饮料;酒精饮料原汁;酒精饮料（啤酒除外）;葡萄酒;烈酒;含酒精的鸡尾酒混合饮品</t>
  </si>
  <si>
    <t>汇荞</t>
  </si>
  <si>
    <t>凉山州惠乔生物科技有限责任公司</t>
  </si>
  <si>
    <t>⽩酒;⻘稞酒;酒精饮料（啤酒除外）;果酒（含酒精）;苦荞酒;葡萄酒;威⼠忌;⽶酒;⽩兰地;鸡尾酒</t>
  </si>
  <si>
    <t>蔡忠利</t>
  </si>
  <si>
    <t>⻩酒;果酒（含酒精）;⾕物制蒸馏酒精饮料;⽩酒;酒精饮料原汁;苦味酒;烈酒（饮料）;⽶酒;葡萄酒;鸡尾酒</t>
  </si>
  <si>
    <t>唐慎微</t>
  </si>
  <si>
    <t>四川省崇阳酒业有限责任公司</t>
  </si>
  <si>
    <t>⽶酒;汽酒;⽩酒;含酒精的饮料（啤酒除外）;预先混合的酒精饮料（以啤酒为主的除外）;已调味的蒸馏酒;烈酒（饮料）;烈性⼲酒;开胃酒;果酒（含酒精）</t>
  </si>
  <si>
    <t>金初古</t>
  </si>
  <si>
    <t>胡小静</t>
  </si>
  <si>
    <t>葡萄酒;⽩酒;蒸煮提取物（利⼝酒和烈酒）;烧酒;⾼粱酒;开胃酒;酒精饮料（啤酒除外）;含⽔果酒精饮料;⽶酒;⻩酒</t>
  </si>
  <si>
    <t>绵鼎</t>
  </si>
  <si>
    <t>四川龙吟九洲酒业有限公司</t>
  </si>
  <si>
    <t>⽩酒;⻘稞酒;酒精饮料原汁;葡萄酒;⽶酒;⽩兰地;⻩酒;露酒;果酒（含酒精）;梨酒</t>
  </si>
  <si>
    <t>练江口</t>
  </si>
  <si>
    <t>郑晓燕</t>
  </si>
  <si>
    <t>果酒（含酒精）;餐后酒（利⼝酒和烈酒）;⻩酒;⽩酒;⻘稞酒;朝鲜族⽶酒;葡萄酒;清酒（⽇本⽶酒）;⽶酒;酒精饮料（啤酒除外）</t>
  </si>
  <si>
    <t>墨三千</t>
  </si>
  <si>
    <t>台州市向上农业有限公司</t>
  </si>
  <si>
    <t>果酒（含酒精）;酒精饮料原汁;⽩酒;葡萄酒;烧酒;含⽔果酒精饮料;⻩酒;⽶酒;以葡萄酒为主的饮料;酒精饮料（啤酒除外）</t>
  </si>
  <si>
    <t>百德酒业（广东）有限公司</t>
  </si>
  <si>
    <t>烈酒（饮料）;⽩兰地;果酒（含酒精）;酒精饮料（啤酒除外）;⽩酒;酒精饮料原汁;⽶酒;葡萄酒;烧酒;⾷⽤酒精</t>
  </si>
  <si>
    <t>千湖永䦅</t>
  </si>
  <si>
    <t>张丽</t>
  </si>
  <si>
    <t>烧酒;烈酒（饮料）;⽶酒;⽩酒;甜酒;⻩酒;果酒（含酒精）;清酒（⽇本⽶酒）;酒精饮料（啤酒除外）;葡萄酒</t>
  </si>
  <si>
    <t>五溪山色</t>
  </si>
  <si>
    <t>安徽省金九华酒业有限公司</t>
  </si>
  <si>
    <t>酒精饮料（啤酒除外）;⻩酒;烧酒;果酒（含酒精）;含⽔果酒精饮料;开胃酒;⽶酒;⽩酒;预先混合的酒精饮料（以啤酒为主的除外）;烈酒（饮料）</t>
  </si>
  <si>
    <t>音我出彩</t>
  </si>
  <si>
    <t>中米平泉文化传媒有限公司</t>
  </si>
  <si>
    <t>⽶酒;葡萄酒;汽酒;酒精饮料原汁;⽩酒;⾕物制蒸馏酒精饮料;酒精饮料（啤酒除外）;鸡尾酒;开胃酒;果酒</t>
  </si>
  <si>
    <t>云鹿湾</t>
  </si>
  <si>
    <t>达州市贵恒老农夫家庭农场</t>
  </si>
  <si>
    <t>红葡萄酒;蜂蜜酒;⽇本梅⼦酒;⽩兰地;含⽔果酒精饮料;烈酒;果酒;开胃酒;苹果酒;⽩酒</t>
  </si>
  <si>
    <t>黔小醇欢乐</t>
  </si>
  <si>
    <t>苏瑶</t>
  </si>
  <si>
    <t>果酒（含酒精）;烈酒（饮料）;烧酒;⽶酒;酒精饮料（啤酒除外）;⽩酒;开胃酒;清酒（⽇本⽶酒）;威⼠忌;葡萄酒</t>
  </si>
  <si>
    <t>夏韵风华</t>
  </si>
  <si>
    <t>宁夏华熙酒庄有限公司</t>
  </si>
  <si>
    <t>果酒（含酒精）;开胃酒;含⽔果酒精饮料;汽酒;预先混合的酒精饮料（以啤酒为主的除外）;酒精饮料原汁;酒精饮料（啤酒除外）;以葡萄酒为主的饮料;酒精饮料浓缩汁;葡萄酒</t>
  </si>
  <si>
    <t>本之舞</t>
  </si>
  <si>
    <t>杜松⼦酒;清酒（⽇本⽶酒）;⻩酒;⽩酒;酒精饮料（啤酒除外）;鸡尾酒;葡萄酒;烈酒（饮料）;威⼠忌;果酒（含酒精）</t>
  </si>
  <si>
    <t>花随</t>
  </si>
  <si>
    <t>广州昌源记食品科技有限公司</t>
  </si>
  <si>
    <t>语界</t>
  </si>
  <si>
    <t>戚兴芳</t>
  </si>
  <si>
    <t>果酒（含酒精）;开胃酒;烈酒（饮料）;⽶酒;葡萄酒;⾷⽤酒精;蒸馏饮料;⻩酒;⽩酒;酒精饮料（啤酒除外）</t>
  </si>
  <si>
    <t>善食良物</t>
  </si>
  <si>
    <t>贵州金猫猫供应链有限公司</t>
  </si>
  <si>
    <t>⽢蔗制烈酒;果酒（含酒精）;烧酒;酒精饮料（啤酒除外）;⻩酒;鸡尾酒;⽩酒;葡萄酒;⽶酒;烈酒（饮料）</t>
  </si>
  <si>
    <t>海惠趣</t>
  </si>
  <si>
    <t>苏州趣鱼供应链管理有限公司</t>
  </si>
  <si>
    <t>葡萄酒;酒精饮料(啤酒除外);⽶酒;红葡萄酒;梨酒;含⽔果酒精饮料;果酒(含酒精);蜂蜜酒;樱桃酒;鸡尾酒</t>
  </si>
  <si>
    <t>柳姨螺小苑</t>
  </si>
  <si>
    <t>广西柳州市螺小苑餐饮管理有限公司</t>
  </si>
  <si>
    <t>⽶酒;蒸馏饮料;鸡尾酒;⽩酒;⻩酒;果酒（含酒精）;威⼠忌;葡萄酒;汽酒;开胃酒</t>
  </si>
  <si>
    <t>优食族</t>
  </si>
  <si>
    <t>武汉姬小二食品有限公司</t>
  </si>
  <si>
    <t>葡萄酒;酒精饮料原汁;预先混合的酒精饮料（以啤酒为主的除外）;⽩酒;含⽔果酒精饮料;酒精饮料浓缩汁;酒精饮料（啤酒除外）;果酒（含酒精）;烈酒（饮料）;蜂蜜酒</t>
  </si>
  <si>
    <t>盟小纯</t>
  </si>
  <si>
    <t>张淏森</t>
  </si>
  <si>
    <t>开胃酒;葡萄酒;鸡尾酒;烧酒;⽶酒;威⼠忌;⾷⽤酒精;⻩酒;⽩酒;酒精饮料（啤酒除外）</t>
  </si>
  <si>
    <t>花香漓渚</t>
  </si>
  <si>
    <t>浙江运筹供应链管理有限公司</t>
  </si>
  <si>
    <t>⽩酒;⽶酒;⻩酒;开胃酒;含酒精的充⽓饮料（啤酒除外）;含酒精的鸡尾酒混合饮品;果酒;餐后酒（利⼝酒和烈酒）;由⾕物蒸馏的⽩酒;天然汽酒</t>
  </si>
  <si>
    <t>义琦</t>
  </si>
  <si>
    <t>江苏众爱食品有限公司</t>
  </si>
  <si>
    <t>⽩酒;葡萄酒;果酒（含酒精）;烧酒;含酒精的饮料（啤酒除外）;⽶酒</t>
  </si>
  <si>
    <t>萨普阿西勒克</t>
  </si>
  <si>
    <t>常玉龙</t>
  </si>
  <si>
    <t>伏特加酒;含酒精⽔果饮料;混合威⼠忌酒;⽩酒;⽩葡萄酒;烈酒;⽩兰地;葡萄酒;⽩⼲酒（中国⽩酒）;朗姆酒</t>
  </si>
  <si>
    <t>贻之曦玖</t>
  </si>
  <si>
    <t>温州曦玖商贸有限公司</t>
  </si>
  <si>
    <t>酒精饮料（啤酒除外）;⽩酒;⽶酒;⻩酒;蒸馏饮料;果酒（含酒精）;开胃酒;汽酒;⽩兰地;葡萄酒</t>
  </si>
  <si>
    <t>美鱼妈妈</t>
  </si>
  <si>
    <t>上海星悟品牌管理有限公司</t>
  </si>
  <si>
    <t>葡萄酒;威⼠忌;烈酒（饮料）;⻩酒;伏特加酒;⾷⽤酒精;⽩兰地;果酒（含酒精）;酒精饮料（啤酒除外）;⽩酒</t>
  </si>
  <si>
    <t>铁炉红火</t>
  </si>
  <si>
    <t>河源市源城区习斌艺术工作室</t>
  </si>
  <si>
    <t>果酒（含酒精）;酒精饮料（啤酒除外）;⽶酒;⾕物制蒸馏酒精饮料;烧酒;⻩酒;鸡尾酒;⽩兰地;威⼠忌;⽩酒</t>
  </si>
  <si>
    <t>中品至</t>
  </si>
  <si>
    <t>黄高华</t>
  </si>
  <si>
    <t>果酒（含酒精）;鸡尾酒;⽩兰地;酒精饮料原汁;蒸煮提取物（利⼝酒和烈酒）;葡萄酒;威⼠忌;酒精饮料（啤酒除外）;⽩酒;⻩酒</t>
  </si>
  <si>
    <t>灏恩</t>
  </si>
  <si>
    <t>胜建阀门制造有限公司</t>
  </si>
  <si>
    <t>⽩兰地;葡萄酒;⻩酒;⾼粱酒;威⼠忌;⽩⼲酒（中国⽩酒）;⽩酒;⽶酒;烧酒;⽼酒（中国蒸馏烈酒）</t>
  </si>
  <si>
    <t>贵神天下</t>
  </si>
  <si>
    <t>李朝俊</t>
  </si>
  <si>
    <t>果酒（含酒精）;⽩酒;⽩⼲酒（中国⽩酒）;清酒;烧酒;⻩酒;果酒;葡萄酒;⽶酒;⽼酒（中国蒸馏烈酒）</t>
  </si>
  <si>
    <t>京仕有缘</t>
  </si>
  <si>
    <t>应俊</t>
  </si>
  <si>
    <t>⽼酒（中国蒸馏烈酒）;含酒精的饮料（啤酒除外）;含酒精⽔果饮料;⽶酒;含酒精的充⽓饮料（啤酒除外）;果酒;酒精饮料原汁;除啤酒外的酒精饮料;⽩⼲酒（中国⽩酒）;⻩酒</t>
  </si>
  <si>
    <t>韩高吴越</t>
  </si>
  <si>
    <t>上海韩高田园文化科技（集团）有限公司</t>
  </si>
  <si>
    <t>⻩酒;⽩酒;酒精饮料原汁;威⼠忌;⾷⽤酒精;蒸馏饮料;含⽔果酒精饮料;烧酒;⽶酒;烈酒（饮料）</t>
  </si>
  <si>
    <t>一舞醉流年</t>
  </si>
  <si>
    <t>河南金泰诺酒业有限公司</t>
  </si>
  <si>
    <t>果酒;含⽔果酒精饮料;⻩酒;烧酒;葡萄酒;利⼝酒;⽩酒;果酒（含酒精）;酒精饮料（啤酒除外）;烈酒</t>
  </si>
  <si>
    <t>渥川谷帘</t>
  </si>
  <si>
    <t>渥川优选（丽水）科技有限公司</t>
  </si>
  <si>
    <t>⻩酒;甜酒;⽩酒;清酒;⾼粱酒;露酒;葡萄酒;⽶酒;苦荞酒;果酒</t>
  </si>
  <si>
    <t>北京东方阳阳企业管理有限公司</t>
  </si>
  <si>
    <t>⽶酒;果酒（含酒精）;葡萄酒;烈酒（饮料）;酒精饮料原汁;酒精饮料（啤酒除外）;蒸馏饮料;汽酒;⽩酒;烧酒</t>
  </si>
  <si>
    <t>蒂凡德</t>
  </si>
  <si>
    <t>合肥品唇贸易有限公司</t>
  </si>
  <si>
    <t>鸡尾酒;葡萄酒;果酒（含酒精）;⽩兰地;甜酒;烧酒;⻩酒;⽩酒;⽶酒;酒精饮料（啤酒除外）</t>
  </si>
  <si>
    <t>晓萍藏</t>
  </si>
  <si>
    <t>烧酒;⽩酒;⾼粱酒;⽩⼲酒（中国⽩酒）;⽼酒（中国蒸馏烈酒）;⻩酒;葡萄酒;⽶酒;烈酒;甜酒</t>
  </si>
  <si>
    <t>秦于张</t>
  </si>
  <si>
    <t>沈阳正皓茶业有限公司</t>
  </si>
  <si>
    <t>果酒;⻩酒;烈酒;葡萄酒;⾼粱酒;⽩酒;鸡尾酒;⽶酒;烧酒;威⼠忌</t>
  </si>
  <si>
    <t>傲世楚柳香</t>
  </si>
  <si>
    <t>广州鑫用通贸易有限公司</t>
  </si>
  <si>
    <t>葡萄酒;⽩酒;烧酒;蒸馏饮料;⻩酒;果酒（含酒精）;鸡尾酒;酒精饮料（啤酒除外）;预先混合的酒精饮料（以啤酒为主的除外）;⽶酒</t>
  </si>
  <si>
    <t>由茗由喜</t>
  </si>
  <si>
    <t>厦门中天旭日投资实业有限公司</t>
  </si>
  <si>
    <t>烧酒;⽶酒;⽩兰地;葡萄酒;酒精饮料（啤酒除外）;含⽔果酒精饮料;果酒（含酒精）;含酒精的⽓泡⽔;⽩酒;蒸馏饮料</t>
  </si>
  <si>
    <t>金初老</t>
  </si>
  <si>
    <t>酒精饮料（啤酒除外）;含⽔果酒精饮料;⻩酒;⾼粱酒;烧酒;⽶酒;⽩酒;蒸煮提取物（利⼝酒和烈酒）;开胃酒;葡萄酒</t>
  </si>
  <si>
    <t>贞元朴方</t>
  </si>
  <si>
    <t>高富强</t>
  </si>
  <si>
    <t>⽩酒;⻩酒;蒸馏⽶酒（泡盛酒）;葡萄酒;酒精饮料（啤酒除外）;⽶酒;烧酒;果酒（含酒精）;清酒（⽇本⽶酒）;烈酒（饮料）</t>
  </si>
  <si>
    <t>酌汀</t>
  </si>
  <si>
    <t>韦敬德</t>
  </si>
  <si>
    <t>⽩酒;威⼠忌;烈酒;酒精饮料（啤酒除外）;鸡尾酒;清酒（⽇本⽶酒）;葡萄酒;开胃酒;果酒（含酒精）;⻩酒</t>
  </si>
  <si>
    <t>梅之益</t>
  </si>
  <si>
    <t>厦门市康盛佳农业科技有限公司</t>
  </si>
  <si>
    <t>⻘梅酒;酒精饮料（啤酒除外）;⻩酒;烧酒;⽶酒;清酒;开胃酒;含⽔果酒精饮料;烈酒（饮料）;果酒（含酒精）</t>
  </si>
  <si>
    <t>三晋王府</t>
  </si>
  <si>
    <t>朔州市永昌商贸有限公司</t>
  </si>
  <si>
    <t>⽩酒;苹果酒;酒精饮料（啤酒除外）;鸡尾酒;开胃酒;烈酒（饮料）;果酒（含酒精）;⽶酒;蒸馏饮料;威⼠忌</t>
  </si>
  <si>
    <t>礥道石圣</t>
  </si>
  <si>
    <t>威⼠忌;果酒（含酒精）;烈酒（饮料）;烧酒;⻩酒;⽶酒;⻘稞酒;含⽔果酒精饮料;⾷⽤酒精;⽩酒</t>
  </si>
  <si>
    <t>二滇二滇</t>
  </si>
  <si>
    <t>范怀贵</t>
  </si>
  <si>
    <t>⽩酒;⽩兰地;⽶酒;伏特加酒;⻘稞酒;果酒;烈酒;梅酒;烧酒;⻩酒</t>
  </si>
  <si>
    <t>北京新隆福文化投资有限公司</t>
  </si>
  <si>
    <t>果酒（含酒精）;烧酒;⽩酒;汽酒;朗姆酒;鸡尾酒;葡萄酒;开胃酒;酒精饮料（啤酒除外）;⽶酒</t>
  </si>
  <si>
    <t>晓萍儒</t>
  </si>
  <si>
    <t>⽶酒;⾼粱酒;⽩酒;葡萄酒;烧酒;⽼酒（中国蒸馏烈酒）;甜酒;烈酒;⻩酒;⽩⼲酒（中国⽩酒）</t>
  </si>
  <si>
    <t>长沙慧朋文化有限公司</t>
  </si>
  <si>
    <t>葡萄酒;酒精饮料（啤酒除外）;⽶酒;⽩酒;⽼酒（中国蒸馏烈酒）;⽩⼲酒（中国⽩酒）;果酒;⾷⽤酒精;烧酒（烈酒）;⻩酒</t>
  </si>
  <si>
    <t>吾帝</t>
  </si>
  <si>
    <t>唐金平</t>
  </si>
  <si>
    <t>烧酒;⽩酒;利⼝酒;⽩⼲酒（中国⽩酒）;蒸馏饮料;烈酒;⽶酒;含酒精的饮料（啤酒除外）;餐后酒（利⼝酒和烈酒）;烧酒（烈酒）</t>
  </si>
  <si>
    <t>默灵泉</t>
  </si>
  <si>
    <t>福建默灵泉贸易股份有限公司</t>
  </si>
  <si>
    <t>果酒（含酒精）;酒精饮料（啤酒除外）;葡萄酒;⽶酒;⽩酒;鸡尾酒;⾷⽤酒精;⻩酒;烧酒;酒精饮料原汁</t>
  </si>
  <si>
    <t>默旭台</t>
  </si>
  <si>
    <t>⽶酒;酒精饮料（啤酒除外）;清酒（⽇本⽶酒）;酒精饮料原汁;⽩酒;鸡尾酒;伏特加酒;威⼠忌;葡萄酒;烈酒（饮料）</t>
  </si>
  <si>
    <t>京丝路商贸（北京）有限公司</t>
  </si>
  <si>
    <t>葡萄酒;果酒;烧酒;清酒;⾼粱酒;⽩酒;露酒;⽶酒;⻩酒;⻘稞酒</t>
  </si>
  <si>
    <t>润秋盈</t>
  </si>
  <si>
    <t>吉林省旺钦农业科技发展有限公司</t>
  </si>
  <si>
    <t>⽩酒;烧酒;含酒精⽔果饮料;果酒（含酒精）;⾼粱酒;⻩酒;烈酒（饮料）;酒精饮料（啤酒除外）;⽶酒;葡萄酒</t>
  </si>
  <si>
    <t>村崎</t>
  </si>
  <si>
    <t>⽩酒;酒精饮料（啤酒除外）;烧酒;果酒（含酒精）;⽶酒;葡萄酒;烈酒（饮料）;⽩兰地;鸡尾酒;威⼠忌</t>
  </si>
  <si>
    <t>宫本町 MIYAMOTO TOWN</t>
  </si>
  <si>
    <t>伏特加酒;葡萄酒;朗姆酒;⽶酒;汽酒;⽩酒;果酒（含酒精）;鸡尾酒;清酒（⽇本⽶酒）;⻩酒</t>
  </si>
  <si>
    <t>再思青酿</t>
  </si>
  <si>
    <t>四川成都盐井酒业有限责任公司</t>
  </si>
  <si>
    <t>⽩酒;果酒;烈酒;杨梅酒;⽩兰地;⽶酒;鸡尾酒;⻩酒;⾼粱酒;⾷⽤酒精</t>
  </si>
  <si>
    <t>如鸟小饮</t>
  </si>
  <si>
    <t>杭州众马商业管理有限公司</t>
  </si>
  <si>
    <t>烧酒;⾼粱酒;蒸馏⽶酒（泡盛酒）;清酒;含⽔果酒精饮料;甜酒;果酒;⽩酒;⻩酒;烈酒</t>
  </si>
  <si>
    <t>鼎盛泰芝</t>
  </si>
  <si>
    <t>泰安市鼎盛投资有限公司</t>
  </si>
  <si>
    <t>⽶酒;⻩酒;果酒;苦味酒;⾕物制蒸馏酒精饮料;葡萄酒;蒸馏饮料;⽩酒;烧酒;烈酒</t>
  </si>
  <si>
    <t>仙海登州</t>
  </si>
  <si>
    <t>济南仙海登州商贸有限公司</t>
  </si>
  <si>
    <t>⽩酒;葡萄酒;⽩兰地;⽶酒;朗姆酒;⽩⼲酒（中国⽩酒）;烧酒;威⼠忌;⻩酒;伏特加酒</t>
  </si>
  <si>
    <t>2024/05/24</t>
  </si>
  <si>
    <t>澳愉</t>
  </si>
  <si>
    <t>中尚健康产业（浙江）有限公司</t>
  </si>
  <si>
    <t>含⽔果酒精饮料;⻩酒;果酒（含酒精）;烧酒;葡萄酒;酒精饮料（啤酒除外）;蒸馏饮料;⽶酒;⽩酒;酒精饮料原汁</t>
  </si>
  <si>
    <t>子兴酒匠</t>
  </si>
  <si>
    <t>黄彪</t>
  </si>
  <si>
    <t>露酒;利⼝酒;⽩酒;汽酒;⽶酒;葡萄酒;果酒（含酒精）;⻩酒;烧酒;开胃酒</t>
  </si>
  <si>
    <t>五海大匠</t>
  </si>
  <si>
    <t>广州五海智造服务有限公司</t>
  </si>
  <si>
    <t>葡萄酒;威⼠忌;果酒（含酒精）;烈酒（饮料）;⽶酒;烧酒;果酒;⽩兰地;酒精饮料原汁;⽩酒</t>
  </si>
  <si>
    <t>神农眷</t>
  </si>
  <si>
    <t>梅峰</t>
  </si>
  <si>
    <t>烈酒（饮料）;⽩酒;⽶酒;鸡尾酒;葡萄酒;⻘稞酒;酒精饮料（啤酒除外）;烧酒;清酒（⽇本⽶酒）;⻩酒</t>
  </si>
  <si>
    <t>林屋山</t>
  </si>
  <si>
    <t>苏州三国策酒业有限公司</t>
  </si>
  <si>
    <t>果酒（含酒精）;⻩酒;露酒;⽩酒;⽶酒;清酒（⽇本⽶酒）;汽酒;五加⽪酒（中国混合烈酒）;鸡尾酒;烧酒</t>
  </si>
  <si>
    <t>斟仰</t>
  </si>
  <si>
    <t>西咸新区空港新城磊洋诺百货店(个体工商户)</t>
  </si>
  <si>
    <t>葡萄酒;开胃酒;酒精饮料（啤酒除外）;⽶酒;果酒（含酒精）;酒精饮料浓缩汁;⾷⽤酒精;蒸煮提取物（利⼝酒和烈酒）;烧酒;⽩酒</t>
  </si>
  <si>
    <t>HUNTER BROS</t>
  </si>
  <si>
    <t>无锡蒂亨莱国际贸易有限公司</t>
  </si>
  <si>
    <t>⻩酒;⽩葡萄酒;起泡⽩葡萄酒;果酒（含酒精）;⽔果汽酒;红葡萄酒;威⼠忌;桃红葡萄酒;⽩酒;葡萄酒</t>
  </si>
  <si>
    <t>周家渡</t>
  </si>
  <si>
    <t>河南乐豪文化传播有限责任公司</t>
  </si>
  <si>
    <t>烈酒;⽶酒;烧酒;⻘稞酒;⽩酒;⻩酒;开胃酒;果酒;葡萄酒;鸡尾酒</t>
  </si>
  <si>
    <t>蓁礼</t>
  </si>
  <si>
    <t>仁怀市颖怡酒类经营部</t>
  </si>
  <si>
    <t>清酒（⽇本⽶酒）;⽩酒;酸酒（低等葡萄酒）;⽶酒;甜果酒;苹果酒;朗姆酒;烧酒;⻘稞酒;⻩酒</t>
  </si>
  <si>
    <t>凯霖龙</t>
  </si>
  <si>
    <t>江保勇</t>
  </si>
  <si>
    <t>威⼠忌;鸡尾酒;酒精饮料（啤酒除外）;烈酒（饮料）;伏特加酒;葡萄酒;⽩酒;⽶酒;清酒（⽇本⽶酒）;酒精饮料原汁</t>
  </si>
  <si>
    <t>宁榕星星酒庄</t>
  </si>
  <si>
    <t>宁榕红酒庄（宁夏）有限公司</t>
  </si>
  <si>
    <t>果酒（含酒精）;含⽔果酒精饮料;以葡萄酒为主的饮料;鸡尾酒;枸杞酒;葡萄汽酒;酒精饮料原汁;调制好的葡萄酒鸡尾酒;含酒精的充⽓饮料（啤酒除外）;葡萄酒</t>
  </si>
  <si>
    <t>御恩缘</t>
  </si>
  <si>
    <t>北京视讯歌恩系统工程技术有限公司</t>
  </si>
  <si>
    <t>⽩兰地;⽶酒;伏特加酒;蒸煮提取物（利⼝酒和烈酒）;⾷⽤酒精;⽩酒;清酒;葡萄酒;威⼠忌;朗姆酒</t>
  </si>
  <si>
    <t>鹿遇有缘人</t>
  </si>
  <si>
    <t>长春市乾通鹿业商贸有限公司</t>
  </si>
  <si>
    <t>汽酒;⽩酒;蒸馏饮料;以葡萄酒为主的饮料;已调味的⻨芽酿制的酒精饮料（啤酒除外）;果酒;烧酒;⽶酒;葡萄酒;含酒精⽔果饮料</t>
  </si>
  <si>
    <t>览山之翠</t>
  </si>
  <si>
    <t>宁夏蓝山工贸有限公司</t>
  </si>
  <si>
    <t>鸡尾酒;酒精饮料（啤酒除外）;葡萄酒;果酒（含酒精）;⽩兰地;烧酒;⽩酒;烈酒（饮料）;开胃酒;利⼝酒</t>
  </si>
  <si>
    <t>御泉诚</t>
  </si>
  <si>
    <t>丹曲县憨班镇陇巷农业农民专业合作社</t>
  </si>
  <si>
    <t>⽩酒;以葡萄酒为主的饮料;⾷⽤酒精;⽶酒;⽼酒（中国蒸馏烈酒）;⻩酒;⾕物制蒸馏酒精饮料;烧酒;⽩⼲酒（中国⽩酒）;果酒（含酒精）</t>
  </si>
  <si>
    <t>共饮庆怀</t>
  </si>
  <si>
    <t>⾷⽤酒精;汽酒;清酒（⽇本⽶酒）;蒸馏饮料;⽶酒;烈酒（饮料）;酒精饮料（啤酒除外）;葡萄酒;⽩酒;果酒（含酒精）</t>
  </si>
  <si>
    <t>礼慧</t>
  </si>
  <si>
    <t>韦珂昕</t>
  </si>
  <si>
    <t>鸡尾酒;果酒;⽩酒;清酒;酒精饮料（啤酒除外）;⽶酒;葡萄酒;露酒;⻩酒;威⼠忌</t>
  </si>
  <si>
    <t>黔柘</t>
  </si>
  <si>
    <t>王正龙</t>
  </si>
  <si>
    <t>⽶酒;蒸馏饮料;葡萄酒;威⼠忌;⽩酒;烧酒;⻩酒;鸡尾酒;⽩兰地;果酒（含酒精）</t>
  </si>
  <si>
    <t>银湍</t>
  </si>
  <si>
    <t>郭辉勇</t>
  </si>
  <si>
    <t>⽩酒;葡萄酒;开胃酒;果酒（含酒精）;酒精饮料（啤酒除外）;鸡尾酒;⻩酒;清酒（⽇本⽶酒）;烈酒;威⼠忌</t>
  </si>
  <si>
    <t>恭饮九州</t>
  </si>
  <si>
    <t>汽酒;⾷⽤酒精;蒸馏饮料;果酒（含酒精）;酒精饮料（啤酒除外）;⽶酒;葡萄酒;烈酒（饮料）;⽩酒;清酒（⽇本⽶酒）</t>
  </si>
  <si>
    <t>子兴惠川</t>
  </si>
  <si>
    <t>露酒;⽶酒;果酒（含酒精）;⽩酒;利⼝酒;开胃酒;葡萄酒;汽酒;⻩酒;烧酒</t>
  </si>
  <si>
    <t>子兴荣和</t>
  </si>
  <si>
    <t>汽酒;⻩酒;利⼝酒;烧酒;开胃酒;⽩酒;葡萄酒;果酒（含酒精）;露酒;⽶酒</t>
  </si>
  <si>
    <t>璀璨长安</t>
  </si>
  <si>
    <t>烧酒;酒精饮料（啤酒除外）;葡萄酒;清酒（⽇本⽶酒）;鸡尾酒;果酒（含酒精）;⻩酒;⽶酒;威⼠忌;⽩酒</t>
  </si>
  <si>
    <t>牛城英顺</t>
  </si>
  <si>
    <t>李晓英</t>
  </si>
  <si>
    <t>⻩酒;烧酒;⽩酒;葡萄酒;⾼粱酒;⽶酒;果酒;烈酒;⽼酒（中国蒸馏烈酒）;蒸馏⽶酒（泡盛酒）</t>
  </si>
  <si>
    <t>尘醉经年</t>
  </si>
  <si>
    <t>果酒（含酒精）;酒精饮料（啤酒除外）;烈酒;利⼝酒;⽩酒;含⽔果酒精饮料;烧酒;葡萄酒;⻩酒;果酒</t>
  </si>
  <si>
    <t>缀白</t>
  </si>
  <si>
    <t>上海聚好信息技术有限公司</t>
  </si>
  <si>
    <t>烈酒（饮料）;⽶酒;酒精饮料（啤酒除外）;伏特加酒;葡萄酒;威⼠忌;⻩酒;果酒;酒精饮料原汁;⽩酒</t>
  </si>
  <si>
    <t>爱对味</t>
  </si>
  <si>
    <t>上海波实实业有限公司</t>
  </si>
  <si>
    <t>果酒（含酒精）;蒸馏饮料;酒精饮料浓缩汁;酒精饮料原汁;预先混合的酒精饮料（以啤酒为主的除外）;⾕物制蒸馏酒精饮料;酒精饮料（啤酒除外）;含⽔果酒精饮料;⽩酒;⽶酒</t>
  </si>
  <si>
    <t>云笕</t>
  </si>
  <si>
    <t>王兴福</t>
  </si>
  <si>
    <t>⻘稞酒;葡萄酒;蜂蜜酒;⽶酒;⽩酒;梨酒;果酒（含酒精）;鸡尾酒;⻩酒;果酒</t>
  </si>
  <si>
    <t>腊玛</t>
  </si>
  <si>
    <t>楚雄州江南制丝有限责任公司</t>
  </si>
  <si>
    <t>含⽔果酒精饮料;果酒（含酒精）;烧酒;⽩酒;酒精饮料（啤酒除外）;葡萄酒;⻩酒;鸡尾酒;烈酒（饮料）;⽶酒</t>
  </si>
  <si>
    <t>至明至德</t>
  </si>
  <si>
    <t>贵州琨宇酒业有限公司</t>
  </si>
  <si>
    <t>清酒;⾼粱酒;⽼酒（中国蒸馏烈酒）;威⼠忌;⻩酒;葡萄酒;⽩酒;⽶酒;汽酒;开胃酒</t>
  </si>
  <si>
    <t>西楼探春</t>
  </si>
  <si>
    <t>李双文</t>
  </si>
  <si>
    <t>葡萄酒;樱桃酒;⻩酒;⾷⽤酒精;⻘稞酒;⽶酒;果酒（含酒精）;苹果酒;烧酒;⽩酒</t>
  </si>
  <si>
    <t>鲐龄康养</t>
  </si>
  <si>
    <t>浙江鲐龄健康养老有限公司</t>
  </si>
  <si>
    <t>薄荷酒;果酒（含酒精）;葡萄酒;鸡尾酒;甜酒;⻩酒;蒸馏饮料;⽶酒;⽩酒;酒精饮料（啤酒除外）</t>
  </si>
  <si>
    <t>品喜</t>
  </si>
  <si>
    <t>贵州仁怀品喜酒业有限公司</t>
  </si>
  <si>
    <t>含⽔果酒精饮料;威⼠忌;⽩⼲酒（中国⽩酒）;⾕物制蒸馏酒精饮料;⽩酒;朗姆酒;⻩酒;由⾕物蒸馏的⽩酒;酒精饮料浓缩汁;汽酒</t>
  </si>
  <si>
    <t>赫妮雅</t>
  </si>
  <si>
    <t>深圳赫妮雅实业有限公司</t>
  </si>
  <si>
    <t>果酒（含酒精）;葡萄酒;酒精饮料原汁;威⼠忌;鸡尾酒;烈酒;蒸馏饮料;⽶酒;烧酒;朗姆酒</t>
  </si>
  <si>
    <t>鑫也</t>
  </si>
  <si>
    <t>包鑫</t>
  </si>
  <si>
    <t>⽩酒;葡萄酒;以蒸馏酒为主的开胃酒;⽩⼲酒（中国⽩酒）;苦味酒;蒸煮提取物（利⼝酒和烈酒）;⾼粱酒;果酒（含酒精）;⽼酒（中国蒸馏烈酒）;餐后酒（利⼝酒和烈酒）</t>
  </si>
  <si>
    <t>定古今</t>
  </si>
  <si>
    <t>申小明</t>
  </si>
  <si>
    <t>威⼠忌;⽩兰地;酒精饮料（啤酒除外）;果酒（含酒精）;葡萄酒;⽩酒;酒精饮料原汁;⻩酒;蒸煮提取物（利⼝酒和烈酒）;鸡尾酒</t>
  </si>
  <si>
    <t>禄彪烧坊</t>
  </si>
  <si>
    <t>成都市码科偌科技有限公司</t>
  </si>
  <si>
    <t>葡萄酒;含⽔果酒精饮料;⽩酒;酒精饮料原汁;威⼠忌;蒸煮提取物（利⼝酒和烈酒）;鸡尾酒;酒精饮料（啤酒除外）;⽩兰地;⾷⽤酒精</t>
  </si>
  <si>
    <t>属力保</t>
  </si>
  <si>
    <t>上海玖垣实业有限公司</t>
  </si>
  <si>
    <t>葡萄酒;威⼠忌;伏特加酒;烧酒;⽩兰地;朗姆酒;亚⼒酒;果酒（含酒精）;鸡尾酒;⽩酒</t>
  </si>
  <si>
    <t>汉福生</t>
  </si>
  <si>
    <t>开胃酒;果酒（含酒精）;⻩酒;酒精饮料（啤酒除外）;清酒（⽇本⽶酒）;威⼠忌;⽩酒;鸡尾酒;葡萄酒;烈酒</t>
  </si>
  <si>
    <t>红泱</t>
  </si>
  <si>
    <t>闵德威</t>
  </si>
  <si>
    <t>开胃酒;威士忌;酒精饮料（啤酒除外）;果酒（含酒精）;葡萄酒;白酒;清酒（日本米酒）;烈酒;鸡尾酒;黄酒</t>
  </si>
  <si>
    <t>递丽疆</t>
  </si>
  <si>
    <t>吐鲁番市欧佰电子商务有限公司</t>
  </si>
  <si>
    <t>⽩酒;烧酒;葡萄酒;烈酒（饮料）;清酒（⽇本⽶酒）;⽶酒;开胃酒;蒸馏饮料;汽酒;⻩酒</t>
  </si>
  <si>
    <t>BADALIUXIANG</t>
  </si>
  <si>
    <t>安徽有无酒业有限公司</t>
  </si>
  <si>
    <t>烈酒;⽩酒;⽩兰地;⽼酒（中国蒸馏烈酒）;清酒;⽶酒;露酒;威⼠忌;⻩酒;葡萄酒</t>
  </si>
  <si>
    <t>黔赴</t>
  </si>
  <si>
    <t>何传勋</t>
  </si>
  <si>
    <t>含酒精的饮料（啤酒除外）;威⼠忌;⻩酒;果酒;⽶酒;⽼酒（中国蒸馏烈酒）;汽酒;葡萄酒;⽩酒;烧酒</t>
  </si>
  <si>
    <t>银磊</t>
  </si>
  <si>
    <t>江苏银磊新材料科技有限公司</t>
  </si>
  <si>
    <t>烈酒（饮料）;⻩酒;汽酒;烧酒;鸡尾酒;⽩酒;葡萄酒;蒸馏饮料;酒精饮料（啤酒除外）;⽼酒（中国蒸馏烈酒）</t>
  </si>
  <si>
    <t>禾洵</t>
  </si>
  <si>
    <t>杨春祥</t>
  </si>
  <si>
    <t>威⼠忌;果酒;杨梅酒;⻩酒;⻘梅酒;梅酒;烧酒;⽩酒;红葡萄酒;⽶酒</t>
  </si>
  <si>
    <t>大地吟唱</t>
  </si>
  <si>
    <t>宁夏甘麓酒庄有限公司</t>
  </si>
  <si>
    <t>酒精饮料原汁;开胃酒;烈酒（饮料）;果酒（含酒精）;汽酒;酒精饮料（啤酒除外）;鸡尾酒;⽩兰地;蒸馏饮料;葡萄酒</t>
  </si>
  <si>
    <t>猎鹰战神</t>
  </si>
  <si>
    <t>香城亚马逊啤酒湖北有限公司</t>
  </si>
  <si>
    <t>威⼠忌;露酒;含⽔果酒精饮料;⻩酒;葡萄酒;酒精饮料（啤酒除外）;⽩酒;果酒（含酒精）;⽶酒;蒸馏饮料</t>
  </si>
  <si>
    <t>柏家富</t>
  </si>
  <si>
    <t>威⼠忌;⽩酒;⽶酒;葡萄酒;⻩酒;苹果酒;酒精饮料（啤酒除外）;烧酒;⻘稞酒;果酒（含酒精）</t>
  </si>
  <si>
    <t>江山正泰</t>
  </si>
  <si>
    <t>烧酒;威⼠忌;⽶酒;果酒（含酒精）;⻩酒;鸡尾酒;葡萄酒;清酒（⽇本⽶酒）;⽩酒;酒精饮料（啤酒除外）</t>
  </si>
  <si>
    <t>潘恒盛</t>
  </si>
  <si>
    <t>天长潘恒盛食品有限公司</t>
  </si>
  <si>
    <t>薄荷酒;葡萄酒;果酒;梅酒;蜂蜜酒;⽩酒;⾼粱酒;⽶酒;⻩酒;含酒精蛋奶酒</t>
  </si>
  <si>
    <t>封满人间</t>
  </si>
  <si>
    <t>⽶酒;餐后酒（利⼝酒和烈酒）;含酒精的饮料（啤酒除外）;烈酒;⽩⼲酒（中国⽩酒）;烧酒;⽩酒;蒸馏饮料;烧酒（烈酒）;利⼝酒</t>
  </si>
  <si>
    <t>安东零点 ANDONG ORIGIN</t>
  </si>
  <si>
    <t>丹东零点食品有限公司</t>
  </si>
  <si>
    <t>鸡尾酒;开胃酒;果酒（含酒精）;汽酒;利⼝酒;⻩酒;⽩酒;烧酒;酒精饮料（啤酒除外）;葡萄酒</t>
  </si>
  <si>
    <t>阿西勒克阔普</t>
  </si>
  <si>
    <t>含酒精⽔果饮料;⽩葡萄酒;葡萄酒;混合威⼠忌酒;⽩⼲酒（中国⽩酒）;烈酒;⽩酒;朗姆酒;⽩兰地;伏特加酒</t>
  </si>
  <si>
    <t>禧搭子</t>
  </si>
  <si>
    <t>宁夏玖禧酩庄科技有限公司</t>
  </si>
  <si>
    <t>由⾕物蒸馏的⽩酒;⽩葡萄酒;红葡萄酒;⽩酒;含酒精的饮料（啤酒除外）;⽩兰地;威⼠忌;含⽔果酒精饮料;葡萄酒;佐餐酒</t>
  </si>
  <si>
    <t>徵享</t>
  </si>
  <si>
    <t>重庆蒂蓝生物科技有限公司</t>
  </si>
  <si>
    <t>开胃酒;亚⼒酒;蒸馏饮料;苹果酒;烈酒（饮料）;苦味酒;⽩兰地;⻩酒;果酒（含酒精）;薄荷酒</t>
  </si>
  <si>
    <t>义梅祯虹</t>
  </si>
  <si>
    <t>江门百宏庄酒业有限公司</t>
  </si>
  <si>
    <t>以葡萄酒为主的饮料;开胃酒;葡萄酒;⽶酒;酒精饮料（啤酒除外）;烈酒（饮料）;⽩酒;⻩酒;果酒（含酒精）;烧酒</t>
  </si>
  <si>
    <t>巅峰晓萍</t>
  </si>
  <si>
    <t>⽩酒;烈酒;烧酒;葡萄酒;甜酒;⽼酒（中国蒸馏烈酒）;⻩酒;⽩⼲酒（中国⽩酒）;⽶酒;⾼粱酒</t>
  </si>
  <si>
    <t>泛美</t>
  </si>
  <si>
    <t>云南泛茶茶业有限公司</t>
  </si>
  <si>
    <t>亚⼒酒;苦味酒;开胃酒;茴芹酒（利⼝酒）;葡萄酒;⽩酒;鸡尾酒;薄荷酒;蒸馏饮料;苹果酒</t>
  </si>
  <si>
    <t>葡脉瀑拉谷</t>
  </si>
  <si>
    <t>青岛国优供应链有限公司</t>
  </si>
  <si>
    <t>果酒（含酒精）;伏特加酒;烈酒（饮料）;⽩酒;葡萄酒;梨酒;⽶酒;酒精饮料原汁;鸡尾酒;⽩兰地</t>
  </si>
  <si>
    <t>奕可优</t>
  </si>
  <si>
    <t>义乌市奕熠家日用品有限公司</t>
  </si>
  <si>
    <t>甜果酒;⽩酒;葡萄酒;烧酒（烈酒）;酒精饮料（啤酒除外）;果酒（含酒精）;⽶酒;除啤酒外的酒精饮料;鸡尾酒;烧酒</t>
  </si>
  <si>
    <t>INJA</t>
  </si>
  <si>
    <t>云南建投物流有限公司</t>
  </si>
  <si>
    <t>果酒（含酒精）;⽶酒;⻩酒;⾷⽤酒精;酒精饮料原汁;酒精饮料（啤酒除外）;⽩酒;预先混合的酒精饮料（以啤酒为主的除外）;葡萄酒;烈酒（饮料）</t>
  </si>
  <si>
    <t>维凤婷</t>
  </si>
  <si>
    <t>纪明凤</t>
  </si>
  <si>
    <t>鸡尾酒;⽩酒;葡萄酒;⽶酒;⻩酒;果酒;蜂蜜酒;清酒;酒精饮料（啤酒除外）;甜酒</t>
  </si>
  <si>
    <t>紫薇域呈</t>
  </si>
  <si>
    <t>威⼠忌;⻘稞酒;果酒（含酒精）;⾷⽤酒精;⽩酒;⻩酒;含⽔果酒精饮料;烈酒（饮料）;烧酒;⽶酒</t>
  </si>
  <si>
    <t>石圣帝道</t>
  </si>
  <si>
    <t>⽩酒;⾷⽤酒精;⽶酒;⻘稞酒;含⽔果酒精饮料;威⼠忌;果酒（含酒精）;烧酒;⻩酒;烈酒（饮料）</t>
  </si>
  <si>
    <t>善福明</t>
  </si>
  <si>
    <t>福善星（河南）生态科技有限公司</t>
  </si>
  <si>
    <t>葡萄酒;果酒（含酒精）;⽶酒;酒精饮料（啤酒除外）;⽩酒;⽢蔗制烈酒;烧酒;烈酒（饮料）;鸡尾酒;⻩酒</t>
  </si>
  <si>
    <t>椰海风 YEA HI</t>
  </si>
  <si>
    <t>海南椰海之星酒业有限公司</t>
  </si>
  <si>
    <t>果酒;⽔果汽酒;朗姆酒;含酒精⽔果饮料;伏特加酒;含酒精的⽔果鸡尾酒饮料;已调味的⻨芽酿制的酒精饮料（啤酒除外）;含酒精的饮料（啤酒除外）;混合威⼠忌酒;⾼粱酒</t>
  </si>
  <si>
    <t>HMTX</t>
  </si>
  <si>
    <t>广西怀茅天下酒类销售有限公司</t>
  </si>
  <si>
    <t>伏特加酒;鸡尾酒;葡萄酒;⽩酒;烈酒（饮料）;⽶酒;⽩兰地;威⼠忌;朗姆酒;利⼝酒</t>
  </si>
  <si>
    <t>黔小醇离忧</t>
  </si>
  <si>
    <t>葡萄酒;⽶酒;威⼠忌;⽩酒;开胃酒;烧酒;烈酒（饮料）;清酒（⽇本⽶酒）;酒精饮料（啤酒除外）;果酒（含酒精）</t>
  </si>
  <si>
    <t>深小理</t>
  </si>
  <si>
    <t>深圳理工大学</t>
  </si>
  <si>
    <t>开胃酒;⾷⽤酒精;果酒（含酒精）;烧酒;⽶酒;⽩酒;葡萄酒;⻩酒;含⽔果酒精饮料;烈酒（饮料）</t>
  </si>
  <si>
    <t>怡自在</t>
  </si>
  <si>
    <t>李朝霞</t>
  </si>
  <si>
    <t>含⽔果酒精饮料;⻩酒;烧酒;果酒（含酒精）;⻘稞酒;烈酒（饮料）;⽩酒;⾷⽤酒精;⽶酒;威⼠忌</t>
  </si>
  <si>
    <t>名峥</t>
  </si>
  <si>
    <t>陈燕</t>
  </si>
  <si>
    <t>蒸馏饮料;⻩酒;酒精饮料（啤酒除外）;葡萄酒;果酒;⽶酒;⾼粱酒;烧酒;⽩酒;利⼝酒</t>
  </si>
  <si>
    <t>西佩斯</t>
  </si>
  <si>
    <t>广西钦盛实业有限公司</t>
  </si>
  <si>
    <t>开胃酒;清酒（⽇本⽶酒）;酒精饮料（啤酒除外）;烈酒（饮料）;果酒（含酒精）;葡萄酒;烧酒;⽶酒;以葡萄酒为主的饮料;鸡尾酒</t>
  </si>
  <si>
    <t>揽优</t>
  </si>
  <si>
    <t>杭州多趣购电子商务有限公司</t>
  </si>
  <si>
    <t>⽶酒;酒精饮料（啤酒除外）;清酒（⽇本⽶酒）;烧酒;蒸煮提取物（利⼝酒和烈酒）;⽩酒;⻩酒;果酒（含酒精）;葡萄酒;开胃酒</t>
  </si>
  <si>
    <t>华重山</t>
  </si>
  <si>
    <t>颜海峡</t>
  </si>
  <si>
    <t>清酒（⽇本⽶酒）;果酒（含酒精）;⽩酒;酒精饮料（啤酒除外）;威⼠忌;葡萄酒;⻩酒;开胃酒;烈酒;鸡尾酒</t>
  </si>
  <si>
    <t>SEKI</t>
  </si>
  <si>
    <t>威海恒际生物科技有限公司</t>
  </si>
  <si>
    <t>开胃酒;葡萄酒;⽩兰地;⽩酒;汽酒;清酒;利⼝酒;酒精饮料（啤酒除外）;⾷⽤酒精;果酒（含酒精）</t>
  </si>
  <si>
    <t>庆林古</t>
  </si>
  <si>
    <t>陈冬青</t>
  </si>
  <si>
    <t>威⼠忌;⽶酒;果酒（含酒精）;蒸馏饮料;鸡尾酒;⻩酒;⽩酒;烧酒;葡萄酒;⽩兰地</t>
  </si>
  <si>
    <t>下雨的田</t>
  </si>
  <si>
    <t>吕继伟</t>
  </si>
  <si>
    <t>果酒（含酒精）;葡萄酒;⽩酒;酒精饮料浓缩汁;开胃酒;⻘稞酒;烧酒;⽶酒;⻩酒;⾕物制蒸馏酒精饮料</t>
  </si>
  <si>
    <t>伊齐</t>
  </si>
  <si>
    <t>佛山市好啊科技有限公司</t>
  </si>
  <si>
    <t>烧酒;⻩酒;蒸煮提取物（利⼝酒和烈酒）;蜂蜜酒;清酒（⽇本⽶酒）;蒸馏饮料;⽩酒;烈酒（饮料）;⽩兰地;⽶酒</t>
  </si>
  <si>
    <t>元始鹿</t>
  </si>
  <si>
    <t>湖北麋鹿之乡生态农业科技有限公司</t>
  </si>
  <si>
    <t>果酒（含酒精）;葡萄酒;汽酒;⽩酒;⽼酒（中国蒸馏烈酒）;蒸馏饮料;⽶酒;⻩酒;⽩⼲酒（中国⽩酒）;烧酒</t>
  </si>
  <si>
    <t>禧林泉</t>
  </si>
  <si>
    <t>李克兴</t>
  </si>
  <si>
    <t>⽩酒;鸡尾酒;⽢蔗制烈酒;⻩酒;葡萄酒;⽶酒;烧酒;果酒（含酒精）;酒精饮料（啤酒除外）;烈酒（饮料）</t>
  </si>
  <si>
    <t>青云霄</t>
  </si>
  <si>
    <t>廊坊中再生环保科技有限公司</t>
  </si>
  <si>
    <t>酒精饮料（啤酒除外）;伏特加酒;预先混合的酒精饮料（以啤酒为主的除外）;⾷⽤酒精;烧酒;⽩酒;果酒（含酒精）;葡萄酒;⽶酒;鸡尾酒</t>
  </si>
  <si>
    <t>荣和佳宾</t>
  </si>
  <si>
    <t>葡萄酒;⻩酒;果酒（含酒精）;酒精饮料（啤酒除外）;烧酒;⽩酒;清酒（⽇本⽶酒）;⽩兰地;⻘稞酒;⽶酒</t>
  </si>
  <si>
    <t>遵匠坊</t>
  </si>
  <si>
    <t>泸州内藏臻淳酒业有限公司</t>
  </si>
  <si>
    <t>⽩酒;鸡尾酒;清酒（⽇本⽶酒）;⽶酒;烈酒（饮料）;葡萄酒;⻩酒;酒精饮料（啤酒除外）;果酒（含酒精）;烧酒</t>
  </si>
  <si>
    <t>亦申小酒</t>
  </si>
  <si>
    <t>许贵军520221********2836</t>
  </si>
  <si>
    <t>烈酒（饮料）;餐后酒（利⼝酒和烈酒）;烧酒;⽶酒;⽩酒;果酒（含酒精）;蒸馏饮料;葡萄酒;酒精饮料（啤酒除外）;预先混合的酒精饮料（以啤酒为主的除外）</t>
  </si>
  <si>
    <t>烟火成</t>
  </si>
  <si>
    <t>成都酒业集团有限公司</t>
  </si>
  <si>
    <t>烧酒;甜果酒;⽶酒;果酒;⻘稞酒;梅酒;开胃酒;葡萄酒;⽩酒;甜酒</t>
  </si>
  <si>
    <t>玖贰幺</t>
  </si>
  <si>
    <t>泉州玖贰壹文化传媒有限公司</t>
  </si>
  <si>
    <t>苦味酒;⽢蔗制酒精饮料;果酒（含酒精）;烈酒（饮料）;伏特加酒;葡萄酒;⽶酒;蒸馏饮料;鸡尾酒;苹果酒</t>
  </si>
  <si>
    <t>CHARLES HAN</t>
  </si>
  <si>
    <t>韩晓鹏</t>
  </si>
  <si>
    <t>⻩酒;鸡尾酒;⽩酒;朗姆酒;果酒;⾷⽤酒精;葡萄酒;烧酒;⽶酒;烈酒</t>
  </si>
  <si>
    <t>鹿呦鸣</t>
  </si>
  <si>
    <t>河南鹿呦鸣养殖有限公司</t>
  </si>
  <si>
    <t>葡萄酒;⻩酒;已调味的蒸馏酒;烧酒（烈酒）;⽩⼲酒（中国⽩酒）;蒸馏⽶酒（泡盛酒）;露酒;⽶酒;果酒（含酒精）;苦荞酒</t>
  </si>
  <si>
    <t>潭丰正</t>
  </si>
  <si>
    <t>毛瀛</t>
  </si>
  <si>
    <t>葡萄酒;酒精饮料（啤酒除外）;⻩酒;⽶酒;⽩酒;⾷⽤酒精;果酒（含酒精）;含⽔果酒精饮料;⽩兰地;鸡尾酒</t>
  </si>
  <si>
    <t>江珍湖湘荟</t>
  </si>
  <si>
    <t>湖南崇文正脉教育科技有限公司</t>
  </si>
  <si>
    <t>⾷⽤酒精;酒精饮料（啤酒除外）;蒸馏饮料;⽶酒;⽩酒;烧酒;果酒（含酒精）;葡萄酒;⻘稞酒;⽩兰地</t>
  </si>
  <si>
    <t>量医普光</t>
  </si>
  <si>
    <t>杭州叁通微康健康科技有限公司</t>
  </si>
  <si>
    <t>烧酒;葡萄酒;鸡尾酒;⽩酒;⽶酒;⽩兰地;清酒（⽇本⽶酒）;果酒（含酒精）;⻩酒;开胃酒</t>
  </si>
  <si>
    <t>楚储瑶浆</t>
  </si>
  <si>
    <t>王大海</t>
  </si>
  <si>
    <t>⽩酒;鸡尾酒;⽶酒;汽酒;酒精饮料（啤酒除外）;烧酒;果酒;蒸馏饮料;葡萄酒;烈酒（饮料）</t>
  </si>
  <si>
    <t>三江净果缘</t>
  </si>
  <si>
    <t>重庆千年净果农业开发有限公司</t>
  </si>
  <si>
    <t>葡萄酒;⽩酒;鸡尾酒;利⼝酒;亚⼒酒;露酒;果酒（含酒精）;开胃酒;烈酒（饮料）;⽩兰地</t>
  </si>
  <si>
    <t>盛事荣和</t>
  </si>
  <si>
    <t>⻘稞酒;葡萄酒;⽩兰地;果酒（含酒精）;⽩酒;烧酒;清酒（⽇本⽶酒）;⽶酒;酒精饮料（啤酒除外）;⻩酒</t>
  </si>
  <si>
    <t>狄吧</t>
  </si>
  <si>
    <t>河南仪狄城酒庄有限公司</t>
  </si>
  <si>
    <t>葡萄酒;⻩酒;⽩酒;⽶酒;汽酒;果酒（含酒精）;预先混合的酒精饮料（以啤酒为主的除外）;开胃酒;酒精饮料（啤酒除外）;⾷⽤酒精</t>
  </si>
  <si>
    <t>杨观观</t>
  </si>
  <si>
    <t>杨春凤</t>
  </si>
  <si>
    <t>调制好的葡萄酒鸡尾酒;葡萄酒;⽩酒;开胃酒;烈酒;烧酒;汽酒;⽶酒;果酒;清酒</t>
  </si>
  <si>
    <t>杯酒乐友</t>
  </si>
  <si>
    <t>广东赛裕商贸有限公司</t>
  </si>
  <si>
    <t>果酒（含酒精）;清酒;⾕物制蒸馏酒精饮料;烧酒;⾼粱酒;烈酒（饮料）;鸡尾酒;含酒精的⽓泡⽔;酒精饮料（啤酒除外）;开胃酒</t>
  </si>
  <si>
    <t>谷归鸿</t>
  </si>
  <si>
    <t>陈周袁</t>
  </si>
  <si>
    <t>葡萄酒;⻩酒;⽩酒;果酒（含酒精）;⽶酒;烈酒（饮料）;酒精饮料原汁;酒精饮料（啤酒除外）;烧酒;餐后酒（利⼝酒和烈酒）</t>
  </si>
  <si>
    <t>塞北七台</t>
  </si>
  <si>
    <t>内蒙古商都县顺得亿商贸有限公司</t>
  </si>
  <si>
    <t>烈酒（饮料）;烧酒;以葡萄酒为主的开胃酒;⻘稞酒;⽩酒;梨酒;⽶酒;⾷⽤酒精;葡萄酒</t>
  </si>
  <si>
    <t>回味虎</t>
  </si>
  <si>
    <t>李国强</t>
  </si>
  <si>
    <t>果酒（含酒精）;酒精饮料（啤酒除外）;⽩酒;鸡尾酒;清酒;葡萄酒;汽酒;⻩酒;⾷⽤酒精;酒精饮料原汁</t>
  </si>
  <si>
    <t>BADIGO</t>
  </si>
  <si>
    <t>长沙巴迪高品牌管理有限公司</t>
  </si>
  <si>
    <t>烧酒;清酒（⽇本⽶酒）;⽶酒;汽酒;蜂蜜酒;果酒（含酒精）;葡萄酒;含⽔果酒精饮料;酒精饮料（啤酒除外）;鸡尾酒</t>
  </si>
  <si>
    <t>赤福瑞</t>
  </si>
  <si>
    <t>闪建国</t>
  </si>
  <si>
    <t>果酒（含酒精）;鸡尾酒;⻩酒;威⼠忌;⽶酒;葡萄酒;⽩酒;蒸馏饮料;⽩兰地;烧酒</t>
  </si>
  <si>
    <t>找来龙</t>
  </si>
  <si>
    <t>吴日元</t>
  </si>
  <si>
    <t>伏特加酒;鸡尾酒;烈酒（饮料）;朗姆酒;⽶酒;利⼝酒;酒精饮料（啤酒除外）;威⼠忌;⽩酒;葡萄酒</t>
  </si>
  <si>
    <t>至极李</t>
  </si>
  <si>
    <t>北京一品至极商贸有限公司</t>
  </si>
  <si>
    <t>威⼠忌;⾼粱酒;⽩酒;含⽔果酒精饮料;果酒;开胃酒;葡萄酒;烧酒;朗姆酒（酒精饮料）;⽶酒</t>
  </si>
  <si>
    <t>友酩滴</t>
  </si>
  <si>
    <t>杨从连</t>
  </si>
  <si>
    <t>⽼酒（中国蒸馏烈酒）;⽩⼲酒（中国⽩酒）;⻩酒;⽶酒;⽩酒;由⾕物蒸馏的⽩酒;烧酒（烈酒）;⾼粱酒;酒精饮料（啤酒除外）;果酒</t>
  </si>
  <si>
    <t>绥欣正</t>
  </si>
  <si>
    <t>贵州君玖酒业有限公司</t>
  </si>
  <si>
    <t>葡萄酒;酒精饮料（啤酒除外）;⽩酒;鸡尾酒;⾼粱酒;烈酒;⽶酒;烧酒;⽼酒（中国蒸馏烈酒）;果酒（含酒精）</t>
  </si>
  <si>
    <t>红日庄园如梦令</t>
  </si>
  <si>
    <t>江苏红日酒业有限公司</t>
  </si>
  <si>
    <t>鸡尾酒;⽩兰地;烈酒（饮料）;蒸馏饮料;葡萄酒;伏特加酒;利⼝酒;威⼠忌;酒精饮料（啤酒除外）;果酒（含酒精）</t>
  </si>
  <si>
    <t>科沃尔</t>
  </si>
  <si>
    <t>上海乐斯卡贸易有限公司</t>
  </si>
  <si>
    <t>葡萄酒;汽酒;⽩兰地;酒精饮料（啤酒除外）;含⽔果酒精饮料;威⼠忌;伏特加酒;鸡尾酒;⻩酒;利⼝酒</t>
  </si>
  <si>
    <t>黄金旗鉴</t>
  </si>
  <si>
    <t>上海黄金搭档生物科技有限公司</t>
  </si>
  <si>
    <t>⽶酒;葡萄酒;汽酒;烧酒;烈酒（饮料）;酒精饮料（啤酒除外）;⽩酒;威⼠忌;⾷⽤酒精;⻩酒</t>
  </si>
  <si>
    <t>七玺帝坛</t>
  </si>
  <si>
    <t>贵州省仁怀市尘世间商贸有限公司</t>
  </si>
  <si>
    <t>利⼝酒;果酒（含酒精）;葡萄酒;⽩酒;露酒;⽶酒;⾼粱酒;酒精饮料（啤酒除外）;⽼酒（中国蒸馏烈酒）;清酒</t>
  </si>
  <si>
    <t>曾氏恒晟</t>
  </si>
  <si>
    <t>贵州翰林运营管理有限公司</t>
  </si>
  <si>
    <t>蒸煮提取物（利⼝酒和烈酒）;葡萄酒;含⽔果酒精饮料;果酒;酒精饮料浓缩汁;蒸馏饮料;鸡尾酒;⽶酒;⾷⽤酒精;⽩酒</t>
  </si>
  <si>
    <t>千回梦</t>
  </si>
  <si>
    <t>栗晓鑫</t>
  </si>
  <si>
    <t>⻩酒;⽩酒;烈酒（饮料）;葡萄酒;鸡尾酒;⽶酒;烧酒;酒精饮料（啤酒除外）;果酒（含酒精）;清酒（⽇本⽶酒）</t>
  </si>
  <si>
    <t>济</t>
  </si>
  <si>
    <t>济源市礼道文化传播有限公司</t>
  </si>
  <si>
    <t>⽩酒;蒸馏饮料;酒精饮料（啤酒除外）;餐后酒（利⼝酒和烈酒）;葡萄酒;含酒精的⽓泡⽔;开胃酒;果酒（含酒精）;烈酒（饮料）;含⽔果酒精饮料</t>
  </si>
  <si>
    <t>伟桦东北风情</t>
  </si>
  <si>
    <t>刘保华</t>
  </si>
  <si>
    <t>果酒（含酒精）;含⽔果酒精饮料;⽩酒;烧酒;蜂蜜酒;⻘稞酒;⽩兰地;清酒（⽇本⽶酒）;鸡尾酒;葡萄酒</t>
  </si>
  <si>
    <t>大斛门</t>
  </si>
  <si>
    <t>曾修贵</t>
  </si>
  <si>
    <t>苹果酒;烈酒（饮料）;烧酒;果酒（含酒精）;⽩⼲酒（中国⽩酒）;葡萄酒;梨酒;含⽔果酒精饮料;⽩酒;⽶酒</t>
  </si>
  <si>
    <t>编钟之乡</t>
  </si>
  <si>
    <t>随县炎帝故里酒业有限公司</t>
  </si>
  <si>
    <t>⽩酒;甜酒;果酒（含酒精）;烈酒（饮料）;⽶酒;⾷⽤酒精;烧酒;汽酒;清酒;⻩酒</t>
  </si>
  <si>
    <t>流年久</t>
  </si>
  <si>
    <t>⽩酒;威⼠忌;酒精饮料（啤酒除外）;开胃酒;果酒（含酒精）;鸡尾酒;葡萄酒;⻩酒;清酒（⽇本⽶酒）;烈酒</t>
  </si>
  <si>
    <t>卡图磨坊风车</t>
  </si>
  <si>
    <t>烟台白洋河酿酒有限责任公司</t>
  </si>
  <si>
    <t>⽩酒;⾕物制蒸馏酒精饮料;果酒（含酒精）;朗姆酒;鸡尾酒;亚⼒酒;餐后酒（利⼝酒和烈酒）;威⼠忌;利⼝酒;⽩兰地</t>
  </si>
  <si>
    <t>亨邑世家</t>
  </si>
  <si>
    <t>亿晟烈酒联合集团（香港）有限公司</t>
  </si>
  <si>
    <t>⽩兰地;利⼝酒;餐后酒（利⼝酒和烈酒）;朗姆酒;⾕物制蒸馏酒精饮料;威⼠忌;果酒（含酒精）;亚⼒酒;鸡尾酒;⽩酒</t>
  </si>
  <si>
    <t>绿小金</t>
  </si>
  <si>
    <t>跳跃闪电（深圳）文化传媒有限公司</t>
  </si>
  <si>
    <t>苹果酒;酒精饮料（啤酒除外）;预先混合的酒精饮料（以啤酒为主的除外）;⽢蔗制酒精饮料;葡萄酒;以葡萄酒为主的饮料;蜂蜜酒;威⼠忌;含⽔果酒精饮料;果酒（含酒精）;⾕物制蒸馏酒精饮料;杜松⼦酒</t>
  </si>
  <si>
    <t>安益既白</t>
  </si>
  <si>
    <t>王翔</t>
  </si>
  <si>
    <t>葡萄酒;预先混合的酒精饮料（以啤酒为主的除外）;烧酒（烈酒）;⽩酒;烈酒（饮料）;鸡尾酒;⽶酒;⻩酒;果酒（含酒精）;⽩⼲酒（中国⽩酒）</t>
  </si>
  <si>
    <t>阳铭医生</t>
  </si>
  <si>
    <t>吉林省阳铭医生管理集团服务有限公司</t>
  </si>
  <si>
    <t>⽩⼲酒（中国⽩酒）;含酒精的饮料（啤酒除外）;已调味的⻨芽酿制的酒精饮料（啤酒除外）;除啤酒外的酒精饮料;酒精饮料（啤酒除外）;露酒;⽩酒;⾕物制蒸馏酒精饮料;葡萄酒;酒精饮料原汁</t>
  </si>
  <si>
    <t>畅君怀</t>
  </si>
  <si>
    <t>张志华</t>
  </si>
  <si>
    <t>葡萄酒;甜酒;清酒;酒精饮料（啤酒除外）;⽩酒;⽶酒;薄荷酒;⻩酒;⾼粱酒</t>
  </si>
  <si>
    <t>至徽园</t>
  </si>
  <si>
    <t>李宗奎</t>
  </si>
  <si>
    <t>⽶酒;⽩酒;利⼝酒;酒精饮料（啤酒除外）;含酒精的⽓泡⽔;朗姆酒;果酒（含酒精）;鸡尾酒;预先混合的酒精饮料（以啤酒为主的除外）;烈酒（饮料）</t>
  </si>
  <si>
    <t>八蝶</t>
  </si>
  <si>
    <t>三和酒类株式会社</t>
  </si>
  <si>
    <t>利⼝酒;清酒（⽇本⽶酒）;烈酒（饮料）;⽩兰地;烧酒;开胃酒;酒精饮料（啤酒除外）;葡萄酒;威⼠忌;酒精饮料浓缩汁</t>
  </si>
  <si>
    <t>焕智</t>
  </si>
  <si>
    <t>深圳焕智科技有限公司</t>
  </si>
  <si>
    <t>⽩酒;鸡尾酒;伏特加酒;威⼠忌;⻩酒;⽩兰地;开胃酒;葡萄酒;果酒（含酒精）;⽶酒</t>
  </si>
  <si>
    <t>阿尔夸托</t>
  </si>
  <si>
    <t>上海圆容企业发展有限公司</t>
  </si>
  <si>
    <t>⽶酒;果酒（含酒精）;鸡尾酒;以葡萄酒为主的饮料;预先混合的酒精饮料（以啤酒为主的除外）;葡萄酒;酒精饮料（啤酒除外）;蒸馏饮料;汽酒;⽩酒</t>
  </si>
  <si>
    <t>元气焱焱</t>
  </si>
  <si>
    <t>河南左采食品科技有限公司</t>
  </si>
  <si>
    <t>⾕物制蒸馏酒精饮料;⽩酒;⽶酒;蒸馏饮料;以葡萄酒为主的饮料;含⽔果酒精饮料;⻩酒;果酒（含酒精）;葡萄酒;酒精饮料（啤酒除外）</t>
  </si>
  <si>
    <t>渝府沙坝红</t>
  </si>
  <si>
    <t>王灿</t>
  </si>
  <si>
    <t>果酒（含酒精）;由⾕物蒸馏的⽩酒;蒸馏饮料;含⽔果酒精饮料;以葡萄酒为主的饮料;烧酒;⻩酒;⾼粱酒;⽼酒（中国蒸馏烈酒）;⽩酒</t>
  </si>
  <si>
    <t>龙赤仙</t>
  </si>
  <si>
    <t>⽶酒;烧酒;鸡尾酒;⽩兰地;⽩酒;葡萄酒;⻩酒;蒸馏饮料;威⼠忌;果酒（含酒精）</t>
  </si>
  <si>
    <t>楚储陈</t>
  </si>
  <si>
    <t>汽酒;果酒;蒸馏饮料;酒精饮料（啤酒除外）;鸡尾酒;⽩酒;烈酒（饮料）;⽶酒;烧酒;葡萄酒</t>
  </si>
  <si>
    <t>荣和嘉宾</t>
  </si>
  <si>
    <t>⻘稞酒;⽶酒;⽩酒;葡萄酒;⽩兰地;酒精饮料（啤酒除外）;果酒（含酒精）;清酒（⽇本⽶酒）;⻩酒;烧酒</t>
  </si>
  <si>
    <t>栗王川</t>
  </si>
  <si>
    <t>成都市南宝山蜜蜂谷乡村旅游发展有限公司</t>
  </si>
  <si>
    <t>酒精饮料（啤酒除外）;烧酒;⽩兰地;蒸馏饮料;鸡尾酒;威⼠忌;蜂蜜酒;果酒（含酒精）;⽩酒;葡萄酒</t>
  </si>
  <si>
    <t>康隆达</t>
  </si>
  <si>
    <t>青岛隆圣河酒业有限公司</t>
  </si>
  <si>
    <t>预先混合的酒精饮料（以啤酒为主的除外）;⾼粱酒;酒精饮料（啤酒除外）;⽩酒;果酒（含酒精）;⽩⼲酒（中国⽩酒）;⾷⽤酒精;⽔果汽酒;烧酒;蜂蜜酒</t>
  </si>
  <si>
    <t>小嫩牛</t>
  </si>
  <si>
    <t>深耕幸福（吉林）餐饮管理有限公司</t>
  </si>
  <si>
    <t>果酒（含酒精）;⻘稞酒;⻩酒;葡萄酒;蒸馏饮料;⽶酒;烧酒;⽩酒;鸡尾酒;酒精饮料（啤酒除外）</t>
  </si>
  <si>
    <t>谭大千</t>
  </si>
  <si>
    <t>曹朝军</t>
  </si>
  <si>
    <t>鸡尾酒;⽶酒;⽩酒;葡萄酒;含⽔果酒精饮料;果酒（含酒精）;酒精饮料（啤酒除外）;烧酒;⻘稞酒;⻩酒</t>
  </si>
  <si>
    <t>雨君</t>
  </si>
  <si>
    <t>上海九天泰国际贸易有限公司</t>
  </si>
  <si>
    <t>果酒（含酒精）;汽酒;烧酒;开胃酒;⻩酒;⽩酒;含⽔果酒精饮料;⽩兰地;⽶酒;葡萄酒</t>
  </si>
  <si>
    <t>月鲁不花</t>
  </si>
  <si>
    <t>北京晶澄品牌管理有限公司</t>
  </si>
  <si>
    <t>⽩酒;蒸煮提取物（利⼝酒和烈酒）;葡萄酒;烧酒;⻩酒;含⽔果酒精饮料;蜂蜜酒;蒸馏饮料;⽶酒;酒精饮料（啤酒除外）</t>
  </si>
  <si>
    <t>云川沽月</t>
  </si>
  <si>
    <t>李金萍</t>
  </si>
  <si>
    <t>葡萄酒;蜂蜜酒;含⽔果酒精饮料;果酒;含酒精⽔果饮料;果酒（含酒精）;樱桃酒;苹果酒;梨酒;⽩酒</t>
  </si>
  <si>
    <t>柠查</t>
  </si>
  <si>
    <t>张君宝</t>
  </si>
  <si>
    <t>清酒;烈酒（饮料）;鸡尾酒;含⽔果酒精饮料;威⼠忌;蒸馏饮料;烧酒;⽩酒;果酒（含酒精）;酒精饮料原汁</t>
  </si>
  <si>
    <t>黔梦仁</t>
  </si>
  <si>
    <t>开胃酒;果酒（含酒精）;⽩酒;酒精饮料（啤酒除外）;清酒（⽇本⽶酒）;葡萄酒;蒸煮提取物（利⼝酒和烈酒）;⻩酒;⽶酒;烧酒</t>
  </si>
  <si>
    <t>淡顺</t>
  </si>
  <si>
    <t>四川省佳冠酒业有限公司</t>
  </si>
  <si>
    <t>开胃酒;烈酒;蒸煮提取物（利⼝酒和烈酒）;⻩酒;⻘稞酒;烧酒;含⽔果酒精饮料;⽩酒;葡萄酒;果酒（含酒精）</t>
  </si>
  <si>
    <t>爱雄冠天下</t>
  </si>
  <si>
    <t>吉林省佳贞经贸有限公司</t>
  </si>
  <si>
    <t>⽶酒;⽼酒（中国蒸馏烈酒）;开胃酒;葡萄酒;清酒;⻩酒;威⼠忌;⾼粱酒;汽酒;⽩酒</t>
  </si>
  <si>
    <t>衍醴</t>
  </si>
  <si>
    <t>梅州市灏珹投资有限公司</t>
  </si>
  <si>
    <t>酒精饮料（啤酒除外）;蒸馏饮料;烈酒（饮料）;预先混合的酒精饮料（以啤酒为主的除外）;⻩酒;果酒（含酒精）;⽶酒;烧酒;葡萄酒;⽩酒</t>
  </si>
  <si>
    <t>靳湘堂</t>
  </si>
  <si>
    <t>新乡市靳氏酒业有限公司</t>
  </si>
  <si>
    <t>酒精饮料（啤酒除外）;含酒精⽔果饮料;果酒（含酒精）;葡萄酒;⽩酒;⻩酒;烧酒;苹果酒;开胃酒;⽶酒</t>
  </si>
  <si>
    <t>胡凯</t>
  </si>
  <si>
    <t>清酒（⽇本⽶酒）;伏特加酒;酒精饮料（啤酒除外）;烈酒（饮料）;葡萄酒;酒精饮料原汁;威⼠忌;⽶酒;鸡尾酒;⽩酒</t>
  </si>
  <si>
    <t>金口扪</t>
  </si>
  <si>
    <t>杨再贵</t>
  </si>
  <si>
    <t>葡萄酒;开胃酒;含⽔果酒精饮料;鸡尾酒;果酒;烧酒;⻩酒;烈酒;⽩酒;⽶酒</t>
  </si>
  <si>
    <t>梵赛斯</t>
  </si>
  <si>
    <t>王雪峰</t>
  </si>
  <si>
    <t>薄荷酒;果酒（含酒精）;苦味酒;蒸馏饮料;亚⼒酒;⽩酒;茴芹酒（利⼝酒）;鸡尾酒;开胃酒;苹果酒</t>
  </si>
  <si>
    <t>IL GUARDIANO</t>
  </si>
  <si>
    <t>北京嘉禾荣丰贸易有限公司</t>
  </si>
  <si>
    <t>开胃酒;鸡尾酒;葡萄酒;烈酒（饮料）;威⼠忌;果酒（含酒精）;烧酒;酒精饮料（啤酒除外）;伏特加酒;⽩酒</t>
  </si>
  <si>
    <t>嘉傲威</t>
  </si>
  <si>
    <t>康联威士（黑龙江）科技有限公司</t>
  </si>
  <si>
    <t>除啤酒外的酒精饮料;开胃酒;⽩酒;葡萄酒;⻩酒;⽶酒;甜酒;果酒;⾼粱酒;伏特加酒</t>
  </si>
  <si>
    <t>君品锦江春</t>
  </si>
  <si>
    <t>张坤210724********3817</t>
  </si>
  <si>
    <t>葡萄酒;烧酒;⻩酒;鸡尾酒;酒精饮料（啤酒除外）;果酒（含酒精）;⽶酒;烈酒（饮料）;⽢蔗制烈酒;⽩酒</t>
  </si>
  <si>
    <t>峰山李</t>
  </si>
  <si>
    <t>安丘市德丰电子有限公司</t>
  </si>
  <si>
    <t>酒精饮料（啤酒除外）;⻩酒;鸡尾酒;⽶酒;果酒（含酒精）;烈酒（饮料）;⽢蔗制烈酒;⽩酒;葡萄酒;烧酒</t>
  </si>
  <si>
    <t>雪峰天池</t>
  </si>
  <si>
    <t>邓宗平</t>
  </si>
  <si>
    <t>酒精饮料（啤酒除外）;甜酒;果酒（含酒精）;⽩酒;葡萄酒;⻩酒;烈酒（饮料）;⽶酒;烧酒;⾼粱酒</t>
  </si>
  <si>
    <t>忠厚晋香</t>
  </si>
  <si>
    <t>刘登琴</t>
  </si>
  <si>
    <t>果酒（含酒精）;烈酒（饮料）;⽩酒;⽶酒;蒸馏饮料;露酒;餐后酒（利⼝酒和烈酒）;苹果酒;葡萄酒;⾕物制蒸馏酒精饮料</t>
  </si>
  <si>
    <t>版纳傣王</t>
  </si>
  <si>
    <t>李明亮</t>
  </si>
  <si>
    <t>果酒（含酒精）;⻩酒;⾼粱酒;鸡尾酒;葡萄酒;⽶酒;酒精饮料（啤酒除外）;烧酒;⽩酒;烈酒（饮料）</t>
  </si>
  <si>
    <t>龙总裁</t>
  </si>
  <si>
    <t>中博藏（北京）博物馆</t>
  </si>
  <si>
    <t>葡萄酒;酒精饮料（啤酒除外）;梅酒;烈酒;⽩酒;果酒（含酒精）;开胃酒;鸡尾酒;清酒（⽇本⽶酒）;⻩酒</t>
  </si>
  <si>
    <t>桃·淘·逃</t>
  </si>
  <si>
    <t>四川行行行生态农业发展有限公司</t>
  </si>
  <si>
    <t>果酒;⽩酒;威⼠忌;烈酒（饮料）;薄荷酒;⽩兰地</t>
  </si>
  <si>
    <t>韩洞莱小木屋</t>
  </si>
  <si>
    <t>延边艺珍食品有限公司</t>
  </si>
  <si>
    <t>果酒（含酒精）;葡萄酒;蜂蜜酒;朝鲜族⽶酒;清酒;⽩酒;酒精饮料（啤酒除外）;⽶酒;马格利酒（朝鲜传统⽶酒）;汽酒</t>
  </si>
  <si>
    <t>雁君辰</t>
  </si>
  <si>
    <t>山西雁门君辰酒业有限公司</t>
  </si>
  <si>
    <t>酒精饮料原汁;葡萄酒;烧酒;含⽔果酒精饮料;⽼酒（中国蒸馏烈酒）;⻩酒;⽩酒;烈酒（饮料）;酒精饮料（啤酒除外）;利⼝酒</t>
  </si>
  <si>
    <t>小御喝喝</t>
  </si>
  <si>
    <t>湖南艺直玩信息科技有限公司</t>
  </si>
  <si>
    <t>烧酒;⽩酒;酒精饮料（啤酒除外）;鸡尾酒;蜂蜜酒;含⽔果酒精饮料;果酒（含酒精）;⽶酒;葡萄酒;清酒（⽇本⽶酒）</t>
  </si>
  <si>
    <t>秋田笑</t>
  </si>
  <si>
    <t>陈辉</t>
  </si>
  <si>
    <t>果酒（含酒精）;葡萄酒;⻩酒;烈酒（饮料）;鸡尾酒;⽶酒;⽩酒;烧酒;汽酒;酒精饮料（啤酒除外）</t>
  </si>
  <si>
    <t>葉世</t>
  </si>
  <si>
    <t>仁怀市闯奥新能源科技有限公司</t>
  </si>
  <si>
    <t>⽶酒;烧酒;⽩酒;⻩酒;葡萄酒;酒精饮料（啤酒除外）</t>
  </si>
  <si>
    <t>嘉屹</t>
  </si>
  <si>
    <t>王世招</t>
  </si>
  <si>
    <t>葡萄酒;⽩⼲酒（中国⽩酒）;苦味酒;烧酒;开胃酒;鸡尾酒;⽩酒;果酒;烧酒（烈酒）;含⽔果酒精饮料</t>
  </si>
  <si>
    <t>仙调师</t>
  </si>
  <si>
    <t>通江县向善文化传播有限公司</t>
  </si>
  <si>
    <t>⽩酒;⽼酒（中国蒸馏烈酒）;果酒;露酒;葡萄酒;含酒精的饮料（啤酒除外）;清酒（⽇本⽶酒）;⽶酒;⾼粱酒;⻩酒</t>
  </si>
  <si>
    <t>2024/05/25</t>
  </si>
  <si>
    <t>伟桦全汇福</t>
  </si>
  <si>
    <t>清酒（⽇本⽶酒）;⽩酒;⻘稞酒;果酒（含酒精）;蜂蜜酒;烧酒;⽩兰地;鸡尾酒;葡萄酒;含⽔果酒精饮料</t>
  </si>
  <si>
    <t>那墨桂</t>
  </si>
  <si>
    <t>清河县赛蓝商贸有限公司</t>
  </si>
  <si>
    <t>果酒（含酒精）;开胃酒;⽩兰地;⽶酒;⽩酒;烈酒（饮料）;含酒精的⽓泡⽔;威⼠忌;⾕物制蒸馏酒精饮料;⻩酒</t>
  </si>
  <si>
    <t>问珍龙</t>
  </si>
  <si>
    <t>广州同暨文化传播有限公司</t>
  </si>
  <si>
    <t>⽩⼲酒（中国⽩酒）;⽩酒;⽶酒;威⼠忌;⻩酒;伏特加酒;苹果酒;烧酒;以葡萄酒为主的饮料;鸡尾酒</t>
  </si>
  <si>
    <t>福生春</t>
  </si>
  <si>
    <t>吕正海</t>
  </si>
  <si>
    <t>⽩酒;果酒（含酒精）;烧酒;⻩酒;汽酒;红葡萄酒;⽶酒;清酒;苦味酒;苦荞酒</t>
  </si>
  <si>
    <t>焱济</t>
  </si>
  <si>
    <t>杭州清匠酒业有限公司</t>
  </si>
  <si>
    <t>⽩酒;酒精饮料（啤酒除外）;蜂蜜酒;烧酒;含⽔果酒精饮料;⻩酒;果酒（含酒精）;葡萄酒;⽶酒;苦味酒</t>
  </si>
  <si>
    <t>热气球日升</t>
  </si>
  <si>
    <t>上海衡融昌酒业有限责任公司</t>
  </si>
  <si>
    <t>⽶酒;⽩兰地;清酒（⽇本⽶酒）;含⽔果酒精饮料;鸡尾酒;薄荷酒;果酒（含酒精）;开胃酒;葡萄酒;⽩酒</t>
  </si>
  <si>
    <t>金衙庄</t>
  </si>
  <si>
    <t>⻩酒;烧酒;酒精饮料（啤酒除外）;清酒（⽇本⽶酒）;葡萄酒;果酒（含酒精）;⽩酒;⽶酒;开胃酒;蒸煮提取物（利⼝酒和烈酒）</t>
  </si>
  <si>
    <t>BULUDASHI</t>
  </si>
  <si>
    <t>上海落蓝科技有限公司</t>
  </si>
  <si>
    <t>果酒;红葡萄酒;威⼠忌;清酒（⽇本⽶酒）;鸡尾酒;⽶酒;伏特加酒;利⼝酒;烈酒（饮料）;⽩酒</t>
  </si>
  <si>
    <t>楚凤祥</t>
  </si>
  <si>
    <t>张远胜</t>
  </si>
  <si>
    <t>清酒（⽇本⽶酒）;葡萄酒;酒精饮料（啤酒除外）;鸡尾酒;⽩酒;果酒（含酒精）;烈酒;威⼠忌;开胃酒;⻩酒</t>
  </si>
  <si>
    <t>百沙福</t>
  </si>
  <si>
    <t>湖南满坛福酒业销售有限公司</t>
  </si>
  <si>
    <t>酒精饮料原汁;⾕物制蒸馏酒精饮料;酒精饮料（啤酒除外）;⽩酒;⾷⽤酒精;葡萄酒;果酒（含酒精）;⽶酒;⻩酒;⽩⼲酒（中国⽩酒）</t>
  </si>
  <si>
    <t>华夏佳宾</t>
  </si>
  <si>
    <t>酒精饮料（啤酒除外）;⻩酒;⽶酒;烧酒;⽩酒;⽩兰地;⻘稞酒;果酒（含酒精）;葡萄酒;清酒（⽇本⽶酒）</t>
  </si>
  <si>
    <t>利思酒庄 一个被星星吻过的酒庄</t>
  </si>
  <si>
    <t>宁夏利思葡萄酒庄有限公司</t>
  </si>
  <si>
    <t>烧酒;开胃酒;蒸馏饮料;果酒（含酒精）;酸酒（低等葡萄酒）;烈酒（饮料）;酒精饮料（啤酒除外）;苹果酒;⽶酒;葡萄酒</t>
  </si>
  <si>
    <t>俏厨娘</t>
  </si>
  <si>
    <t>陈义</t>
  </si>
  <si>
    <t>葡萄酒;⽶酒;果酒（含酒精）;鸡尾酒;⽩酒;蒸馏饮料;威⼠忌;烧酒;⻩酒;⽩兰地</t>
  </si>
  <si>
    <t>年越</t>
  </si>
  <si>
    <t>河南丞匠酒业有限公司</t>
  </si>
  <si>
    <t>果酒（含酒精）;鸡尾酒;威⼠忌;酒精饮料（啤酒除外）;⽩酒;⽩兰地;⾷⽤酒精;葡萄酒;预先混合的酒精饮料（以啤酒为主的除外）;蒸馏饮料</t>
  </si>
  <si>
    <t>昌兴川</t>
  </si>
  <si>
    <t>四川满仓品牌管理有限公司</t>
  </si>
  <si>
    <t>⻩酒;⽶酒;果酒（含酒精）;威⼠忌;含⽔果酒精饮料;⽩兰地;⽩酒;鸡尾酒;烧酒;葡萄酒</t>
  </si>
  <si>
    <t>散花姑娘</t>
  </si>
  <si>
    <t>石狮市奥诺西卡服饰有限公司</t>
  </si>
  <si>
    <t>清酒;烈酒;鸡尾酒;⽶酒;葡萄酒;⽩兰地;威⼠忌;果酒;⽩酒;⻩酒</t>
  </si>
  <si>
    <t>粮景醉心</t>
  </si>
  <si>
    <t>张家权</t>
  </si>
  <si>
    <t>⾕物制蒸馏酒精饮料;蒸煮提取物（利⼝酒和烈酒）;烈酒（饮料）;烧酒;⽩⼲酒（中国⽩酒）;蒸馏饮料;利⼝酒;⽶酒;由⾕物蒸馏的⽩酒;⽩酒</t>
  </si>
  <si>
    <t>酉点嗨</t>
  </si>
  <si>
    <t>徐玉兰</t>
  </si>
  <si>
    <t>⽩酒;苹果酒;鸡尾酒;葡萄酒;果酒;烈酒;⽩兰地;⽶酒;⻩酒;利⼝酒</t>
  </si>
  <si>
    <t>四晋台</t>
  </si>
  <si>
    <t>易棚英</t>
  </si>
  <si>
    <t>果酒（含酒精）;烧酒;⻩酒;⽩酒;⽶酒;葡萄酒;烈酒（饮料）;清酒（⽇本⽶酒）;开胃酒;鸡尾酒</t>
  </si>
  <si>
    <t>人生志</t>
  </si>
  <si>
    <t>大酒匠有限公司</t>
  </si>
  <si>
    <t>果酒（含酒精）;烈酒（饮料）;⾕物制蒸馏酒精饮料;⽶酒;葡萄酒;⽩酒;⻩酒;酒精饮料（啤酒除外）;含⽔果酒精饮料;开胃酒</t>
  </si>
  <si>
    <t>曾氏宗圣</t>
  </si>
  <si>
    <t>蒸馏饮料;果酒;蒸煮提取物（利⼝酒和烈酒）;含⽔果酒精饮料;⽩酒;鸡尾酒;⽶酒;葡萄酒;酒精饮料浓缩汁;⾷⽤酒精</t>
  </si>
  <si>
    <t>苍龙琼</t>
  </si>
  <si>
    <t>杨仕琼</t>
  </si>
  <si>
    <t>果酒（含酒精）;烧酒;⾼粱酒;⽶酒;威⼠忌;⽩酒;烈酒（饮料）;酒精饮料（啤酒除外）;葡萄酒;鸡尾酒</t>
  </si>
  <si>
    <t>六鹿云</t>
  </si>
  <si>
    <t>韦燕英</t>
  </si>
  <si>
    <t>蒸馏饮料;烧酒;⻩酒;果酒（含酒精）;⽩酒;⾼粱酒;鸡尾酒;葡萄酒;⽶酒;威⼠忌</t>
  </si>
  <si>
    <t>HEFOUENDS</t>
  </si>
  <si>
    <t>佑恩（杭州）电子商务有限公司</t>
  </si>
  <si>
    <t>利⼝酒;汽酒;葡萄酒;开胃酒;酒精饮料（啤酒除外）;⽩酒;烈酒;⾷⽤酒精;⾼粱酒;果酒</t>
  </si>
  <si>
    <t>MUSTMEI</t>
  </si>
  <si>
    <t>东莞美得美电子商务有限公司</t>
  </si>
  <si>
    <t>含酒精⽔果饮料;咖啡利⼝酒;以葡萄酒为主的饮料;含⽔果酒精饮料;威⼠忌;鸡尾酒;果酒（含酒精）;清酒（⽇本⽶酒）;酒精饮料（啤酒除外）;蒸馏饮料</t>
  </si>
  <si>
    <t>千县千境</t>
  </si>
  <si>
    <t>青土（北京）农业科技有限公司</t>
  </si>
  <si>
    <t>葡萄酒;⻩酒;⾷⽤酒精;薄荷酒;果酒（含酒精）;鸡尾酒;汽酒;⻘稞酒;烧酒;⽩酒</t>
  </si>
  <si>
    <t>驾龙腾飞</t>
  </si>
  <si>
    <t>烈酒（饮料）;⽩酒;露酒;⽶酒;葡萄酒;蒸馏饮料;餐后酒（利⼝酒和烈酒）;果酒（含酒精）;⾕物制蒸馏酒精饮料;苹果酒</t>
  </si>
  <si>
    <t>圣赤仙</t>
  </si>
  <si>
    <t>果酒（含酒精）;葡萄酒;鸡尾酒;蒸馏饮料;⽩兰地;烧酒;⽩酒;⽶酒;⻩酒;威⼠忌</t>
  </si>
  <si>
    <t>御自在</t>
  </si>
  <si>
    <t>⽩酒;⻩酒;含⽔果酒精饮料;烈酒（饮料）;果酒（含酒精）;⾷⽤酒精;威⼠忌;烧酒;⽶酒;⻘稞酒</t>
  </si>
  <si>
    <t>荣耀安大人</t>
  </si>
  <si>
    <t>合肥陈博广告品牌设计有限公司</t>
  </si>
  <si>
    <t>蒸馏饮料;烧酒;甜酒;⽶酒;果酒;⽩酒;开胃酒;葡萄酒;⾼粱酒;⻩酒</t>
  </si>
  <si>
    <t>JULES GAUTRET INITIAL</t>
  </si>
  <si>
    <t>安萨克酒庄公司</t>
  </si>
  <si>
    <t>葡萄酒;⽩兰地;酒（利⼝酒）;酒精饮料（啤酒除外）</t>
  </si>
  <si>
    <t>念盏</t>
  </si>
  <si>
    <t>北京月纹科技有限公司</t>
  </si>
  <si>
    <t>酒精饮料（啤酒除外）;⽩酒;果酒;⾷⽤酒精;鸡尾酒;烈酒（饮料）;烧酒;开胃酒;蜂蜜酒;葡萄酒</t>
  </si>
  <si>
    <t>素魄</t>
  </si>
  <si>
    <t>北京欢伯贸易有限公司</t>
  </si>
  <si>
    <t>葡萄酒;烈酒（饮料）;果酒（含酒精）;酒精饮料原汁;⽩兰地;⽩酒;利⼝酒;威⼠忌;⽶酒;以葡萄酒为主的饮料</t>
  </si>
  <si>
    <t>爱依士</t>
  </si>
  <si>
    <t>广州爱依士贸易有限公司</t>
  </si>
  <si>
    <t>葡萄酒;⽩兰地;含⽔果酒精饮料;烈酒（饮料）;朗姆酒;甜酒;伏特加酒;酒精饮料（啤酒除外）;⽶酒;威⼠忌</t>
  </si>
  <si>
    <t>风云舞</t>
  </si>
  <si>
    <t>中国石化销售股份有限公司广东石油分公司</t>
  </si>
  <si>
    <t>⻩酒;鸡尾酒;葡萄酒;威⼠忌;清酒（⽇本⽶酒）;果酒（含酒精）;酒精饮料（啤酒除外）;⽶酒;⽩酒;酒精饮料原汁</t>
  </si>
  <si>
    <t>竹芝酝</t>
  </si>
  <si>
    <t>杭州红壳笋餐饮有限公司</t>
  </si>
  <si>
    <t>开胃酒;威⼠忌;烧酒;⻩酒;⽶酒;⾷⽤酒精;葡萄酒;果酒（含酒精）;鸡尾酒;蒸馏饮料</t>
  </si>
  <si>
    <t>知济</t>
  </si>
  <si>
    <t>含酒精的⽓泡⽔;含⽔果酒精饮料;开胃酒;葡萄酒;酒精饮料（啤酒除外）;烈酒（饮料）;⽩酒;蒸馏饮料;餐后酒（利⼝酒和烈酒）;果酒（含酒精）</t>
  </si>
  <si>
    <t>炎星</t>
  </si>
  <si>
    <t>宋清双</t>
  </si>
  <si>
    <t>鸡尾酒;酒精饮料（啤酒除外）;葡萄酒;⽩酒;清酒（⽇本⽶酒）;威⼠忌;烈酒;果酒（含酒精）;⻩酒;开胃酒</t>
  </si>
  <si>
    <t>九华蓝</t>
  </si>
  <si>
    <t>池州忆家现代农业科技有限公司</t>
  </si>
  <si>
    <t>⽩兰地;含⽔果酒精饮料;葡萄酒;蜂蜜酒;果酒（含酒精）;⽩酒;鸡尾酒;⻩酒;酒精饮料（啤酒除外）;烈酒（饮料）</t>
  </si>
  <si>
    <t>赤勒歌</t>
  </si>
  <si>
    <t>蜂蜜酒;⽩酒;蒸馏饮料;酒精饮料（啤酒除外）;含⽔果酒精饮料;⻩酒;蒸煮提取物（利⼝酒和烈酒）;烧酒;葡萄酒;⽶酒</t>
  </si>
  <si>
    <t>颂湘宴</t>
  </si>
  <si>
    <t>广州众宴湘邻企业管理有限公司</t>
  </si>
  <si>
    <t>果酒（含酒精）;葡萄酒;⽶酒;⻩酒;⽩兰地;⽩酒;鸡尾酒;清酒（⽇本⽶酒）;烈酒（饮料）;⻘梅酒</t>
  </si>
  <si>
    <t>泽鸿缘三春液</t>
  </si>
  <si>
    <t>王泽</t>
  </si>
  <si>
    <t>⽶酒;酒精饮料（啤酒除外）;⽩酒;⻘稞酒;⻩酒;⽩兰地;⾼粱酒;葡萄酒;威⼠忌;开胃酒</t>
  </si>
  <si>
    <t>德泽垣</t>
  </si>
  <si>
    <t>宁夏典则文化科技有限公司</t>
  </si>
  <si>
    <t>清酒（⽇本⽶酒）;葡萄酒;⾷⽤酒精;果酒（含酒精）;酒精饮料（啤酒除外）;⽶酒;蒸馏饮料;汽酒;⽩酒;烈酒（饮料）</t>
  </si>
  <si>
    <t>玉液知心</t>
  </si>
  <si>
    <t>张金明522225********8717</t>
  </si>
  <si>
    <t>鸡尾酒;烧酒;酒精饮料原汁;⾷⽤酒精;⽩酒;薄荷酒;含⽔果酒精饮料;开胃酒;⻘稞酒;烈酒（饮料）</t>
  </si>
  <si>
    <t>李月翠</t>
  </si>
  <si>
    <t>清酒（⽇本⽶酒）;⽶酒;烧酒;⽩酒;⽩兰地;朗姆酒;汽酒;果酒;烈酒（饮料）;开胃酒</t>
  </si>
  <si>
    <t>ANSHANPANG</t>
  </si>
  <si>
    <t>青岛安三胖餐饮管理有限公司</t>
  </si>
  <si>
    <t>果酒（含酒精）;鸡尾酒;含⽔果酒精饮料;⽶酒;⽩酒;⾕物制蒸馏酒精饮料;蒸馏饮料;以葡萄酒为主的饮料;⾷⽤酒精;⻩酒</t>
  </si>
  <si>
    <t>白河县康农现代农业产业园发展有限公司</t>
  </si>
  <si>
    <t>⽶酒;⽩⼲酒（中国⽩酒）;烧酒;⾼粱酒;苦艾酒;⽩酒;⻩酒;果酒;⾕物制蒸馏酒精饮料;烈酒</t>
  </si>
  <si>
    <t>耀世奇纪</t>
  </si>
  <si>
    <t>林晓雯</t>
  </si>
  <si>
    <t>⽩兰地;威⼠忌;预先混合的酒精饮料（以啤酒为主的除外）;⽶酒;⽩酒;⻩酒;⾷⽤酒精;果酒（含酒精）;酒精饮料（啤酒除外）;烈酒（饮料）</t>
  </si>
  <si>
    <t>澳拉 407</t>
  </si>
  <si>
    <t>威⼠忌;鸡尾酒;⾕物制蒸馏酒精饮料;⽩酒;利⼝酒;亚⼒酒;餐后酒（利⼝酒和烈酒）;朗姆酒;⽩兰地;果酒（含酒精）</t>
  </si>
  <si>
    <t>六春牌</t>
  </si>
  <si>
    <t>鸡尾酒;威⼠忌;⻩酒;⽩兰地;⽩酒;烧酒;果酒（含酒精）;蒸馏饮料;葡萄酒;⽶酒</t>
  </si>
  <si>
    <t>卓雅晟</t>
  </si>
  <si>
    <t>青海卓雅晟农牧科技有限公司</t>
  </si>
  <si>
    <t>⻩酒;鸡尾酒;果酒（含酒精）;⽩酒;蜂蜜酒;⻘稞酒;葡萄酒;⽩兰地;酒精饮料（啤酒除外）;苹果酒</t>
  </si>
  <si>
    <t>古晓素</t>
  </si>
  <si>
    <t>上海古晓食品有限公司</t>
  </si>
  <si>
    <t>⽶酒;⾼粱酒;⻩酒;烈酒;清酒;含⽔果酒精饮料;露酒;果酒;已调味的蒸馏酒;⽩酒</t>
  </si>
  <si>
    <t>欧冠峰泰</t>
  </si>
  <si>
    <t>新疆欧冠峰泰商贸有限公司</t>
  </si>
  <si>
    <t>⽩兰地;果酒（含酒精）;开胃酒;⽶酒;葡萄酒;烈酒（饮料）;酒精饮料原汁;⻩酒;⽩酒;蒸馏饮料</t>
  </si>
  <si>
    <t>叶润天娇</t>
  </si>
  <si>
    <t>海南臻润生物科技有限公司</t>
  </si>
  <si>
    <t>果酒（含酒精）;蒸馏饮料;⽼酒（中国蒸馏烈酒）;⽩酒;葡萄酒;⽶酒;⾕物制蒸馏酒精饮料;烈性⼲酒;⽩葡萄酒;红葡萄酒</t>
  </si>
  <si>
    <t>掼谱</t>
  </si>
  <si>
    <t>贵州金窖供应链管理有限公司</t>
  </si>
  <si>
    <t>⽩酒;⽩⼲酒（中国⽩酒）;⾼粱酒;果酒;烧酒（烈酒）;⻩酒;葡萄酒;烈酒（饮料）;⽼酒（中国蒸馏烈酒）;鸡尾酒</t>
  </si>
  <si>
    <t>红日庄园鹊桥仙</t>
  </si>
  <si>
    <t>伏特加酒;利⼝酒;威⼠忌;酒精饮料（啤酒除外）;⽩兰地;烈酒（饮料）;果酒（含酒精）;蒸馏饮料;鸡尾酒;葡萄酒</t>
  </si>
  <si>
    <t>华世工</t>
  </si>
  <si>
    <t>贵州华步周酒业（集团）有限公司</t>
  </si>
  <si>
    <t>酒精饮料（啤酒除外）;果酒（含酒精）;烈酒（饮料）;⽶酒;⻩酒;餐后酒（利⼝酒和烈酒）;⽩酒;烧酒;葡萄酒;⽼酒（中国蒸馏烈酒）</t>
  </si>
  <si>
    <t>品尚老友</t>
  </si>
  <si>
    <t>陈先平</t>
  </si>
  <si>
    <t>果酒（含酒精）;葡萄酒;⾕物制蒸馏酒精饮料;烧酒;⽩酒;⽶酒;⻩酒;蒸煮提取物（利⼝酒和烈酒）;含⽔果酒精饮料;蒸馏饮料</t>
  </si>
  <si>
    <t>桥畅</t>
  </si>
  <si>
    <t>葡萄酒;⽶酒;⾷⽤酒精;鸡尾酒;⽩兰地;酒精饮料（啤酒除外）;含⽔果酒精饮料;⽩酒;⻩酒;果酒（含酒精）</t>
  </si>
  <si>
    <t>潭苍穹</t>
  </si>
  <si>
    <t>⾷⽤酒精;果酒（含酒精）;葡萄酒;酒精饮料（啤酒除外）;⽩兰地;含⽔果酒精饮料;鸡尾酒;⽩酒;⻩酒;⽶酒</t>
  </si>
  <si>
    <t>创小青</t>
  </si>
  <si>
    <t>青创实业云南（集团）有限公司</t>
  </si>
  <si>
    <t>威⼠忌;开胃酒;葡萄酒;⽶酒;烈酒（饮料）;⻩酒;酒精饮料（啤酒除外）;果酒（含酒精）;蒸馏饮料;⽩酒</t>
  </si>
  <si>
    <t>唐福瑞</t>
  </si>
  <si>
    <t>鸡尾酒;葡萄酒;⻩酒;蒸馏饮料;⽩酒;果酒（含酒精）;⽩兰地;威⼠忌;⽶酒;烧酒</t>
  </si>
  <si>
    <t>高席</t>
  </si>
  <si>
    <t>山东小筑农业发展有限公司</t>
  </si>
  <si>
    <t>薄荷酒;烧酒;甜酒;鸡尾酒;果酒;⽩酒;⽶酒;葡萄酒;⾷⽤酒精;清酒</t>
  </si>
  <si>
    <t>帝坛礼遇</t>
  </si>
  <si>
    <t>王正秀</t>
  </si>
  <si>
    <t>果酒（含酒精）;餐后酒（利⼝酒和烈酒）;⾷⽤酒精;⽩酒;烈酒（饮料）;⽶酒</t>
  </si>
  <si>
    <t>版纳瓦王</t>
  </si>
  <si>
    <t>鸡尾酒;⾼粱酒;烈酒（饮料）;葡萄酒;烧酒;⻩酒;⽩酒;⽶酒;酒精饮料（啤酒除外）;果酒（含酒精）</t>
  </si>
  <si>
    <t>小御呵呵</t>
  </si>
  <si>
    <t>酒精饮料（啤酒除外）;⽩酒;清酒（⽇本⽶酒）;含⽔果酒精饮料;鸡尾酒;蜂蜜酒;果酒（含酒精）;烧酒;⽶酒;葡萄酒</t>
  </si>
  <si>
    <t>红六春</t>
  </si>
  <si>
    <t>果酒（含酒精）;⽩兰地;威⼠忌;⽩酒;烧酒;蒸馏饮料;鸡尾酒;葡萄酒;⽶酒;⻩酒</t>
  </si>
  <si>
    <t>昆仑顶</t>
  </si>
  <si>
    <t>⻩酒;果酒（含酒精）;葡萄酒;烧酒;酒精饮料（啤酒除外）;清酒（⽇本⽶酒）;鸡尾酒;⽶酒;烈酒（饮料）;⽩酒</t>
  </si>
  <si>
    <t>东醒龙</t>
  </si>
  <si>
    <t>葡萄酒;⻩酒;⽩酒;果酒（含酒精）;酒精饮料（啤酒除外）;烈酒（饮料）;⽶酒;烧酒;鸡尾酒;清酒（⽇本⽶酒）</t>
  </si>
  <si>
    <t>久深情</t>
  </si>
  <si>
    <t>清酒（⽇本⽶酒）;鸡尾酒;⻩酒;威⼠忌;葡萄酒;酒精饮料（啤酒除外）;果酒（含酒精）;⽩酒;烈酒;开胃酒</t>
  </si>
  <si>
    <t>极至李</t>
  </si>
  <si>
    <t>烧酒;⾼粱酒;⽩酒;果酒;⽶酒;威⼠忌;葡萄酒;开胃酒;朗姆酒（酒精饮料）;含⽔果酒精饮料</t>
  </si>
  <si>
    <t>金渴</t>
  </si>
  <si>
    <t>柳州市城中区丰合贸易商行</t>
  </si>
  <si>
    <t>利⼝酒;果酒（含酒精）;蒸馏饮料;烧酒;葡萄酒;开胃酒;鸡尾酒;⻩酒;⽩酒;⾼粱酒</t>
  </si>
  <si>
    <t>缇柰</t>
  </si>
  <si>
    <t>蜂蜜酒;蒸煮提取物（利⼝酒和烈酒）;葡萄酒;烧酒;⽶酒;⻩酒;含⽔果酒精饮料;⽩酒;酒精饮料（啤酒除外）;蒸馏饮料</t>
  </si>
  <si>
    <t>五月桑田</t>
  </si>
  <si>
    <t>牛超峰</t>
  </si>
  <si>
    <t>鸡尾酒;葡萄酒;蜂蜜酒;⽶酒;烧酒;开胃酒;⻩酒;果酒（含酒精）;酒精饮料（啤酒除外）;⽩酒</t>
  </si>
  <si>
    <t>葡兰菲</t>
  </si>
  <si>
    <t>罗金艳</t>
  </si>
  <si>
    <t>烈酒（饮料）;威⼠忌;烧酒;⽩酒;⽶酒;鸡尾酒;蒸煮提取物（利⼝酒和烈酒）;葡萄酒;酒精饮料（啤酒除外）;果酒（含酒精）</t>
  </si>
  <si>
    <t>聚优街</t>
  </si>
  <si>
    <t>郭丽云</t>
  </si>
  <si>
    <t>允庄</t>
  </si>
  <si>
    <t>葡萄酒;烈酒（饮料）;⽩酒;鸡尾酒;⻩酒;含⽔果酒精饮料;烧酒;⽶酒;酒精饮料（啤酒除外）;蜂蜜酒</t>
  </si>
  <si>
    <t>古苏原</t>
  </si>
  <si>
    <t>杨燕清</t>
  </si>
  <si>
    <t>果酒（含酒精）;葡萄酒;预先混合的酒精饮料（以啤酒为主的除外）;含⽔果酒精饮料;⾷⽤酒精;⾼粱酒;⻩酒;烧酒;⽩酒;⽶酒</t>
  </si>
  <si>
    <t>味道齐</t>
  </si>
  <si>
    <t>鸡尾酒;含⽔果酒精饮料;⻘稞酒;烧酒;⽩酒;开胃酒;烈酒（饮料）;薄荷酒;⾷⽤酒精;酒精饮料原汁</t>
  </si>
  <si>
    <t>李明</t>
  </si>
  <si>
    <t>清酒（⽇本⽶酒）;预先混合的酒精饮料（以啤酒为主的除外）;烧酒;开胃酒;⽩酒;葡萄酒;烈酒（饮料）;蜂蜜酒;⻩酒;鸡尾酒</t>
  </si>
  <si>
    <t>华鹊千方</t>
  </si>
  <si>
    <t>范磊</t>
  </si>
  <si>
    <t>烈酒（饮料）;葡萄酒;蒸馏饮料;薄荷酒;⽶酒;⾕物制蒸馏酒精饮料;⻩酒;开胃酒;⽩酒;蜂蜜酒</t>
  </si>
  <si>
    <t>海上碑</t>
  </si>
  <si>
    <t>山东岚乡醇酒业有限公司</t>
  </si>
  <si>
    <t>⽩酒;葡萄酒;鸡尾酒;果酒（含酒精）;酒精饮料（啤酒除外）;⻩酒;威⼠忌;⽩兰地;伏特加酒;⽶酒</t>
  </si>
  <si>
    <t>蔺福瑞</t>
  </si>
  <si>
    <t>⻩酒;烧酒;鸡尾酒;葡萄酒;⽶酒;⽩兰地;⽩酒;威⼠忌;果酒（含酒精）;蒸馏饮料</t>
  </si>
  <si>
    <t>中科红宝</t>
  </si>
  <si>
    <t>云南红宝进出口贸易有限公司</t>
  </si>
  <si>
    <t>酒精饮料（啤酒除外）;清酒（⽇本⽶酒）;蒸煮提取物（利⼝酒和烈酒）;烧酒;葡萄酒;⽶酒;果酒（含酒精）;烈酒（饮料）;⽩酒;酒精饮料原汁</t>
  </si>
  <si>
    <t>粤小易</t>
  </si>
  <si>
    <t>⽶酒;酒精饮料原汁;清酒（⽇本⽶酒）;鸡尾酒;葡萄酒;⻩酒;威⼠忌;果酒（含酒精）;酒精饮料（啤酒除外）;⽩酒</t>
  </si>
  <si>
    <t>谷醇福</t>
  </si>
  <si>
    <t>王守信</t>
  </si>
  <si>
    <t>餐后酒（利⼝酒和烈酒）;开胃酒;利⼝酒;烈酒（饮料）;⽶酒;⾕物制蒸馏酒精饮料;酒精饮料（啤酒除外）;⻩酒;⽩酒;烧酒</t>
  </si>
  <si>
    <t>HIWILLGO</t>
  </si>
  <si>
    <t>梨酒;酒精饮料(啤酒除外);⽶酒;葡萄酒;樱桃酒;果酒(含酒精);鸡尾酒;蜂蜜酒;红葡萄酒;含⽔果酒精饮料</t>
  </si>
  <si>
    <t>香阁半醒</t>
  </si>
  <si>
    <t>贵州遵义市半醒酒业有限责任公司</t>
  </si>
  <si>
    <t>葡萄酒;果酒（含酒精）;⾕物制蒸馏酒精饮料;佐餐酒;清酒;烧酒;⻩酒;⽩酒;⽶酒;⽼酒（中国蒸馏烈酒）</t>
  </si>
  <si>
    <t>师塔碑</t>
  </si>
  <si>
    <t>西安自由之翼市场营销策划有限公司</t>
  </si>
  <si>
    <t>威⼠忌;⻩酒;清酒（⽇本⽶酒）;⽶酒;烈酒（饮料）;酒精饮料（啤酒除外）;⽩酒;葡萄酒;烈酒;⽢蔗制烈酒</t>
  </si>
  <si>
    <t>普帝特</t>
  </si>
  <si>
    <t>无棣优倍特健康服务有限公司</t>
  </si>
  <si>
    <t>酒精饮料原汁;清酒;酒精饮料（啤酒除外）;⻩酒;烧酒;伏特加酒;⽶酒;⽩酒;⽩兰地;葡萄酒</t>
  </si>
  <si>
    <t>熵千度 ENTROPY THOUSAND DEGREET</t>
  </si>
  <si>
    <t>承德中道生物科技有限公司</t>
  </si>
  <si>
    <t>酒精饮料（啤酒除外）;烧酒;鸡尾酒;果酒（含酒精）;汽酒;⽶酒;烈酒（饮料）;葡萄酒;⽩酒;⻩酒</t>
  </si>
  <si>
    <t>长如生醉酒</t>
  </si>
  <si>
    <t>李金辉</t>
  </si>
  <si>
    <t>葡萄酒;酒精饮料（啤酒除外）;鸡尾酒;⽶酒;蒸馏饮料;果酒（含酒精）;伏特加酒;烧酒;开胃酒;⽩酒</t>
  </si>
  <si>
    <t>驼满分</t>
  </si>
  <si>
    <t>湖北添能投资集团有限公司</t>
  </si>
  <si>
    <t>酒精饮料（啤酒除外）;利⼝酒;清酒;⽩酒;⻩酒;烈酒（饮料）;葡萄酒;酒精饮料浓缩汁;含⽔果酒精饮料;果酒</t>
  </si>
  <si>
    <t>德柏麦 DEMETRIO</t>
  </si>
  <si>
    <t>佛山德柏麦科技有限公司</t>
  </si>
  <si>
    <t>蒸馏饮料;葡萄酒;酒精饮料（啤酒除外）;⾷⽤酒精;⻘稞酒;含酒精的⽓泡⽔;果酒（含酒精）;⻩酒;⽶酒;⽩酒</t>
  </si>
  <si>
    <t>铂思曼</t>
  </si>
  <si>
    <t>湖北坤霖品牌运营管理有限公司</t>
  </si>
  <si>
    <t>酒精饮料（啤酒除外）;⽩酒;甜果酒;果酒（含酒精）;预先混合的酒精饮料（以啤酒为主的除外）;开胃酒;除啤酒外的酒精饮料;⽶酒;鸡尾酒;含⽔果酒精饮料</t>
  </si>
  <si>
    <t>陇鄄酒庄</t>
  </si>
  <si>
    <t>⻩酒;鸡尾酒;除啤酒外的酒精饮料;果酒（含酒精）;含酒精的饮料（啤酒除外）;⽩酒;由⾕物蒸馏的⽩酒;蒸馏饮料;⽩⼲酒（中国⽩酒）;葡萄酒</t>
  </si>
  <si>
    <t>鸿赤仙</t>
  </si>
  <si>
    <t>⻩酒;蒸馏饮料;威⼠忌;烧酒;⽶酒;鸡尾酒;⽩兰地;⽩酒;葡萄酒;果酒（含酒精）</t>
  </si>
  <si>
    <t>徐大椿</t>
  </si>
  <si>
    <t>上海唐塔国际贸易有限公司</t>
  </si>
  <si>
    <t>含酒精的⽔果鸡尾酒饮料;开胃酒;⽶酒;果酒（含酒精）;蒸馏饮料;⽩酒;⻩酒;烧酒;葡萄酒;蜂蜜酒</t>
  </si>
  <si>
    <t>老候江</t>
  </si>
  <si>
    <t>李学林</t>
  </si>
  <si>
    <t>蒸煮提取物（利⼝酒和烈酒）;威⼠忌;⻩酒;酒精饮料原汁;⽩酒;果酒（含酒精）;鸡尾酒;⽩兰地;酒精饮料（啤酒除外）;葡萄酒</t>
  </si>
  <si>
    <t>辽宁宜镜文创有限公司</t>
  </si>
  <si>
    <t>⽶酒;苹果酒;葡萄酒;含酒精的⽓泡⽔;烧酒;⽩酒;蜂蜜酒;果酒（含酒精）;梨酒;酒精饮料（啤酒除外）</t>
  </si>
  <si>
    <t>霸崛</t>
  </si>
  <si>
    <t>洛阳乐赢汽车服务有限公司</t>
  </si>
  <si>
    <t>酒精饮料浓缩汁;⽩酒;樱桃酒;薄荷酒;伏特加酒;利⼝酒;⻩酒;烧酒;鸡尾酒;开胃酒</t>
  </si>
  <si>
    <t>酒景游</t>
  </si>
  <si>
    <t>河南好宜佳酒店管理有限公司</t>
  </si>
  <si>
    <t>⽶酒;朗姆酒;蒸馏饮料;清酒;果酒（含酒精）;含酒精的饮料（啤酒除外）;⽩酒;葡萄酒;鸡尾酒;烈酒</t>
  </si>
  <si>
    <t>咘嗏咘嗏</t>
  </si>
  <si>
    <t>绿行酵室品牌发展（上海）有限公司</t>
  </si>
  <si>
    <t>⽩兰地;葡萄酒;鸡尾酒;利⼝酒;果酒（含酒精）;开胃酒;烧酒;⽩酒;烈酒（饮料）;酒精饮料（啤酒除外）</t>
  </si>
  <si>
    <t>纪漪澄</t>
  </si>
  <si>
    <t>纪明维</t>
  </si>
  <si>
    <t>甜酒;葡萄酒;酒精饮料（啤酒除外）;⽶酒;⻩酒;果酒（含酒精）;烧酒;鸡尾酒;蜂蜜酒;⽩酒</t>
  </si>
  <si>
    <t>巴旗马</t>
  </si>
  <si>
    <t>内蒙古金辉盛业食品配送有限公司</t>
  </si>
  <si>
    <t>果酒（含酒精）;酒精饮料（啤酒除外）;⽶酒;⾼粱酒;⾷⽤酒精;蒸馏饮料;鸡尾酒;含酒精的饮料（啤酒除外）;⻘稞酒;葡萄酒</t>
  </si>
  <si>
    <t>博精</t>
  </si>
  <si>
    <t>贵州古怀香酒业股份有限公司</t>
  </si>
  <si>
    <t>烈酒;由⾕物蒸馏的⽩酒;烧酒;清酒;开胃酒;⽶酒;⽩酒;果酒（含酒精）;利⼝酒;⽩⼲酒（中国⽩酒）</t>
  </si>
  <si>
    <t>宣希</t>
  </si>
  <si>
    <t>何治明</t>
  </si>
  <si>
    <t>由⾕物蒸馏的⽩酒;⽩酒;⽩⼲酒（中国⽩酒）</t>
  </si>
  <si>
    <t>百定台</t>
  </si>
  <si>
    <t>百尺台酒业有限公司</t>
  </si>
  <si>
    <t>果酒（含酒精）;⽩酒;葡萄酒;清酒;预先混合的酒精饮料（以啤酒为主的除外）;酒精饮料（啤酒除外）;⽶酒;含⽔果酒精饮料;⻩酒;烧酒</t>
  </si>
  <si>
    <t>布鲁斯密达</t>
  </si>
  <si>
    <t>杰卡斯（深圳）贸易有限公司</t>
  </si>
  <si>
    <t>烧酒;⽩兰地;⽶酒;⻩酒;烈酒（饮料）;葡萄酒;伏特加酒;⽩酒;威⼠忌;果酒（含酒精）</t>
  </si>
  <si>
    <t>翼狐</t>
  </si>
  <si>
    <t>万客汽配科技（东莞）有限公司</t>
  </si>
  <si>
    <t>⽩兰地;烈酒（饮料）;酒精饮料浓缩汁;果酒（含酒精）;⽩酒;酒精饮料（啤酒除外）;⽶酒;烧酒;⾷⽤酒精;葡萄酒</t>
  </si>
  <si>
    <t>VENTISOL</t>
  </si>
  <si>
    <t>文蒂索尔工业和商业股份有限公司</t>
  </si>
  <si>
    <t>⾕物制蒸馏酒精饮料;果酒;⽩酒;烧酒（烈酒）;酒精饮料（啤酒除外）;威⼠忌;⽶酒;佐餐酒;烈酒（饮料）;葡萄酒</t>
  </si>
  <si>
    <t>夏珍源</t>
  </si>
  <si>
    <t>南京心睿互联科技发展有限公司</t>
  </si>
  <si>
    <t>⽩酒;⾕物制蒸馏酒精饮料;烧酒;预先混合的酒精饮料（以啤酒为主的除外）;葡萄酒;⽶酒;⻩酒;⽩兰地;酒精饮料（啤酒除外）;果酒（含酒精）</t>
  </si>
  <si>
    <t>名扬江壶</t>
  </si>
  <si>
    <t>常艳</t>
  </si>
  <si>
    <t>鼎盛清花</t>
  </si>
  <si>
    <t>杨何燕</t>
  </si>
  <si>
    <t>烧酒;果酒;⻩酒;⽩酒;鸡尾酒;葡萄酒;清酒;烈酒;除啤酒外的酒精饮料;⽶酒</t>
  </si>
  <si>
    <t>金蟾工</t>
  </si>
  <si>
    <t>闫振程</t>
  </si>
  <si>
    <t>⽩酒;含⽔果酒精饮料;葡萄酒;烈酒（饮料）;亚⼒酒;酒精饮料（啤酒除外）;⽶酒;甜果酒;苹果酒;⻩酒</t>
  </si>
  <si>
    <t>鉴香识梅</t>
  </si>
  <si>
    <t>桂林义江酒业有限公司</t>
  </si>
  <si>
    <t>含⽔果酒精饮料;⻘梅酒;酒精饮料浓缩汁;⽔果汽酒;果酒（含酒精）;果酒;露酒;⻩酒;梅酒;甜酒</t>
  </si>
  <si>
    <t>应状元</t>
  </si>
  <si>
    <t>山东省酒号公社酒业有限公司</t>
  </si>
  <si>
    <t>⽩酒;⽼酒（中国蒸馏烈酒）;鸡尾酒;葡萄酒;果酒;⽶酒;烈酒;⻩酒;烧酒;酒精饮料（啤酒除外）</t>
  </si>
  <si>
    <t>欢王侯</t>
  </si>
  <si>
    <t>彭承荣</t>
  </si>
  <si>
    <t>开胃酒;⻩酒;果酒（含酒精）;苦荞酒;烧酒;⾼粱酒;烈酒;⽩⼲酒（中国⽩酒）;⽩酒;⽶酒</t>
  </si>
  <si>
    <t>君来胜</t>
  </si>
  <si>
    <t>上海骄洋食品有限公司</t>
  </si>
  <si>
    <t>烈酒（饮料）;⽩酒;⾷⽤酒精;烧酒;威⼠忌;⽶酒;清酒;葡萄酒;果酒;⻩酒</t>
  </si>
  <si>
    <t>苳阿菜</t>
  </si>
  <si>
    <t>蔡艳霞</t>
  </si>
  <si>
    <t>果酒（含酒精）;已调味的⻨芽酿制的酒精饮料（啤酒除外）;烧酒;⻘稞酒;⽩酒;苹果酒;含酒精的⽓泡⽔;葡萄酒;⽶酒;⻩酒</t>
  </si>
  <si>
    <t>兜满益</t>
  </si>
  <si>
    <t>周口市众兴纺织有限公司</t>
  </si>
  <si>
    <t>开胃酒;⽇式甜⽶酒;蒸馏⽶酒（泡盛酒）;朝鲜族⽶酒;⽩酒;⻩酒;⽶酒;葡萄酒;⾕物制蒸馏酒精饮料;含⽔果酒精饮料</t>
  </si>
  <si>
    <t>月华金陵</t>
  </si>
  <si>
    <t>江苏茅粉之家贸易有限公司</t>
  </si>
  <si>
    <t>威⼠忌;烧酒（烈酒）;⻩酒;伏特加酒;汽酒;鸡尾酒;葡萄酒;⽶酒;除啤酒外的酒精饮料;⽩酒</t>
  </si>
  <si>
    <t>仁久台</t>
  </si>
  <si>
    <t>贵州华王酒业有限公司</t>
  </si>
  <si>
    <t>⾷⽤酒精;烧酒;烈酒;葡萄酒;⻩酒;⽩酒;酒精饮料原汁;⾼粱酒;果酒;露酒</t>
  </si>
  <si>
    <t>夸尚</t>
  </si>
  <si>
    <t>吴小燕</t>
  </si>
  <si>
    <t>⽩酒;葡萄酒;含⽔果酒精饮料;酒精饮料（啤酒除外）;清酒（⽇本⽶酒）;鸡尾酒;果酒（含酒精）;蜂蜜酒;烧酒;⽶酒</t>
  </si>
  <si>
    <t>江壶游侠</t>
  </si>
  <si>
    <t>曾宇</t>
  </si>
  <si>
    <t>葡萄酒;⻩酒;⽩酒;开胃酒;酒精饮料（啤酒除外）;果酒（含酒精）;烈酒;鸡尾酒;清酒（⽇本⽶酒）;威⼠忌</t>
  </si>
  <si>
    <t>滴亮</t>
  </si>
  <si>
    <t>厦门赵氏商贸有限公司</t>
  </si>
  <si>
    <t>⽶酒;⽩酒;烈酒（饮料）;蒸馏饮料;露酒;⻩酒;⾼粱酒;酒精饮料（啤酒除外）;果酒;烧酒</t>
  </si>
  <si>
    <t>栩宏</t>
  </si>
  <si>
    <t>海南益元特医生物科技有限公司</t>
  </si>
  <si>
    <t>果酒（含酒精）;⽩酒;鸡尾酒;⽩兰地;⻩酒;酒精饮料（啤酒除外）;含⽔果酒精饮料;含酒精的⽓泡⽔;⾕物制蒸馏酒精饮料;威⼠忌</t>
  </si>
  <si>
    <t>光晔</t>
  </si>
  <si>
    <t>杨立溢320924********0015</t>
  </si>
  <si>
    <t>烈酒（饮料）;烧酒;⻩酒;烈酒;⽼酒（中国蒸馏烈酒）;⽶酒;⾼粱酒;⽩酒;烧酒（烈酒）;威⼠忌</t>
  </si>
  <si>
    <t>术个</t>
  </si>
  <si>
    <t>东莞市一米粒科技有限责任公司</t>
  </si>
  <si>
    <t>薄荷酒;苹果酒;⽶酒;⽩酒;葡萄酒;⽩兰地;⾷⽤酒精;鸡尾酒;⻩酒;蜂蜜酒</t>
  </si>
  <si>
    <t>果真畅</t>
  </si>
  <si>
    <t>覃勇</t>
  </si>
  <si>
    <t>开胃酒;鸡尾酒;葡萄酒;清酒（⽇本⽶酒）;烈酒;果酒（含酒精）;酒精饮料（啤酒除外）;威⼠忌;⻩酒;⽩酒</t>
  </si>
  <si>
    <t>柔情清</t>
  </si>
  <si>
    <t>果酒;⽶酒;⽩酒;露酒;葡萄酒;⾼粱酒;清酒（⽇本⽶酒）;含酒精的饮料（啤酒除外）;⻩酒;果酒（含酒精）</t>
  </si>
  <si>
    <t>窖福林</t>
  </si>
  <si>
    <t>青岛冠佑贝诺酒业销售有限公司</t>
  </si>
  <si>
    <t>果酒（含酒精）;⾕物制蒸馏酒精饮料;⽩酒;⻩酒;⽩⼲酒（中国⽩酒）;葡萄酒;⽶酒;预先混合的酒精饮料（以啤酒为主的除外）;烧酒;酒精饮料（啤酒除外）</t>
  </si>
  <si>
    <t>传世塔酒</t>
  </si>
  <si>
    <t>云和县恒益生态农业发展有限公司</t>
  </si>
  <si>
    <t>⽩酒;⽶酒;烧酒;⻩酒;⾼粱酒;酒精饮料（啤酒除外）;威⼠忌;果酒（含酒精）;葡萄酒;含⽔果酒精饮料</t>
  </si>
  <si>
    <t>六芯粮</t>
  </si>
  <si>
    <t>⾕物制蒸馏酒精饮料;酒精饮料（啤酒除外）;⽩酒;⻩酒;预先混合的酒精饮料（以啤酒为主的除外）;⽩兰地;葡萄酒;⽶酒;果酒（含酒精）;烧酒</t>
  </si>
  <si>
    <t>乐江醇</t>
  </si>
  <si>
    <t>江长霖</t>
  </si>
  <si>
    <t>烈酒（饮料）;开胃酒;酒精饮料浓缩汁;烧酒;⾷⽤酒精;鸡尾酒;葡萄酒;⽶酒;⻩酒;⽩酒</t>
  </si>
  <si>
    <t>黔滋旺</t>
  </si>
  <si>
    <t>陈湘文</t>
  </si>
  <si>
    <t>⽩酒;酒精饮料原汁;⾷⽤酒精;⾼粱酒;葡萄酒;露酒;⽩⼲酒（中国⽩酒）;果酒;⻩酒;烈酒</t>
  </si>
  <si>
    <t>龙澄澜</t>
  </si>
  <si>
    <t>陶琳</t>
  </si>
  <si>
    <t>葡萄酒;利⼝酒;烈酒（饮料）;⽩酒;⽩⼲酒（中国⽩酒）;⾼粱酒;含⽔果酒精饮料;⽶酒;烧酒（烈酒）;蒸煮提取物（利⼝酒和烈酒）</t>
  </si>
  <si>
    <t>偲慕态</t>
  </si>
  <si>
    <t>广州益养生物科技有限公司</t>
  </si>
  <si>
    <t>果酒（含酒精）;蒸馏饮料;鸡尾酒;清酒;含⽔果酒精饮料;薄荷酒;葡萄酒;威⼠忌;酒精饮料（啤酒除外）;蒸煮提取物（利⼝酒和烈酒）</t>
  </si>
  <si>
    <t>通挽</t>
  </si>
  <si>
    <t>烧酒;⾼粱酒;由⾕物蒸馏的⽩酒;⻩酒;⽼酒（中国蒸馏烈酒）;果酒（含酒精）;蜂蜜酒;甜酒;⽢蔗汁酿朗姆酒;⽶酒</t>
  </si>
  <si>
    <t>千味如意</t>
  </si>
  <si>
    <t>李勇辉</t>
  </si>
  <si>
    <t>蒸煮提取物（利⼝酒和烈酒）;葡萄酒;⾷⽤酒精;酒精饮料浓缩汁;蒸馏饮料;果酒;鸡尾酒;⽩酒;含⽔果酒精饮料;⽶酒</t>
  </si>
  <si>
    <t>思乡贤</t>
  </si>
  <si>
    <t>严兴堂</t>
  </si>
  <si>
    <t>苹果酒;葡萄酒;果酒（含酒精）;⽶酒;⻩酒;伏特加酒;烧酒;开胃酒;⽩兰地;⽩酒</t>
  </si>
  <si>
    <t>半狐</t>
  </si>
  <si>
    <t>葡萄酒;果酒（含酒精）;酒精饮料（啤酒除外）;⽶酒;烧酒;⾷⽤酒精;烈酒（饮料）;⽩兰地;酒精饮料浓缩汁;⽩酒</t>
  </si>
  <si>
    <t>义狐</t>
  </si>
  <si>
    <t>酒精饮料浓缩汁;⽶酒;果酒（含酒精）;⾷⽤酒精;⽩兰地;葡萄酒;酒精饮料（啤酒除外）;烧酒;烈酒（饮料）;⽩酒</t>
  </si>
  <si>
    <t>亿和缘</t>
  </si>
  <si>
    <t>亿和（临沂）婚恋服务有限公司</t>
  </si>
  <si>
    <t>果酒（含酒精）;鸡尾酒;酒精饮料（啤酒除外）;烈酒（饮料）;⽼酒（中国蒸馏烈酒）;⽶酒;葡萄酒;⻩酒;⽩酒;烧酒</t>
  </si>
  <si>
    <t>臻瑜春</t>
  </si>
  <si>
    <t>何丽媛</t>
  </si>
  <si>
    <t>酒精饮料（啤酒除外）;⽩酒;果酒;⻩酒;由⾕物蒸馏的⽩酒;⽶酒;烧酒（烈酒）;⾼粱酒;⽼酒（中国蒸馏烈酒）;⽩⼲酒（中国⽩酒）</t>
  </si>
  <si>
    <t>景昃里</t>
  </si>
  <si>
    <t>贵州中玺文旅产业发展有限公司</t>
  </si>
  <si>
    <t>⻘梅酒;含⽔果酒精饮料;清酒;⽩酒;以葡萄酒为主的开胃酒;酒精饮料（啤酒除外）;含酒精的⽔果鸡尾酒饮料;⽇本梅⼦酒;杨梅酒;⻩酒</t>
  </si>
  <si>
    <t>硬酒香四合</t>
  </si>
  <si>
    <t>王金波</t>
  </si>
  <si>
    <t>烧酒;⻩酒;烈酒（饮料）;清酒（⽇本⽶酒）;⽩酒;果酒（含酒精）;蒸馏饮料;葡萄酒;伏特加酒;⽶酒</t>
  </si>
  <si>
    <t>候喜</t>
  </si>
  <si>
    <t>刘志勇</t>
  </si>
  <si>
    <t>葡萄酒;蒸馏饮料;果酒;甜酒;⻩酒;威⼠忌;⽩酒;酒精饮料（啤酒除外）;⽶酒;含⽔果酒精饮料</t>
  </si>
  <si>
    <t>义龙集义</t>
  </si>
  <si>
    <t>雷玉娣</t>
  </si>
  <si>
    <t>露酒;⽶酒;汽酒;烧酒;开胃酒;⽩酒;⻩酒;利⼝酒;果酒（含酒精）;葡萄酒</t>
  </si>
  <si>
    <t>粱盏浪淘沙</t>
  </si>
  <si>
    <t>刘红丽</t>
  </si>
  <si>
    <t>葡萄酒;酒精饮料浓缩汁;朝鲜族⽶酒;⾷⽤酒精;⻩酒;酒精饮料原汁;酒精饮料（啤酒除外）;⽩酒;烧酒;烈酒（饮料）</t>
  </si>
  <si>
    <t>粱盏佳人醉</t>
  </si>
  <si>
    <t>朝鲜族⽶酒;酒精饮料浓缩汁;烈酒（饮料）;烧酒;⾷⽤酒精;酒精饮料原汁;酒精饮料（啤酒除外）;葡萄酒;⻩酒;⽩酒</t>
  </si>
  <si>
    <t>安徽古陈酒业销售有限公司</t>
  </si>
  <si>
    <t>⽩酒;酒精饮料（啤酒除外）;⽶酒;烈酒（饮料）;威⼠忌;烧酒;葡萄酒;果酒（含酒精）;⻩酒;鸡尾酒</t>
  </si>
  <si>
    <t>薏养年</t>
  </si>
  <si>
    <t>都昌县焕聪百货店</t>
  </si>
  <si>
    <t>⽩⼲酒（中国⽩酒）;蒸馏饮料;⽩酒;⽼酒（中国蒸馏烈酒）;果酒（含酒精）;⽶酒;由⾕物蒸馏的⽩酒;含酒精的饮料（啤酒除外）;⻩酒;含酒精⽔果饮料</t>
  </si>
  <si>
    <t>珍凤祥</t>
  </si>
  <si>
    <t>马小林</t>
  </si>
  <si>
    <t>果酒（含酒精）;清酒（⽇本⽶酒）;酒精饮料（啤酒除外）;烧酒;⻩酒;葡萄酒;⽩酒;开胃酒;鸡尾酒;汽酒</t>
  </si>
  <si>
    <t>大闹江壶</t>
  </si>
  <si>
    <t>吴秀森</t>
  </si>
  <si>
    <t>清酒（⽇本⽶酒）;威⼠忌;烈酒;开胃酒;⻩酒;鸡尾酒;⽩酒;葡萄酒;酒精饮料（啤酒除外）;果酒（含酒精）</t>
  </si>
  <si>
    <t>JIU TAO SHA</t>
  </si>
  <si>
    <t>贵州九淘酒业有限公司</t>
  </si>
  <si>
    <t>酒精饮料（啤酒除外）;⽩酒;清酒;⽶酒;蜂蜜酒;烧酒;烈酒（饮料）;含⽔果酒精饮料;⻩酒;葡萄酒</t>
  </si>
  <si>
    <t>彩南石羊</t>
  </si>
  <si>
    <t>杞永安</t>
  </si>
  <si>
    <t>⽶酒;⽩酒;⾼粱酒;⻩酒;⽼酒（中国蒸馏烈酒）;烧酒（烈酒）;酒精饮料（啤酒除外）;⽩⼲酒（中国⽩酒）;果酒;由⾕物蒸馏的⽩酒</t>
  </si>
  <si>
    <t>酩与月</t>
  </si>
  <si>
    <t>叶子程</t>
  </si>
  <si>
    <t>餐后酒（利⼝酒和烈酒）;酒精饮料（啤酒除外）;⻩酒;果酒（含酒精）;⽶酒;⽩酒;烧酒;葡萄酒;酒精饮料原汁;烈酒（饮料）</t>
  </si>
  <si>
    <t>萃山海</t>
  </si>
  <si>
    <t>云南中亚文化传媒有限公司</t>
  </si>
  <si>
    <t>酒精饮料（啤酒除外）;含⽔果酒精饮料;果酒（含酒精）;烧酒;烈酒（饮料）;葡萄酒;酒精饮料浓缩汁;⽶酒;⽩酒;蒸馏饮料</t>
  </si>
  <si>
    <t>阿捷凯</t>
  </si>
  <si>
    <t>浙江劲速体育用品有限公司</t>
  </si>
  <si>
    <t>葡萄酒;酒精饮料原汁;⽶酒;⽩酒;含酒精的⽓泡⽔;烧酒;果酒（含酒精）;蒸馏饮料;含⽔果酒精饮料;⻩酒</t>
  </si>
  <si>
    <t>八乎</t>
  </si>
  <si>
    <t>河南省数始信息技术有限公司</t>
  </si>
  <si>
    <t>葡萄酒;⾷⽤酒精;⽩酒;⻩酒;⻘稞酒;烈酒（饮料）;酒精饮料（啤酒除外）;⽶酒;⻘梅酒;蒸馏饮料</t>
  </si>
  <si>
    <t>星滔</t>
  </si>
  <si>
    <t>威⼠忌;烈酒;清酒（⽇本⽶酒）;酒精饮料（啤酒除外）;果酒（含酒精）;鸡尾酒;葡萄酒;⻩酒;⽩酒;开胃酒</t>
  </si>
  <si>
    <t>罗诺威</t>
  </si>
  <si>
    <t>沈佳涛</t>
  </si>
  <si>
    <t>⽩兰地;威⼠忌;含⽔果酒精饮料;⽶酒;酒精饮料（啤酒除外）;朗姆酒（酒精饮料）;甜酒;葡萄酒;烈酒（饮料）;伏特加酒</t>
  </si>
  <si>
    <t>DXYG</t>
  </si>
  <si>
    <t>合肥三只羊文化传媒有限公司</t>
  </si>
  <si>
    <t>⻩酒;酒精饮料（啤酒除外）;酒精饮料浓缩汁;葡萄酒;含⽔果酒精饮料;汽酒;果酒（含酒精）;蒸馏饮料;开胃酒;酒精饮料原汁</t>
  </si>
  <si>
    <t>珍灵谷道</t>
  </si>
  <si>
    <t>河南平泉生物科技有限公司</t>
  </si>
  <si>
    <t>开胃酒;以蒸馏酒为主的开胃酒;⻩酒;⾼粱酒;烧酒（烈酒）;⽶酒;⾕物制蒸馏酒精饮料;⽩酒;佐餐酒;蒸馏饮料</t>
  </si>
  <si>
    <t>喜数</t>
  </si>
  <si>
    <t>盛高建</t>
  </si>
  <si>
    <t>⻩酒;⽶酒;⽩⼲酒（中国⽩酒）;果酒（含酒精）;开胃酒;烈酒;苦荞酒;⾼粱酒;烧酒;⽩酒</t>
  </si>
  <si>
    <t>银安大师</t>
  </si>
  <si>
    <t>汽酒;开胃酒;果酒（含酒精）;烧酒;⻩酒;利⼝酒;⽩酒;露酒;⽶酒;葡萄酒</t>
  </si>
  <si>
    <t>久巷外</t>
  </si>
  <si>
    <t>桃源服饰有限公司</t>
  </si>
  <si>
    <t>果酒（含酒精）;葡萄酒;⻩酒;鸡尾酒;⽩兰地;⾷⽤酒精;⽩酒;酒精饮料（啤酒除外）;⽶酒;含⽔果酒精饮料</t>
  </si>
  <si>
    <t>得谊匠</t>
  </si>
  <si>
    <t>田治清</t>
  </si>
  <si>
    <t>⽼酒（中国蒸馏烈酒）;烈酒;⽩酒;葡萄酒;⽶酒;果酒（含酒精）;⽩葡萄酒;含⽔果酒精饮料;⽔果汽酒;⽩⼲酒（中国⽩酒）</t>
  </si>
  <si>
    <t>智惠康居</t>
  </si>
  <si>
    <t>陕西智惠康居电子商务有限公司</t>
  </si>
  <si>
    <t>鸡尾酒;⻩酒;酒精饮料（啤酒除外）;⽩酒;⽶酒;果酒;⽼酒（中国蒸馏烈酒）;梅酒;葡萄酒;⾼粱酒</t>
  </si>
  <si>
    <t>杲谷玛</t>
  </si>
  <si>
    <t>青岛丰运达工贸有限公司</t>
  </si>
  <si>
    <t>烈酒（饮料）;清酒（⽇本⽶酒）;⻩酒;开胃酒;⽩酒;葡萄酒;⽶酒;果酒（含酒精）;鸡尾酒;蒸馏饮料</t>
  </si>
  <si>
    <t>2024/05/26</t>
  </si>
  <si>
    <t>禾翁醉</t>
  </si>
  <si>
    <t>周丽娜</t>
  </si>
  <si>
    <t>果酒（含酒精）;⻩酒;⾼粱酒;葡萄酒;果酒;⽩兰地;⽶酒;⽩酒;烧酒;烈酒（饮料）</t>
  </si>
  <si>
    <t>潜水员</t>
  </si>
  <si>
    <t>东莞市海威潜水装备有限公司</t>
  </si>
  <si>
    <t>烈酒（饮料）;酒精饮料原汁;蒸馏饮料;⾷⽤酒精;酒精饮料（啤酒除外）;葡萄酒;预先混合的酒精饮料（以啤酒为主的除外）;⽩酒;果酒（含酒精）;⽶酒</t>
  </si>
  <si>
    <t>KENPAISEN</t>
  </si>
  <si>
    <t>重庆德力达新能源科技有限公司</t>
  </si>
  <si>
    <t>⽶酒;鸡尾酒;烧酒;烈酒;⻩酒;⽩酒;⾕物制蒸馏酒精饮料;餐后酒（利⼝酒和烈酒）;⽼酒（中国蒸馏烈酒）;果酒（含酒精）</t>
  </si>
  <si>
    <t>渔小笙</t>
  </si>
  <si>
    <t>吴虎</t>
  </si>
  <si>
    <t>⻩酒;⽶酒;汽酒;酒精饮料（啤酒除外）;烈酒;果酒;清酒;⽩酒;葡萄酒;烧酒</t>
  </si>
  <si>
    <t>DEVIN JUSTINE</t>
  </si>
  <si>
    <t>武汉每日壹品商贸有限公司</t>
  </si>
  <si>
    <t>蒸馏饮料;葡萄酒;樱桃酒;威⼠忌;起泡红葡萄酒;⽩酒;⽩兰地;果酒（含酒精）;朗姆酒;不起泡葡萄酒;以葡萄酒为主的饮料</t>
  </si>
  <si>
    <t>大叹号</t>
  </si>
  <si>
    <t>王竟全</t>
  </si>
  <si>
    <t>已调味的蒸馏酒;⾷⽤酒精;⾕物制蒸馏酒精饮料;葡萄酒;酒精饮料（啤酒除外）;威⼠忌;⽩酒;果酒（含酒精）;⽶酒;⻩酒</t>
  </si>
  <si>
    <t>GOGUMA</t>
  </si>
  <si>
    <t>葡萄酒;⽶酒;⻩酒;蒸馏饮料;⽩兰地;果酒（含酒精）;烈酒（饮料）;含⽔果酒精饮料;烧酒;⽩酒</t>
  </si>
  <si>
    <t>广东省清晨农牧科技有限公司</t>
  </si>
  <si>
    <t>鸡尾酒;⽩兰地;清酒;葡萄酒;⽩酒;⽶酒;果酒;蜂蜜酒;⻩酒;利⼝酒</t>
  </si>
  <si>
    <t>叹池</t>
  </si>
  <si>
    <t>十月枫树集团有限公司</t>
  </si>
  <si>
    <t>葡萄酒;⻩酒;⾷⽤酒精;果酒（含酒精）;⽩酒;酒精饮料（啤酒除外）;含⽔果酒精饮料;⽶酒;⽩兰地;鸡尾酒</t>
  </si>
  <si>
    <t>赐秀</t>
  </si>
  <si>
    <t>开胃酒;酒精饮料（啤酒除外）;⻩酒;烈酒;⽩酒;清酒（⽇本⽶酒）;葡萄酒;威⼠忌;鸡尾酒;果酒（含酒精）</t>
  </si>
  <si>
    <t>虹细</t>
  </si>
  <si>
    <t>束永杰</t>
  </si>
  <si>
    <t>果酒（含酒精）;酒精饮料（啤酒除外）;开胃酒;鸡尾酒;烈酒;⽩酒;葡萄酒;清酒（⽇本⽶酒）;⻩酒;威⼠忌</t>
  </si>
  <si>
    <t>万寨牛茗</t>
  </si>
  <si>
    <t>甘维行</t>
  </si>
  <si>
    <t>⽶酒;⽩酒;由⾕物蒸馏的⽩酒;烈酒（饮料）;葡萄酒</t>
  </si>
  <si>
    <t>CHAVE</t>
  </si>
  <si>
    <t>雅安市春果茶业有限公司</t>
  </si>
  <si>
    <t>⻩酒;⽶酒;⽩酒;烈酒（饮料）;⾷⽤酒精;威⼠忌;果酒（含酒精）;葡萄酒;酒精饮料（啤酒除外）;⽩兰地</t>
  </si>
  <si>
    <t>霸王熊</t>
  </si>
  <si>
    <t>山东晟拖重工有限公司</t>
  </si>
  <si>
    <t>⻩酒;利⼝酒;酒精饮料原汁;汽酒;⽶酒;葡萄酒;烧酒;⽩酒;烈酒（饮料）;果酒（含酒精）</t>
  </si>
  <si>
    <t>半方粮</t>
  </si>
  <si>
    <t>陕西博美名汇连锁管理有限公司</t>
  </si>
  <si>
    <t>清酒;苹果酒;⽶酒;烧酒;⽩酒;苦味酒;⽼酒（中国蒸馏烈酒）;酒精饮料（啤酒除外）;⻩酒;果酒（含酒精）</t>
  </si>
  <si>
    <t>泉鸠川</t>
  </si>
  <si>
    <t>贺李敏</t>
  </si>
  <si>
    <t>威⼠忌;烈酒（饮料）;鸡尾酒;烧酒;⻩酒;果酒（含酒精）;⽩酒;⽶酒;酒精饮料（啤酒除外）;葡萄酒</t>
  </si>
  <si>
    <t>九芳芝己</t>
  </si>
  <si>
    <t>江西正博实业有限公司</t>
  </si>
  <si>
    <t>烈酒（饮料）;清酒（⽇本⽶酒）;⽶酒;⽼酒（中国蒸馏烈酒）;⽩酒;果酒（含酒精）;葡萄酒;伏特加酒;烧酒;⻩酒</t>
  </si>
  <si>
    <t>宝华韦健</t>
  </si>
  <si>
    <t>陈琮文</t>
  </si>
  <si>
    <t>果酒（含酒精）;蒸馏饮料;葡萄酒;⽶酒;烧酒;朗姆酒;⽩酒;鸡尾酒;⻩酒;酒精饮料（啤酒除外）</t>
  </si>
  <si>
    <t>巴蜀玄院</t>
  </si>
  <si>
    <t>四川华媒文化发展有限公司</t>
  </si>
  <si>
    <t>葡萄酒;清酒;⽼酒（中国蒸馏烈酒）;⻘稞酒;⽩酒;威⼠忌;果酒;⾼粱酒;露酒;⻩酒</t>
  </si>
  <si>
    <t>鲸鳐</t>
  </si>
  <si>
    <t>黑龙江壹玖壹柒贸易有限公司</t>
  </si>
  <si>
    <t>鸡尾酒;⽩酒;除啤酒外的酒精饮料;果酒;甜酒;葡萄汽酒;以葡萄酒为主的饮料;葡萄酒;含⽔果酒精饮料;⽶酒</t>
  </si>
  <si>
    <t>KOBOKUDO</t>
  </si>
  <si>
    <t>株式会社香木堂</t>
  </si>
  <si>
    <t>鸡尾酒;汽酒;清酒（⽇本⽶酒）;⽩酒;果酒;葡萄酒;⽶酒;酒精饮料（啤酒除外）;预调甜酒;烧酒</t>
  </si>
  <si>
    <t>词品</t>
  </si>
  <si>
    <t>苦味酒;⽶酒;烧酒;酒精饮料（啤酒除外）;果酒（含酒精）;⽼酒（中国蒸馏烈酒）;苹果酒;⻩酒;清酒;⽩酒</t>
  </si>
  <si>
    <t>酿妃恋</t>
  </si>
  <si>
    <t>深圳巨人天下网络科技有限公司</t>
  </si>
  <si>
    <t>酒精饮料（啤酒除外）;威⼠忌;⻩酒;果酒（含酒精）;⽩酒;葡萄酒;⽩兰地;伏特加酒;汽酒;鸡尾酒</t>
  </si>
  <si>
    <t>鸿禧来</t>
  </si>
  <si>
    <t>泸州君国酒庄有限公司</t>
  </si>
  <si>
    <t>⾼粱酒;烧酒（烈酒）;⽩酒;果酒;⻘稞酒;蒸煮提取物（利⼝酒和烈酒）;⽶酒;烧酒;甜酒;葡萄酒</t>
  </si>
  <si>
    <t>浣喜韶</t>
  </si>
  <si>
    <t>⽶酒;酒精饮料（啤酒除外）;威⼠忌;鸡尾酒;烈酒（饮料）;葡萄酒;果酒（含酒精）;⻩酒;⽩酒;烧酒</t>
  </si>
  <si>
    <t>过海龙</t>
  </si>
  <si>
    <t>龙御坊（深圳）实业集团有限公司</t>
  </si>
  <si>
    <t>清酒（⽇本⽶酒）;由⾕物蒸馏的⽩酒;⽩兰地;⽶酒;威⼠忌;汽酒;⻩酒;⽩酒;烈酒（饮料）;烧酒</t>
  </si>
  <si>
    <t>嵩山丽晶</t>
  </si>
  <si>
    <t>刘忠</t>
  </si>
  <si>
    <t>葡萄酒;果酒;清酒;蒸煮提取物（利⼝酒和烈酒）;⾷⽤酒精;⽩酒;⽶酒;⻩酒;烧酒;酒精饮料（啤酒除外）</t>
  </si>
  <si>
    <t>酒蔵之香</t>
  </si>
  <si>
    <t>清酒（⽇本⽶酒）;烧酒;酒精饮料（啤酒除外）;鸡尾酒;葡萄酒;汽酒;预调甜酒;果酒;⽩酒;⽶酒</t>
  </si>
  <si>
    <t>凤清源</t>
  </si>
  <si>
    <t>田鄂</t>
  </si>
  <si>
    <t>葡萄酒;⾷⽤酒精;威⼠忌;酒精饮料（啤酒除外）;烧酒;⽶酒;开胃酒;果酒（含酒精）;⻩酒;⽩酒</t>
  </si>
  <si>
    <t>SONBOBAY 双堡湾</t>
  </si>
  <si>
    <t>王瑞盈</t>
  </si>
  <si>
    <t>清酒（⽇本⽶酒）;酒精饮料（啤酒除外）;含⽔果酒精饮料;蒸馏饮料;鸡尾酒;朗姆酒;葡萄酒;开胃酒;果酒（含酒精）;⽩酒</t>
  </si>
  <si>
    <t>邦孚</t>
  </si>
  <si>
    <t>夏莉莉</t>
  </si>
  <si>
    <t>果酒;⽩酒;威⼠忌;⻩酒;利⼝酒;⻘稞酒;葡萄酒;烧酒;蜂蜜酒;⽶酒</t>
  </si>
  <si>
    <t>龙阳福</t>
  </si>
  <si>
    <t>湖南鱼于渊黑坑技术服务有限公司</t>
  </si>
  <si>
    <t>汽酒;烈酒（饮料）;伏特加酒;⽩酒;果酒（含酒精）;预先混合的酒精饮料（以啤酒为主的除外）;⻩酒;烧酒;葡萄酒;酒精饮料（啤酒除外）</t>
  </si>
  <si>
    <t>2024/05/27</t>
  </si>
  <si>
    <t>MAGIC SHOT</t>
  </si>
  <si>
    <t>诚承投资控股有限公司</t>
  </si>
  <si>
    <t>汽酒;果酒（含酒精）;鸡尾酒;酒精饮料原汁;苹果酒;葡萄酒;酒精饮料（啤酒除外）;⻩酒;烧酒;含⽔果酒精饮料</t>
  </si>
  <si>
    <t>尚古叁和堂</t>
  </si>
  <si>
    <t>徐万倾</t>
  </si>
  <si>
    <t>酒精饮料（啤酒除外）;葡萄酒;清酒（⽇本⽶酒）;开胃酒;汽酒;烧酒;⾷⽤酒精;⽩兰地;⽩酒;果酒（含酒精）</t>
  </si>
  <si>
    <t>以论</t>
  </si>
  <si>
    <t>黄日俊</t>
  </si>
  <si>
    <t>烧酒;⽩酒;酒精饮料（啤酒除外）;清酒（⽇本⽶酒）;含⽔果酒精饮料;果酒（含酒精）;⽶酒;鸡尾酒;蜂蜜酒;葡萄酒</t>
  </si>
  <si>
    <t>炎黄贺</t>
  </si>
  <si>
    <t>张会香</t>
  </si>
  <si>
    <t>利⼝酒;伏特加酒;薄荷酒;烧酒;⻩酒;开胃酒;⽩酒;酒精饮料浓缩汁;樱桃酒;鸡尾酒</t>
  </si>
  <si>
    <t>誉见海</t>
  </si>
  <si>
    <t>大连誉星食品贸易有限公司</t>
  </si>
  <si>
    <t>果酒（含酒精）;⽶酒;餐后酒（利⼝酒和烈酒）;酒精饮料（啤酒除外）;预先混合的酒精饮料（以啤酒为主的除外）;鸡尾酒;含⽔果酒精饮料;葡萄酒;威⼠忌;⽩酒</t>
  </si>
  <si>
    <t>武罗缘</t>
  </si>
  <si>
    <t>马婧</t>
  </si>
  <si>
    <t>⽩酒;烧酒;⻩酒;鸡尾酒;果酒（含酒精）;烈酒（饮料）;酒精饮料（啤酒除外）;清酒（⽇本⽶酒）;⽶酒;葡萄酒</t>
  </si>
  <si>
    <t>噶有枝味</t>
  </si>
  <si>
    <t>中鹏（宁波）餐饮管理有限公司</t>
  </si>
  <si>
    <t>烈酒（饮料）;蜂蜜酒;葡萄酒;⽩兰地;⽩酒;含⽔果酒精饮料;蒸馏饮料;酒精饮料（啤酒除外）;果酒（含酒精）;利⼝酒</t>
  </si>
  <si>
    <t>玺曰</t>
  </si>
  <si>
    <t>宁夏贺蘭天麓酒庄有限公司</t>
  </si>
  <si>
    <t>蒸煮提取物（利⼝酒和烈酒）;⽶酒;⽩酒;蒸馏饮料;开胃酒;苹果酒;杜松⼦酒;鸡尾酒;葡萄酒;⻩酒</t>
  </si>
  <si>
    <t>曼妙旖旎 M</t>
  </si>
  <si>
    <t>马华强</t>
  </si>
  <si>
    <t>餐后酒（利⼝酒和烈酒）;⽩酒;⽶酒;威⼠忌;甜酒;烧酒;葡萄酒;清酒（⽇本⽶酒）;⻩酒;⻘稞酒</t>
  </si>
  <si>
    <t>落阳牌</t>
  </si>
  <si>
    <t>上海顺澜实业有限公司</t>
  </si>
  <si>
    <t>⽩酒;⾼粱酒;葡萄酒;⽩葡萄酒;红葡萄酒;果酒;⾷⽤酒精;⽩⼲酒（中国⽩酒）;由⾕物蒸馏的⽩酒;⽼酒（中国蒸馏烈酒）</t>
  </si>
  <si>
    <t>观察合创</t>
  </si>
  <si>
    <t>四川观察合创新媒体发展有限公司</t>
  </si>
  <si>
    <t>酒精饮料（啤酒除外）;清酒;威⼠忌;葡萄酒;梅酒;⾼粱酒;果酒（含酒精）;⽶酒;⻩酒;⽩酒</t>
  </si>
  <si>
    <t>天佑惠多多</t>
  </si>
  <si>
    <t>中铁世纪传媒广告有限公司</t>
  </si>
  <si>
    <t>⽩兰地;葡萄酒;果酒（含酒精）;鸡尾酒;朗姆酒;开胃酒;威⼠忌</t>
  </si>
  <si>
    <t>这里海</t>
  </si>
  <si>
    <t>天津市这里海企业管理有限公司</t>
  </si>
  <si>
    <t>⻩酒;⽩酒;⾷⽤酒精;利⼝酒;烧酒;果酒（含酒精）;鸡尾酒;葡萄酒;酒精饮料（啤酒除外）;以葡萄酒为主的饮料</t>
  </si>
  <si>
    <t>成都远巢传媒有限责任公司</t>
  </si>
  <si>
    <t>薄荷酒;亚⼒酒;烧酒;果酒;⻩酒;利⼝酒;⽩兰地;威⼠忌;朝鲜族⽶酒;⽩酒</t>
  </si>
  <si>
    <t>吉义烧坊</t>
  </si>
  <si>
    <t>仁怀市玲旭副食店</t>
  </si>
  <si>
    <t>威⼠忌;⽩兰地;果酒（含酒精）;⾷⽤酒精;烈酒（饮料）;伏特加酒;朗姆酒;⻩酒;⽩酒;葡萄酒</t>
  </si>
  <si>
    <t>雅琢酒</t>
  </si>
  <si>
    <t>果酒（含酒精）;伏特加酒;⽩兰地;葡萄酒;⽩酒;⾷⽤酒精;烈酒（饮料）;威⼠忌;⻩酒;朗姆酒</t>
  </si>
  <si>
    <t>柔盉</t>
  </si>
  <si>
    <t>葡萄酒;⽩酒;朗姆酒;威⼠忌;⽩兰地;烈酒（饮料）;果酒（含酒精）;⾷⽤酒精;⻩酒;伏特加酒</t>
  </si>
  <si>
    <t>水韵地锦</t>
  </si>
  <si>
    <t>泗洪天予粮食贸易有限公司</t>
  </si>
  <si>
    <t>⽩酒;烈酒（饮料）;⻩酒;烧酒;由⾕物蒸馏的⽩酒;果酒（含酒精）;⽩⼲酒（中国⽩酒）;开胃酒;⽶酒;葡萄酒</t>
  </si>
  <si>
    <t>胖丞相</t>
  </si>
  <si>
    <t>四川增元品牌管理有限责任公司</t>
  </si>
  <si>
    <t>⽶酒;预先混合的酒精饮料（以啤酒为主的除外）;⾷⽤酒精;⽩酒;蒸馏饮料;烈酒（饮料）;酒精饮料（啤酒除外）;烧酒;汽酒;果酒（含酒精）</t>
  </si>
  <si>
    <t>虢庆</t>
  </si>
  <si>
    <t>开胃酒;酒精饮料浓缩汁;薄荷酒;⻩酒;伏特加酒;利⼝酒;樱桃酒;鸡尾酒;⽩酒;烧酒</t>
  </si>
  <si>
    <t>山西风投科技有限公司</t>
  </si>
  <si>
    <t>⽩酒;酒精饮料原汁;以葡萄酒为主的饮料;果酒（含酒精）;葡萄酒;⽶酒;酒精饮料（啤酒除外）;烈酒;⽔果汽酒;含⽔果酒精饮料</t>
  </si>
  <si>
    <t>松沐</t>
  </si>
  <si>
    <t>靳泰亨</t>
  </si>
  <si>
    <t>鸡尾酒;⽩酒;烧酒;⽶酒;⽼酒（中国蒸馏烈酒）;果酒（含酒精）;葡萄酒;烈酒（饮料）;⻩酒;酒精饮料（啤酒除外）</t>
  </si>
  <si>
    <t>泉老潭</t>
  </si>
  <si>
    <t>泸州酿香醇酒业有限公司</t>
  </si>
  <si>
    <t>蒸煮提取物（利⼝酒和烈酒）;烧酒（烈酒）;⾼粱酒;⽩⼲酒（中国⽩酒）;烈性⼲酒;⽼酒（中国蒸馏烈酒）;杨梅酒;⽩兰地;果酒（含酒精）;烧酒;⽩酒;果酒;烈酒;⻘梅酒</t>
  </si>
  <si>
    <t>盛世华炫</t>
  </si>
  <si>
    <t>四川熟匠酒类销售有限公司</t>
  </si>
  <si>
    <t>以葡萄酒为主的饮料;蒸馏饮料;⽶酒;烧酒;葡萄酒;果酒（含酒精）;烈酒（饮料）;酒精饮料（啤酒除外）;开胃酒;⽩酒</t>
  </si>
  <si>
    <t>中热橡达</t>
  </si>
  <si>
    <t>⽶酒;⻩酒;烈酒;⽩酒;利⼝酒;清酒;含酒精的饮料（啤酒除外）;⾕物制蒸馏酒精饮料;果酒（含酒精）;酒精饮料浓缩汁</t>
  </si>
  <si>
    <t>云顶筑巢庄园 THE NEST MANOR</t>
  </si>
  <si>
    <t>云南筑巢商业管理集团有限公司</t>
  </si>
  <si>
    <t>朗姆酒;⾷⽤酒精;蒸馏饮料;⻩酒;果酒（含酒精）;⽩酒;含⽔果酒精饮料;⽶酒;鸡尾酒;汽酒</t>
  </si>
  <si>
    <t>福莲侨</t>
  </si>
  <si>
    <t>张红</t>
  </si>
  <si>
    <t>果酒;烈酒;鸡尾酒;⻩酒;⽶酒;烧酒;⽩酒;葡萄酒;开胃酒;威⼠忌</t>
  </si>
  <si>
    <t>榞凤鹿</t>
  </si>
  <si>
    <t>云南榞凤鹿商贸有限公司</t>
  </si>
  <si>
    <t>⽶酒;开胃酒;餐后酒（利⼝酒和烈酒）;葡萄酒;果酒;烧酒;⽩酒;苹果酒;⽼酒（中国蒸馏烈酒）;⽩⼲酒（中国⽩酒）</t>
  </si>
  <si>
    <t>令十五</t>
  </si>
  <si>
    <t>贵州贵酱文化发展有限公司</t>
  </si>
  <si>
    <t>果酒（含酒精）;蒸馏饮料;清酒（⽇本⽶酒）;酒精饮料（啤酒除外）;⾷⽤酒精;葡萄酒;烈酒（饮料）;烧酒;⻩酒;⽩酒</t>
  </si>
  <si>
    <t>昌南三花</t>
  </si>
  <si>
    <t>罗志昆</t>
  </si>
  <si>
    <t>果酒（含酒精）;烧酒;含酒精的饮料（啤酒除外）;⾷⽤酒精;⽶酒;⾼粱酒;烈酒（饮料）;⽩酒;⻩酒;含⽔果酒精饮料</t>
  </si>
  <si>
    <t>千舍浦皇</t>
  </si>
  <si>
    <t>广西芯域商贸有限责任公司</t>
  </si>
  <si>
    <t>⽶酒;⽩酒;开胃酒;清酒（⽇本⽶酒）;烧酒;果酒（含酒精）;葡萄酒;含⽔果酒精饮料;蒸馏饮料;蜂蜜酒</t>
  </si>
  <si>
    <t>丰裕湾</t>
  </si>
  <si>
    <t>中山市丰裕水产有限公司</t>
  </si>
  <si>
    <t>⽶酒;柑⾹酒;蒸馏饮料;以葡萄酒为主的饮料;葡萄酒;⽩酒;⻩酒;烧酒;开胃酒;蜂蜜酒</t>
  </si>
  <si>
    <t>爱虢</t>
  </si>
  <si>
    <t>薄荷酒;烧酒;鸡尾酒;利⼝酒;⻩酒;伏特加酒;开胃酒;⽩酒;酒精饮料浓缩汁;樱桃酒</t>
  </si>
  <si>
    <t>芈岳</t>
  </si>
  <si>
    <t>樱桃酒;烧酒;鸡尾酒;酒精饮料浓缩汁;利⼝酒;薄荷酒;⽩酒;伏特加酒;开胃酒;⻩酒</t>
  </si>
  <si>
    <t>源·烟紫</t>
  </si>
  <si>
    <t>洛阳鑫水源商贸有限公司</t>
  </si>
  <si>
    <t>⾼粱酒;酒精饮料（啤酒除外）;果酒;葡萄酒;⽼酒（中国蒸馏烈酒）;⽩⼲酒（中国⽩酒）;清酒;果酒（含酒精）;⽩酒;烧酒</t>
  </si>
  <si>
    <t>小公园</t>
  </si>
  <si>
    <t>广东佬潮汕酒业有限公司</t>
  </si>
  <si>
    <t>鸡尾酒;烧酒;⽶酒;果酒（含酒精）;⻩酒;⽩酒;蒸馏饮料;酒精饮料（啤酒除外）;烈酒;葡萄酒</t>
  </si>
  <si>
    <t>林烁斋</t>
  </si>
  <si>
    <t>高豫</t>
  </si>
  <si>
    <t>葡萄酒;烧酒;⽩酒;⽶酒;酒精饮料（啤酒除外）;⻩酒;利⼝酒;酒精饮料原汁;烈酒;开胃酒</t>
  </si>
  <si>
    <t>源·云青</t>
  </si>
  <si>
    <t>果酒（含酒精）;葡萄酒;烧酒;⽩⼲酒（中国⽩酒）;⾼粱酒;果酒;⽩酒;酒精饮料（啤酒除外）;清酒;⽼酒（中国蒸馏烈酒）</t>
  </si>
  <si>
    <t>LU YI BAI LI TING</t>
  </si>
  <si>
    <t>⽶酒;⽩酒;⻩酒;⽩兰地;伏特加酒;葡萄酒;威⼠忌;烧酒;果酒（含酒精）;烈酒（饮料）</t>
  </si>
  <si>
    <t>头庄宴</t>
  </si>
  <si>
    <t>万宇归源（湖北）农业科技有限公司</t>
  </si>
  <si>
    <t>烈酒;烧酒;⽩⼲酒（中国⽩酒）;⽼酒（中国蒸馏烈酒）;⾼粱酒;烈性⼲酒;⻩酒;果酒;葡萄酒;⽩酒</t>
  </si>
  <si>
    <t>汌滘</t>
  </si>
  <si>
    <t>深圳市民弘乐建筑材料有限公司</t>
  </si>
  <si>
    <t>蒲潭</t>
  </si>
  <si>
    <t>黄月叶</t>
  </si>
  <si>
    <t>⽩酒;鸡尾酒;果酒;⽶酒;威⼠忌;烧酒;烈酒（饮料）;利⼝酒;葡萄酒;⻘稞酒</t>
  </si>
  <si>
    <t>南天匠</t>
  </si>
  <si>
    <t>广东新太洲能源科技有限公司</t>
  </si>
  <si>
    <t>亚⼒酒;⽩酒;蒸馏饮料;鸡尾酒;烈酒（饮料）;餐后酒（利⼝酒和烈酒）;酒精饮料（啤酒除外）;⽶酒;葡萄酒;⾕物制蒸馏酒精饮料</t>
  </si>
  <si>
    <t>汉玉谷</t>
  </si>
  <si>
    <t>东芯(海南)国际投资有限公司</t>
  </si>
  <si>
    <t>⽶酒;烧酒;梅酒;⽩⼲酒（中国⽩酒）;⽩酒;葡萄酒;烈酒（饮料）;⻩酒;⾷⽤酒精;⽼酒（中国蒸馏烈酒）</t>
  </si>
  <si>
    <t>源生萃</t>
  </si>
  <si>
    <t>伏特加酒;⽶酒;葡萄酒;烧酒;⽩酒;酒精饮料（啤酒除外）;果酒（含酒精）;含⽔果酒精饮料;酒精饮料原汁;蒸馏饮料</t>
  </si>
  <si>
    <t>优人家</t>
  </si>
  <si>
    <t>王文海</t>
  </si>
  <si>
    <t>苦味酒;蜂蜜酒;开胃酒;蒸馏饮料;⽩酒;⽶酒;果酒（含酒精）;葡萄酒;⻩酒;餐后酒（利⼝酒和烈酒）</t>
  </si>
  <si>
    <t>溪东海凤</t>
  </si>
  <si>
    <t>黄应海</t>
  </si>
  <si>
    <t>清酒;⽶酒;烧酒;⻩酒;红葡萄酒;⽩酒;酒精饮料原汁;酒精饮料（啤酒除外）;预先混合的酒精饮料（以啤酒为主的除外）;含⽔果酒精饮料</t>
  </si>
  <si>
    <t>儒雅吴</t>
  </si>
  <si>
    <t>高唐书婳酒业有限公司</t>
  </si>
  <si>
    <t>⽩⼲酒（中国⽩酒）;⻩酒;葡萄酒;⽩酒;甜酒;⽶酒;⾼粱酒;⽼酒（中国蒸馏烈酒）;烈酒（饮料）;烧酒</t>
  </si>
  <si>
    <t>大槐树荣归故乡</t>
  </si>
  <si>
    <t>山西槐乡情酒业有限公司</t>
  </si>
  <si>
    <t>葡萄酒;⽶酒;果酒;汽酒;甜酒;酒精饮料（啤酒除外）;烈酒;⽩酒;烧酒;⻩酒</t>
  </si>
  <si>
    <t>智雅淮</t>
  </si>
  <si>
    <t>⽩⼲酒（中国⽩酒）;烈酒;烧酒;葡萄酒;⽶酒;⽼酒（中国蒸馏烈酒）;甜酒;⽩酒;⻩酒;⾼粱酒</t>
  </si>
  <si>
    <t>大槐树守望故乡</t>
  </si>
  <si>
    <t>葡萄酒;⻩酒;烈酒;甜酒;果酒;烧酒;酒精饮料（啤酒除外）;⽶酒;汽酒;⽩酒</t>
  </si>
  <si>
    <t>大槐树乡聚一家</t>
  </si>
  <si>
    <t>葡萄酒;⻩酒;烈酒;烧酒;⽩酒;甜酒;⽶酒;酒精饮料（啤酒除外）;汽酒;果酒</t>
  </si>
  <si>
    <t>耀堃</t>
  </si>
  <si>
    <t>晋江市来来旺电子商务有限公司</t>
  </si>
  <si>
    <t>⾷⽤酒精;⽩酒;鸡尾酒;伏特加酒;烧酒;酒精饮料（啤酒除外）;威⼠忌;含⽔果酒精饮料;⽶酒;葡萄酒</t>
  </si>
  <si>
    <t>沃盛壮威</t>
  </si>
  <si>
    <t>广州市景微堂生物科技有限公司</t>
  </si>
  <si>
    <t>烧酒;⽩兰地;⻩酒;⽩酒;梨酒;⽼酒（中国蒸馏烈酒）;葡萄酒;威⼠忌;⽶酒;烈酒（饮料）</t>
  </si>
  <si>
    <t>北博大雅韵</t>
  </si>
  <si>
    <t>广西南宁同心圆贸易有限公司</t>
  </si>
  <si>
    <t>⻩酒;蒸馏饮料;葡萄酒;烈酒（饮料）;⾕物制蒸馏酒精饮料;⽩酒;⽢蔗制酒精饮料;酒精饮料原汁;⽶酒;果酒（含酒精）</t>
  </si>
  <si>
    <t>葭州白云论道</t>
  </si>
  <si>
    <t>佳县国有资产运营有限责任公司</t>
  </si>
  <si>
    <t>⾼粱酒;烈酒;烧酒;含酒精的充⽓饮料（啤酒除外）;⽼酒（中国蒸馏烈酒）;酒精饮料（啤酒除外）;⽶酒;葡萄酒;⽩⼲酒（中国⽩酒）;⽩酒</t>
  </si>
  <si>
    <t>罗虎耀</t>
  </si>
  <si>
    <t>葡萄酒;清酒（⽇本⽶酒）;苹果酒;⽶酒;烧酒;⽩兰地;果酒（含酒精）;⽩酒;⻩酒;烈酒（饮料）</t>
  </si>
  <si>
    <t>虢酣</t>
  </si>
  <si>
    <t>孙玲玲</t>
  </si>
  <si>
    <t>开胃酒;鸡尾酒;伏特加酒;薄荷酒;⻩酒;樱桃酒;烧酒;⽩酒;利⼝酒;酒精饮料浓缩汁</t>
  </si>
  <si>
    <t>高家石板</t>
  </si>
  <si>
    <t>吕应国</t>
  </si>
  <si>
    <t>熊猫走廊</t>
  </si>
  <si>
    <t>中农熊猫走廊(四川)农业科技有限公司</t>
  </si>
  <si>
    <t>开胃酒;⽩酒;⽶酒;烧酒;⻩酒;葡萄酒;酒精饮料浓缩汁;果酒;甜酒;蜂蜜酒</t>
  </si>
  <si>
    <t>释心堂</t>
  </si>
  <si>
    <t>湖南释心堂酒业有限公司</t>
  </si>
  <si>
    <t>⾷⽤酒精;开胃酒;烈酒（饮料）;蒸馏饮料;⾕物制蒸馏酒精饮料;⽩酒;酒精饮料原汁;⽼酒（中国蒸馏烈酒）;⽶酒;利⼝酒</t>
  </si>
  <si>
    <t>轴界</t>
  </si>
  <si>
    <t>烈酒（饮料）;⾷⽤酒精;葡萄酒;⽩酒;酒精饮料原汁;开胃酒;酒精饮料（啤酒除外）;果酒（含酒精）;蒸煮提取物（利⼝酒和烈酒）;烧酒</t>
  </si>
  <si>
    <t>度红颜</t>
  </si>
  <si>
    <t>佛山市千点装饰材料有限公司</t>
  </si>
  <si>
    <t>鸡尾酒;葡萄酒;薄荷酒;茴芹酒（利⼝酒）;苦味酒;茴⾹酒（利⼝酒）;柑⾹酒;果酒（含酒精）;苹果酒;⽩酒</t>
  </si>
  <si>
    <t>红冠石花</t>
  </si>
  <si>
    <t>果酒（含酒精）;清酒（⽇本⽶酒）;烈酒（饮料）;烧酒;酒精饮料原汁;⽶酒;酒精饮料（啤酒除外）;⾷⽤酒精;⽩酒;葡萄酒</t>
  </si>
  <si>
    <t>溪晓逢</t>
  </si>
  <si>
    <t>张泉益</t>
  </si>
  <si>
    <t>⻩酒;烈酒（饮料）;蒸馏⽶酒（泡盛酒）;葡萄酒;⽩酒;⾷⽤酒精;烧酒;果酒（含酒精）;鸡尾酒;⽶酒</t>
  </si>
  <si>
    <t>挖盟美酒</t>
  </si>
  <si>
    <t>曾祥伟</t>
  </si>
  <si>
    <t>鸡尾酒;⾼粱酒;⽩⼲酒（中国⽩酒）;果酒;烈酒（饮料）;酒精饮料（啤酒除外）;烈酒;⽩酒;⽼酒（中国蒸馏烈酒）;葡萄酒</t>
  </si>
  <si>
    <t>礼百岁</t>
  </si>
  <si>
    <t>四川礼百岁酒业有限公司</t>
  </si>
  <si>
    <t>⽶酒;⾷⽤酒精;烧酒;葡萄酒;⽩酒;酒精饮料原汁;⽼酒（中国蒸馏烈酒）;果酒（含酒精）;烈酒（饮料）;酒精饮料（啤酒除外）</t>
  </si>
  <si>
    <t>恩朽 ENX XIOT</t>
  </si>
  <si>
    <t>周金杰</t>
  </si>
  <si>
    <t>⽶酒;⻩酒;⾷⽤酒精;⽩酒;朗姆酒;果酒（含酒精）;鸡尾酒;汽酒;含⽔果酒精饮料;蒸馏饮料</t>
  </si>
  <si>
    <t>忆稻乡</t>
  </si>
  <si>
    <t>刘春娥</t>
  </si>
  <si>
    <t>⾷⽤酒精;烈酒;酒精饮料（啤酒除外）;甜酒;开胃酒;葡萄酒;果酒（含酒精）;⽶酒;⽩酒;蒸馏饮料</t>
  </si>
  <si>
    <t>我佑</t>
  </si>
  <si>
    <t>上海沃厚酒业有限公司</t>
  </si>
  <si>
    <t>威⼠忌;蒸馏饮料;葡萄酒;⽶酒;酒精饮料（啤酒除外）;烈酒（饮料）;预先混合的酒精饮料（以啤酒为主的除外）;含⽔果酒精饮料;⽩酒;果酒（含酒精）</t>
  </si>
  <si>
    <t>潭老二</t>
  </si>
  <si>
    <t>烧酒;⾷⽤酒精;蒸煮提取物（利⼝酒和烈酒）;酒精饮料原汁;果酒（含酒精）;酒精饮料（啤酒除外）;⽶酒;⽩酒;开胃酒;酸酒（低等葡萄酒）</t>
  </si>
  <si>
    <t>红梁本家</t>
  </si>
  <si>
    <t>以蒸馏酒为主的开胃酒;由⾕物蒸馏的⽩酒;茴⾹酒（利⼝酒）;苦味酒;⽩酒;烧酒;⾼粱酒;⽩⼲酒（中国⽩酒）;⽼酒（中国蒸馏烈酒）;开胃酒</t>
  </si>
  <si>
    <t>喜壶</t>
  </si>
  <si>
    <t>江苏首湖酒业有限公司</t>
  </si>
  <si>
    <t>清酒（⽇本⽶酒）;⽩酒;⻘稞酒;⻩酒;葡萄酒;杜松⼦酒;果酒（含酒精）;烧酒;鸡尾酒;烈酒（饮料）</t>
  </si>
  <si>
    <t>大集尚奕</t>
  </si>
  <si>
    <t>夏定星</t>
  </si>
  <si>
    <t>⽩酒;⽶酒;汽酒;烧酒;酒精饮料（啤酒除外）;葡萄酒;蜂蜜酒;含⽔果酒精饮料;清酒（⽇本⽶酒）;果酒（含酒精）</t>
  </si>
  <si>
    <t>薄荷酒;⽩酒;威⼠忌;朝鲜族⽶酒;⻩酒;烧酒;果酒;亚⼒酒;⽩兰地;利⼝酒</t>
  </si>
  <si>
    <t>栀乎者野</t>
  </si>
  <si>
    <t>徐州万木春健康管理咨询有限公司</t>
  </si>
  <si>
    <t>葡萄酒;⽩酒;⻘稞酒;烧酒;威⼠忌;苹果酒;鸡尾酒;酒精饮料（啤酒除外）;开胃酒;果酒（含酒精）</t>
  </si>
  <si>
    <t>少年翁</t>
  </si>
  <si>
    <t>贵州省仁怀市源于诚酒业有限公司</t>
  </si>
  <si>
    <t>柑⾹酒;葡萄酒;⻩酒;⽩酒;烧酒;⽶酒;果酒（含酒精）;开胃酒;烈酒（饮料）;餐后酒（利⼝酒和烈酒）</t>
  </si>
  <si>
    <t>库斯图</t>
  </si>
  <si>
    <t>朱佳豪410223********3552</t>
  </si>
  <si>
    <t>鸡尾酒;苹果酒;⻘稞酒;⽩酒;⾼粱酒;烧酒;葡萄酒;⻩酒;开胃酒;⽶酒</t>
  </si>
  <si>
    <t>HONEY&amp;GIBUNDU</t>
  </si>
  <si>
    <t>云南地道酒业有限公司</t>
  </si>
  <si>
    <t>果酒（含酒精）;酒精饮料浓缩汁;酒精饮料（啤酒除外）;威⼠忌;⽶酒;葡萄酒;鸡尾酒;清酒（⽇本⽶酒）;烈酒（饮料）;⽩酒</t>
  </si>
  <si>
    <t>乱世佳人</t>
  </si>
  <si>
    <t>葡萄酒;烧酒;⽩酒;露酒;⽶酒;⾼粱酒;⽼酒（中国蒸馏烈酒）;清酒;果酒;⻩酒</t>
  </si>
  <si>
    <t>晓口闽</t>
  </si>
  <si>
    <t>张晓</t>
  </si>
  <si>
    <t>酒精饮料（啤酒除外）;⽩酒;尼⽡（以⽢蔗为主的酒精饮料）;葡萄酒;⽩兰地;烈酒;鸡尾酒;果酒（含酒精）;⽶酒;威⼠忌</t>
  </si>
  <si>
    <t>高良春</t>
  </si>
  <si>
    <t>杨岸其</t>
  </si>
  <si>
    <t>酒精饮料（啤酒除外）;开胃酒;葡萄酒;清酒（⽇本⽶酒）;威⼠忌;⻩酒;果酒（含酒精）;烈酒;鸡尾酒;⽩酒</t>
  </si>
  <si>
    <t>文润菊乡</t>
  </si>
  <si>
    <t>尚航</t>
  </si>
  <si>
    <t>烧酒;含⽔果酒精饮料;⽶酒;⽩酒;酒精饮料（啤酒除外）;预先混合的酒精饮料（以啤酒为主的除外）;⽼酒（中国蒸馏烈酒）;⻩酒;葡萄酒;果酒（含酒精）</t>
  </si>
  <si>
    <t>琼游记</t>
  </si>
  <si>
    <t>河北吉之暖生物科技有限公司</t>
  </si>
  <si>
    <t>酒精饮料（啤酒除外）;露酒;果酒（含酒精）;烧酒;汽酒;⽩酒;烈酒（饮料）;⽶酒;⻩酒;⽼酒（中国蒸馏烈酒）</t>
  </si>
  <si>
    <t>叶叶香 Y</t>
  </si>
  <si>
    <t>乐陵市叶叶香调味食品有限公司</t>
  </si>
  <si>
    <t>葡萄酒;烈酒（饮料）;烧酒;清酒;⽶酒;蜂蜜酒;⽩酒;⽩兰地;⻩酒;果酒</t>
  </si>
  <si>
    <t>婺越码头</t>
  </si>
  <si>
    <t>杭州什雅教育咨询有限公司</t>
  </si>
  <si>
    <t>⽩酒;蒸煮提取物（利⼝酒和烈酒）;⽩⼲酒（中国⽩酒）;⻩酒;⽶酒;⻘梅酒;⾼粱酒;烧酒;五加⽪酒（中国混合烈酒）;由⾕物蒸馏的⽩酒;蒸馏⽶酒（泡盛酒）</t>
  </si>
  <si>
    <t>湟金岁月</t>
  </si>
  <si>
    <t>清酒（⽇本⽶酒）;酒精饮料（啤酒除外）;果酒（含酒精）;烈酒;葡萄酒;⽩酒;开胃酒;鸡尾酒;威⼠忌;⻩酒</t>
  </si>
  <si>
    <t>广州市晟恩农业科技有限公司</t>
  </si>
  <si>
    <t>酒精饮料浓缩汁;酒精饮料（啤酒除外）;含⽔果酒精饮料;⽩酒;⾷⽤酒精;开胃酒;鸡尾酒;酒精饮料原汁;餐后酒（利⼝酒和烈酒）;预先混合的酒精饮料（以啤酒为主的除外）</t>
  </si>
  <si>
    <t>诚无界</t>
  </si>
  <si>
    <t>无界共识（湖北）网络科技有限公司</t>
  </si>
  <si>
    <t>⽩酒;酒精饮料原汁;酒精饮料（啤酒除外）;⽶酒;葡萄酒;⾕物制蒸馏酒精饮料;汽酒;⻘稞酒;蒸馏饮料;果酒（含酒精）</t>
  </si>
  <si>
    <t>吴瑞军</t>
  </si>
  <si>
    <t>吴瑞军131127********0535</t>
  </si>
  <si>
    <t>烧酒;鸡尾酒;威⼠忌;⽶酒;利⼝酒;葡萄酒;果酒;⻩酒;⻘稞酒;⽩酒</t>
  </si>
  <si>
    <t>越虢</t>
  </si>
  <si>
    <t>鸡尾酒;⽩酒;利⼝酒;樱桃酒;烧酒;伏特加酒;开胃酒;酒精饮料浓缩汁;⻩酒;薄荷酒</t>
  </si>
  <si>
    <t>蓉城十二味</t>
  </si>
  <si>
    <t>甜酒;葡萄酒;⽩酒;烧酒;果酒;梅酒;⻘稞酒;开胃酒;甜果酒;⽶酒</t>
  </si>
  <si>
    <t>玉无双</t>
  </si>
  <si>
    <t>李明政</t>
  </si>
  <si>
    <t>⻩酒;葡萄酒;酒精饮料（啤酒除外）;鸡尾酒;清酒（⽇本⽶酒）;⾼粱酒;⽶酒;⽩酒;烧酒（烈酒）;果酒（含酒精）</t>
  </si>
  <si>
    <t>虢斟</t>
  </si>
  <si>
    <t>开胃酒;鸡尾酒;薄荷酒;⽩酒;伏特加酒;酒精饮料浓缩汁;樱桃酒;⻩酒;烧酒;利⼝酒</t>
  </si>
  <si>
    <t>朦胧爱</t>
  </si>
  <si>
    <t>葡萄酒;⻩酒;⽩酒;烧酒;鸡尾酒;威⼠忌;⽶酒;开胃酒;烈酒（饮料）;利⼝酒</t>
  </si>
  <si>
    <t>湘陬记</t>
  </si>
  <si>
    <t>蒸馏饮料;烈酒（饮料）;⾕物制蒸馏酒精饮料;利⼝酒;⽼酒（中国蒸馏烈酒）;⽶酒;⾷⽤酒精;⽩酒;酒精饮料（啤酒除外）;酒精饮料原汁</t>
  </si>
  <si>
    <t>酒典咡舞</t>
  </si>
  <si>
    <t>期福（厦门）贸易有限公司</t>
  </si>
  <si>
    <t>⾼粱酒;烈酒（饮料）;⽩酒;威⼠忌;酒精饮料（啤酒除外）;烧酒;伏特加酒;葡萄酒;蒸馏饮料;清酒（⽇本⽶酒）</t>
  </si>
  <si>
    <t>GUMINHONG</t>
  </si>
  <si>
    <t>倪志江</t>
  </si>
  <si>
    <t>果酒（含酒精）;⽶酒;鸡尾酒;葡萄酒;⽩酒;苹果酒;开胃酒;蒸馏饮料;蜂蜜酒;酒精饮料原汁</t>
  </si>
  <si>
    <t>誉女酒</t>
  </si>
  <si>
    <t>李虎</t>
  </si>
  <si>
    <t>预先混合的酒精饮料（以啤酒为主的除外）;果酒;酒精饮料原汁;⾼粱酒;甜酒;烧酒;烈酒;⽩酒;葡萄酒;蒸馏饮料</t>
  </si>
  <si>
    <t>萧贵妃</t>
  </si>
  <si>
    <t>⽶酒;果酒（含酒精）;开胃酒;葡萄酒;烧酒;⽩酒;酒精饮料（啤酒除外）;苹果酒;⻘稞酒;⻩酒</t>
  </si>
  <si>
    <t>杭州桐庐张金林食品有限公司</t>
  </si>
  <si>
    <t>⽩兰地;酒精饮料（啤酒除外）;⻩酒;⻘稞酒;⽩酒;果酒（含酒精）;烧酒;葡萄酒;清酒（⽇本⽶酒）;⽶酒</t>
  </si>
  <si>
    <t>君十六</t>
  </si>
  <si>
    <t>河南君酒酒业有限公司</t>
  </si>
  <si>
    <t>含⽔果酒精饮料;酒精饮料（啤酒除外）;蒸馏饮料;葡萄酒;鸡尾酒;酒精饮料原汁;果酒（含酒精）;⽩酒;⾷⽤酒精;蒸煮提取物（利⼝酒和烈酒）</t>
  </si>
  <si>
    <t>尽庆坊</t>
  </si>
  <si>
    <t>韦方建</t>
  </si>
  <si>
    <t>烈酒;开胃酒;葡萄酒;清酒（⽇本⽶酒）;⽩酒;酒精饮料（啤酒除外）;鸡尾酒;果酒（含酒精）;⻩酒;威⼠忌</t>
  </si>
  <si>
    <t>鑫鼎福</t>
  </si>
  <si>
    <t>冯丽英</t>
  </si>
  <si>
    <t>⽶酒;鸡尾酒;⻩酒;⽩酒;烧酒;威⼠忌;酒精饮料原汁;葡萄酒;果酒（含酒精）;伏特加酒</t>
  </si>
  <si>
    <t>LOTUFISH</t>
  </si>
  <si>
    <t>芦雪峰</t>
  </si>
  <si>
    <t>清酒（⽇本⽶酒）;葡萄酒;烈酒（饮料）;鸡尾酒;酒精饮料（啤酒除外）;伏特加酒;⽩酒;果酒（含酒精）;威⼠忌;⽩兰地</t>
  </si>
  <si>
    <t>汉香谷</t>
  </si>
  <si>
    <t>酒精饮料（啤酒除外）;⾕物制蒸馏酒精饮料;葡萄酒;⽶酒;由⾕物蒸馏的⽩酒;烧酒;⽩酒;烈酒（饮料）;⻩酒;⽩⼲酒（中国⽩酒）</t>
  </si>
  <si>
    <t>皇青竹</t>
  </si>
  <si>
    <t>张陶然</t>
  </si>
  <si>
    <t>烧酒;果酒（含酒精）;蒸馏饮料;⽩兰地;⽶酒;⽩酒;葡萄酒;鸡尾酒;威⼠忌;⻩酒</t>
  </si>
  <si>
    <t>惜小满</t>
  </si>
  <si>
    <t>江世杰</t>
  </si>
  <si>
    <t>烈酒;鸡尾酒;⽼酒（中国蒸馏烈酒）;⽩酒;酒精饮料（啤酒除外）;烧酒;⾼粱酒;葡萄酒;威⼠忌;⽶酒</t>
  </si>
  <si>
    <t>逍窑九州</t>
  </si>
  <si>
    <t>李开鸿</t>
  </si>
  <si>
    <t>葡萄酒;威⼠忌;酒精饮料（啤酒除外）;蒸煮提取物（利⼝酒和烈酒）;⻩酒;⽩兰地;⽩酒;鸡尾酒;酒精饮料原汁;果酒（含酒精）</t>
  </si>
  <si>
    <t>霄渡</t>
  </si>
  <si>
    <t>王昕</t>
  </si>
  <si>
    <t>清酒（⽇本⽶酒）;⽶酒;果酒（含酒精）;烧酒;烈酒（饮料）;以葡萄酒为主的饮料;威⼠忌;⻩酒;酒精饮料（啤酒除外）;⽩酒</t>
  </si>
  <si>
    <t>菜河园</t>
  </si>
  <si>
    <t>泸州星飞远腾机械设备租赁服务经营部</t>
  </si>
  <si>
    <t>JKQY</t>
  </si>
  <si>
    <t>君康芪业（固阳）科技有限公司</t>
  </si>
  <si>
    <t>葡萄酒;⽩酒</t>
  </si>
  <si>
    <t>扣侈</t>
  </si>
  <si>
    <t>郑州正心慧原教育科技有限公司</t>
  </si>
  <si>
    <t>酒精饮料原汁;含酒精⽔果饮料;⽩⼲酒（中国⽩酒）;威⼠忌;果酒（含酒精）;开胃酒;⾷⽤酒精;蒸馏饮料;⽩酒;清酒</t>
  </si>
  <si>
    <t>客睐闽公馆</t>
  </si>
  <si>
    <t>黄志雄</t>
  </si>
  <si>
    <t>葡萄酒;⽩兰地;⻩酒;果酒;开胃酒;清酒;鸡尾酒;⽩酒;威⼠忌;酒精饮料（啤酒除外）</t>
  </si>
  <si>
    <t>首佑</t>
  </si>
  <si>
    <t>李雪晴</t>
  </si>
  <si>
    <t>烧酒;汽酒;⻩酒;以葡萄酒为主的饮料;含酒精的⽓泡⽔;葡萄酒;⽩酒;⽶酒;酒精饮料（啤酒除外）;果酒（含酒精）</t>
  </si>
  <si>
    <t>品物流形</t>
  </si>
  <si>
    <t>吴佳糯</t>
  </si>
  <si>
    <t>⽩酒;⽶酒;烧酒;果酒（含酒精）;⽩兰地;⾷⽤酒精;鸡尾酒;⻩酒;汽酒;蒸馏饮料</t>
  </si>
  <si>
    <t>霸策</t>
  </si>
  <si>
    <t>开胃酒;⽩酒;⻩酒;鸡尾酒;伏特加酒;薄荷酒;樱桃酒;烧酒;酒精饮料浓缩汁;利⼝酒</t>
  </si>
  <si>
    <t>喜事禾</t>
  </si>
  <si>
    <t>帅谋酒业有限公司</t>
  </si>
  <si>
    <t>⾼粱酒;烈酒（饮料）;酒精饮料（啤酒除外）;葡萄酒;⽩酒;含酒精⽔果饮料;已调味的蒸馏酒;⽶酒;果酒;烧酒</t>
  </si>
  <si>
    <t>心佑</t>
  </si>
  <si>
    <t>⽩酒;果酒（含酒精）;预先混合的酒精饮料（以啤酒为主的除外）;含⽔果酒精饮料;烈酒（饮料）;威⼠忌;葡萄酒;酒精饮料（啤酒除外）;⽶酒;蒸馏饮料</t>
  </si>
  <si>
    <t>佳佳曼</t>
  </si>
  <si>
    <t>天芈农业科技（宁夏）有限公司</t>
  </si>
  <si>
    <t>开胃酒;果酒（含酒精）;烈酒（饮料）;烧酒;清酒（⽇本⽶酒）;葡萄酒;⽶酒;⽩酒;酒精饮料（啤酒除外）;⻩酒</t>
  </si>
  <si>
    <t>于府卷</t>
  </si>
  <si>
    <t>于哲哲</t>
  </si>
  <si>
    <t>⻘稞酒;杨梅酒;果酒;⽶酒;⾷⽤酒精;酒精饮料原汁;⽩酒;⻘梅酒;果酒（含酒精）;⽼酒（中国蒸馏烈酒）</t>
  </si>
  <si>
    <t>归下</t>
  </si>
  <si>
    <t>方莉</t>
  </si>
  <si>
    <t>果酒（含酒精）;鸡尾酒;葡萄酒;⽶酒;⻩酒;开胃酒;含⽔果酒精饮料;烧酒;蜂蜜酒;甜果酒</t>
  </si>
  <si>
    <t>榆香村</t>
  </si>
  <si>
    <t>⽶酒;⽼酒（中国蒸馏烈酒）;烧酒;鸡尾酒;⻩酒;果酒（含酒精）;葡萄酒;酒精饮料（啤酒除外）;⽩酒;烈酒（饮料）</t>
  </si>
  <si>
    <t>弘滘</t>
  </si>
  <si>
    <t>周贵勇</t>
  </si>
  <si>
    <t>开胃酒;鸡尾酒;⻩酒;清酒（⽇本⽶酒）;酒精饮料（啤酒除外）;葡萄酒;⽩酒;烈酒;果酒（含酒精）;威⼠忌</t>
  </si>
  <si>
    <t>美林会</t>
  </si>
  <si>
    <t>深圳市海星威国际贸易有限公司</t>
  </si>
  <si>
    <t>伏特加酒;樱桃酒;⽩兰地;⽩酒;朗姆酒;葡萄酒;威⼠忌;清酒（⽇本⽶酒）;酒精饮料原汁;鸡尾酒</t>
  </si>
  <si>
    <t>花悦果兮</t>
  </si>
  <si>
    <t>张志涛</t>
  </si>
  <si>
    <t>⽶酒;⻘稞酒;果酒;葡萄酒;以葡萄酒为主的饮料;烧酒;果酒（含酒精）;酒精饮料（啤酒除外）;⽩酒;⻩酒</t>
  </si>
  <si>
    <t>珍品凰</t>
  </si>
  <si>
    <t>沈巨场</t>
  </si>
  <si>
    <t>威⼠忌;鸡尾酒;果酒（含酒精）;酒精饮料（啤酒除外）;烈酒（饮料）;⽩酒;⽩兰地;⽶酒;葡萄酒;烧酒</t>
  </si>
  <si>
    <t>湘春香</t>
  </si>
  <si>
    <t>安化县湘春香酒业坊（个体工商户）</t>
  </si>
  <si>
    <t>苹果酒;⽩酒;葡萄酒;酒精饮料（啤酒除外）;⻩酒;⽩兰地;烧酒;蜂蜜酒;鸡尾酒;烈酒（饮料）</t>
  </si>
  <si>
    <t>柔满双</t>
  </si>
  <si>
    <t>肖文其</t>
  </si>
  <si>
    <t>果酒（含酒精）;酒精饮料（啤酒除外）;⻩酒;鸡尾酒;开胃酒;酒精饮料浓缩汁;清酒（⽇本⽶酒）;蒸馏饮料;⽶酒;朗姆酒</t>
  </si>
  <si>
    <t>华橡宝</t>
  </si>
  <si>
    <t>⽶酒;⽩酒;酒精饮料浓缩汁;清酒;利⼝酒;⾕物制蒸馏酒精饮料;果酒（含酒精）;含酒精的饮料（啤酒除外）;⻩酒;烈酒</t>
  </si>
  <si>
    <t>桂盛六花</t>
  </si>
  <si>
    <t>杭州锎源数字能量科技有限公司</t>
  </si>
  <si>
    <t>酒精饮料（啤酒除外）;开胃酒;蒸馏饮料;烧酒;葡萄酒;果酒;⽩酒;烈酒（饮料）;蒸煮提取物（利⼝酒和烈酒）;利⼝酒</t>
  </si>
  <si>
    <t>醉侠亮剑</t>
  </si>
  <si>
    <t>四川邮联易家商贸有限公司</t>
  </si>
  <si>
    <t>⽩兰地;鸡尾酒;利⼝酒;朗姆酒;酒精饮料（啤酒除外）;果酒;威⼠忌;⽩酒;葡萄酒;伏特加酒</t>
  </si>
  <si>
    <t>端普尔</t>
  </si>
  <si>
    <t>鲍迪普尔</t>
  </si>
  <si>
    <t>烧酒;开胃酒;葡萄酒;威⼠忌;果酒（含酒精）;⽶酒;⻩酒;鸡尾酒;⽩酒;含⽔果酒精饮料</t>
  </si>
  <si>
    <t>源·水蓝</t>
  </si>
  <si>
    <t>烧酒;⽩⼲酒（中国⽩酒）;⽼酒（中国蒸馏烈酒）;葡萄酒;果酒;⾼粱酒;果酒（含酒精）;⽩酒;清酒;酒精饮料（啤酒除外）</t>
  </si>
  <si>
    <t>闲处好</t>
  </si>
  <si>
    <t>杭州微网营销策划有限公司</t>
  </si>
  <si>
    <t>葡萄酒;烈酒（饮料）;酒精饮料（啤酒除外）;⽶酒;⻩酒;⽩酒;鸡尾酒;果酒（含酒精）;酒精饮料原汁;烧酒</t>
  </si>
  <si>
    <t>浮山友茗</t>
  </si>
  <si>
    <t>溧水区黄永虎食品经营部</t>
  </si>
  <si>
    <t>杨梅酒;果酒;酒精饮料（啤酒除外）;葡萄酒;⽶酒;果酒（含酒精）;含⽔果酒精饮料;蜂蜜酒;梅酒;酒精饮料浓缩汁</t>
  </si>
  <si>
    <t>诚拾伍</t>
  </si>
  <si>
    <t>葡萄酒;⻩酒;开胃酒;⽶酒;烧酒;餐后酒（利⼝酒和烈酒）;⽩酒;柑⾹酒;烈酒（饮料）;果酒（含酒精）</t>
  </si>
  <si>
    <t>荻湾</t>
  </si>
  <si>
    <t>景德镇陶文旅控股集团有限公司</t>
  </si>
  <si>
    <t>酒精饮料（啤酒除外）;清酒;⽩酒;⽶酒;含酒精⽔果饮料;果酒（含酒精）;开胃酒;葡萄酒;烈酒（饮料）;⻩酒</t>
  </si>
  <si>
    <t>走阿妹</t>
  </si>
  <si>
    <t>云岩区升然百货经营部</t>
  </si>
  <si>
    <t>葡萄酒;清酒（⽇本⽶酒）;⽩⼲酒（中国⽩酒）;⽶酒;⾼粱酒;⽩兰地;伏特加酒;⻩酒;⽼酒（中国蒸馏烈酒）;⽩酒</t>
  </si>
  <si>
    <t>凤池典</t>
  </si>
  <si>
    <t>濮阳市强龙商贸有限公司</t>
  </si>
  <si>
    <t>威⼠忌;⻩酒;蒸馏饮料;⽩兰地;⽩酒;鸡尾酒;⽶酒;葡萄酒;烧酒;果酒（含酒精）</t>
  </si>
  <si>
    <t>陶小沙</t>
  </si>
  <si>
    <t>张家口长城酿造（集团）有限责任公司</t>
  </si>
  <si>
    <t>果酒;⽩酒;烧酒;烈酒（饮料）;梅酒;⻩酒;伏特加酒;葡萄酒;⽶酒;酒精饮料（啤酒除外）</t>
  </si>
  <si>
    <t>酒鼎如歌</t>
  </si>
  <si>
    <t>⻩酒;烧酒;⽩酒;柑⾹酒;开胃酒;烈酒（饮料）;餐后酒（利⼝酒和烈酒）;⽶酒;葡萄酒;果酒（含酒精）</t>
  </si>
  <si>
    <t>LOOSEN BROS</t>
  </si>
  <si>
    <t>恩斯特-弗里德里希·洛森</t>
  </si>
  <si>
    <t>葡萄酒;桃红葡萄酒;以葡萄酒为主的饮料;红葡萄酒;酒精饮料（啤酒除外）;⽩葡萄酒;汽酒;起泡⽩葡萄酒;以葡萄酒为主的开胃酒;起泡红葡萄酒</t>
  </si>
  <si>
    <t>辰龙诀</t>
  </si>
  <si>
    <t>⽩酒;葡萄酒;酒精饮料（啤酒除外）;鸡尾酒;⽩兰地;威⼠忌;⽶酒;果酒（含酒精）;烈酒（饮料）;烧酒</t>
  </si>
  <si>
    <t>涌泉至庸</t>
  </si>
  <si>
    <t>李志勇</t>
  </si>
  <si>
    <t>薄荷酒;⽩兰地;果酒（含酒精）;烈酒（饮料）;威⼠忌;⽩酒;⻩酒;烧酒;葡萄酒;⽶酒</t>
  </si>
  <si>
    <t>慧谷静好</t>
  </si>
  <si>
    <t>云南慧谷农业科技有限公司</t>
  </si>
  <si>
    <t>⽶酒;葡萄酒;⽼酒（中国蒸馏烈酒）;⻩酒;以葡萄酒为主的饮料;果酒（含酒精）;⽩酒;酒精饮料（啤酒除外）;⻘稞酒;朗姆酒</t>
  </si>
  <si>
    <t>御山豫水</t>
  </si>
  <si>
    <t>魏曙光</t>
  </si>
  <si>
    <t>露酒;酒精饮料原汁;烧酒;果酒（含酒精）;清酒;⽼酒（中国蒸馏烈酒）;⻩酒;⽩酒;开胃酒;葡萄酒</t>
  </si>
  <si>
    <t>尚庸</t>
  </si>
  <si>
    <t>井冈山景湖实业有限公司</t>
  </si>
  <si>
    <t>果酒;⽩酒;葡萄酒;薄荷酒;⻘稞酒;烈酒;利⼝酒;汽酒;苹果酒;鸡尾酒</t>
  </si>
  <si>
    <t>日照研学港运营管理有限公司</t>
  </si>
  <si>
    <t>⽩兰地;梨酒;烈酒（饮料）;⽶酒;苹果酒;⽩酒;薄荷酒;开胃酒;樱桃酒;⾷⽤酒精</t>
  </si>
  <si>
    <t>蜀虢</t>
  </si>
  <si>
    <t>开胃酒;烧酒;⽩酒;利⼝酒;伏特加酒;酒精饮料浓缩汁;樱桃酒;鸡尾酒;⻩酒;薄荷酒</t>
  </si>
  <si>
    <t>牛不倒</t>
  </si>
  <si>
    <t>周永健</t>
  </si>
  <si>
    <t>威⼠忌;烧酒;⽩酒;开胃酒;果酒（含酒精）;⽶酒;清酒（⽇本⽶酒）;汽酒;红葡萄酒;鸡尾酒</t>
  </si>
  <si>
    <t>大青润隆</t>
  </si>
  <si>
    <t>青岛大青润隆国际贸易有限公司</t>
  </si>
  <si>
    <t>⾷⽤酒精;果酒;开胃酒;⽩兰地;⻘稞酒;威⼠忌;果酒（含酒精）;⽩酒;⾕物制蒸馏酒精饮料;烧酒</t>
  </si>
  <si>
    <t>苍北挚交</t>
  </si>
  <si>
    <t>内蒙古苍北酒业有限公司</t>
  </si>
  <si>
    <t>鸡尾酒;葡萄酒;预先混合的酒精饮料（以啤酒为主的除外）;果酒（含酒精）;含⽔果酒精饮料;烧酒;⽶酒;含酒精⽔果饮料;⾕物制蒸馏酒精饮料;⽩酒</t>
  </si>
  <si>
    <t>贵酩鼎</t>
  </si>
  <si>
    <t>严拾阳</t>
  </si>
  <si>
    <t>⻩酒;葡萄酒;果酒（含酒精）;⽶酒;酒精饮料（啤酒除外）;清酒（⽇本⽶酒）;威⼠忌;含⽔果酒精饮料;⽩酒;伏特加酒</t>
  </si>
  <si>
    <t>绥都府</t>
  </si>
  <si>
    <t>陈嘉</t>
  </si>
  <si>
    <t>⽩⼲酒（中国⽩酒）;烧酒;酒精饮料（啤酒除外）;⽼酒（中国蒸馏烈酒）;葡萄酒;由⾕物蒸馏的⽩酒;⽩酒;烈酒;蒸煮提取物（利⼝酒和烈酒）;餐后酒（利⼝酒和烈酒）</t>
  </si>
  <si>
    <t>星球执行者</t>
  </si>
  <si>
    <t>李明夏</t>
  </si>
  <si>
    <t>葡萄酒;⻩酒;果酒（含酒精）;清酒（⽇本⽶酒）;烧酒;⽩酒;含⽔果酒精饮料;⽩兰地;⽶酒;酒精饮料（啤酒除外）</t>
  </si>
  <si>
    <t>杭鑫</t>
  </si>
  <si>
    <t>杭州杭鑫酒业有限公司</t>
  </si>
  <si>
    <t>⽔果汽酒;⽶酒;葡萄酒;果酒;酒精饮料原汁;果酒（含酒精）;露酒;⻩酒;蜂蜜酒;⽩酒</t>
  </si>
  <si>
    <t>密圣</t>
  </si>
  <si>
    <t>烈酒（饮料）;烧酒;⽶酒;⽩酒;⽼酒（中国蒸馏烈酒）;葡萄酒;⽩兰地;⻩酒;威⼠忌;梨酒</t>
  </si>
  <si>
    <t>华商特</t>
  </si>
  <si>
    <t>亳州中支酒业有限公司</t>
  </si>
  <si>
    <t>果酒（含酒精）;⻩酒;蜂蜜酒;开胃酒;⽶酒;⽩酒;苹果酒;葡萄酒;烧酒;梨酒</t>
  </si>
  <si>
    <t>京铁惠多多</t>
  </si>
  <si>
    <t>⽩兰地;朗姆酒;果酒（含酒精）;威⼠忌;鸡尾酒;葡萄酒;开胃酒</t>
  </si>
  <si>
    <t>柔壮颂</t>
  </si>
  <si>
    <t>王玫琪</t>
  </si>
  <si>
    <t>苦味酒;烈酒（饮料）;⽶酒;⽩酒;汽酒;⾷⽤酒精;葡萄酒;果酒（含酒精）;酒精饮料（啤酒除外）;⻩酒</t>
  </si>
  <si>
    <t>GREATPLAYER</t>
  </si>
  <si>
    <t>浙江吉时有乐食品科技有限公司</t>
  </si>
  <si>
    <t>葡萄酒;烧酒;果酒;⽩兰地;⽩酒;含酒精的⽓泡⽔;鸡尾酒;酒精饮料（啤酒除外）;清酒;威⼠忌</t>
  </si>
  <si>
    <t>苍北知己</t>
  </si>
  <si>
    <t>鸡尾酒;葡萄酒;含⽔果酒精饮料;果酒（含酒精）;⽶酒;⽩酒;⾕物制蒸馏酒精饮料;烧酒;含酒精⽔果饮料;预先混合的酒精饮料（以啤酒为主的除外）</t>
  </si>
  <si>
    <t>京州禄</t>
  </si>
  <si>
    <t>刘书强</t>
  </si>
  <si>
    <t>清酒（⽇本⽶酒）;果酒（含酒精）;⽶酒;葡萄酒;⽩酒;⾷⽤酒精;蒸馏饮料;酒精饮料（啤酒除外）;汽酒;烈酒（饮料）</t>
  </si>
  <si>
    <t>玖丰知</t>
  </si>
  <si>
    <t>成都剑魂春酒业有限公司</t>
  </si>
  <si>
    <t>蜂蜜酒;⽩酒;葡萄酒;烈酒（饮料）;⾷⽤酒精;⽶酒;烧酒;⻘稞酒;⻩酒;酒精饮料（啤酒除外）</t>
  </si>
  <si>
    <t>大运东方贵</t>
  </si>
  <si>
    <t>烧酒;烈酒;汽酒;以葡萄酒为主的饮料;含酒精的饮料（啤酒除外）;酒精饮料（啤酒除外）;⻩酒;⾷⽤酒精;⽩酒;⻘梅酒</t>
  </si>
  <si>
    <t>舌锦记</t>
  </si>
  <si>
    <t>开封市零距离科技有限公司</t>
  </si>
  <si>
    <t>果酒（含酒精）;开胃酒;酒精饮料原汁;⽩酒;鸡尾酒;烧酒;威⼠忌;烈酒（饮料）;⽶酒;葡萄酒</t>
  </si>
  <si>
    <t>龙知凤行</t>
  </si>
  <si>
    <t>四川辰兴膳康商贸有限公司</t>
  </si>
  <si>
    <t>⻩酒;果酒（含酒精）;⽶酒;⽩酒;⻘稞酒;⾼粱酒;⽩⼲酒（中国⽩酒）;含酒精⽔果饮料;烧酒;烈酒（饮料）</t>
  </si>
  <si>
    <t>弄璋</t>
  </si>
  <si>
    <t>潘坷姣</t>
  </si>
  <si>
    <t>⽩酒;果酒;烈酒;甜酒;含酒精的⽔果鸡尾酒饮料;烧酒;露酒;杨梅酒;⽶酒;⻩酒</t>
  </si>
  <si>
    <t>内蒙古蒙壹购壹商贸有限公司</t>
  </si>
  <si>
    <t>果酒（含酒精）;利⼝酒;酒精饮料（啤酒除外）;烧酒;⻘稞酒;⻩酒;⾷⽤酒精;含⽔果酒精饮料;葡萄酒;⽩酒</t>
  </si>
  <si>
    <t>壮诺康</t>
  </si>
  <si>
    <t>华大（江西）健康科技有限公司</t>
  </si>
  <si>
    <t>果酒（含酒精）;⽩酒;⽶酒;烈酒（饮料）;葡萄酒;⽼酒（中国蒸馏烈酒）;以葡萄酒为主的饮料;餐后酒（利⼝酒和烈酒）;烧酒;⻩酒</t>
  </si>
  <si>
    <t>丰诺达</t>
  </si>
  <si>
    <t>王意</t>
  </si>
  <si>
    <t>⽶酒;⽼酒（中国蒸馏烈酒）;⽩酒;餐后酒（利⼝酒和烈酒）;葡萄酒;烧酒;果酒（含酒精）;以葡萄酒为主的饮料;烈酒（饮料）;⻩酒</t>
  </si>
  <si>
    <t>客丞相</t>
  </si>
  <si>
    <t>张小平</t>
  </si>
  <si>
    <t>利⼝酒;酒精饮料浓缩汁;⽶酒;⾷⽤酒精;⻩酒;鸡尾酒;蒸馏饮料;⽩酒;葡萄酒;果酒</t>
  </si>
  <si>
    <t>SMOKY LOVE</t>
  </si>
  <si>
    <t>⽩酒;⽶酒;开胃酒;⻩酒;鸡尾酒;烈酒（饮料）;利⼝酒;威⼠忌;葡萄酒;烧酒</t>
  </si>
  <si>
    <t>杏春道三顾草庐</t>
  </si>
  <si>
    <t>山西酩酊阁酒业有限公司</t>
  </si>
  <si>
    <t>葡萄酒;鸡尾酒;⽼酒（中国蒸馏烈酒）;蒸馏饮料;⻩酒;果酒（含酒精）;汽酒;酒精饮料（啤酒除外）;烈酒（饮料）;⽩酒</t>
  </si>
  <si>
    <t>斟嘚</t>
  </si>
  <si>
    <t>南京博旺食品有限公司</t>
  </si>
  <si>
    <t>⽶酒;果酒（含酒精）;酒精饮料（啤酒除外）;鸡尾酒;⻩酒;⽩酒;烧酒;开胃酒;葡萄酒;烈酒（饮料）</t>
  </si>
  <si>
    <t>书画吴</t>
  </si>
  <si>
    <t>⾼粱酒;⽩⼲酒（中国⽩酒）;⽩酒;⻩酒;葡萄酒;烧酒;⽼酒（中国蒸馏烈酒）;甜酒;⽶酒;烈酒（饮料）</t>
  </si>
  <si>
    <t>虢刃</t>
  </si>
  <si>
    <t>利⼝酒;樱桃酒;伏特加酒;鸡尾酒;烧酒;开胃酒;薄荷酒;酒精饮料浓缩汁;⻩酒;⽩酒</t>
  </si>
  <si>
    <t>大槐树衣锦还乡</t>
  </si>
  <si>
    <t>烧酒;果酒;葡萄酒;烈酒;汽酒;⽶酒;酒精饮料（啤酒除外）;⽩酒;⻩酒;甜酒</t>
  </si>
  <si>
    <t>哥动</t>
  </si>
  <si>
    <t>郓城盛发玻璃制品有限公司</t>
  </si>
  <si>
    <t>葡萄酒;烈酒（饮料）;清酒;⻩酒;烧酒;⽩酒;⽩兰地;⽶酒;果酒（含酒精）;汽酒</t>
  </si>
  <si>
    <t>芙雅蒂</t>
  </si>
  <si>
    <t>烟台莱馥酒业有限公司</t>
  </si>
  <si>
    <t>⽩兰地;朗姆酒;预先混合的酒精饮料（以啤酒为主的除外）;果酒（含酒精）;伏特加酒;蒸煮提取物（利⼝酒和烈酒）;葡萄酒;威⼠忌;利⼝酒;鸡尾酒</t>
  </si>
  <si>
    <t>华沧山</t>
  </si>
  <si>
    <t>葡萄酒;⻩酒;清酒（⽇本⽶酒）;烈酒;果酒（含酒精）;⽩酒;开胃酒;威⼠忌;鸡尾酒;酒精饮料（啤酒除外）</t>
  </si>
  <si>
    <t>鲤小龙</t>
  </si>
  <si>
    <t>预先混合的酒精饮料（以啤酒为主的除外）;含⽔果酒精饮料;酒精饮料（啤酒除外）;果酒（含酒精）;⽶酒;威⼠忌;蒸馏饮料;⽩酒;葡萄酒;烈酒（饮料）</t>
  </si>
  <si>
    <t>WONCHEER MOUNTAIN</t>
  </si>
  <si>
    <t>柒玖业（南京）贸易有限公司</t>
  </si>
  <si>
    <t>葡萄酒;⽩兰地;酒精饮料（啤酒除外）;以葡萄酒为主的饮料;⽩酒;鸡尾酒;清酒（⽇本⽶酒）;威⼠忌;果酒（含酒精）;⽶酒</t>
  </si>
  <si>
    <t>1号马</t>
  </si>
  <si>
    <t>上海酉米酒业有限公司</t>
  </si>
  <si>
    <t>威⼠忌;葡萄酒;果酒（含酒精）;⻩酒;烈酒（饮料）;⾷⽤酒精;朗姆酒;伏特加酒;⽩兰地;⽩酒</t>
  </si>
  <si>
    <t>纵花醉</t>
  </si>
  <si>
    <t>黄生金</t>
  </si>
  <si>
    <t>烧酒;⾷⽤酒精;果酒（含酒精）;⻘稞酒;烈酒（饮料）;⻩酒;威⼠忌;含⽔果酒精饮料;⽶酒;⽩酒</t>
  </si>
  <si>
    <t>醉美蔚莱</t>
  </si>
  <si>
    <t>葡萄酒;酒精饮料（啤酒除外）;⽩酒;果酒;伏特加酒;⽩兰地;鸡尾酒;朗姆酒;威⼠忌;利⼝酒</t>
  </si>
  <si>
    <t>北京海明跃科技创新有限公司</t>
  </si>
  <si>
    <t>⽶酒;⽩酒;预先混合的酒精饮料（以啤酒为主的除外）;蒸馏饮料;含⽔果酒精饮料;酒精饮料（啤酒除外）;果酒（含酒精）;开胃酒;鸡尾酒;汽酒</t>
  </si>
  <si>
    <t>淼淼喜酒坊</t>
  </si>
  <si>
    <t>宋喜军</t>
  </si>
  <si>
    <t>含酒精的饮料（啤酒除外）;⾼粱酒;烧酒;⽩⼲酒（中国⽩酒）;果酒;蒸煮提取物（利⼝酒和烈酒）;烈酒;葡萄酒;⽼酒（中国蒸馏烈酒）;⽩酒</t>
  </si>
  <si>
    <t>清无</t>
  </si>
  <si>
    <t>北京自然轩文化发展有限公司</t>
  </si>
  <si>
    <t>⻩酒;⾕物制蒸馏酒精饮料;含⽔果酒精饮料;果酒（含酒精）;酒精饮料（啤酒除外）;葡萄酒;烧酒;⽶酒;酒精饮料原汁;⽩酒</t>
  </si>
  <si>
    <t>尚.凯旋</t>
  </si>
  <si>
    <t>建林（上海）酒业有限公司</t>
  </si>
  <si>
    <t>蒸馏饮料;烈酒;酒精饮料（啤酒除外）;⾕物制蒸馏酒精饮料;开胃酒;含⽔果酒精饮料;⽩兰地;果酒;甜酒;以蒸馏酒为主的开胃酒</t>
  </si>
  <si>
    <t>乾家酒业</t>
  </si>
  <si>
    <t>陈凯宇</t>
  </si>
  <si>
    <t>清酒（⽇本⽶酒）;酒精饮料（啤酒除外）;开胃酒;威⼠忌;果酒（含酒精）;⽩酒;鸡尾酒;⻩酒;烈酒;葡萄酒</t>
  </si>
  <si>
    <t>驸誉大唐</t>
  </si>
  <si>
    <t>李牛</t>
  </si>
  <si>
    <t>⽩酒;朗姆酒;清酒;⻩酒;烈酒（饮料）;五加⽪酒（中国混合烈酒）;⽼酒（中国蒸馏烈酒）;⽶酒;葡萄酒;烧酒</t>
  </si>
  <si>
    <t>今物喜语</t>
  </si>
  <si>
    <t>山东兴儒企业管理有限公司</t>
  </si>
  <si>
    <t>⽩酒;开胃酒;⻩酒;清酒;⾷⽤酒精;蒸馏饮料;酒精饮料（啤酒除外）;⽶酒;汽酒;果酒</t>
  </si>
  <si>
    <t>乌撒维创</t>
  </si>
  <si>
    <t>威宁县乌撒原浆酒业</t>
  </si>
  <si>
    <t>葡萄酒;⽶酒;⽩酒;红葡萄酒;鸡尾酒;⾼粱酒;⾷⽤酒精;果酒（含酒精）;酒精饮料（啤酒除外）;⻩酒</t>
  </si>
  <si>
    <t>翌樽</t>
  </si>
  <si>
    <t>鲁杰</t>
  </si>
  <si>
    <t>烈酒（饮料）;葡萄酒;⽩酒;酒精饮料（啤酒除外）;烧酒;⽶酒;果酒（含酒精）;含⽔果酒精饮料</t>
  </si>
  <si>
    <t>凤球唛</t>
  </si>
  <si>
    <t>东莞市永益食品有限公司</t>
  </si>
  <si>
    <t>⽶酒;酒精饮料原汁;烈酒（饮料）;果酒（含酒精）;⽩酒;露酒;含酒精⽔果饮料;酒精饮料（啤酒除外）;⻩酒;鸡尾酒</t>
  </si>
  <si>
    <t>桃雾姬</t>
  </si>
  <si>
    <t>李凯</t>
  </si>
  <si>
    <t>威⼠忌;果酒（含酒精）;酒精饮料（啤酒除外）;葡萄酒;⽩酒;鸡尾酒;⻩酒;⽶酒;烈酒（饮料）;烧酒</t>
  </si>
  <si>
    <t>名岁</t>
  </si>
  <si>
    <t>雷正富</t>
  </si>
  <si>
    <t>⽩酒;⻩酒;烈酒（饮料）;汽酒;⽶酒;葡萄酒;清酒（⽇本⽶酒）;薄荷酒;酒精饮料原汁;果酒（含酒精）</t>
  </si>
  <si>
    <t>慕叁山</t>
  </si>
  <si>
    <t>成都慕叁山品牌管理有限公司</t>
  </si>
  <si>
    <t>⻩酒;威⼠忌;⽩酒;伏特加酒;酒精饮料（啤酒除外）;⻘稞酒;⾷⽤酒精;⽶酒;烧酒;葡萄酒</t>
  </si>
  <si>
    <t>贾春玲贡</t>
  </si>
  <si>
    <t>张建峰</t>
  </si>
  <si>
    <t>清酒;果酒;⽶酒;⻩酒;威⼠忌;蜂蜜酒;鸡尾酒;葡萄酒;⽩酒;烧酒</t>
  </si>
  <si>
    <t>麦维畅</t>
  </si>
  <si>
    <t>安徽新天生物科技有限公司</t>
  </si>
  <si>
    <t>葡萄酒;⻩酒;开胃酒;酒精饮料（啤酒除外）;⽶酒;⻘稞酒;果酒;含⽔果酒精饮料;蜂蜜酒;⽩酒</t>
  </si>
  <si>
    <t>贵维皇</t>
  </si>
  <si>
    <t>⽶酒;以葡萄酒为主的饮料;梨酒;酒精饮料（啤酒除外）;甜酒;⾷⽤酒精;含酒精的⽓泡⽔;⽩酒;烧酒（烈酒）;含⽔果酒精饮料</t>
  </si>
  <si>
    <t>度吟</t>
  </si>
  <si>
    <t>方新英</t>
  </si>
  <si>
    <t>⽩酒;酒精饮料（啤酒除外）;⽩兰地;葡萄酒;利⼝酒;清酒;⽶酒;蒸煮提取物（利⼝酒和烈酒）;⽩⼲酒（中国⽩酒）;果酒（含酒精）</t>
  </si>
  <si>
    <t>KARSEELL</t>
  </si>
  <si>
    <t>广州程熙化妆品有限公司</t>
  </si>
  <si>
    <t>⻩酒;葡萄酒;甜酒;梅酒;除啤酒外的酒精饮料;蜂蜜酒;含⽔果酒精饮料;⽩酒;⽶酒;果酒（含酒精）</t>
  </si>
  <si>
    <t>MITOSAYA</t>
  </si>
  <si>
    <t>北京德耳帕普科技有限公司</t>
  </si>
  <si>
    <t>烧酒;⽩酒;果酒（含酒精）;⽶酒;梅酒;葡萄酒;威⼠忌;含⽔果酒精饮料;清酒;苹果酒</t>
  </si>
  <si>
    <t>德行宸歆</t>
  </si>
  <si>
    <t>贵州仁怀联亿酒业销售有限责任公司</t>
  </si>
  <si>
    <t>清酒（⽇本⽶酒）;烧酒;⽩酒;⻩酒;酒精饮料（啤酒除外）;⽶酒;甜酒;果酒（含酒精）;葡萄酒;烈酒（饮料）</t>
  </si>
  <si>
    <t>吉福伴</t>
  </si>
  <si>
    <t>曾春英</t>
  </si>
  <si>
    <t>⻩酒;酒精饮料（啤酒除外）;葡萄酒;烈酒（饮料）;果酒（含酒精）;含⽔果酒精饮料;⽩酒;烧酒;⽶酒;蜂蜜酒</t>
  </si>
  <si>
    <t>悟千道</t>
  </si>
  <si>
    <t>廖祖海</t>
  </si>
  <si>
    <t>威⼠忌;⽶酒;⽩兰地;葡萄酒;酒精饮料（啤酒除外）;烈酒（饮料）;烧酒;⽩酒;鸡尾酒;果酒（含酒精）</t>
  </si>
  <si>
    <t>乐芙娜</t>
  </si>
  <si>
    <t>上海乐芙娜食品科技有限公司</t>
  </si>
  <si>
    <t>开胃酒;威⼠忌;朗姆酒;预先混合的酒精饮料（以啤酒为主的除外）;酒精饮料浓缩汁;酒精饮料（啤酒除外）;⽩酒;葡萄酒;⽩兰地;清酒</t>
  </si>
  <si>
    <t>臣就</t>
  </si>
  <si>
    <t>彭李平</t>
  </si>
  <si>
    <t>烈酒（饮料）;⽩酒;果酒（含酒精）;蜂蜜酒;威⼠忌;酒精饮料（啤酒除外）;烧酒;⽶酒;葡萄酒;⻩酒</t>
  </si>
  <si>
    <t>中昕天扬</t>
  </si>
  <si>
    <t>武汉中昕天扬科技发展有限公司</t>
  </si>
  <si>
    <t>果酒（含酒精）;⽶酒;⾕物制蒸馏酒精饮料;⻘稞酒;⽩酒;苹果酒;⾷⽤酒精;葡萄酒;烧酒;⻩酒</t>
  </si>
  <si>
    <t>桥生百万</t>
  </si>
  <si>
    <t>贵州省仁怀市台海酿酒作坊</t>
  </si>
  <si>
    <t>酒精饮料（啤酒除外）;⽩酒;含⽔果酒精饮料;甜酒;蒸煮提取物（利⼝酒和烈酒）;⾼粱酒;蒸馏饮料;葡萄酒;⽼酒（中国蒸馏烈酒）;酒精饮料原汁</t>
  </si>
  <si>
    <t>降方</t>
  </si>
  <si>
    <t>北京宏硕大田管理咨询有限公司</t>
  </si>
  <si>
    <t>⽶酒;含⽔果酒精饮料;⻩酒;⽩兰地;酒精饮料（啤酒除外）;⽩酒;鸡尾酒;果酒;威⼠忌;葡萄酒</t>
  </si>
  <si>
    <t>王楂</t>
  </si>
  <si>
    <t>菏泽市牡丹区尧舜酿酒厂</t>
  </si>
  <si>
    <t>开胃酒;葡萄酒;⻩酒;⽩酒;果酒（含酒精）;烧酒;预先混合的酒精饮料（以啤酒为主的除外）;含⽔果酒精饮料;⽶酒;酒精饮料（啤酒除外）</t>
  </si>
  <si>
    <t>晴牧酒庄</t>
  </si>
  <si>
    <t>贵州合酒股份有限公司</t>
  </si>
  <si>
    <t>⽶酒;⽩⼲酒（中国⽩酒）;⽼酒（中国蒸馏烈酒）;葡萄酒;露酒;⽩酒;⾼粱酒;烧酒;烈酒;⻩酒</t>
  </si>
  <si>
    <t>云同梦</t>
  </si>
  <si>
    <t>贵州云同农业有限公司</t>
  </si>
  <si>
    <t>果酒（含酒精）;⾼粱酒;⽩酒</t>
  </si>
  <si>
    <t>汉秦鉴</t>
  </si>
  <si>
    <t>⽩兰地;⽩酒;威⼠忌;葡萄酒;烈酒（饮料）;酒精饮料（啤酒除外）;烧酒;⽶酒;果酒（含酒精）;鸡尾酒</t>
  </si>
  <si>
    <t>匠万川</t>
  </si>
  <si>
    <t>逯紫舜</t>
  </si>
  <si>
    <t>酒精饮料原汁;⽩酒;葡萄酒;酒精饮料（啤酒除外）;⻩酒;果酒（含酒精）;⽩兰地;鸡尾酒;威⼠忌;蒸煮提取物（利⼝酒和烈酒）</t>
  </si>
  <si>
    <t>西咸新区沣东新城袁葛其百货店</t>
  </si>
  <si>
    <t>葡萄酒;烈酒;⽶酒;汽酒;果酒（含酒精）;酒精饮料（啤酒除外）;烧酒;⾼粱酒;⻩酒;⽩酒</t>
  </si>
  <si>
    <t>胡咏梅</t>
  </si>
  <si>
    <t>含⽔果酒精饮料;⽩⼲酒（中国⽩酒）;葡萄酒;⽩酒;烧酒;酒精饮料浓缩汁;果酒（含酒精）;酸酒（低等葡萄酒）;蒸馏饮料;含酒精的⽓泡⽔</t>
  </si>
  <si>
    <t>涎盏</t>
  </si>
  <si>
    <t>善元文化产业邯郸有限公司</t>
  </si>
  <si>
    <t>⻩酒;苹果酒;蒸煮提取物（利⼝酒和烈酒）;⾷⽤酒精;樱桃酒;蒸馏饮料;利⼝酒;蜂蜜酒;开胃酒;梨酒;⽶酒;葡萄酒;酒精饮料（啤酒除外）;⽩酒;烈酒（饮料）;烧酒;果酒（含酒精）;薄荷酒;苦味酒</t>
  </si>
  <si>
    <t>酔梓莘</t>
  </si>
  <si>
    <t>曾大勇</t>
  </si>
  <si>
    <t>⽩酒;烈酒;⽶酒;利⼝酒;烧酒;⻘稞酒;葡萄酒;果酒;⾷⽤酒精;鸡尾酒</t>
  </si>
  <si>
    <t>青鸿如愿</t>
  </si>
  <si>
    <t>陈红喜</t>
  </si>
  <si>
    <t>酒精饮料（啤酒除外）;葡萄酒;杜松⼦酒;蒸馏饮料;蒸煮提取物（利⼝酒和烈酒）;果酒（含酒精）;含⽔果酒精饮料;清酒（⽇本⽶酒）;⻩酒;⽩酒</t>
  </si>
  <si>
    <t>市丘茶事</t>
  </si>
  <si>
    <t>市丘茶事（杭州）科技有限公司</t>
  </si>
  <si>
    <t>含酒精的饮料（啤酒除外）;⻩酒;含酒精的鸡尾酒混合饮品;葡萄酒;⽩酒;含酒精⽔果饮料;⽶酒;清酒;不起泡葡萄酒;⾷⽤酒精</t>
  </si>
  <si>
    <t>酩适</t>
  </si>
  <si>
    <t>果酒（含酒精）;⻩酒;⾼粱酒;⽩酒;杨梅酒;梅酒;⽶酒;果酒;红葡萄酒;⻘梅酒</t>
  </si>
  <si>
    <t>鸣善宴宾</t>
  </si>
  <si>
    <t>昝国民</t>
  </si>
  <si>
    <t>果酒;⽢蔗制酒精饮料;烈酒;由⾕物蒸馏的⽩酒;⽼酒（中国蒸馏烈酒）;⾕物制蒸馏酒精饮料;含⽔果酒精饮料;⻘稞酒;烧酒;⽩酒</t>
  </si>
  <si>
    <t>北京爱游易科技有限公司</t>
  </si>
  <si>
    <t>烈酒（饮料）;清酒（⽇本⽶酒）;伏特加酒;蒸馏⽶酒（泡盛酒）;果酒（含酒精）;⻩酒;朗姆酒（酒精饮料）;⽩兰地;⽶酒;⾷⽤酒精</t>
  </si>
  <si>
    <t>仰梦</t>
  </si>
  <si>
    <t>上海腾砺医疗器械有限公司</t>
  </si>
  <si>
    <t>含酒精的充⽓饮料（啤酒除外）;五加⽪酒（中国混合烈酒）;⽩酒;⾷⽤酒精;含酒精的饮料（啤酒除外）;酒精饮料（啤酒除外）;⽩⼲酒（中国⽩酒）;烧酒;⽼酒（中国蒸馏烈酒）;⻩酒</t>
  </si>
  <si>
    <t>仰珑</t>
  </si>
  <si>
    <t>五加⽪酒（中国混合烈酒）;汽酒;烈性⼲酒;⾼粱酒;⽩酒;预先混合的酒精饮料（以啤酒为主的除外）;调制好的葡萄酒鸡尾酒;⽼酒（中国蒸馏烈酒）;⽩⼲酒（中国⽩酒）;⻩酒</t>
  </si>
  <si>
    <t>韭西</t>
  </si>
  <si>
    <t>陈美</t>
  </si>
  <si>
    <t>酒精饮料（啤酒除外）;含⽔果酒精饮料;⻩酒;⽩酒;⽩兰地;⾷⽤酒精;果酒（含酒精）;开胃酒;葡萄酒;鸡尾酒</t>
  </si>
  <si>
    <t>道之云端</t>
  </si>
  <si>
    <t>贵州最美高速商贸有限公司</t>
  </si>
  <si>
    <t>烧酒;⽶酒;烈酒（饮料）;葡萄酒;⻩酒;果酒（含酒精）;清酒（⽇本⽶酒）;⽩酒;鸡尾酒;酒精饮料（啤酒除外）</t>
  </si>
  <si>
    <t>贵庆年</t>
  </si>
  <si>
    <t>⽼酒（中国蒸馏烈酒）;含⽔果酒精饮料;果酒（含酒精）;梨酒;⾷⽤酒精;以葡萄酒为主的饮料;酒精饮料原汁;烧酒;⽩酒;含酒精的⽔果鸡尾酒饮料</t>
  </si>
  <si>
    <t>农科小师妹</t>
  </si>
  <si>
    <t>北方好物供应链（银川）有限公司</t>
  </si>
  <si>
    <t>已调味的⻨芽酿制的酒精饮料（啤酒除外）;果酒（含酒精）;酒精饮料（啤酒除外）;利⼝酒;⽩酒;⽩兰地;含酒精的⽓泡⽔;⽶酒;⻩酒;葡萄酒</t>
  </si>
  <si>
    <t>仰依</t>
  </si>
  <si>
    <t>⽼酒（中国蒸馏烈酒）;⽩酒;预先混合的酒精饮料（以啤酒为主的除外）;⽇本梅⼦酒;烧酒;⾷⽤酒精;酒精饮料原汁;五加⽪酒（中国混合烈酒）;⽩⼲酒（中国⽩酒）;由⾕物蒸馏的⽩酒</t>
  </si>
  <si>
    <t>HUAYUANTOU</t>
  </si>
  <si>
    <t>南通家世界纺织品有限公司</t>
  </si>
  <si>
    <t>葡萄酒;烈酒;⽩酒;⽶酒;⽩兰地;酒精饮料浓缩汁;鸡尾酒;樱桃酒;朗姆酒;开胃酒</t>
  </si>
  <si>
    <t>暖城七点半</t>
  </si>
  <si>
    <t>刘焕财</t>
  </si>
  <si>
    <t>苹果酒;⽩酒;利⼝酒;含⽔果酒精饮料;⻩酒;⻘稞酒;开胃酒;鸡尾酒;⽩兰地;烧酒</t>
  </si>
  <si>
    <t>星渠天地源</t>
  </si>
  <si>
    <t>河南品香来食品有限公司</t>
  </si>
  <si>
    <t>烧酒（烈酒）;果酒（含酒精）;⻩酒;⽶酒;⽩酒;烈酒（饮料）;清酒（⽇本⽶酒）;起泡红葡萄酒;含酒精的⽓泡⽔;蒸馏⽶酒（泡盛酒）</t>
  </si>
  <si>
    <t>法力创</t>
  </si>
  <si>
    <t>北京京东数智工业科技有限公司</t>
  </si>
  <si>
    <t>威⼠忌;⾷⽤酒精;开胃酒;酒精饮料（啤酒除外）;⽩酒;葡萄酒;利⼝酒;烧酒;⽩兰地;含⽔果酒精饮料</t>
  </si>
  <si>
    <t>闲潭</t>
  </si>
  <si>
    <t>张成林</t>
  </si>
  <si>
    <t>烈酒;果酒（含酒精）;清酒（⽇本⽶酒）;鸡尾酒;⻩酒;开胃酒;威⼠忌;酒精饮料（啤酒除外）;葡萄酒;⽩酒</t>
  </si>
  <si>
    <t>KOVEO</t>
  </si>
  <si>
    <t>河南蔻文信息科技有限公司</t>
  </si>
  <si>
    <t>果酒（含酒精）;薄荷酒;开胃酒;含⽔果酒精饮料;⻩酒;威⼠忌;⽩酒;酒精饮料（啤酒除外）;蒸馏饮料;葡萄酒</t>
  </si>
  <si>
    <t>王少章烧坊</t>
  </si>
  <si>
    <t>贵州叁茅品牌管理有限公司</t>
  </si>
  <si>
    <t>鸡尾酒;烧酒;果酒（含酒精）;葡萄酒;含⽔果酒精饮料;⾷⽤酒精;蒸煮提取物（利⼝酒和烈酒）;烈酒（饮料）;⽩酒;利⼝酒</t>
  </si>
  <si>
    <t>银知</t>
  </si>
  <si>
    <t>鸡尾酒;烧酒;⽶酒;⽩兰地;威⼠忌;葡萄酒;烈酒（饮料）;果酒（含酒精）;⽩酒;酒精饮料（啤酒除外）</t>
  </si>
  <si>
    <t>星渠满天星</t>
  </si>
  <si>
    <t>蒸馏⽶酒（泡盛酒）;含酒精的⽓泡⽔;烧酒（烈酒）;起泡红葡萄酒;⻩酒;清酒（⽇本⽶酒）;⽩酒;⽶酒;烈酒（饮料）;果酒（含酒精）</t>
  </si>
  <si>
    <t>星渠智多星</t>
  </si>
  <si>
    <t>含酒精的⽓泡⽔;果酒（含酒精）;清酒（⽇本⽶酒）;蒸馏⽶酒（泡盛酒）;起泡红葡萄酒;⽶酒;烧酒（烈酒）;烈酒（饮料）;⻩酒;⽩酒</t>
  </si>
  <si>
    <t>天碧</t>
  </si>
  <si>
    <t>贵州天碧酒业有限公司</t>
  </si>
  <si>
    <t>⽩兰地;⽩酒;葡萄酒;烈酒（饮料）;⾷⽤酒精;酒精饮料（啤酒除外）;果酒（含酒精）;⽶酒;酒精饮料原汁;烧酒</t>
  </si>
  <si>
    <t>酔珞黉</t>
  </si>
  <si>
    <t>⾷⽤酒精;烧酒;鸡尾酒;⻘稞酒;⽶酒;⽩酒;利⼝酒;果酒;烈酒;葡萄酒</t>
  </si>
  <si>
    <t>壹深爱</t>
  </si>
  <si>
    <t>开胃酒;葡萄酒;烧酒;梨酒;⻩酒;⽶酒;⽩酒;鸡尾酒;樱桃酒;⽩兰地</t>
  </si>
  <si>
    <t>翡固</t>
  </si>
  <si>
    <t>果酒（含酒精）;烧酒;⻩酒;烈酒（饮料）;鸡尾酒;⽶酒;威⼠忌;酒精饮料（啤酒除外）;葡萄酒;⽩酒</t>
  </si>
  <si>
    <t>水墨秀</t>
  </si>
  <si>
    <t>广州市赢创投资发展有限公司</t>
  </si>
  <si>
    <t>葡萄酒;清酒（⽇本⽶酒）;酒精饮料（啤酒除外）;含⽔果酒精饮料;⻩酒;⽩酒;鸡尾酒;⽶酒;⽼酒（中国蒸馏烈酒）;苹果酒</t>
  </si>
  <si>
    <t>雯涧</t>
  </si>
  <si>
    <t>烟台贰伍叁网络科技有限公司</t>
  </si>
  <si>
    <t>酒精饮料（啤酒除外）;开胃酒;⽩兰地;⽩酒;汽酒;烧酒;⾷⽤酒精;果酒（含酒精）;葡萄酒;清酒</t>
  </si>
  <si>
    <t>赴逍遥</t>
  </si>
  <si>
    <t>张昕彤</t>
  </si>
  <si>
    <t>⽩酒;鸡尾酒;威⼠忌;酒精饮料（啤酒除外）;⽩兰地;果酒（含酒精）;酒精饮料原汁;⻩酒;蒸煮提取物（利⼝酒和烈酒）;葡萄酒</t>
  </si>
  <si>
    <t>金种子禧运</t>
  </si>
  <si>
    <t>安徽金种子酒业股份有限公司</t>
  </si>
  <si>
    <t>⽩酒;烧酒;鸡尾酒;果酒（含酒精）;⻩酒;含⽔果酒精饮料;烈酒（饮料）;葡萄酒;酒精饮料浓缩汁;⽶酒</t>
  </si>
  <si>
    <t>葆诗女神 BORESAS GODDESS</t>
  </si>
  <si>
    <t>山东诺鑫予医疗科技有限公司</t>
  </si>
  <si>
    <t>果酒（含酒精）;蒸馏饮料;⻩酒;含⽔果酒精饮料;酒精饮料（啤酒除外）;威⼠忌;开胃酒;葡萄酒;⽩酒;薄荷酒</t>
  </si>
  <si>
    <t>鉴稳</t>
  </si>
  <si>
    <t>何天宇</t>
  </si>
  <si>
    <t>果酒（含酒精）;鸡尾酒;烈酒（饮料）;清酒（⽇本⽶酒）;酒精饮料（啤酒除外）;开胃酒;蒸馏饮料;葡萄酒;⽩酒;威⼠忌</t>
  </si>
  <si>
    <t>MEIZHIXIN</t>
  </si>
  <si>
    <t>广州美致新绿色农业发展有限公司</t>
  </si>
  <si>
    <t>蒸馏饮料;威⼠忌;酒精饮料（啤酒除外）;⻩酒;⽩酒;含⽔果酒精饮料;果酒（含酒精）;开胃酒;葡萄酒;薄荷酒</t>
  </si>
  <si>
    <t>噢艾特</t>
  </si>
  <si>
    <t>烧酒;⾷⽤酒精;果酒（含酒精）;酒精饮料（啤酒除外）;⽩酒;清酒（⽇本⽶酒）;蒸馏饮料;⻩酒;烈酒（饮料）;⽶酒</t>
  </si>
  <si>
    <t>砺河烧坊</t>
  </si>
  <si>
    <t>邓爱民</t>
  </si>
  <si>
    <t>酒精饮料（啤酒除外）;⽩酒;⻩酒;鸡尾酒;酒精饮料原汁;⽩兰地;威⼠忌;蒸煮提取物（利⼝酒和烈酒）;葡萄酒;果酒（含酒精）</t>
  </si>
  <si>
    <t>逸彼之力</t>
  </si>
  <si>
    <t>沈阳金佰贝商贸有限公司</t>
  </si>
  <si>
    <t>苦味酒;餐后酒（利⼝酒和烈酒）;果酒（含酒精）;利⼝酒;烈酒（饮料）;酒精饮料（啤酒除外）;烧酒;⽩酒;开胃酒;葡萄酒;预先混合的酒精饮料（以啤酒为主的除外）</t>
  </si>
  <si>
    <t>浆冉四芳</t>
  </si>
  <si>
    <t>李安庆</t>
  </si>
  <si>
    <t>⽩酒;蒸馏饮料;红葡萄酒;⻩酒;含⽔果酒精饮料;烈酒（饮料）;烧酒;预先混合的酒精饮料（以啤酒为主的除外）;⽶酒;利⼝酒</t>
  </si>
  <si>
    <t>韵上茗</t>
  </si>
  <si>
    <t>覃小玲</t>
  </si>
  <si>
    <t>⽩酒;含⽔果酒精饮料;烈酒（饮料）;蒸馏饮料;⻩酒;⽶酒;蒸煮提取物（利⼝酒和烈酒）;葡萄酒;果酒（含酒精）;酒精饮料原汁</t>
  </si>
  <si>
    <t>吞状元</t>
  </si>
  <si>
    <t>王少杰</t>
  </si>
  <si>
    <t>⻩酒;⽶酒;果酒（含酒精）;葡萄酒;酒精饮料（啤酒除外）;鸡尾酒;含⽔果酒精饮料;⽩兰地;⾷⽤酒精;⽩酒</t>
  </si>
  <si>
    <t>丰沛一家</t>
  </si>
  <si>
    <t>尤旭</t>
  </si>
  <si>
    <t>以葡萄酒为主的饮料;鸡尾酒;⽶酒;伏特加酒;果酒（含酒精）;烧酒;烈酒（饮料）;葡萄酒;酒精饮料（啤酒除外）</t>
  </si>
  <si>
    <t>滋德济</t>
  </si>
  <si>
    <t>深圳最火的有限公司</t>
  </si>
  <si>
    <t>⻩酒;⽩酒;⻘稞酒;开胃酒;含⽔果酒精饮料;鸡尾酒;酒精饮料浓缩汁;⽶酒;葡萄酒;烧酒</t>
  </si>
  <si>
    <t>上海晁光国际贸易有限公司</t>
  </si>
  <si>
    <t>⽩酒;酒精饮料（啤酒除外）;⻩酒;⽶酒;开胃酒;蒸煮提取物（利⼝酒和烈酒）;⾷⽤酒精;果酒（含酒精）;⽩兰地;葡萄酒</t>
  </si>
  <si>
    <t>嵩箕皮缘</t>
  </si>
  <si>
    <t>常翔宇</t>
  </si>
  <si>
    <t>开胃酒;葡萄酒;⽩酒;⽼酒（中国蒸馏烈酒）;⾼粱酒;果酒（含酒精）;鸡尾酒;烈酒（饮料）;⽶酒;⻩酒</t>
  </si>
  <si>
    <t>额右旗</t>
  </si>
  <si>
    <t>张鹏</t>
  </si>
  <si>
    <t>葡萄酒;烈酒（饮料）;清酒（⽇本⽶酒）;酒精饮料（啤酒除外）;果酒（含酒精）;⽩酒;鸡尾酒;⽶酒;烧酒;⻩酒</t>
  </si>
  <si>
    <t>鑫春江月</t>
  </si>
  <si>
    <t>刘建光</t>
  </si>
  <si>
    <t>酒精饮料（啤酒除外）;⾷⽤酒精;酒精饮料浓缩汁;葡萄酒;果酒（含酒精）;蜂蜜酒;⽩酒;⻩酒;⾕物制蒸馏酒精饮料;⾼粱酒</t>
  </si>
  <si>
    <t>山木·境</t>
  </si>
  <si>
    <t>河南海韵环保科技有限公司</t>
  </si>
  <si>
    <t>红葡萄酒;果酒;⻘稞酒;⽶酒;⽩酒;含酒精的饮料（啤酒除外）;⻩酒;含酒精⽔果饮料;以蒸馏酒为主的开胃酒;⽩⼲酒（中国⽩酒）</t>
  </si>
  <si>
    <t>MGLN CLUB</t>
  </si>
  <si>
    <t>张杰</t>
  </si>
  <si>
    <t>开胃酒;⽩酒;酒精饮料浓缩汁;预先混合的酒精饮料（以啤酒为主的除外）;威⼠忌;烈酒（饮料）;烧酒;⽩兰地;鸡尾酒;果酒（含酒精）</t>
  </si>
  <si>
    <t>惕若</t>
  </si>
  <si>
    <t>喜行国际贸易（扬州）有限公司</t>
  </si>
  <si>
    <t>葡萄酒;清酒（⽇本⽶酒）;蒸煮提取物（利⼝酒和烈酒）;⽩酒;酒精饮料（啤酒除外）;烈酒（饮料）;⽶酒;威⼠忌;果酒（含酒精）;鸡尾酒</t>
  </si>
  <si>
    <t>郭漫漫</t>
  </si>
  <si>
    <t>揭阳市花甜文化传媒有限公司</t>
  </si>
  <si>
    <t>酒精饮料原汁;⽶酒;⻩酒;含⽔果酒精饮料;⽩酒;烈酒（饮料）;酒精饮料（啤酒除外）;⽼酒（中国蒸馏烈酒）;⽩⼲酒（中国⽩酒）;葡萄酒</t>
  </si>
  <si>
    <t>七仙嘉</t>
  </si>
  <si>
    <t>胡嘉360502********2237</t>
  </si>
  <si>
    <t>⽶酒;烧酒;⽩酒;⾕物制蒸馏酒精饮料;以葡萄酒为主的饮料;⻩酒</t>
  </si>
  <si>
    <t>姑洲</t>
  </si>
  <si>
    <t>屋太红（海口）供应链管理有限公司</t>
  </si>
  <si>
    <t>酒精饮料原汁;威⼠忌;⽶酒;⽩酒;⾷⽤酒精;含酒精的饮料（啤酒除外）;葡萄酒;含⽔果酒精饮料;⻩酒;露酒</t>
  </si>
  <si>
    <t>SWIWISH</t>
  </si>
  <si>
    <t>四川省数字县域商业发展有限责任公司</t>
  </si>
  <si>
    <t>⽩⼲酒（中国⽩酒）;⽩葡萄酒;⽇式甜⽶酒;果酒（含酒精）;⻩酒;朗姆酒;以葡萄酒为主的饮料;草莓酒;餐后酒（利⼝酒和烈酒）;清酒</t>
  </si>
  <si>
    <t>甸苴鹿鸣苑</t>
  </si>
  <si>
    <t>玉溪甸苴农业发展有限公司</t>
  </si>
  <si>
    <t>烧酒（烈酒）;烈酒;⽼酒（中国蒸馏烈酒）;⾼粱酒;⽩酒;⽩⼲酒（中国⽩酒）;烧酒</t>
  </si>
  <si>
    <t>漠关外</t>
  </si>
  <si>
    <t>李宸宇</t>
  </si>
  <si>
    <t>鸡尾酒;葡萄酒;果酒（含酒精）;威⼠忌;清酒（⽇本⽶酒）;⽩酒;开胃酒;⻩酒;烈酒;酒精饮料（啤酒除外）</t>
  </si>
  <si>
    <t>庄承</t>
  </si>
  <si>
    <t>贵州人合酱酒业有限公司</t>
  </si>
  <si>
    <t>葡萄酒;酒精饮料（啤酒除外）;烈酒（饮料）;⽶酒;⽩酒;甜果酒;⾷⽤酒精;鸡尾酒;烧酒;果酒</t>
  </si>
  <si>
    <t>和生亮</t>
  </si>
  <si>
    <t>都市休闲餐饮有限公司</t>
  </si>
  <si>
    <t>⾷⽤酒精;酒精饮料（啤酒除外）;⽩兰地;⽩酒;⽶酒;鸡尾酒;果酒（含酒精）;葡萄酒;含⽔果酒精饮料;⻩酒</t>
  </si>
  <si>
    <t>可佰供</t>
  </si>
  <si>
    <t>深圳市可佰供供应链管理有限公司</t>
  </si>
  <si>
    <t>汽酒;含⽔果酒精饮料;威⼠忌;酒精饮料（啤酒除外）;以葡萄酒为主的开胃酒;⽩酒;⽶酒;烧酒;葡萄酒;⾷⽤酒精</t>
  </si>
  <si>
    <t>靑维度</t>
  </si>
  <si>
    <t>杨正秀</t>
  </si>
  <si>
    <t>⻩酒;果酒（含酒精）;鸡尾酒;⽩兰地;威⼠忌;葡萄酒;烈酒（饮料）;⽩酒;⽶酒;⻘稞酒</t>
  </si>
  <si>
    <t>力丹酒业</t>
  </si>
  <si>
    <t>广州市力丹酒业有限公司</t>
  </si>
  <si>
    <t>⻩酒;葡萄酒;⽶酒;⾷⽤酒精;酒精饮料（啤酒除外）;⽩酒;利⼝酒;鸡尾酒;烧酒;含⽔果酒精饮料</t>
  </si>
  <si>
    <t>画典</t>
  </si>
  <si>
    <t>郝盼峰</t>
  </si>
  <si>
    <t>葡萄酒;烧酒;果酒;鸡尾酒;烈酒;⻘稞酒;⽩酒;⽶酒;⾼粱酒;⻩酒</t>
  </si>
  <si>
    <t>唐医思邈</t>
  </si>
  <si>
    <t>姜添文</t>
  </si>
  <si>
    <t>利⼝酒;含酒精⽔果饮料;⽩酒;果酒（含酒精）;酒精饮料浓缩汁;酒精饮料（啤酒除外）;烈酒;酒精饮料原汁;苦味酒;葡萄酒</t>
  </si>
  <si>
    <t>荘酒朗</t>
  </si>
  <si>
    <t>厦门韩之星餐饮管理有限公司</t>
  </si>
  <si>
    <t>烧酒;⻩酒;⽶酒;汽酒;威⼠忌;⽩酒;鸡尾酒;酒精饮料（啤酒除外）;葡萄酒;果酒</t>
  </si>
  <si>
    <t>品清花</t>
  </si>
  <si>
    <t>李永汉</t>
  </si>
  <si>
    <t>鸡尾酒;开胃酒;葡萄酒;清酒（⽇本⽶酒）;烈酒;果酒（含酒精）;威⼠忌;酒精饮料（啤酒除外）;⽩酒;⻩酒</t>
  </si>
  <si>
    <t>星渠雅宴</t>
  </si>
  <si>
    <t>烈酒（饮料）;起泡红葡萄酒;蒸馏⽶酒（泡盛酒）;含酒精的⽓泡⽔;清酒（⽇本⽶酒）;烧酒（烈酒）;⻩酒;⽩酒;果酒（含酒精）;⽶酒</t>
  </si>
  <si>
    <t>酒玖山水盟</t>
  </si>
  <si>
    <t>李全</t>
  </si>
  <si>
    <t>开胃酒;烧酒;由⾕物蒸馏的⽩酒;⽶酒;葡萄酒;⽩⼲酒（中国⽩酒）;果酒（含酒精）;⾷⽤酒精;⻩酒;⽩酒</t>
  </si>
  <si>
    <t>匠烧庐</t>
  </si>
  <si>
    <t>汪嵩云</t>
  </si>
  <si>
    <t>烧酒;果酒（含酒精）;⽶酒;威⼠忌;葡萄酒;酒精饮料（啤酒除外）;蒸馏饮料;⽩酒;鸡尾酒;烈酒（饮料）</t>
  </si>
  <si>
    <t>城主沛韵</t>
  </si>
  <si>
    <t>逯君</t>
  </si>
  <si>
    <t>葡萄酒;酒精饮料原汁;清酒（⽇本⽶酒）;鸡尾酒;烈酒（饮料）;⽶酒;⽩酒;威⼠忌;伏特加酒;酒精饮料（啤酒除外）</t>
  </si>
  <si>
    <t>广宴友</t>
  </si>
  <si>
    <t>游小强</t>
  </si>
  <si>
    <t>⽶酒;烈酒;酒精饮料（啤酒除外）;汽酒;果酒（含酒精）;蒸馏饮料;⽩酒;威⼠忌;葡萄酒;清酒（⽇本⽶酒）</t>
  </si>
  <si>
    <t>潮七巷</t>
  </si>
  <si>
    <t>蔡琼波</t>
  </si>
  <si>
    <t>鸡尾酒;威⼠忌;⾼粱酒;果酒（含酒精）;⽩兰地;⽶酒;⻩酒;⾷⽤酒精;⽩酒;葡萄酒</t>
  </si>
  <si>
    <t>怒江昂可达生物科技开发有限公司</t>
  </si>
  <si>
    <t>酒精饮料（啤酒除外）;⽶酒;葡萄酒;鸡尾酒;⽩酒;苹果酒;含⽔果酒精饮料;蜂蜜酒;果酒（含酒精）;苦荞酒</t>
  </si>
  <si>
    <t>玉道鸿运</t>
  </si>
  <si>
    <t>宿迁市云盛昌酒业有限公司</t>
  </si>
  <si>
    <t>⻩酒;⽼酒（中国蒸馏烈酒）;⾕物制蒸馏酒精饮料;⽶酒;清酒;⽩酒;汽酒;⽩⼲酒（中国⽩酒）;由⾕物蒸馏的⽩酒;烧酒</t>
  </si>
  <si>
    <t>玺馨</t>
  </si>
  <si>
    <t>果酒（含酒精）;蒸煮提取物（利⼝酒和烈酒）;⽩酒;鸡尾酒;葡萄酒;烈酒（饮料）;威⼠忌;清酒（⽇本⽶酒）;⽶酒;酒精饮料（啤酒除外）</t>
  </si>
  <si>
    <t>DELOFIL</t>
  </si>
  <si>
    <t>含⽔果酒精饮料;⽩酒;⻩酒;葡萄酒;甜酒;梅酒;果酒（含酒精）;⽶酒;蜂蜜酒;除啤酒外的酒精饮料</t>
  </si>
  <si>
    <t>贵州普得宜酒业有限公司</t>
  </si>
  <si>
    <t>⽩酒;⾼粱酒;鸡尾酒;⽩⼲酒（中国⽩酒）;⽼酒（中国蒸馏烈酒）;烈酒（饮料）;⻩酒;烧酒（烈酒）;葡萄酒;果酒</t>
  </si>
  <si>
    <t>卫莹</t>
  </si>
  <si>
    <t>卫莹秦皇岛贸易有限公司</t>
  </si>
  <si>
    <t>烈酒（饮料）;含⽔果酒精饮料;葡萄酒;果酒（含酒精）;⻩酒;鸡尾酒;⽶酒;烧酒;⽩酒;清酒（⽇本⽶酒）</t>
  </si>
  <si>
    <t>晚悟</t>
  </si>
  <si>
    <t>彭诗学</t>
  </si>
  <si>
    <t>鸡尾酒;威⼠忌;⽶酒;⽩酒;烈酒（饮料）;蒸馏饮料;葡萄酒;⽩兰地;⾷⽤酒精;果酒（含酒精）</t>
  </si>
  <si>
    <t>玩竹</t>
  </si>
  <si>
    <t>杭州亼竺文化有限公司</t>
  </si>
  <si>
    <t>苦味酒;茴芹酒（利⼝酒）;果酒（含酒精）;蒸馏饮料;⻩酒;开胃酒;鸡尾酒;薄荷酒;亚⼒酒;⽶酒</t>
  </si>
  <si>
    <t>研庄</t>
  </si>
  <si>
    <t>林志伟</t>
  </si>
  <si>
    <t>葡萄酒;烈酒（饮料）;⽩兰地;果酒（含酒精）;⾷⽤酒精;威⼠忌;⽩酒;蒸馏饮料;⽶酒;鸡尾酒</t>
  </si>
  <si>
    <t>臻源宸</t>
  </si>
  <si>
    <t>广东源宸酒业有限公司</t>
  </si>
  <si>
    <t>⽩酒;酒精饮料（啤酒除外）;蒸馏饮料;烈酒（饮料）;⾕物制蒸馏酒精饮料;⾷⽤酒精;果酒（含酒精）;预先混合的酒精饮料（以啤酒为主的除外）;含⽔果酒精饮料;以葡萄酒为主的饮料</t>
  </si>
  <si>
    <t>磊和堂</t>
  </si>
  <si>
    <t>马龙</t>
  </si>
  <si>
    <t>⽩酒;利⼝酒;葡萄酒;果酒（含酒精）;⽼酒（中国蒸馏烈酒）;⻩酒;烧酒;⾷⽤酒精;烈酒（饮料）;蒸煮提取物（利⼝酒和烈酒）;酒精饮料（啤酒除外）;预先混合的酒精饮料（以啤酒为主的除外）;甜酒;⽶酒</t>
  </si>
  <si>
    <t>天青瓷</t>
  </si>
  <si>
    <t>山西青花国酒厂股份有限公司</t>
  </si>
  <si>
    <t>果酒（含酒精）;葡萄酒;蒸馏饮料;露酒;⽩酒;餐后酒（利⼝酒和烈酒）;苹果酒;烈酒（饮料）;⽶酒;⾕物制蒸馏酒精饮料</t>
  </si>
  <si>
    <t>丝湘宴</t>
  </si>
  <si>
    <t>长沙叶上雨露健康管理有限公司</t>
  </si>
  <si>
    <t>葡萄酒;烧酒;⽶酒;果酒（含酒精）;清酒（⽇本⽶酒）;蜂蜜酒;⽩兰地;鸡尾酒;烈酒（饮料）;⽩酒</t>
  </si>
  <si>
    <t>坤感</t>
  </si>
  <si>
    <t>威⼠忌;烈酒（饮料）;⾷⽤酒精;蒸馏饮料;⽶酒;⽩酒;果酒（含酒精）;鸡尾酒;葡萄酒;⽩兰地</t>
  </si>
  <si>
    <t>采列捷利酒庄</t>
  </si>
  <si>
    <t>⻩酒;酒精饮料（啤酒除外）;果酒（含酒精）;蒸煮提取物（利⼝酒和烈酒）;开胃酒;葡萄酒;⽩酒;⽶酒;⽩兰地;⾷⽤酒精</t>
  </si>
  <si>
    <t>古蜀淳风</t>
  </si>
  <si>
    <t>古蜀酿酒业（天津）有限公司</t>
  </si>
  <si>
    <t>⽩酒;由⾕物蒸馏的⽩酒;葡萄酒;⻩酒;烧酒（烈酒）;⽶酒;⾼粱酒;烈酒;果酒;薄荷酒</t>
  </si>
  <si>
    <t>肆洧喜</t>
  </si>
  <si>
    <t>餐后酒（利⼝酒和烈酒）;朗姆酒;⽩⼲酒（中国⽩酒）;以葡萄酒为主的饮料;⽇式甜⽶酒;⽩葡萄酒;草莓酒;果酒（含酒精）;清酒;⻩酒</t>
  </si>
  <si>
    <t>散花辉煌</t>
  </si>
  <si>
    <t>石狮美诗香乐服饰有限公司</t>
  </si>
  <si>
    <t>烈酒;⽩酒;威⼠忌;果酒;⽶酒;鸡尾酒;⽩兰地;⻩酒;葡萄酒;清酒</t>
  </si>
  <si>
    <t>朗芬莱</t>
  </si>
  <si>
    <t>北京优氧朗芬莱环保科技有限公司</t>
  </si>
  <si>
    <t>⻩酒;⽩酒;鸡尾酒;果酒（含酒精）;⽶酒;红葡萄酒;薄荷酒;甜酒;烈酒（饮料）;威⼠忌</t>
  </si>
  <si>
    <t>典灯书院</t>
  </si>
  <si>
    <t>湖北青出于蓝文化传播有限公司</t>
  </si>
  <si>
    <t>果酒;⾷⽤酒精;鸡尾酒;含⽔果酒精饮料;蜂蜜酒;烧酒;酒精饮料（啤酒除外）;⽶酒;⽩酒;蒸馏饮料</t>
  </si>
  <si>
    <t>植贵妃</t>
  </si>
  <si>
    <t>广州鸿森投资发展有限公司</t>
  </si>
  <si>
    <t>威⼠忌;⽶酒;⻩酒;葡萄酒;⾼粱酒;果酒;清酒;⽩酒;⽩兰地;烧酒</t>
  </si>
  <si>
    <t>戴二贵</t>
  </si>
  <si>
    <t>戴春月</t>
  </si>
  <si>
    <t>葡萄酒;⻘稞酒;⽩兰地;⻩酒;酒精饮料（啤酒除外）;果酒（含酒精）;⽩酒;威⼠忌;⾷⽤酒精;⽶酒</t>
  </si>
  <si>
    <t>春水明</t>
  </si>
  <si>
    <t>亳州市小黄城电子商务有限公司</t>
  </si>
  <si>
    <t>威⼠忌;⾕物制蒸馏酒精饮料;果酒（含酒精）;⻩酒;⽶酒;⽩兰地;⽩酒;鸡尾酒;葡萄酒;含⽔果酒精饮料</t>
  </si>
  <si>
    <t>翔春酒</t>
  </si>
  <si>
    <t>果酒（含酒精）;⽶酒;烧酒;⽼酒（中国蒸馏烈酒）;⽩酒;酒精饮料（啤酒除外）;清酒;苹果酒;⻩酒;苦味酒</t>
  </si>
  <si>
    <t>首雅</t>
  </si>
  <si>
    <t>烟台张孚酿酒有限公司</t>
  </si>
  <si>
    <t>葡萄酒;酒精饮料（啤酒除外）;果酒（含酒精）;甜酒;露酒;⽩兰地;威⼠忌;⽩酒;朗姆酒;伏特加酒</t>
  </si>
  <si>
    <t>帝鹏</t>
  </si>
  <si>
    <t>戴海明</t>
  </si>
  <si>
    <t>⾼粱酒;烧酒;⻘稞酒;葡萄酒;⻩酒;⽩酒;⽶酒</t>
  </si>
  <si>
    <t>晋憨憨</t>
  </si>
  <si>
    <t>张家口蒙晋餐饮服务有限公司</t>
  </si>
  <si>
    <t>红葡萄酒;以葡萄酒为主的饮料;含酒精的饮料（啤酒除外）;⻩酒;⽩⼲酒（中国⽩酒）;⽩酒;酒精饮料（啤酒除外）;⽩葡萄酒;果酒（含酒精）;含酒精⽔果饮料</t>
  </si>
  <si>
    <t>XIPU</t>
  </si>
  <si>
    <t>西交利物浦大学</t>
  </si>
  <si>
    <t>⽶酒;⽩酒;利⼝酒;葡萄酒;⾷⽤酒精;⻩酒;开胃酒;果酒（含酒精）;蜂蜜酒;烧酒</t>
  </si>
  <si>
    <t>染色星坤</t>
  </si>
  <si>
    <t>张力</t>
  </si>
  <si>
    <t>果酒（含酒精）;蒸馏饮料;酒精饮料（啤酒除外）;鸡尾酒;⽩兰地;开胃酒;⽩酒;⻩酒;威⼠忌;烈酒（饮料）</t>
  </si>
  <si>
    <t>果酒（含酒精）;餐后酒（利⼝酒和烈酒）;以葡萄酒为主的饮料;⽩⼲酒（中国⽩酒）;清酒;朗姆酒;⻩酒;⽩葡萄酒;草莓酒;⽇式甜⽶酒</t>
  </si>
  <si>
    <t>梦酒金钗</t>
  </si>
  <si>
    <t>宜宾华梦酒业有限公司</t>
  </si>
  <si>
    <t>葡萄酒;汽酒;⽩酒;酒精饮料（啤酒除外）;⻩酒;烧酒;⽶酒;果酒;烈酒;开胃酒</t>
  </si>
  <si>
    <t>清花匠心</t>
  </si>
  <si>
    <t>梁国庆</t>
  </si>
  <si>
    <t>清酒;烈酒;烧酒;⽩酒;⽶酒;葡萄酒;除啤酒外的酒精饮料;⻩酒;果酒;鸡尾酒</t>
  </si>
  <si>
    <t>灿禾甄选</t>
  </si>
  <si>
    <t>南昌灿禾文化传媒有限公司</t>
  </si>
  <si>
    <t>威⼠忌;烧酒;葡萄酒;⽩兰地;露酒;烈酒（饮料）;⽶酒;鸡尾酒;⻩酒;⽩酒</t>
  </si>
  <si>
    <t>五甲泉</t>
  </si>
  <si>
    <t>印江自治县会师泉酒业有限公司</t>
  </si>
  <si>
    <t>⽩⼲酒（中国⽩酒）;鸡尾酒;葡萄酒;⽩酒;烧酒;⽼酒（中国蒸馏烈酒）;苦荞酒;⾼粱酒;果酒（含酒精）;⽶酒</t>
  </si>
  <si>
    <t>诸怀君</t>
  </si>
  <si>
    <t>四川诸怀君文化旅游发展有限公司</t>
  </si>
  <si>
    <t>⽶酒;⽩酒;蜂蜜酒;葡萄酒;甜酒;烧酒;开胃酒;鸡尾酒;⽼酒（中国蒸馏烈酒）;果酒</t>
  </si>
  <si>
    <t>宗烈</t>
  </si>
  <si>
    <t>酒精饮料（啤酒除外）;威⼠忌;鸡尾酒;⽶酒;烧酒;烈酒（饮料）;⽩兰地;葡萄酒;⽩酒;果酒（含酒精）</t>
  </si>
  <si>
    <t>亦财</t>
  </si>
  <si>
    <t>上海美天教育科技有限公司</t>
  </si>
  <si>
    <t>果酒;烧酒（烈酒）;甜果酒;⽶酒;葡萄酒;含⽔果酒精饮料;威⼠忌;清酒（⽇本⽶酒）;⽇本梅⼦酒;⽩酒</t>
  </si>
  <si>
    <t>蓝风雀</t>
  </si>
  <si>
    <t>唐明宽</t>
  </si>
  <si>
    <t>蒸馏饮料;利⼝酒;烧酒;果酒;⽶酒;⻩酒;⽩酒;葡萄酒;酒精饮料（啤酒除外）;⻘稞酒</t>
  </si>
  <si>
    <t>佬名乡</t>
  </si>
  <si>
    <t>贵州省仁怀市父传子酒业有限公司</t>
  </si>
  <si>
    <t>⽩酒;清酒（⽇本⽶酒）;烈酒（饮料）;⽶酒;葡萄酒;鸡尾酒;烧酒;⻩酒;果酒（含酒精）;酒精饮料（啤酒除外）</t>
  </si>
  <si>
    <t>湘约星城</t>
  </si>
  <si>
    <t>长沙湘耀企培教育咨询有限公司</t>
  </si>
  <si>
    <t>开胃酒;苹果酒;烧酒;⽶酒;⻩酒;⽩酒;含酒精的饮料（啤酒除外）;葡萄酒;利⼝酒;果酒（含酒精）</t>
  </si>
  <si>
    <t>皈乡窖</t>
  </si>
  <si>
    <t>酒精饮料（啤酒除外）;葡萄酒;果酒（含酒精）;⽩兰地;烈酒（饮料）;威⼠忌;鸡尾酒;烧酒;⽶酒;⽩酒</t>
  </si>
  <si>
    <t>悟宝</t>
  </si>
  <si>
    <t>酒精饮料（啤酒除外）;清酒;⻩酒;蒸煮提取物（利⼝酒和烈酒）;葡萄酒;烧酒（烈酒）;果酒（含酒精）;⽩酒;威⼠忌;鸡尾酒</t>
  </si>
  <si>
    <t>衡昌如意</t>
  </si>
  <si>
    <t>⾼粱酒;⻘稞酒;由⾕物蒸馏的⽩酒;烧酒;开胃酒;⻩酒;⽩酒;蒸煮提取物（利⼝酒和烈酒）;五加⽪酒（中国混合烈酒）;⽩⼲酒（中国⽩酒）</t>
  </si>
  <si>
    <t>品爵</t>
  </si>
  <si>
    <t>⽩酒;⾼粱酒;葡萄酒;⽶酒;⻘稞酒;⻩酒;烧酒</t>
  </si>
  <si>
    <t>简撰</t>
  </si>
  <si>
    <t>贵州省仁怀市酿庄酒业有限公司</t>
  </si>
  <si>
    <t>⽩酒;⽩⼲酒（中国⽩酒）;由⾕物蒸馏的⽩酒;⻩酒;⽶酒;⾷⽤酒精;烧酒（烈酒）;⾼粱酒;⽼酒（中国蒸馏烈酒）;烈酒</t>
  </si>
  <si>
    <t>阿藤花</t>
  </si>
  <si>
    <t>李锋</t>
  </si>
  <si>
    <t>鸡尾酒;露酒;葡萄酒;酒精饮料（啤酒除外）;汽酒;果酒;甜酒;⽶酒;⽩酒;⻩酒</t>
  </si>
  <si>
    <t>泸仕赋</t>
  </si>
  <si>
    <t>⽶酒;鸡尾酒;烧酒;⻩酒;威⼠忌;烈酒（饮料）;葡萄酒;果酒（含酒精）;酒精饮料（啤酒除外）;⽩酒</t>
  </si>
  <si>
    <t>珞之梦</t>
  </si>
  <si>
    <t>⽶酒;烧酒;⽩酒;利⼝酒;鸡尾酒;⻘稞酒;果酒;烈酒;⾷⽤酒精;葡萄酒</t>
  </si>
  <si>
    <t>尊宴香</t>
  </si>
  <si>
    <t>泰兴市醉香酒坊</t>
  </si>
  <si>
    <t>果酒;开胃酒;蒸馏饮料;樱桃酒;薄荷酒;⽩酒;苦味酒;蜂蜜酒;梨酒;烧酒</t>
  </si>
  <si>
    <t>汉风亚龙</t>
  </si>
  <si>
    <t>贵州将相思酒业有限责任公司</t>
  </si>
  <si>
    <t>⾕物制蒸馏酒精饮料;苹果酒;烈酒（饮料）;餐后酒（利⼝酒和烈酒）;蒸馏饮料;葡萄酒;⽶酒;露酒;⽩酒;果酒（含酒精）</t>
  </si>
  <si>
    <t>熙正隆</t>
  </si>
  <si>
    <t>蒸馏饮料;鸡尾酒;果酒（含酒精）;葡萄酒;威⼠忌;⽩兰地;⽶酒;⾷⽤酒精;⽩酒;烈酒（饮料）</t>
  </si>
  <si>
    <t>来东气紫</t>
  </si>
  <si>
    <t>烟台张裕葡萄酿酒股份有限公司</t>
  </si>
  <si>
    <t>餐后酒（利⼝酒和烈酒）;含⽔果酒精饮料;汽酒;果酒（含酒精）;⽩酒;葡萄酒;⽩兰地;开胃酒;酒精饮料（啤酒除外）;威⼠忌</t>
  </si>
  <si>
    <t>散花皇后</t>
  </si>
  <si>
    <t>⽶酒;清酒;鸡尾酒;⽩兰地;葡萄酒;果酒;⽩酒;烈酒;⻩酒;威⼠忌</t>
  </si>
  <si>
    <t>百福至</t>
  </si>
  <si>
    <t>⽩酒;⽶酒;葡萄酒;果酒（含酒精）;含⽔果酒精饮料;烈酒（饮料）;⻩酒;酒精饮料（啤酒除外）;蜂蜜酒;烧酒</t>
  </si>
  <si>
    <t>首之然</t>
  </si>
  <si>
    <t>贵州首之然农业发展有限公司</t>
  </si>
  <si>
    <t>葡萄酒;⽶酒;蜂蜜酒;清酒（⽇本⽶酒）;⽩酒;果酒（含酒精）;烈酒（饮料）;梨酒;烧酒;⻩酒</t>
  </si>
  <si>
    <t>子在</t>
  </si>
  <si>
    <t>四川德宜供应链管理咨询有限公司</t>
  </si>
  <si>
    <t>果酒（含酒精）;烈酒（饮料）;酒精饮料（啤酒除外）;葡萄酒;⽩酒;清酒（⽇本⽶酒）;⽶酒;伏特加酒;含⽔果酒精饮料;⻘稞酒</t>
  </si>
  <si>
    <t>宫窑清瓷</t>
  </si>
  <si>
    <t>山西杏花杏汾国酒股份有限公司</t>
  </si>
  <si>
    <t>葡萄酒;⽩兰地;烧酒;果酒（含酒精）;⽩酒;鸡尾酒;朗姆酒;伏特加酒;⻩酒;威⼠忌</t>
  </si>
  <si>
    <t>德行诗钰</t>
  </si>
  <si>
    <t>⽩酒;果酒（含酒精）;烈酒（饮料）;清酒（⽇本⽶酒）;烧酒;甜酒;葡萄酒;⽶酒;⻩酒;酒精饮料（啤酒除外）</t>
  </si>
  <si>
    <t>泥舒吉己达  96168</t>
  </si>
  <si>
    <t>余菊芬</t>
  </si>
  <si>
    <t>果酒（含酒精）;⽩酒;⾼粱酒;蒸馏饮料;开胃酒;烧酒;果酒;⽩⼲酒（中国⽩酒）;⾷⽤酒精;⽶酒</t>
  </si>
  <si>
    <t>九毽天涯</t>
  </si>
  <si>
    <t>沈阳市中兴红高梁酒业有限公司</t>
  </si>
  <si>
    <t>⻩酒;酒精饮料（啤酒除外）;汽酒;果酒（含酒精）;烧酒;鸡尾酒;葡萄酒;烈酒（饮料）;⽩酒;⽶酒</t>
  </si>
  <si>
    <t>帅农日记</t>
  </si>
  <si>
    <t>广西自贸区经方健康管理有限公司</t>
  </si>
  <si>
    <t>果酒（含酒精）;葡萄酒;清酒;⻩酒;⽩酒;含⽔果酒精饮料;⽔果汽酒;⽶酒;酒精饮料（啤酒除外）;预调甜酒</t>
  </si>
  <si>
    <t>侗誉液</t>
  </si>
  <si>
    <t>广西纳宇泉农林牧渔技术推广服务有限公司</t>
  </si>
  <si>
    <t>⽩酒;葡萄酒;酒精饮料（啤酒除外）;甜酒;烧酒;果酒;⻩酒;⽶酒;⽼酒（中国蒸馏烈酒）;⾼粱酒</t>
  </si>
  <si>
    <t>纯萨</t>
  </si>
  <si>
    <t>无锡纯萨食品有限公司</t>
  </si>
  <si>
    <t>烧酒;葡萄酒;果酒（含酒精）;烈酒（饮料）;酒精饮料（啤酒除外）;⽩酒;⻩酒;⽶酒;鸡尾酒;清酒（⽇本⽶酒）</t>
  </si>
  <si>
    <t>蜂小妍</t>
  </si>
  <si>
    <t>北京中农蜂研科技有限公司</t>
  </si>
  <si>
    <t>以葡萄酒为主的饮料;⽩酒;葡萄酒;酒精饮料（啤酒除外）;含酒精⽔果饮料;含酒精的饮料（啤酒除外）;蜂蜜酒;含酒精的⽓泡⽔;含酒精的充⽓饮料（啤酒除外）;除啤酒外的酒精饮料</t>
  </si>
  <si>
    <t>永津</t>
  </si>
  <si>
    <t>果酒（含酒精）;⽼酒（中国蒸馏烈酒）;含⽔果酒精饮料;以葡萄酒为主的饮料;⻩酒;由⾕物蒸馏的⽩酒;⾼粱酒;烧酒;蒸馏饮料;⽩酒</t>
  </si>
  <si>
    <t>果优泉</t>
  </si>
  <si>
    <t>昆山果优泉贸易有限公司</t>
  </si>
  <si>
    <t>樱桃酒;梨酒;⽶酒;烧酒;⽩酒;⽩兰地;⻩酒;开胃酒;鸡尾酒;葡萄酒</t>
  </si>
  <si>
    <t>德施普</t>
  </si>
  <si>
    <t>酒精饮料（啤酒除外）;清酒（⽇本⽶酒）;蒸煮提取物（利⼝酒和烈酒）;果酒（含酒精）;鸡尾酒;⽶酒;葡萄酒;威⼠忌;⽩酒;烈酒（饮料）</t>
  </si>
  <si>
    <t>缤纷曦园</t>
  </si>
  <si>
    <t>昭富实业股份有限公司</t>
  </si>
  <si>
    <t>果酒（含酒精）;酒精饮料（啤酒除外）;蒸馏饮料;清酒（⽇本⽶酒）;⻩酒;含⽔果酒精饮料;⽶酒;烧酒;苹果酒;汽酒</t>
  </si>
  <si>
    <t>XJTLU</t>
  </si>
  <si>
    <t>苦味酒;杜松⼦酒;威⼠忌;开胃酒;⽶酒;烧酒;薄荷酒;葡萄酒;⽩兰地;苹果酒</t>
  </si>
  <si>
    <t>落瀑</t>
  </si>
  <si>
    <t>⽩酒;清酒（⽇本⽶酒）;鸡尾酒;开胃酒;威⼠忌;酒精饮料（啤酒除外）;葡萄酒;⻩酒;果酒（含酒精）;烈酒</t>
  </si>
  <si>
    <t>核生命</t>
  </si>
  <si>
    <t>莆田市华运农业有限公司</t>
  </si>
  <si>
    <t>酒精饮料（啤酒除外）;⻩酒;⻘稞酒;⽶酒;含⽔果酒精饮料;果酒（含酒精）;开胃酒;⽩酒;露酒;葡萄酒</t>
  </si>
  <si>
    <t>链小贰</t>
  </si>
  <si>
    <t>贵州匠禧酒业有限公司</t>
  </si>
  <si>
    <t>含酒精的鸡尾酒混合饮品;含酒精的充⽓饮料（啤酒除外）;杨梅酒;葡萄酒;果酒;⽩酒;梅酒;⽼酒（中国蒸馏烈酒）;⽩⼲酒（中国⽩酒）;蒸馏⽶酒（泡盛酒）</t>
  </si>
  <si>
    <t>XIPOOL</t>
  </si>
  <si>
    <t>烧酒;⽶酒;果酒（含酒精）;⽩酒;⾷⽤酒精;⻩酒;开胃酒;蜂蜜酒;葡萄酒;利⼝酒</t>
  </si>
  <si>
    <t>强湃</t>
  </si>
  <si>
    <t>成碧涛</t>
  </si>
  <si>
    <t>⽩兰地;酒精饮料（啤酒除外）;⻩酒;蒸煮提取物（利⼝酒和烈酒）;⽩酒;果酒（含酒精）;鸡尾酒;威⼠忌;酒精饮料原汁;葡萄酒</t>
  </si>
  <si>
    <t>参多商</t>
  </si>
  <si>
    <t>昆明经济参多商科技有限公司</t>
  </si>
  <si>
    <t>杜松⼦酒;⽩兰地;⾷⽤酒精;⾼粱酒;以葡萄酒为主的饮料;蒸馏饮料;威⼠忌;蜂蜜酒;含⽔果酒精饮料;梅酒</t>
  </si>
  <si>
    <t>欣陇肴</t>
  </si>
  <si>
    <t>江西凯丽种植有限公司</t>
  </si>
  <si>
    <t>葡萄酒;以葡萄酒为主的饮料;由⾕物蒸馏的⽩酒;⽶酒;⽩酒;⾕物制蒸馏酒精饮料;烧酒（烈酒）;酒精饮料（啤酒除外）;⾷⽤酒精;⻩酒</t>
  </si>
  <si>
    <t>清花巧匠</t>
  </si>
  <si>
    <t>莫灵敏</t>
  </si>
  <si>
    <t>葡萄酒;⻩酒;⽩酒;除啤酒外的酒精饮料;烈酒;清酒;烧酒;⽶酒;果酒;鸡尾酒</t>
  </si>
  <si>
    <t>皇雍</t>
  </si>
  <si>
    <t>匡泽刚</t>
  </si>
  <si>
    <t>葡萄酒;果酒（含酒精）;酒精饮料（啤酒除外）;⻩酒;威⼠忌;鸡尾酒;⽩酒;烈酒;清酒（⽇本⽶酒）;开胃酒</t>
  </si>
  <si>
    <t>KAKUNKO</t>
  </si>
  <si>
    <t>广东省合生融创实业股份有限公司</t>
  </si>
  <si>
    <t>鸡尾酒;⽶酒;预先混合的酒精饮料（以啤酒为主的除外）;酒精饮料（啤酒除外）;⽩酒;⾕物制蒸馏酒精饮料;烈酒（饮料）;烧酒;⻩酒;葡萄酒</t>
  </si>
  <si>
    <t>川烤</t>
  </si>
  <si>
    <t>李培通</t>
  </si>
  <si>
    <t>烈酒（饮料）;葡萄酒;酒精饮料（啤酒除外）;⽩兰地;含⽔果酒精饮料;果酒（含酒精）;开胃酒;鸡尾酒;⽩酒;⽶酒</t>
  </si>
  <si>
    <t>紫益</t>
  </si>
  <si>
    <t>山东醉无坊酒业有限公司</t>
  </si>
  <si>
    <t>⽩酒;⽶酒;甜酒;威⼠忌;果酒;⻩酒;鸡尾酒;烧酒;清酒;草莓酒</t>
  </si>
  <si>
    <t>茴瑰</t>
  </si>
  <si>
    <t>英才添翼教育科技（西安）有限公司</t>
  </si>
  <si>
    <t>酒精饮料浓缩汁;果酒（含酒精）;以葡萄酒为主的饮料;酒精饮料（啤酒除外）;开胃酒;酒精饮料原汁;樱桃酒;葡萄酒;苹果酒;⽩酒</t>
  </si>
  <si>
    <t>名藏醉翁</t>
  </si>
  <si>
    <t>李加锐</t>
  </si>
  <si>
    <t>清酒（⽇本⽶酒）;⽩酒;烈酒;鸡尾酒;开胃酒;威⼠忌;酒精饮料（啤酒除外）;⻩酒;果酒（含酒精）;葡萄酒</t>
  </si>
  <si>
    <t>2024/05/29</t>
  </si>
  <si>
    <t>恒英</t>
  </si>
  <si>
    <t>刘云山</t>
  </si>
  <si>
    <t>⻩酒;果酒（含酒精）;清酒（⽇本⽶酒）;⽩酒;酒精饮料（啤酒除外）;烈酒;开胃酒;鸡尾酒;威⼠忌;葡萄酒</t>
  </si>
  <si>
    <t>巷百福</t>
  </si>
  <si>
    <t>闫文静</t>
  </si>
  <si>
    <t>果酒（含酒精）;开胃酒;⽩酒;酒精饮料（啤酒除外）;鸡尾酒;葡萄酒;烈酒;⻩酒;清酒（⽇本⽶酒）;威⼠忌</t>
  </si>
  <si>
    <t>奔福名</t>
  </si>
  <si>
    <t>贵州奔福酒业集团有限公司</t>
  </si>
  <si>
    <t>伏特加酒;⻩酒;果酒（含酒精）;开胃酒;⽩酒;烈酒（饮料）;⽶酒;烧酒;酒精饮料（啤酒除外）;葡萄酒</t>
  </si>
  <si>
    <t>米九言</t>
  </si>
  <si>
    <t>美味希奇食品贸易有限公司</t>
  </si>
  <si>
    <t>果酒（含酒精）;葡萄酒;含⽔果酒精饮料;⻩酒;⽶酒;⽩兰地;酒精饮料（啤酒除外）;⾷⽤酒精;⽩酒;鸡尾酒</t>
  </si>
  <si>
    <t>壮山歌 桂阿妹</t>
  </si>
  <si>
    <t>广西家家呗侬土特产有限公司</t>
  </si>
  <si>
    <t>葡萄酒;蜂蜜酒;鸡尾酒;含⽔果酒精饮料;烧酒;酒精饮料（啤酒除外）;⽶酒;⻘稞酒;⽩酒;果酒（含酒精）</t>
  </si>
  <si>
    <t>哈思山</t>
  </si>
  <si>
    <t>津茂（北京）企业管理有限公司</t>
  </si>
  <si>
    <t>酒精饮料（啤酒除外）;梨酒;葡萄酒;樱桃酒;⽩兰地;苹果酒;果酒（含酒精）;威⼠忌;蒸馏饮料</t>
  </si>
  <si>
    <t>四川美拓信息科技有限公司</t>
  </si>
  <si>
    <t>⽩兰地;汽酒;果酒（含酒精）;朗姆酒;果酒;葡萄酒;威⼠忌;⽶酒;鸡尾酒;⽩酒</t>
  </si>
  <si>
    <t>海那边</t>
  </si>
  <si>
    <t>厦门红砖厝商贸有限公司</t>
  </si>
  <si>
    <t>葡萄酒;⽩兰地;烧酒;⽩酒;鸡尾酒;杜松⼦酒;⽶酒;烈酒（饮料）;⻩酒;⾼粱酒</t>
  </si>
  <si>
    <t>九寸火</t>
  </si>
  <si>
    <t>上海圣罗澜餐饮有限公司</t>
  </si>
  <si>
    <t>鸡尾酒;酒精饮料（啤酒除外）;果酒（含酒精）;葡萄酒;清酒（⽇本⽶酒）;⻩酒;⽩酒;⽶酒;⻘稞酒;威⼠忌</t>
  </si>
  <si>
    <t>忆董</t>
  </si>
  <si>
    <t>贵州董酒股份有限公司</t>
  </si>
  <si>
    <t>开胃酒;⽶酒;梨酒;清酒（⽇本⽶酒）;烧酒;⽩酒;餐后酒（利⼝酒和烈酒）;葡萄酒;酒精饮料（啤酒除外）;果酒（含酒精）</t>
  </si>
  <si>
    <t>馥红颜</t>
  </si>
  <si>
    <t>鸡尾酒;果酒（含酒精）;威⼠忌;⽩酒;伏特加酒;⽩兰地;⽶酒;⻩酒;葡萄酒;烧酒</t>
  </si>
  <si>
    <t>撷翠</t>
  </si>
  <si>
    <t>北京品酒汇贸易有限公司</t>
  </si>
  <si>
    <t>含酒精的饮料（啤酒除外）;⽩兰地;薄荷酒;汽酒;蒸馏饮料;鸡尾酒;葡萄酒;起泡⽩葡萄酒;⽔果汽酒;含酒精⽔果饮料;威⼠忌;甜果酒;含⽔果酒精饮料;果酒（含酒精）;开胃酒;梅酒;果酒;利⼝酒</t>
  </si>
  <si>
    <t>楚中情</t>
  </si>
  <si>
    <t>张丽云</t>
  </si>
  <si>
    <t>鸡尾酒;清酒（⽇本⽶酒）;酒精饮料（啤酒除外）;⽩酒;葡萄酒;果酒（含酒精）;开胃酒;威⼠忌;烈酒;⻩酒</t>
  </si>
  <si>
    <t>陕西华鹊堂数字科技有限公司</t>
  </si>
  <si>
    <t>含⽔果酒精饮料;露酒;甜酒;汽酒;⽶酒;果酒;葡萄酒;⽩酒;酒精饮料原汁;开胃酒</t>
  </si>
  <si>
    <t>贵州南兴酒业（集团）有限公司</t>
  </si>
  <si>
    <t>果酒（含酒精）;烈酒（饮料）;烧酒;酒精饮料（啤酒除外）;⽶酒;含⽔果酒精饮料;⽩酒;蒸馏饮料;酒精饮料浓缩汁;葡萄酒</t>
  </si>
  <si>
    <t>塞优特</t>
  </si>
  <si>
    <t>内蒙古塞主粮燕麦食品科技有限公司</t>
  </si>
  <si>
    <t>⽶酒;酒精饮料（啤酒除外）;鸡尾酒;⻩酒;烧酒;⽩酒;开胃酒;葡萄酒;果酒;烈酒</t>
  </si>
  <si>
    <t>花凉亭</t>
  </si>
  <si>
    <t>程红霞</t>
  </si>
  <si>
    <t>⽶酒;葡萄酒;利⼝酒;烈酒（饮料）;威⼠忌;烧酒;⻩酒;鸡尾酒;含⽔果酒精饮料;⽩酒</t>
  </si>
  <si>
    <t>樽贵年</t>
  </si>
  <si>
    <t>吴士华</t>
  </si>
  <si>
    <t>清酒（⽇本⽶酒）;⽩酒;果酒（含酒精）;葡萄酒;⻩酒;烈酒（饮料）;⽶酒;烧酒;鸡尾酒;酒精饮料（啤酒除外）</t>
  </si>
  <si>
    <t>TEBANTI</t>
  </si>
  <si>
    <t>山东巴顿谷共享科技有限公司</t>
  </si>
  <si>
    <t>威⼠忌;烧酒;蒸馏饮料;烈酒（饮料）;清酒（⽇本⽶酒）;⽩兰地;⽶酒;葡萄酒;果酒（含酒精）;酒精饮料（啤酒除外）</t>
  </si>
  <si>
    <t>湖北咸宁向阳湖国家湿地公园管理处</t>
  </si>
  <si>
    <t>开胃酒;葡萄酒;利⼝酒;樱桃酒;蜂蜜酒;⽩酒;果酒（含酒精）;含⽔果酒精饮料;蒸馏饮料;⽶酒</t>
  </si>
  <si>
    <t>JIAYIJI</t>
  </si>
  <si>
    <t>张玉祥</t>
  </si>
  <si>
    <t>以葡萄酒为主的饮料;⽩酒;桃红葡萄酒;⽶酒;红葡萄酒;以葡萄酒为主的开胃酒;⽩⼲酒（中国⽩酒）;葡萄酒;果酒（含酒精）;酒精饮料（啤酒除外）</t>
  </si>
  <si>
    <t>尧添</t>
  </si>
  <si>
    <t>青海辉冠格信环保科技有限公司</t>
  </si>
  <si>
    <t>⾷⽤酒精;烈酒（饮料）;酒精饮料（啤酒除外）;预先混合的酒精饮料（以啤酒为主的除外）;⽩酒;葡萄酒;利⼝酒;⽶酒;⻩酒;鸡尾酒</t>
  </si>
  <si>
    <t>四川伊盛达商贸有限公司</t>
  </si>
  <si>
    <t>果酒（含酒精）;蒸馏饮料;葡萄酒;清酒（⽇本⽶酒）;含⽔果酒精饮料;汽酒;开胃酒;苹果酒;⽶酒;⽩酒</t>
  </si>
  <si>
    <t>中壶济康</t>
  </si>
  <si>
    <t>广东八六三健康管理有限公司</t>
  </si>
  <si>
    <t>果酒（含酒精）;⽶酒;蜂蜜酒;烧酒;甜酒;⾼粱酒;葡萄酒;果酒;⽩酒;⻩酒</t>
  </si>
  <si>
    <t>沧江霞客</t>
  </si>
  <si>
    <t>云南云视影视文化有限公司</t>
  </si>
  <si>
    <t>⽩酒;⽶酒;果酒;清酒;葡萄酒;苹果酒;⻘稞酒;甜酒;开胃酒;蜂蜜酒</t>
  </si>
  <si>
    <t>溪醇耘酿</t>
  </si>
  <si>
    <t>李菁</t>
  </si>
  <si>
    <t>⽩酒;⻘稞酒;⻩酒;开胃酒;酒精饮料（啤酒除外）;预先混合的酒精饮料（以啤酒为主的除外）;果酒（含酒精）;鸡尾酒;烈酒（饮料）;蜂蜜酒</t>
  </si>
  <si>
    <t>乔洛康</t>
  </si>
  <si>
    <t>周航</t>
  </si>
  <si>
    <t>果酒（含酒精）;清酒;⽩酒;烈酒（饮料）;酒精饮料原汁;鸡尾酒;含⽔果酒精饮料;烧酒;威⼠忌;蒸馏饮料</t>
  </si>
  <si>
    <t>江净</t>
  </si>
  <si>
    <t>利⼝酒;⽶酒;⻩酒;酒精饮料（啤酒除外）;烈酒（饮料）;⾷⽤酒精;鸡尾酒;⽩酒;葡萄酒;预先混合的酒精饮料（以啤酒为主的除外）</t>
  </si>
  <si>
    <t>唐仙翁</t>
  </si>
  <si>
    <t>广郑林</t>
  </si>
  <si>
    <t>⽩⼲酒（中国⽩酒）;⽶酒;⻘稞酒;朗姆酒（酒精饮料）;烧酒;⽼酒（中国蒸馏烈酒）;⻩酒;⽩酒;烈酒;甜酒</t>
  </si>
  <si>
    <t>忠胜泉</t>
  </si>
  <si>
    <t>刘忠文</t>
  </si>
  <si>
    <t>葡萄酒;烧酒;蒸馏饮料;酒精饮料（啤酒除外）;⾷⽤酒精;⽶酒;烈酒（饮料）;果酒（含酒精）;酒精饮料原汁;⽩酒</t>
  </si>
  <si>
    <t>刘忠成</t>
  </si>
  <si>
    <t>酒精饮料（啤酒除外）;酒精饮料原汁;果酒（含酒精）;葡萄酒;⾷⽤酒精;烈酒（饮料）;⽩酒;⽶酒;烧酒;蒸馏饮料</t>
  </si>
  <si>
    <t>圣安彤</t>
  </si>
  <si>
    <t>李凯丹</t>
  </si>
  <si>
    <t>烈酒;葡萄酒;⻩酒;清酒;果酒（含酒精）;⽶酒;甜酒;⽩酒;烧酒;含酒精的饮料（啤酒除外）</t>
  </si>
  <si>
    <t>坤迹</t>
  </si>
  <si>
    <t>陈劲珍</t>
  </si>
  <si>
    <t>果酒（含酒精）;葡萄酒;⽩酒;伏特加酒;⻩酒;烧酒;⾷⽤酒精;⽩兰地;⽶酒;⾕物制蒸馏酒精饮料</t>
  </si>
  <si>
    <t>梦湖山</t>
  </si>
  <si>
    <t>江西鸿灿贸易有限公司</t>
  </si>
  <si>
    <t>⾷⽤酒精;果酒（含酒精）;⽩兰地;蜂蜜酒;烈酒（饮料）;⻩酒;威⼠忌;⾼粱酒;⽩酒;⽶酒</t>
  </si>
  <si>
    <t>诺尔情</t>
  </si>
  <si>
    <t>兰佳琦</t>
  </si>
  <si>
    <t>⽩酒;烧酒;酒精饮料（啤酒除外）;⽶酒;含⽔果酒精饮料;果酒;⽼酒（中国蒸馏烈酒）;⻩酒;清酒;葡萄酒</t>
  </si>
  <si>
    <t>城楼下</t>
  </si>
  <si>
    <t>张忠盛</t>
  </si>
  <si>
    <t>清酒;⽩酒;葡萄酒;⻩酒;甜酒;⾷⽤酒精;开胃酒;果酒;汽酒;⽶酒</t>
  </si>
  <si>
    <t>乐魔咖</t>
  </si>
  <si>
    <t>张家宝</t>
  </si>
  <si>
    <t>清酒;蒸馏饮料;⽩酒;威⼠忌;含⽔果酒精饮料;烧酒;果酒（含酒精）;烈酒（饮料）;鸡尾酒;酒精饮料原汁</t>
  </si>
  <si>
    <t>向阳葵</t>
  </si>
  <si>
    <t>北京金色葵花国际科贸有限公司</t>
  </si>
  <si>
    <t>⽩酒;⽶酒;蜂蜜酒;尼⽡（以⽢蔗为主的酒精饮料）;樱桃酒;⻩酒;预先混合的酒精饮料（以啤酒为主的除外）;含⽔果酒精饮料;烧酒;⻘稞酒</t>
  </si>
  <si>
    <t>礼上人间</t>
  </si>
  <si>
    <t>王余明</t>
  </si>
  <si>
    <t>苦味酒;⽩兰地;含⽔果酒精饮料;⽩酒;⾷⽤酒精;已调味的⻨芽酿制的酒精饮料（啤酒除外）;含酒精的⽓泡⽔;以葡萄酒为主的饮料;⽢蔗制酒精饮料;薄荷酒</t>
  </si>
  <si>
    <t>掼最</t>
  </si>
  <si>
    <t>燕园科技产业（天津）集团有限公司</t>
  </si>
  <si>
    <t>⽶酒;烧酒;⾼粱酒;⽼酒（中国蒸馏烈酒）;⽩⼲酒（中国⽩酒）;红葡萄酒;⽩酒;⽩葡萄酒;⻩酒;由⾕物蒸馏的⽩酒</t>
  </si>
  <si>
    <t>汉渝烈</t>
  </si>
  <si>
    <t>张扬志</t>
  </si>
  <si>
    <t>酒精饮料（啤酒除外）;开胃酒;葡萄酒;威⼠忌;⽩酒;烈酒;果酒（含酒精）;鸡尾酒;清酒（⽇本⽶酒）;⻩酒</t>
  </si>
  <si>
    <t>怡涛田</t>
  </si>
  <si>
    <t>张旭东</t>
  </si>
  <si>
    <t>鸡尾酒;烧酒;威⼠忌;酒精饮料原汁;烈酒（饮料）;果酒（含酒精）;蒸馏饮料;含⽔果酒精饮料;⽩酒;清酒</t>
  </si>
  <si>
    <t>喃语</t>
  </si>
  <si>
    <t>孙晴</t>
  </si>
  <si>
    <t>⽩酒;烧酒;酒精饮料（啤酒除外）;⽶酒;⻩酒;果酒（含酒精）;含⽔果酒精饮料;烈酒（饮料）;葡萄酒;蒸馏饮料</t>
  </si>
  <si>
    <t>秘酝董</t>
  </si>
  <si>
    <t>葡萄酒;开胃酒;⽩酒;烧酒;酒精饮料（啤酒除外）;⽶酒;果酒（含酒精）;梨酒;清酒（⽇本⽶酒）;餐后酒（利⼝酒和烈酒）</t>
  </si>
  <si>
    <t>情无涯</t>
  </si>
  <si>
    <t>北京君旅商务顾问有限公司</t>
  </si>
  <si>
    <t>烧酒;果酒（含酒精）;葡萄酒;酒精饮料原汁;酒精饮料（啤酒除外）;含酒精的饮料（啤酒除外）;⻩酒;蜂蜜酒;⽩酒;果酒;⽶酒</t>
  </si>
  <si>
    <t>广州影子科技有限公司</t>
  </si>
  <si>
    <t>开胃酒;鸡尾酒;⽩酒;果酒;烧酒;葡萄酒;含⽔果酒精饮料;⽶酒;威⼠忌;⻩酒</t>
  </si>
  <si>
    <t>封养</t>
  </si>
  <si>
    <t>⾕物制蒸馏酒精饮料;⾼粱酒;果酒;⽼酒（中国蒸馏烈酒）;烧酒（烈酒）;甜酒;⽩酒;果酒（含酒精）;⽶酒;⽩⼲酒（中国⽩酒）</t>
  </si>
  <si>
    <t>斟弟</t>
  </si>
  <si>
    <t>尼利湖食品集团有限公司</t>
  </si>
  <si>
    <t>果酒（含酒精）;⽶酒;⾷⽤酒精;葡萄酒;⽩酒;鸡尾酒;酒精饮料（啤酒除外）;含⽔果酒精饮料;⻩酒;⽩兰地</t>
  </si>
  <si>
    <t>万厨娘</t>
  </si>
  <si>
    <t>合肥市榜十信息科技有限公司</t>
  </si>
  <si>
    <t>烈酒（饮料）;果酒（含酒精）;伏特加酒;酒精饮料（啤酒除外）;朗姆酒;⽩酒;葡萄酒;⽶酒;威⼠忌;鸡尾酒</t>
  </si>
  <si>
    <t>京娘子</t>
  </si>
  <si>
    <t>武红艳</t>
  </si>
  <si>
    <t>威⼠忌;蜂蜜酒;⽩酒;⻘稞酒;清酒（⽇本⽶酒）;烧酒;⻩酒;开胃酒;鸡尾酒;烈酒（饮料）</t>
  </si>
  <si>
    <t>金兰兴</t>
  </si>
  <si>
    <t>山西金兰兴酒业有限公司</t>
  </si>
  <si>
    <t>蒸煮提取物（利⼝酒和烈酒）;葡萄酒;鸡尾酒;⾷⽤酒精;含⽔果酒精饮料;⽶酒;蒸馏饮料;酒精饮料浓缩汁;果酒;⽩酒</t>
  </si>
  <si>
    <t>君亭霜寒</t>
  </si>
  <si>
    <t>成都君亭茶叶有限公司</t>
  </si>
  <si>
    <t>⾼粱酒;葡萄酒;⽩葡萄酒;桃红葡萄酒;⽩兰地;⽶酒;加烈葡萄酒;果酒（含酒精）;红葡萄酒;⽩酒</t>
  </si>
  <si>
    <t>李守艺</t>
  </si>
  <si>
    <t>李家500110********3623</t>
  </si>
  <si>
    <t>利⼝酒;⽶酒;果酒（含酒精）;⻩酒;烧酒;⾕物制蒸馏酒精饮料;鸡尾酒;⾷⽤酒精;酒精饮料原汁;⽩酒</t>
  </si>
  <si>
    <t>旺君福</t>
  </si>
  <si>
    <t>陕西叁星福商务有限公司</t>
  </si>
  <si>
    <t>果酒（含酒精）;果酒;烈酒（饮料）;开胃酒;⻩酒;露酒;含⽔果酒精饮料;⽩酒;⽶酒;烧酒</t>
  </si>
  <si>
    <t>裕九门</t>
  </si>
  <si>
    <t>李佳伟</t>
  </si>
  <si>
    <t>开胃酒;酒精饮料（啤酒除外）;果酒（含酒精）;威⼠忌;清酒（⽇本⽶酒）;⽩酒;烈酒;鸡尾酒;葡萄酒;⻩酒</t>
  </si>
  <si>
    <t>JENSTOR</t>
  </si>
  <si>
    <t>郑州鑫宇内装饰材料有限公司</t>
  </si>
  <si>
    <t>果酒（含酒精）;酒精饮料（啤酒除外）;⾷⽤酒精;含酒精的充⽓饮料（啤酒除外）;预先混合的酒精饮料（以啤酒为主的除外）;⽩酒;已调味的蒸馏酒;酒精饮料原汁;清酒;葡萄酒</t>
  </si>
  <si>
    <t>嵊酩</t>
  </si>
  <si>
    <t>绍兴晟酩酒业有限公司</t>
  </si>
  <si>
    <t>⻩酒;⽩酒;烈酒;蜂蜜酒;酒精饮料（啤酒除外）;果酒（含酒精）;开胃酒;酒精饮料原汁;甜果酒;酒精饮料浓缩汁</t>
  </si>
  <si>
    <t>磐福景</t>
  </si>
  <si>
    <t>贵州磐福食品有限公司</t>
  </si>
  <si>
    <t>葡萄酒;佐餐酒;果酒;餐后酒（利⼝酒和烈酒）;开胃酒;蒸馏饮料;鸡尾酒;⽩酒;含酒精的饮料（啤酒除外）;烈酒</t>
  </si>
  <si>
    <t>玖零云祥</t>
  </si>
  <si>
    <t>镇巴县玖零云祥商贸有限公司</t>
  </si>
  <si>
    <t>餐后酒（利⼝酒和烈酒）;⻩酒;⾕物制蒸馏酒精饮料;⽶酒;⽩酒;⾷⽤酒精;烧酒</t>
  </si>
  <si>
    <t>瑞洋门</t>
  </si>
  <si>
    <t>广州皓威营销策划咨询有限公司</t>
  </si>
  <si>
    <t>清酒;汽酒;伏特加酒;朗姆酒;⻩酒;⽩酒;⻘稞酒;⾷⽤酒精;⽶酒;酒精饮料（啤酒除外）</t>
  </si>
  <si>
    <t>笑回桐</t>
  </si>
  <si>
    <t>翟明榆</t>
  </si>
  <si>
    <t>清酒;⽩酒;果酒（含酒精）;威⼠忌;含⽔果酒精饮料;蒸馏饮料;鸡尾酒;烧酒;酒精饮料原汁;烈酒（饮料）</t>
  </si>
  <si>
    <t>佰草名垂</t>
  </si>
  <si>
    <t>餐后酒（利⼝酒和烈酒）;⽶酒;烧酒;果酒（含酒精）;梨酒;⽩酒;清酒（⽇本⽶酒）;酒精饮料（啤酒除外）;葡萄酒;开胃酒</t>
  </si>
  <si>
    <t>贵金宵</t>
  </si>
  <si>
    <t>葡萄酒;⽶酒;鸡尾酒;清酒（⽇本⽶酒）;烧酒;果酒（含酒精）;烈酒（饮料）;酒精饮料（啤酒除外）;⻩酒;⽩酒</t>
  </si>
  <si>
    <t>晟鹿泽</t>
  </si>
  <si>
    <t>国源药业（吉林）有限公司</t>
  </si>
  <si>
    <t>酒精饮料（啤酒除外）;⽩酒;⽼酒（中国蒸馏烈酒）;葡萄酒;露酒;预先混合的酒精饮料（以啤酒为主的除外）;烧酒;⾷⽤酒精;果酒;⽶酒</t>
  </si>
  <si>
    <t>禧印象</t>
  </si>
  <si>
    <t>张红光</t>
  </si>
  <si>
    <t>开胃酒;威⼠忌;⽩酒;⻩酒;烈酒;果酒（含酒精）;鸡尾酒;葡萄酒;酒精饮料（啤酒除外）;清酒（⽇本⽶酒）</t>
  </si>
  <si>
    <t>珍醉翁</t>
  </si>
  <si>
    <t>⽩酒;鸡尾酒;葡萄酒;开胃酒;果酒（含酒精）;⻩酒;烈酒;清酒（⽇本⽶酒）;酒精饮料（啤酒除外）;威⼠忌</t>
  </si>
  <si>
    <t>代毛露</t>
  </si>
  <si>
    <t>张代毛</t>
  </si>
  <si>
    <t>⽶酒;葡萄酒;⾷⽤酒精;烈酒（饮料）;果酒（含酒精）;酒精饮料原汁;烧酒;蒸馏饮料;酒精饮料（啤酒除外）;⽩酒</t>
  </si>
  <si>
    <t>穿岩四十</t>
  </si>
  <si>
    <t>耀莱两点时尚（北京）顾问有限公司</t>
  </si>
  <si>
    <t>利⼝酒;葡萄酒;鸡尾酒;酒精饮料（啤酒除外）;朗姆酒;果酒;威⼠忌;⽩酒;⽩兰地;伏特加酒</t>
  </si>
  <si>
    <t>穿乡醉</t>
  </si>
  <si>
    <t>北京七小福文化服务有限公司</t>
  </si>
  <si>
    <t>⽶酒;⽩酒;伏特加酒;⾼粱酒;⻩酒;烧酒;⽩兰地;威⼠忌;红葡萄酒;⽩葡萄酒</t>
  </si>
  <si>
    <t>桂江福</t>
  </si>
  <si>
    <t>黄含君</t>
  </si>
  <si>
    <t>红葡萄酒;⽶酒;甜酒;⽩酒;⻩酒;酒精饮料浓缩汁;含酒精的饮料（啤酒除外）;烧酒;含酒精的充⽓饮料（啤酒除外）;果酒</t>
  </si>
  <si>
    <t>星龙腾</t>
  </si>
  <si>
    <t>郭璇</t>
  </si>
  <si>
    <t>鸡尾酒;⻩酒;开胃酒;清酒（⽇本⽶酒）;葡萄酒;⽩酒;烈酒;威⼠忌;果酒（含酒精）;酒精饮料（啤酒除外）</t>
  </si>
  <si>
    <t>天地董</t>
  </si>
  <si>
    <t>⽩酒;烧酒;葡萄酒;梨酒;清酒（⽇本⽶酒）;果酒（含酒精）;开胃酒;餐后酒（利⼝酒和烈酒）;⽶酒;酒精饮料（啤酒除外）</t>
  </si>
  <si>
    <t>仁王龙</t>
  </si>
  <si>
    <t>⾕物制蒸馏酒精饮料;⻩酒;葡萄酒;⽩兰地;烧酒;⾷⽤酒精;⽩酒;伏特加酒;果酒（含酒精）;⽶酒</t>
  </si>
  <si>
    <t>HYPER PONGO</t>
  </si>
  <si>
    <t>江苏澎湃猩猩品牌管理有限公司</t>
  </si>
  <si>
    <t>⻩酒;威⼠忌;⽩兰地;伏特加酒;葡萄酒;⽶酒;⽩酒;朗姆酒;果酒（含酒精）;鸡尾酒</t>
  </si>
  <si>
    <t>土七婆</t>
  </si>
  <si>
    <t>河南鼎层装饰工程设计有限公司</t>
  </si>
  <si>
    <t>⽶酒;烧酒;威⼠忌;⻩酒;除啤酒外的酒精饮料;杨梅酒;以葡萄酒为主的开胃酒;⻘稞酒;⻘梅酒;苹果酒</t>
  </si>
  <si>
    <t>西浦</t>
  </si>
  <si>
    <t>威⼠忌;⻩酒;⾷⽤酒精;烧酒;薄荷酒;⽩兰地;⽶酒;果酒（含酒精）;葡萄酒;烈酒（饮料）</t>
  </si>
  <si>
    <t>志武天成</t>
  </si>
  <si>
    <t>甘肃战军建设工程有限公司</t>
  </si>
  <si>
    <t>果酒;⽶酒;⽩酒;⻩酒;⻘稞酒;⽢蔗制酒精饮料;⾕物制蒸馏酒精饮料;烈酒;烧酒;⾷⽤酒精</t>
  </si>
  <si>
    <t>鸿慧雅</t>
  </si>
  <si>
    <t>海南小蚁人农业科技有限公司</t>
  </si>
  <si>
    <t>果酒（含酒精）;酒精饮料（啤酒除外）;酒精饮料原汁;⽶酒;烧酒;葡萄酒;清酒（⽇本⽶酒）;⻩酒;⽩酒;含⽔果酒精饮料</t>
  </si>
  <si>
    <t>皇家陆易杜夫人 ROYAL  LADY  LUIDU</t>
  </si>
  <si>
    <t>杜成达</t>
  </si>
  <si>
    <t>含酒精的鸡尾酒混合饮品;威⼠忌;红葡萄酒;⻨芽威⼠忌;葡萄潘趣酒;⽩酒;⽩葡萄酒;⽩⼲酒（中国⽩酒）;调制好的葡萄酒鸡尾酒;葡萄酒</t>
  </si>
  <si>
    <t>马骏滩</t>
  </si>
  <si>
    <t>环县草裕塬种植农民专业合作社</t>
  </si>
  <si>
    <t>果酒（含酒精）;茴⾹酒（利⼝酒）;⾷⽤酒精;烈酒（饮料）;含⽔果酒精饮料;已调味的⻨芽酿制的酒精饮料（啤酒除外）;⻘稞酒;⽶酒;⻩酒;酒精饮料（啤酒除外）</t>
  </si>
  <si>
    <t>玓玺</t>
  </si>
  <si>
    <t>贵州玺酒酒业有限责任公司</t>
  </si>
  <si>
    <t>⽩酒;葡萄酒;清酒（⽇本⽶酒）;⽶酒;⻩酒;果酒（含酒精）;鸡尾酒;烈酒（饮料）;酒精饮料（啤酒除外）;果酒</t>
  </si>
  <si>
    <t>井赏</t>
  </si>
  <si>
    <t>李辉先</t>
  </si>
  <si>
    <t>葡萄酒;威⼠忌;烈酒;果酒（含酒精）;⽩酒;⻩酒;酒精饮料（啤酒除外）;开胃酒;鸡尾酒;清酒（⽇本⽶酒）</t>
  </si>
  <si>
    <t>富欢喜</t>
  </si>
  <si>
    <t>烈酒;清酒（⽇本⽶酒）;鸡尾酒;酒精饮料（啤酒除外）;威⼠忌;⻩酒;开胃酒;果酒（含酒精）;⽩酒;葡萄酒</t>
  </si>
  <si>
    <t>乾百福</t>
  </si>
  <si>
    <t>开胃酒;烈酒;⻩酒;葡萄酒;果酒（含酒精）;酒精饮料（啤酒除外）;威⼠忌;清酒（⽇本⽶酒）;⽩酒;鸡尾酒</t>
  </si>
  <si>
    <t>CHATEAU LAFONT</t>
  </si>
  <si>
    <t>广州涟漪餐饮有限公司</t>
  </si>
  <si>
    <t>烈酒（饮料）;酒精饮料（啤酒除外）;葡萄酒;蒸馏饮料;⽶酒;果酒（含酒精）;威⼠忌;⽩兰地;⽩酒;鸡尾酒</t>
  </si>
  <si>
    <t>佰草川</t>
  </si>
  <si>
    <t>果酒（含酒精）;⽩酒;酒精饮料（啤酒除外）;⽶酒;烧酒;餐后酒（利⼝酒和烈酒）;葡萄酒;梨酒;清酒（⽇本⽶酒）;开胃酒</t>
  </si>
  <si>
    <t>冠春秋</t>
  </si>
  <si>
    <t>果酒（含酒精）;烧酒;⽶酒;⻩酒;鸡尾酒;葡萄酒;清酒;⽩兰地;⽩酒;威⼠忌</t>
  </si>
  <si>
    <t>君亭羲和</t>
  </si>
  <si>
    <t>⽩葡萄酒;⽶酒;葡萄酒;红葡萄酒;⾼粱酒;⽩兰地;加烈葡萄酒;果酒（含酒精）;⽩酒;桃红葡萄酒</t>
  </si>
  <si>
    <t>太平康乾</t>
  </si>
  <si>
    <t>鸡尾酒;⽩兰地;果酒（含酒精）;葡萄酒;威⼠忌;蒸馏饮料;蜂蜜酒;⽶酒;⽩酒;含⽔果酒精饮料</t>
  </si>
  <si>
    <t>奔福基</t>
  </si>
  <si>
    <t>开胃酒;烈酒（饮料）;烧酒;⻩酒;⽩酒;葡萄酒;伏特加酒;酒精饮料（啤酒除外）;⽶酒;果酒（含酒精）</t>
  </si>
  <si>
    <t>圳朋友</t>
  </si>
  <si>
    <t>康吉尔科技（深圳）有限公司</t>
  </si>
  <si>
    <t>⻩酒;烧酒（烈酒）;红葡萄酒;⽩葡萄酒;⽩兰地;果酒（含酒精）;⽩酒;含酒精的⽓泡⽔;烈酒（饮料）;清酒</t>
  </si>
  <si>
    <t>汌河坊</t>
  </si>
  <si>
    <t>画霓裳</t>
  </si>
  <si>
    <t>糁婺（兰陵）酒业有限公司</t>
  </si>
  <si>
    <t>含酒精的⽓泡⽔;⽶酒;⻩酒;烈酒（饮料）;烧酒（烈酒）;果酒（含酒精）;⾕物制蒸馏酒精饮料;⽩酒;利⼝酒;酒精饮料（啤酒除外）</t>
  </si>
  <si>
    <t>东芳品至</t>
  </si>
  <si>
    <t>清酒;果酒;甜酒;⾷⽤酒精;⻩酒;开胃酒;汽酒;⽩酒;⽶酒;葡萄酒</t>
  </si>
  <si>
    <t>羊庄峪膳坊</t>
  </si>
  <si>
    <t>山西圪僚酒业有限公司</t>
  </si>
  <si>
    <t>利⼝酒;葡萄酒;⽶酒;⽩酒;蒸煮提取物（利⼝酒和烈酒）;烧酒;烧酒（烈酒）;果酒（含酒精）;烈酒（饮料）;⻩酒</t>
  </si>
  <si>
    <t>LOGIS DE LAFONT</t>
  </si>
  <si>
    <t>果酒（含酒精）;威⼠忌;⽶酒;鸡尾酒;烈酒（饮料）;⽩兰地;⽩酒;葡萄酒;蒸馏饮料;酒精饮料（啤酒除外）</t>
  </si>
  <si>
    <t>妙舒淇</t>
  </si>
  <si>
    <t>中科智健（南京）生物科技有限公司</t>
  </si>
  <si>
    <t>葡萄酒;⻩酒;烧酒;威⼠忌;⽶酒;甜酒;⽩酒;清酒;酒精饮料原汁;果酒（含酒精）</t>
  </si>
  <si>
    <t>焕彩运</t>
  </si>
  <si>
    <t>贵州有义方企业管理咨询有限公司</t>
  </si>
  <si>
    <t>蒸馏饮料;⽩酒;酒精饮料原汁;⽼酒（中国蒸馏烈酒）;葡萄酒;⾼粱酒;甜酒;果酒（含酒精）;⽢蔗制酒精饮料;由⾕物蒸馏的⽩酒</t>
  </si>
  <si>
    <t>糁婺</t>
  </si>
  <si>
    <t>利⼝酒;⾕物制蒸馏酒精饮料;含酒精的⽓泡⽔;果酒（含酒精）;⽩酒;酒精饮料（啤酒除外）;烧酒（烈酒）;⽶酒;⻩酒;烈酒（饮料）</t>
  </si>
  <si>
    <t>尧享味来</t>
  </si>
  <si>
    <t>金湖县百达商贸有限公司</t>
  </si>
  <si>
    <t>果酒（含酒精）;开胃酒;鸡尾酒;⽩酒;⽶酒;酒精饮料（啤酒除外）;预先混合的酒精饮料（以啤酒为主的除外）;烧酒;葡萄酒;利⼝酒</t>
  </si>
  <si>
    <t>红妮醉</t>
  </si>
  <si>
    <t>宋宏宇</t>
  </si>
  <si>
    <t>果酒（含酒精）;烧酒;⾷⽤酒精;苹果酒;甜酒;利⼝酒;蜂蜜酒;含⽔果酒精饮料;⽩酒;葡萄酒</t>
  </si>
  <si>
    <t>川福门</t>
  </si>
  <si>
    <t>鸡尾酒;葡萄酒;酒精饮料（啤酒除外）;清酒（⽇本⽶酒）;⻩酒;开胃酒;⽩酒;烈酒;果酒（含酒精）;威⼠忌</t>
  </si>
  <si>
    <t>合家红</t>
  </si>
  <si>
    <t>陈初光</t>
  </si>
  <si>
    <t>烈酒;果酒（含酒精）;开胃酒;葡萄酒;鸡尾酒;⽩酒;清酒（⽇本⽶酒）;威⼠忌;⻩酒;酒精饮料（啤酒除外）</t>
  </si>
  <si>
    <t>集江山</t>
  </si>
  <si>
    <t>李攀岩</t>
  </si>
  <si>
    <t>酒精饮料（啤酒除外）;⽩酒;葡萄酒;清酒（⽇本⽶酒）;鸡尾酒;开胃酒;威⼠忌;⻩酒;烈酒;果酒（含酒精）</t>
  </si>
  <si>
    <t>恒赏</t>
  </si>
  <si>
    <t>鸡尾酒;酒精饮料（啤酒除外）;清酒（⽇本⽶酒）;果酒（含酒精）;烈酒;葡萄酒;⽩酒;威⼠忌;⻩酒;开胃酒</t>
  </si>
  <si>
    <t>久沼</t>
  </si>
  <si>
    <t>邓吉珍</t>
  </si>
  <si>
    <t>⻩酒;酒精饮料（啤酒除外）;清酒（⽇本⽶酒）;烈酒;葡萄酒;鸡尾酒;果酒（含酒精）;⽩酒;威⼠忌;开胃酒</t>
  </si>
  <si>
    <t>严酒师</t>
  </si>
  <si>
    <t>贵州严师酒业有限公司</t>
  </si>
  <si>
    <t>甜酒;红葡萄酒;⽩酒;烈酒（饮料）;烈酒</t>
  </si>
  <si>
    <t>沉醺</t>
  </si>
  <si>
    <t>利⼝酒;烈酒（饮料）;⽩酒;酒精饮料（啤酒除外）;含酒精的⽓泡⽔;⻩酒;烧酒（烈酒）;果酒（含酒精）;⽶酒;⾕物制蒸馏酒精饮料</t>
  </si>
  <si>
    <t>葡萄酒;⽩酒;露酒;甜酒;含⽔果酒精饮料;酒精饮料原汁;开胃酒;⽶酒;汽酒;果酒</t>
  </si>
  <si>
    <t>昌掌柜</t>
  </si>
  <si>
    <t>王洪娜</t>
  </si>
  <si>
    <t>⽶酒;鸡尾酒;葡萄酒;利⼝酒;⽩酒;烈酒（饮料）;清酒（⽇本⽶酒）;⻘稞酒;⻩酒;果酒（含酒精）</t>
  </si>
  <si>
    <t>福抿</t>
  </si>
  <si>
    <t>福抿生态茶业（南京）有限公司</t>
  </si>
  <si>
    <t>甜酒;⻩酒;蒸馏⽶酒（泡盛酒）;⽶酒;含酒精的饮料（啤酒除外）;红葡萄酒;⽼酒（中国蒸馏烈酒）</t>
  </si>
  <si>
    <t>刘满满</t>
  </si>
  <si>
    <t>刘利娜</t>
  </si>
  <si>
    <t>酒精饮料（啤酒除外）;酒精饮料原汁;预先混合的酒精饮料（以啤酒为主的除外）;清酒（⽇本⽶酒）;⾷⽤酒精;威⼠忌;果酒（含酒精）;⽩酒;蒸馏饮料;葡萄酒</t>
  </si>
  <si>
    <t>粤源宸</t>
  </si>
  <si>
    <t>以葡萄酒为主的饮料;果酒（含酒精）;⾷⽤酒精;蒸馏饮料;含⽔果酒精饮料;⽩酒;⾕物制蒸馏酒精饮料;酒精饮料（啤酒除外）;烈酒（饮料）;预先混合的酒精饮料（以啤酒为主的除外）</t>
  </si>
  <si>
    <t>FABEDEL</t>
  </si>
  <si>
    <t>葡萄酒;⽩酒;开胃酒;酒精饮料（啤酒除外）;⽩兰地;含⽔果酒精饮料;⾷⽤酒精;烧酒;利⼝酒;威⼠忌</t>
  </si>
  <si>
    <t>翔都</t>
  </si>
  <si>
    <t>北京国都国际商贸有限公司</t>
  </si>
  <si>
    <t>伏特加酒;清酒;⽶酒;烧酒（烈酒）;⻩酒;葡萄酒;⽩兰地;⽼酒（中国蒸馏烈酒）;含酒精的饮料（啤酒除外）;⽩酒</t>
  </si>
  <si>
    <t>初矿</t>
  </si>
  <si>
    <t>北京澜景丽嘉艺术创意有限公司</t>
  </si>
  <si>
    <t>⽩酒;⾷⽤酒精;果酒（含酒精）;⽩兰地;酒精饮料（啤酒除外）;⽶酒;葡萄酒;含⽔果酒精饮料;⻩酒;鸡尾酒</t>
  </si>
  <si>
    <t>关云虹</t>
  </si>
  <si>
    <t>北京圣尊文化传播有限公司</t>
  </si>
  <si>
    <t>⽶酒;鸡尾酒;葡萄酒;⻩酒;甜酒;⽩酒;伏特加酒;果酒;烈酒;烧酒</t>
  </si>
  <si>
    <t>亿嘉德</t>
  </si>
  <si>
    <t>辽宁嘉德生物技术有限公司</t>
  </si>
  <si>
    <t>⽶酒;⽼酒（中国蒸馏烈酒）;葡萄酒;⽩葡萄酒;果酒;⽩酒;含酒精⽔果饮料;开胃酒;⽩⼲酒（中国⽩酒）;烧酒</t>
  </si>
  <si>
    <t>一品佰草荟</t>
  </si>
  <si>
    <t>开胃酒;⽩酒;葡萄酒;清酒（⽇本⽶酒）;烧酒;⽶酒;果酒（含酒精）;梨酒;餐后酒（利⼝酒和烈酒）;酒精饮料（啤酒除外）</t>
  </si>
  <si>
    <t>吾家黑豹</t>
  </si>
  <si>
    <t>当阳市深港精酿酒坊</t>
  </si>
  <si>
    <t>烧酒;果酒;烈酒;酒精饮料（啤酒除外）;汽酒;葡萄酒;酒精饮料原汁;⻩酒;⽩酒;⽶酒</t>
  </si>
  <si>
    <t>典中情</t>
  </si>
  <si>
    <t>开胃酒;威⼠忌;酒精饮料（啤酒除外）;烈酒;葡萄酒;⽩酒;⻩酒;果酒（含酒精）;鸡尾酒;清酒（⽇本⽶酒）</t>
  </si>
  <si>
    <t>方澎湃</t>
  </si>
  <si>
    <t>预先混合的酒精饮料（以啤酒为主的除外）;果酒（含酒精）;⽶酒;酒精饮料（啤酒除外）;以葡萄酒为主的饮料;汽酒;蒸馏饮料;⽩酒;葡萄酒;鸡尾酒</t>
  </si>
  <si>
    <t>法威汀</t>
  </si>
  <si>
    <t>慧月贸易有限公司</t>
  </si>
  <si>
    <t>含⽔果酒精饮料;⽩兰地;酒精饮料（啤酒除外）;⽩酒;果酒（含酒精）;⽶酒;⻩酒;⾷⽤酒精;鸡尾酒;葡萄酒</t>
  </si>
  <si>
    <t>嗣玺</t>
  </si>
  <si>
    <t>酒精饮料（啤酒除外）;果酒（含酒精）;⽩酒;果酒;清酒（⽇本⽶酒）;⻩酒;烈酒（饮料）;鸡尾酒;葡萄酒;⽶酒</t>
  </si>
  <si>
    <t>米九元</t>
  </si>
  <si>
    <t>葡萄酒;⾷⽤酒精;含⽔果酒精饮料;⽶酒;酒精饮料（啤酒除外）;⽩酒;果酒（含酒精）;鸡尾酒;⽩兰地;⻩酒</t>
  </si>
  <si>
    <t>担壶边</t>
  </si>
  <si>
    <t>于占东</t>
  </si>
  <si>
    <t>酒精饮料原汁;烈酒（饮料）;果酒（含酒精）;⽶酒;⾷⽤酒精;葡萄酒;酒精饮料（啤酒除外）;烧酒;⽩酒;⻩酒</t>
  </si>
  <si>
    <t>庐陵欧公</t>
  </si>
  <si>
    <t>果酒（含酒精）;烧酒;鸡尾酒;⽩酒;⽩兰地;含⽔果酒精饮料;酒精饮料（啤酒除外）;⽶酒;薄荷酒;开胃酒</t>
  </si>
  <si>
    <t>皖潭</t>
  </si>
  <si>
    <t>清酒（⽇本⽶酒）;开胃酒;鸡尾酒;威⼠忌;⻩酒;⽩酒;果酒（含酒精）;葡萄酒;烈酒;酒精饮料（啤酒除外）</t>
  </si>
  <si>
    <t>醉春忆</t>
  </si>
  <si>
    <t>凌同旺</t>
  </si>
  <si>
    <t>葡萄酒;⽩酒;果酒（含酒精）;酒精饮料（啤酒除外）;烈酒;开胃酒;鸡尾酒;清酒（⽇本⽶酒）;威⼠忌;⻩酒</t>
  </si>
  <si>
    <t>播克</t>
  </si>
  <si>
    <t>南寻叶</t>
  </si>
  <si>
    <t>清酒;⽶酒;果酒;汽酒;⾷⽤酒精;⻩酒;开胃酒;甜酒;葡萄酒;⽩酒</t>
  </si>
  <si>
    <t>道粱师</t>
  </si>
  <si>
    <t>朗姆酒（酒精饮料）;烧酒;⽩酒;⻩酒;⽶酒;甜酒;⽩⼲酒（中国⽩酒）;⽼酒（中国蒸馏烈酒）;⻘稞酒;烈酒</t>
  </si>
  <si>
    <t>天蕴仁</t>
  </si>
  <si>
    <t>⽶酒;烈酒;⻩酒;朗姆酒（酒精饮料）;⽩酒;⽼酒（中国蒸馏烈酒）;⻘稞酒;甜酒;⽩⼲酒（中国⽩酒）;烧酒</t>
  </si>
  <si>
    <t>鸣股</t>
  </si>
  <si>
    <t>今日好课（重庆）科技有限公司</t>
  </si>
  <si>
    <t>薄荷酒;烈酒;烧酒;甜酒;⽶酒;鸡尾酒;葡萄酒;⽩酒;含酒精的⽓泡⽔;⻘梅酒</t>
  </si>
  <si>
    <t>仁义土</t>
  </si>
  <si>
    <t>贵州仁怀百利福酒业销售有限公司</t>
  </si>
  <si>
    <t>开胃酒;⽶酒;烧酒;蒸煮提取物（利⼝酒和烈酒）;⽩酒;清酒;果酒（含酒精）;葡萄酒;⻩酒;酒精饮料（啤酒除外）</t>
  </si>
  <si>
    <t>晋岩晋清</t>
  </si>
  <si>
    <t>山西晋缘泉酒业有限公司</t>
  </si>
  <si>
    <t>薄荷酒;含⽔果酒精饮料;开胃酒;葡萄酒;烈酒;⽩酒;果酒（含酒精）;威⼠忌;⻩酒;酒精饮料（啤酒除外）</t>
  </si>
  <si>
    <t>呼白爱玛仕</t>
  </si>
  <si>
    <t>蒸馏饮料;⽩酒;开胃酒;烈酒（饮料）;果酒（含酒精）;⽶酒;烧酒;酒精饮料（啤酒除外）;⻘稞酒;⻩酒</t>
  </si>
  <si>
    <t>⽩酒;含⽔果酒精饮料;以葡萄酒为主的饮料;蒸馏饮料;⾕物制蒸馏酒精饮料;预先混合的酒精饮料（以啤酒为主的除外）;果酒（含酒精）;⾷⽤酒精;酒精饮料（啤酒除外）;烈酒（饮料）</t>
  </si>
  <si>
    <t>壮乡老友</t>
  </si>
  <si>
    <t>刘波</t>
  </si>
  <si>
    <t>酒精饮料（啤酒除外）;⽶酒;果酒（含酒精）;烈酒;汽酒;含⽔果酒精饮料;⻩酒;⽩酒;酸酒（低等葡萄酒）;葡萄酒</t>
  </si>
  <si>
    <t>玉酿纪</t>
  </si>
  <si>
    <t>酒精饮料（啤酒除外）;⽩酒;威⼠忌;鸡尾酒;烈酒;葡萄酒;果酒（含酒精）;⻩酒;清酒（⽇本⽶酒）;开胃酒</t>
  </si>
  <si>
    <t>帽衫</t>
  </si>
  <si>
    <t>北京谛碧科技发展有限公司</t>
  </si>
  <si>
    <t>瑞我</t>
  </si>
  <si>
    <t>中原神鹰物流有限公司</t>
  </si>
  <si>
    <t>果酒（含酒精）;酒精饮料（啤酒除外）;鸡尾酒;葡萄酒;烧酒;⻩酒;⽩酒;⽶酒;烈酒（饮料）;⽩兰地</t>
  </si>
  <si>
    <t>刘小平</t>
  </si>
  <si>
    <t>葡萄酒;酒精饮料（啤酒除外）;烧酒;蒸馏饮料;⻩酒;⽩酒;果酒（含酒精）;烈酒（饮料）;预先混合的酒精饮料（以啤酒为主的除外）;⽶酒</t>
  </si>
  <si>
    <t>澄元</t>
  </si>
  <si>
    <t>河北玛俊商贸有限公司</t>
  </si>
  <si>
    <t>烈酒（饮料）;预先混合的酒精饮料（以啤酒为主的除外）;鸡尾酒;含⽔果酒精饮料;果酒（含酒精）</t>
  </si>
  <si>
    <t>成达华盛</t>
  </si>
  <si>
    <t>陕西桔苹果健康科技有限公司</t>
  </si>
  <si>
    <t>⻩酒;蒸馏饮料;酒精饮料原汁;⽶酒;果酒（含酒精）;苹果酒;酒精饮料（啤酒除外）;葡萄酒;⽩酒;烧酒</t>
  </si>
  <si>
    <t>熙仙帝</t>
  </si>
  <si>
    <t>郑可豪</t>
  </si>
  <si>
    <t>⽩酒;烈酒（饮料）;含⽔果酒精饮料;清酒;烧酒;蒸馏饮料;鸡尾酒;威⼠忌;酒精饮料原汁;果酒（含酒精）</t>
  </si>
  <si>
    <t>AGUNG PRABOWO</t>
  </si>
  <si>
    <t>张日华</t>
  </si>
  <si>
    <t>蒸馏饮料;鸡尾酒;预先混合的酒精饮料（以啤酒为主的除外）;含⽔果酒精饮料;酒精饮料（啤酒除外）</t>
  </si>
  <si>
    <t>求厚</t>
  </si>
  <si>
    <t>朱永芳</t>
  </si>
  <si>
    <t>清酒;由⾕物蒸馏的⽩酒;⽩酒;⻘稞酒;⾼粱酒;烧酒;苦荞酒;葡萄酒;露酒;⻩酒</t>
  </si>
  <si>
    <t>汝应醉</t>
  </si>
  <si>
    <t>吕志龙</t>
  </si>
  <si>
    <t>果酒（含酒精）;⽩酒;⾼粱酒;清酒（⽇本⽶酒）;开胃酒;梅酒;⽶酒;⻩酒;酒精饮料（啤酒除外）;烈酒（饮料）</t>
  </si>
  <si>
    <t>宝酉福</t>
  </si>
  <si>
    <t>杨莉</t>
  </si>
  <si>
    <t>⽩酒;⾼粱酒;⽩兰地;⽶酒;烈酒;利⼝酒;酒精饮料（啤酒除外）;烧酒;⻩酒;果酒</t>
  </si>
  <si>
    <t>贺千贵缘</t>
  </si>
  <si>
    <t>贺军</t>
  </si>
  <si>
    <t>葡萄酒;蒸馏饮料;烈酒（饮料）;含⽔果酒精饮料;⽩酒;烧酒;⻩酒;酒精饮料（啤酒除外）;果酒（含酒精）;⽶酒</t>
  </si>
  <si>
    <t>LULUINSHINE</t>
  </si>
  <si>
    <t>含奶油利⼝酒;⽩⼲酒（中国⽩酒）;果酒（含酒精）;开胃酒;酒精饮料（啤酒除外）;⽩兰地;⻩酒;⽩酒;葡萄酒;鸡尾酒</t>
  </si>
  <si>
    <t>ORANOT 奥兰诺</t>
  </si>
  <si>
    <t>义乌市领克化妆品有限公司</t>
  </si>
  <si>
    <t>葡萄酒;鸡尾酒;酒精饮料（啤酒除外）;伏特加酒;⽩兰地;果酒（含酒精）;烈酒（饮料）;⻩酒;烧酒;⽩酒</t>
  </si>
  <si>
    <t>BRAVETRAIN</t>
  </si>
  <si>
    <t>众威食品（中山市）有限公司</t>
  </si>
  <si>
    <t>汽酒;果酒（含酒精）;餐后酒（利⼝酒和烈酒）;酒精饮料（啤酒除外）;含⽔果酒精饮料;伏特加酒;鸡尾酒;烈酒（饮料）;葡萄酒;利⼝酒</t>
  </si>
  <si>
    <t>宝酉禧</t>
  </si>
  <si>
    <t>鸡尾酒;⽩葡萄酒;蜂蜜酒;果酒;以葡萄酒为主的开胃酒;含酒精⽔果饮料;苹果酒;葡萄酒;红葡萄酒;以葡萄酒为主的饮料</t>
  </si>
  <si>
    <t>城市玉灵儿</t>
  </si>
  <si>
    <t>内蒙古缘汁果食品有限公司</t>
  </si>
  <si>
    <t>烈酒;⾷⽤酒精;预先混合的酒精饮料（以啤酒为主的除外）;蒸馏饮料;酒精饮料（啤酒除外）;⽶酒;开胃酒;果酒（含酒精）;葡萄酒;⽩酒</t>
  </si>
  <si>
    <t>兆百福</t>
  </si>
  <si>
    <t>⽩酒;鸡尾酒;⻩酒;酒精饮料（啤酒除外）;清酒（⽇本⽶酒）;葡萄酒;果酒（含酒精）;烈酒;开胃酒;威⼠忌</t>
  </si>
  <si>
    <t>踽安行</t>
  </si>
  <si>
    <t>扬州安行交通设施有限公司</t>
  </si>
  <si>
    <t>苦荞酒;混合威⼠忌酒;露酒;苦艾酒;加烈葡萄酒;烈酒;杨梅酒;红葡萄酒;加⾹料的热葡萄酒;⻘梅酒</t>
  </si>
  <si>
    <t>九门齐都</t>
  </si>
  <si>
    <t>济南朕喆乾知识产权咨询服务有限公司</t>
  </si>
  <si>
    <t>烧酒;鸡尾酒;葡萄酒;酒精饮料（啤酒除外）;蒸馏饮料;威⼠忌;含⽔果酒精饮料;汽酒;⽩酒;果酒（含酒精）</t>
  </si>
  <si>
    <t>宜露鹿鐏</t>
  </si>
  <si>
    <t>南京滨江鹿业有限公司</t>
  </si>
  <si>
    <t>⽶酒;葡萄酒;⻩酒;⽩酒;鸡尾酒;烈酒（饮料）;烧酒;蜂蜜酒;果酒（含酒精）;⾷⽤酒精</t>
  </si>
  <si>
    <t>鸿澜真龙</t>
  </si>
  <si>
    <t>罗覃冬</t>
  </si>
  <si>
    <t>⽩兰地;果酒（含酒精）;蒸馏饮料;烧酒;烈酒（饮料）;开胃酒;汽酒;⻩酒;葡萄酒;⽩酒</t>
  </si>
  <si>
    <t>岐皇董</t>
  </si>
  <si>
    <t>餐后酒（利⼝酒和烈酒）;烧酒;葡萄酒;清酒（⽇本⽶酒）;梨酒;酒精饮料（啤酒除外）;⽶酒;果酒（含酒精）;⽩酒;开胃酒</t>
  </si>
  <si>
    <t>研书</t>
  </si>
  <si>
    <t>果酒（含酒精）;⽩兰地;伏特加酒;⾷⽤酒精;⻩酒;葡萄酒;⽶酒;⾕物制蒸馏酒精饮料;烧酒;⽩酒</t>
  </si>
  <si>
    <t>KIZLYAR</t>
  </si>
  <si>
    <t>广州市方舟进出口有限公司</t>
  </si>
  <si>
    <t>鸡尾酒;⾕物制蒸馏酒精饮料;酒精饮料原汁;果酒（含酒精）;伏特加酒;蒸馏饮料;⽩兰地;烈酒（饮料）;威⼠忌;朗姆酒</t>
  </si>
  <si>
    <t>赤河祥</t>
  </si>
  <si>
    <t>张林曦</t>
  </si>
  <si>
    <t>烈酒;果酒（含酒精）;清酒（⽇本⽶酒）;威⼠忌;开胃酒;葡萄酒;⽩酒;⻩酒;鸡尾酒;酒精饮料（啤酒除外）</t>
  </si>
  <si>
    <t>梅肆令</t>
  </si>
  <si>
    <t>沈刚</t>
  </si>
  <si>
    <t>梅酒;清酒;果酒（含酒精）;⻩酒;蜂蜜酒;葡萄酒;⽶酒;烧酒;酒精饮料（啤酒除外）;⽩酒</t>
  </si>
  <si>
    <t>他作</t>
  </si>
  <si>
    <t>郑育玺</t>
  </si>
  <si>
    <t>葡萄酒;⽶酒;烧酒;⽩兰地;薄荷酒;果酒（含酒精）;鸡尾酒;⻩酒;⽩酒;开胃酒</t>
  </si>
  <si>
    <t>天都客家人</t>
  </si>
  <si>
    <t>刘芳菲</t>
  </si>
  <si>
    <t>葡萄酒;鸡尾酒;烧酒;烈酒;⾷⽤酒精;⽶酒;果酒;⽩酒;⻩酒;酒精饮料（啤酒除外）</t>
  </si>
  <si>
    <t>蒸馏饮料;含⽔果酒精饮料;蒸煮提取物（利⼝酒和烈酒）;⽶酒;酒精饮料浓缩汁;葡萄酒;⽩酒;鸡尾酒;⾷⽤酒精;果酒</t>
  </si>
  <si>
    <t>羿玺</t>
  </si>
  <si>
    <t>烈酒（饮料）;酒精饮料（啤酒除外）;⻩酒;果酒（含酒精）;⽶酒;清酒（⽇本⽶酒）;⽩酒;果酒;葡萄酒;鸡尾酒</t>
  </si>
  <si>
    <t>LOONSKY</t>
  </si>
  <si>
    <t>安乐</t>
  </si>
  <si>
    <t>威⼠忌;酒精饮料浓缩汁;伏特加酒;鸡尾酒;⽶酒;葡萄酒;⽩兰地;酒精饮料原汁;酒精饮料（啤酒除外）;含⽔果酒精饮料</t>
  </si>
  <si>
    <t>泰合隆</t>
  </si>
  <si>
    <t>威⼠忌;蒸馏饮料;鸡尾酒;含⽔果酒精饮料;⽩兰地;⽩酒;蜂蜜酒;果酒（含酒精）;葡萄酒;⽶酒</t>
  </si>
  <si>
    <t>书香至善</t>
  </si>
  <si>
    <t>果酒（含酒精）;葡萄酒;酒精饮料（啤酒除外）;⽶酒;鸡尾酒;清酒（⽇本⽶酒）;⻩酒;烧酒;烈酒（饮料）;⽩酒</t>
  </si>
  <si>
    <t>韵乾坤</t>
  </si>
  <si>
    <t>果酒（含酒精）;蒸馏饮料;鸡尾酒;蜂蜜酒;⽩酒;⽩兰地;⽶酒;葡萄酒;威⼠忌;含⽔果酒精饮料</t>
  </si>
  <si>
    <t>赛千年</t>
  </si>
  <si>
    <t>李生福</t>
  </si>
  <si>
    <t>鸡尾酒;威⼠忌;⻩酒;果酒（含酒精）;烧酒;葡萄酒;酒精饮料（啤酒除外）;⽶酒;⽩酒;蒸馏饮料</t>
  </si>
  <si>
    <t>饮挚</t>
  </si>
  <si>
    <t>张毅</t>
  </si>
  <si>
    <t>烈酒（饮料）;威⼠忌;烧酒;⽩酒;含⽔果酒精饮料;果酒（含酒精）;鸡尾酒;清酒;蒸馏饮料;酒精饮料原汁</t>
  </si>
  <si>
    <t>益缘贝甄选</t>
  </si>
  <si>
    <t>西安益缘贝商贸有限公司</t>
  </si>
  <si>
    <t>⻘稞酒;烧酒;⽩酒;鸡尾酒;⽶酒;⻩酒;果酒（含酒精）;开胃酒;葡萄酒;含酒精的⽓泡⽔</t>
  </si>
  <si>
    <t>关云鸿</t>
  </si>
  <si>
    <t>烈酒;甜酒;⽩酒;⽶酒;烧酒;果酒;鸡尾酒;伏特加酒;⻩酒;葡萄酒</t>
  </si>
  <si>
    <t>筏中醉</t>
  </si>
  <si>
    <t>邓旭东</t>
  </si>
  <si>
    <t>苦荞酒;⽩⼲酒（中国⽩酒）;烈酒;⽩酒;果酒（含酒精）;⻩酒;⾼粱酒;烧酒;开胃酒;⽶酒</t>
  </si>
  <si>
    <t>李寨二龙</t>
  </si>
  <si>
    <t>宋占龙</t>
  </si>
  <si>
    <t>烧酒;⽩酒;⾼粱酒;⻩酒;烧酒（烈酒）;葡萄酒;⽶酒;梅酒;酒精饮料（啤酒除外）;烈酒</t>
  </si>
  <si>
    <t>潭儿兴</t>
  </si>
  <si>
    <t>尹国庆</t>
  </si>
  <si>
    <t>⽩酒;果酒;以葡萄酒为主的饮料;露酒;⻩酒;烈酒;甜酒;⾼粱酒;烧酒（烈酒）;⽶酒</t>
  </si>
  <si>
    <t>斟兄</t>
  </si>
  <si>
    <t>⾷⽤酒精;葡萄酒;⽩兰地;⽩酒;⽶酒;果酒（含酒精）;含⽔果酒精饮料;鸡尾酒;酒精饮料（啤酒除外）;⻩酒</t>
  </si>
  <si>
    <t>北京迅木科技有限公司</t>
  </si>
  <si>
    <t>鸡尾酒;⽩兰地;酒精饮料（啤酒除外）;清酒（⽇本⽶酒）;果酒（含酒精）;⽶酒;开胃酒;⽩酒;烧酒;⻩酒</t>
  </si>
  <si>
    <t>正珏</t>
  </si>
  <si>
    <t>张小飞</t>
  </si>
  <si>
    <t>⾕物制蒸馏酒精饮料;含酒精的⽓泡⽔;葡萄酒;蒸馏饮料;⻩酒;酒精饮料（啤酒除外）;含⽔果酒精饮料;⽶酒;汽酒;⽩酒</t>
  </si>
  <si>
    <t>降龙吟</t>
  </si>
  <si>
    <t>⻩酒;酒精饮料（啤酒除外）;鸡尾酒;果酒（含酒精）;葡萄酒;⽩酒;开胃酒;威⼠忌;烈酒;清酒（⽇本⽶酒）</t>
  </si>
  <si>
    <t>威仑特 WERUNTA</t>
  </si>
  <si>
    <t>鸡尾酒;清酒（⽇本⽶酒）;果酒（含酒精）;⻩酒;⽩酒;葡萄酒;开胃酒;威⼠忌;烈酒;酒精饮料（啤酒除外）</t>
  </si>
  <si>
    <t>合家河</t>
  </si>
  <si>
    <t>果酒（含酒精）;开胃酒;⻩酒;清酒（⽇本⽶酒）;烈酒;威⼠忌;⽩酒;鸡尾酒;葡萄酒;酒精饮料（啤酒除外）</t>
  </si>
  <si>
    <t>圣亭</t>
  </si>
  <si>
    <t>烈酒;葡萄酒;威⼠忌;清酒（⽇本⽶酒）;⽩酒;果酒（含酒精）;开胃酒;鸡尾酒;⻩酒;酒精饮料（啤酒除外）</t>
  </si>
  <si>
    <t>禄聚台</t>
  </si>
  <si>
    <t>⽩⼲酒（中国⽩酒）;⻘稞酒;⽶酒;⻩酒;⽩酒;烧酒;甜酒;⽼酒（中国蒸馏烈酒）;朗姆酒（酒精饮料）;烈酒</t>
  </si>
  <si>
    <t>项梁</t>
  </si>
  <si>
    <t>杜建建</t>
  </si>
  <si>
    <t>⻩酒;酒精饮料（啤酒除外）;⾷⽤酒精;⾼粱酒;⽶酒;酒精饮料原汁;⽼酒（中国蒸馏烈酒）;⽩酒;薄荷酒;葡萄酒</t>
  </si>
  <si>
    <t>品峨眉</t>
  </si>
  <si>
    <t>峨眉山品味酒业有限公司</t>
  </si>
  <si>
    <t>烈酒;烧酒;⾼粱酒;五加⽪酒（中国混合烈酒）;果酒;⽩酒;⽢蔗制酒精饮料;⽼酒（中国蒸馏烈酒）;⻘稞酒;梅酒</t>
  </si>
  <si>
    <t>将惬酒</t>
  </si>
  <si>
    <t>广西熙运科技有限公司</t>
  </si>
  <si>
    <t>烧酒;⽶酒;烈酒（饮料）;⽩兰地;葡萄酒;威⼠忌;⾷⽤酒精;⻩酒;⽩酒;⾕物制蒸馏酒精饮料</t>
  </si>
  <si>
    <t>大陕门</t>
  </si>
  <si>
    <t>王江艳</t>
  </si>
  <si>
    <t>葡萄酒;⽩酒;鸡尾酒;酒精饮料（啤酒除外）;开胃酒;烧酒;蜂蜜酒;果酒（含酒精）;清酒（⽇本⽶酒）;⻩酒</t>
  </si>
  <si>
    <t>和中情</t>
  </si>
  <si>
    <t>鸡尾酒;⽩酒;烈酒;果酒（含酒精）;开胃酒;清酒（⽇本⽶酒）;威⼠忌;酒精饮料（啤酒除外）;⻩酒;葡萄酒</t>
  </si>
  <si>
    <t>徽中情</t>
  </si>
  <si>
    <t>果酒（含酒精）;开胃酒;鸡尾酒;⻩酒;威⼠忌;清酒（⽇本⽶酒）;葡萄酒;酒精饮料（啤酒除外）;⽩酒;烈酒</t>
  </si>
  <si>
    <t>AGMURE</t>
  </si>
  <si>
    <t>郝江伟</t>
  </si>
  <si>
    <t>烈酒（饮料）;⽶酒;⽩酒;酒精饮料（啤酒除外）;葡萄酒;果酒（含酒精）;⾕物制蒸馏酒精饮料;烧酒;鸡尾酒;含⽔果酒精饮料</t>
  </si>
  <si>
    <t>先步青云</t>
  </si>
  <si>
    <t>果酒（含酒精）;蜂蜜酒;威⼠忌;含⽔果酒精饮料;蒸馏饮料;⽩酒;鸡尾酒;葡萄酒;⽩兰地;⽶酒</t>
  </si>
  <si>
    <t>李建春</t>
  </si>
  <si>
    <t>鸡尾酒;⻘稞酒;⻩酒;⽩酒;樱桃酒;含⽔果酒精饮料;葡萄酒;果酒（含酒精）;开胃酒;⽶酒</t>
  </si>
  <si>
    <t>健窖钧</t>
  </si>
  <si>
    <t>麻艳东</t>
  </si>
  <si>
    <t>烈酒;葡萄汽酒;⽩酒;⽩葡萄酒;⽩兰地;烧酒（烈酒）;⽶酒;伏特加酒;苦味酒;葡萄酒</t>
  </si>
  <si>
    <t>美逮</t>
  </si>
  <si>
    <t>刘芳</t>
  </si>
  <si>
    <t>⻩酒;威⼠忌;鸡尾酒;苹果酒;⽶酒;酒精饮料（啤酒除外）;含酒精的⽓泡⽔;⽩酒;果酒（含酒精）;烧酒</t>
  </si>
  <si>
    <t>斟忠</t>
  </si>
  <si>
    <t>辉金贸易有限公司</t>
  </si>
  <si>
    <t>果酒（含酒精）;葡萄酒;⽶酒;⻩酒;⽩酒;鸡尾酒;⽩兰地;含⽔果酒精饮料;⾷⽤酒精;酒精饮料（啤酒除外）</t>
  </si>
  <si>
    <t>醉人华府</t>
  </si>
  <si>
    <t>开胃酒;葡萄酒;清酒（⽇本⽶酒）;威⼠忌;⽩酒;⻩酒;烈酒;鸡尾酒;酒精饮料（啤酒除外）;果酒（含酒精）</t>
  </si>
  <si>
    <t>先宋</t>
  </si>
  <si>
    <t>开胃酒;葡萄酒;威⼠忌;酒精饮料（啤酒除外）;烈酒;果酒（含酒精）;鸡尾酒;清酒（⽇本⽶酒）;⽩酒;⻩酒</t>
  </si>
  <si>
    <t>笨鸟邦</t>
  </si>
  <si>
    <t>北京良策鑫业会计服务有限公司</t>
  </si>
  <si>
    <t>⽶酒;⽩酒;果酒;含酒精的充⽓饮料（啤酒除外）;鸡尾酒;含酒精的饮料（啤酒除外）;烧酒;葡萄酒;烈酒;⽼酒（中国蒸馏烈酒）</t>
  </si>
  <si>
    <t>灿岭</t>
  </si>
  <si>
    <t>甜酒;薄荷酒;含酒精的饮料（啤酒除外）;利⼝酒;含⽔果酒精饮料;开胃酒;汽酒;梅酒;甜果酒;蒸馏饮料;⽩兰地;葡萄酒;果酒;含酒精⽔果饮料;佐餐酒;果酒（含酒精）;葡萄汽酒</t>
  </si>
  <si>
    <t>苏无双</t>
  </si>
  <si>
    <t>四川八千里商贸有限公司</t>
  </si>
  <si>
    <t>威⼠忌;朗姆酒;果酒（含酒精）;⽩兰地;⻩酒;⾷⽤酒精;⽩酒;以葡萄酒为主的饮料;酒精饮料（啤酒除外）;烈酒（饮料）</t>
  </si>
  <si>
    <t>牧龄堂</t>
  </si>
  <si>
    <t>江西牧龄堂生物医药科技有限公司</t>
  </si>
  <si>
    <t>烧酒;白兰地;青稞酒;清酒（日本米酒）;黄酒;果酒（含酒精）;米酒;葡萄酒;白酒;酒精饮料（啤酒除外）</t>
  </si>
  <si>
    <t>刻度线</t>
  </si>
  <si>
    <t>李娅142323********0249</t>
  </si>
  <si>
    <t>含⽔果酒精饮料;蒸煮提取物（利⼝酒和烈酒）;酒精饮料（啤酒除外）;烧酒;开胃酒;苦味酒;葡萄酒;⽩酒;⽶酒;果酒（含酒精）</t>
  </si>
  <si>
    <t>宏兴大运河</t>
  </si>
  <si>
    <t>河北宏顺酒业有限公司</t>
  </si>
  <si>
    <t>⽩兰地;清酒（⽇本⽶酒）;汽酒;樱桃酒;葡萄酒;含⽔果酒精饮料;⽩酒;果酒（含酒精）;鸡尾酒;威⼠忌</t>
  </si>
  <si>
    <t>状元勋</t>
  </si>
  <si>
    <t>刘根宇</t>
  </si>
  <si>
    <t>⻩酒;⻘稞酒;烧酒;清酒（⽇本⽶酒）;⽩酒;烈酒（饮料）;⽶酒;酒精饮料（啤酒除外）;鸡尾酒;葡萄酒</t>
  </si>
  <si>
    <t>⽩酒;威⼠忌;开胃酒;⽩兰地;酒精饮料（啤酒除外）;⻩酒;烈酒（饮料）;蒸馏饮料;鸡尾酒;果酒（含酒精）</t>
  </si>
  <si>
    <t>醉王华</t>
  </si>
  <si>
    <t>葡萄酒;开胃酒;威⼠忌;⽩酒;烈酒;果酒（含酒精）;鸡尾酒;清酒（⽇本⽶酒）;酒精饮料（啤酒除外）;⻩酒</t>
  </si>
  <si>
    <t>恒弘</t>
  </si>
  <si>
    <t>鸡尾酒;威⼠忌;开胃酒;酒精饮料（啤酒除外）;烈酒;葡萄酒;清酒（⽇本⽶酒）;⽩酒;⻩酒;果酒（含酒精）</t>
  </si>
  <si>
    <t>民酬宴</t>
  </si>
  <si>
    <t>⽶酒;⻩酒;⻘稞酒;烈酒;烧酒;⽩酒;⽼酒（中国蒸馏烈酒）;甜酒;朗姆酒（酒精饮料）;⽩⼲酒（中国⽩酒）</t>
  </si>
  <si>
    <t>WOO OOW SHOW</t>
  </si>
  <si>
    <t>洪忠轩</t>
  </si>
  <si>
    <t>⾷⽤酒精;⽶酒;苹果酒;含⽔果酒精饮料;果酒;蒸馏饮料;⻩酒;开胃酒;伏特加酒;酒精饮料原汁</t>
  </si>
  <si>
    <t>松岩浅草  MATSUIWA ASAKUSA</t>
  </si>
  <si>
    <t>河北宾馆集团有限公司</t>
  </si>
  <si>
    <t>⽶酒;果酒;鸡尾酒;酒精饮料（啤酒除外）;清酒;以葡萄酒为主的饮料;杨梅酒;含⽔果酒精饮料;⽩酒;葡萄酒</t>
  </si>
  <si>
    <t>犀韵</t>
  </si>
  <si>
    <t>深圳市诚泰实业有限公司</t>
  </si>
  <si>
    <t>葡萄酒;酒精饮料（啤酒除外）;清酒;烧酒;⻩酒;⽶酒;开胃酒;⽩酒;果酒;烈酒</t>
  </si>
  <si>
    <t>青山玖伍</t>
  </si>
  <si>
    <t>⽩酒;酒精饮料（啤酒除外）;烧酒（烈酒）;果酒（含酒精）;⻩酒;烈酒（饮料）;⽶酒;⾕物制蒸馏酒精饮料;含酒精的⽓泡⽔;利⼝酒</t>
  </si>
  <si>
    <t>优奇多</t>
  </si>
  <si>
    <t>江苏南通管鑫红贸易有限公司</t>
  </si>
  <si>
    <t>⽩酒;鸡尾酒;⾷⽤酒精;果酒（含酒精）;烧酒;蜂蜜酒;威⼠忌;⽩兰地;红葡萄酒;烈酒（饮料）</t>
  </si>
  <si>
    <t>易大力</t>
  </si>
  <si>
    <t>北京创盈科技产业集团有限公司</t>
  </si>
  <si>
    <t>果酒（含酒精）;烈酒（饮料）;⽶酒;烧酒;苹果酒;⽩酒;葡萄酒;朗姆酒;鸡尾酒;⻩酒</t>
  </si>
  <si>
    <t>牟见</t>
  </si>
  <si>
    <t>杨虓</t>
  </si>
  <si>
    <t>威⼠忌;葡萄酒;鸡尾酒;果酒（含酒精）;烈酒;开胃酒;⽩酒;⻩酒;清酒（⽇本⽶酒）;酒精饮料（啤酒除外）</t>
  </si>
  <si>
    <t>友酩主</t>
  </si>
  <si>
    <t>鸡尾酒;葡萄酒;含⽔果酒精饮料;⽶酒;⻩酒;⽩酒;果酒（含酒精）;⽩兰地;酒精饮料（啤酒除外）;⾷⽤酒精</t>
  </si>
  <si>
    <t>帝九门</t>
  </si>
  <si>
    <t>陈友涛</t>
  </si>
  <si>
    <t>开胃酒;鸡尾酒;酒精饮料（啤酒除外）;威⼠忌;果酒（含酒精）;烈酒;葡萄酒;清酒（⽇本⽶酒）;⻩酒;⽩酒</t>
  </si>
  <si>
    <t>穆言泉</t>
  </si>
  <si>
    <t>曹云腾</t>
  </si>
  <si>
    <t>⽩酒;⾼粱酒;果酒（含酒精）;含⽔果酒精饮料;威⼠忌;果酒;已调味的蒸馏酒;鸡尾酒;葡萄酒;预先混合的酒精饮料（以啤酒为主的除外）</t>
  </si>
  <si>
    <t>龙宇</t>
  </si>
  <si>
    <t>成都轩玖驰贸易有限公司</t>
  </si>
  <si>
    <t>葡萄酒;⽶酒;果酒（含酒精）;⻩酒;蒸馏饮料;酒精饮料（啤酒除外）;⽩酒;烧酒;烈酒;⻘稞酒</t>
  </si>
  <si>
    <t>千滔酒业</t>
  </si>
  <si>
    <t>吴飞</t>
  </si>
  <si>
    <t>⽩酒;果酒（含酒精）;⻩酒;葡萄酒;烈酒;威⼠忌;酒精饮料（啤酒除外）;鸡尾酒;清酒（⽇本⽶酒）;开胃酒</t>
  </si>
  <si>
    <t>御圃</t>
  </si>
  <si>
    <t>吴代波</t>
  </si>
  <si>
    <t>⽩酒;鸡尾酒;⽶酒;烈酒（饮料）;葡萄酒;清酒（⽇本⽶酒）;开胃酒;果酒（含酒精）;烧酒;⻩酒</t>
  </si>
  <si>
    <t>稻田路营</t>
  </si>
  <si>
    <t>常州市新北区西夏墅镇东南村村民委员会</t>
  </si>
  <si>
    <t>⽶酒;葡萄酒;含⽔果酒精饮料;果酒（含酒精）;烈酒;酒精饮料（啤酒除外）;⽩酒;蒸馏饮料;⻩酒;清酒（⽇本⽶酒）</t>
  </si>
  <si>
    <t>匠代表</t>
  </si>
  <si>
    <t>烈酒;⽩⼲酒（中国⽩酒）;⽶酒;朗姆酒（酒精饮料）;⻘稞酒;甜酒;⽩酒;⽼酒（中国蒸馏烈酒）;⻩酒;烧酒</t>
  </si>
  <si>
    <t>董馆</t>
  </si>
  <si>
    <t>⽩酒;⽶酒;开胃酒;烧酒;酒精饮料（啤酒除外）;餐后酒（利⼝酒和烈酒）;葡萄酒;梨酒;清酒（⽇本⽶酒）;果酒（含酒精）</t>
  </si>
  <si>
    <t>鸿顺大运河</t>
  </si>
  <si>
    <t>果酒（含酒精）;鸡尾酒;樱桃酒;含⽔果酒精饮料;威⼠忌;汽酒;⽩兰地;⽩酒;清酒（⽇本⽶酒）;葡萄酒</t>
  </si>
  <si>
    <t>梦堂湖</t>
  </si>
  <si>
    <t>⽶酒;烈酒（饮料）;⾼粱酒;蜂蜜酒;⽩兰地;⻩酒;⾷⽤酒精;威⼠忌;果酒（含酒精）;⽩酒</t>
  </si>
  <si>
    <t>鎏名大唐</t>
  </si>
  <si>
    <t>酒精饮料（啤酒除外）;果酒（含酒精）;⻩酒;清酒（⽇本⽶酒）;鸡尾酒;⽩酒;开胃酒;葡萄酒;烈酒;威⼠忌</t>
  </si>
  <si>
    <t>长白山枫景</t>
  </si>
  <si>
    <t>抚松江岗文旅有限责任公司</t>
  </si>
  <si>
    <t>葡萄酒;酒精饮料（啤酒除外）;果酒（含酒精）;利⼝酒;⽶酒;烧酒;⽼酒（中国蒸馏烈酒）;蜂蜜酒;开胃酒;烈酒（饮料）</t>
  </si>
  <si>
    <t>白大凰</t>
  </si>
  <si>
    <t>⽩兰地;⽩酒;鸡尾酒;葡萄酒;⽶酒;⻩酒;⾷⽤酒精;酒精饮料（啤酒除外）;果酒（含酒精）;含⽔果酒精饮料</t>
  </si>
  <si>
    <t>白久滇</t>
  </si>
  <si>
    <t>葡萄酒;⾷⽤酒精;果酒（含酒精）;鸡尾酒;⻩酒;含⽔果酒精饮料;⽩酒;酒精饮料（啤酒除外）;⽶酒;⽩兰地</t>
  </si>
  <si>
    <t>拓斧</t>
  </si>
  <si>
    <t>安徽展徽酒业有限公司</t>
  </si>
  <si>
    <t>⽶酒;烧酒;⽩酒;葡萄酒;烈酒（饮料）;开胃酒;果酒（含酒精）;鸡尾酒;利⼝酒;酒精饮料（啤酒除外）</t>
  </si>
  <si>
    <t>海陀碗</t>
  </si>
  <si>
    <t>北京国家高山滑雪有限公司</t>
  </si>
  <si>
    <t>果酒（含酒精）;酒精饮料（啤酒除外）;⻩酒;鸡尾酒;清酒（⽇本⽶酒）;开胃酒;⽶酒;葡萄酒;含酒精的充⽓饮料（啤酒除外）;⽩酒</t>
  </si>
  <si>
    <t>御廷古酒</t>
  </si>
  <si>
    <t>张俊杰</t>
  </si>
  <si>
    <t>⽩酒;果酒（含酒精）;含酒精的饮料（啤酒除外）;清酒（⽇本⽶酒）;鸡尾酒;⽶酒;⻩酒;烈酒;葡萄酒;果酒</t>
  </si>
  <si>
    <t>华益福</t>
  </si>
  <si>
    <t>惠老益少健康管理有限公司</t>
  </si>
  <si>
    <t>果酒（含酒精）;葡萄酒;酒精饮料（啤酒除外）;⽩兰地;⻩酒;⽩酒;鸡尾酒;蜂蜜酒;利⼝酒;⽶酒</t>
  </si>
  <si>
    <t>富贵师</t>
  </si>
  <si>
    <t>张雨林</t>
  </si>
  <si>
    <t>鸡尾酒;⻩酒;开胃酒;葡萄酒;果酒（含酒精）;烈酒;清酒（⽇本⽶酒）;威⼠忌;⽩酒;酒精饮料（啤酒除外）</t>
  </si>
  <si>
    <t>名藏华府</t>
  </si>
  <si>
    <t>葡萄酒;烈酒;⽩酒;⻩酒;开胃酒;鸡尾酒;威⼠忌;酒精饮料（啤酒除外）;清酒（⽇本⽶酒）;果酒（含酒精）</t>
  </si>
  <si>
    <t>仙村京</t>
  </si>
  <si>
    <t>黄依凡</t>
  </si>
  <si>
    <t>果酒（含酒精）;⽩酒;葡萄酒;⻩酒;威⼠忌;鸡尾酒;酒精饮料（啤酒除外）;烈酒;清酒（⽇本⽶酒）;开胃酒</t>
  </si>
  <si>
    <t>醉王美</t>
  </si>
  <si>
    <t>酒精饮料（啤酒除外）;⽩酒;烈酒;开胃酒;鸡尾酒;清酒（⽇本⽶酒）;⻩酒;葡萄酒;果酒（含酒精）;威⼠忌</t>
  </si>
  <si>
    <t>坤殿</t>
  </si>
  <si>
    <t>吴爱娜</t>
  </si>
  <si>
    <t>⽩酒;酒精饮料（啤酒除外）;烈酒（饮料）;葡萄酒;果酒;⾼粱酒;烧酒（烈酒）;⽶酒;利⼝酒;⻩酒</t>
  </si>
  <si>
    <t>老毕酒</t>
  </si>
  <si>
    <t>果酒;⽼酒（中国蒸馏烈酒）;⻘稞酒;⾼粱酒;烧酒;⽶酒;⻩酒;⽩酒;露酒;葡萄酒</t>
  </si>
  <si>
    <t>龟迹轻舟</t>
  </si>
  <si>
    <t>乐清市千工电器有限公司</t>
  </si>
  <si>
    <t>烈酒（饮料）;⽩酒;⽩兰地;果酒（含酒精）;⽶酒;⻩酒;葡萄酒;威⼠忌;清酒（⽇本⽶酒）;酒精饮料（啤酒除外）</t>
  </si>
  <si>
    <t>破天机</t>
  </si>
  <si>
    <t>果酒（含酒精）;葡萄酒;鸡尾酒;⽶酒;烈酒（饮料）;⻩酒;含⽔果酒精饮料;烧酒;蜂蜜酒;⽩酒</t>
  </si>
  <si>
    <t>2024/05/30</t>
  </si>
  <si>
    <t>GROOTE POST</t>
  </si>
  <si>
    <t>南非昌隆贸易有限公司</t>
  </si>
  <si>
    <t>葡萄酒;朗姆酒;开胃酒;佐餐酒;鸡尾酒;甜果酒;⽩兰地;果酒（含酒精）;以葡萄酒为主的饮料;威⼠忌</t>
  </si>
  <si>
    <t>杨朦</t>
  </si>
  <si>
    <t>贵州酒香台酒业有限公司</t>
  </si>
  <si>
    <t>酒精饮料（啤酒除外）;⾷⽤酒精;烧酒;⻘稞酒;⽩酒;葡萄酒;⽶酒;⻩酒;蒸馏饮料;果酒（含酒精）</t>
  </si>
  <si>
    <t>谋涛</t>
  </si>
  <si>
    <t>朱爱梅</t>
  </si>
  <si>
    <t>蒸馏饮料;清酒;⽩酒;果酒（含酒精）;含⽔果酒精饮料;威⼠忌;葡萄酒;⽶酒;酒精饮料（啤酒除外）;⻩酒</t>
  </si>
  <si>
    <t>钓红尘</t>
  </si>
  <si>
    <t>贵州臻品名酒业有限公司</t>
  </si>
  <si>
    <t>⽩兰地;⽩酒;果酒（含酒精）;酒精饮料（啤酒除外）;烧酒;开胃酒;蜂蜜酒;葡萄酒;含⽔果酒精饮料;鸡尾酒</t>
  </si>
  <si>
    <t>露赏</t>
  </si>
  <si>
    <t>⽩酒;⻩酒;开胃酒;酒精饮料（啤酒除外）;清酒（⽇本⽶酒）;果酒（含酒精）;鸡尾酒;威⼠忌;葡萄酒;烈酒</t>
  </si>
  <si>
    <t>流芳久</t>
  </si>
  <si>
    <t>梁匀劲</t>
  </si>
  <si>
    <t>开胃酒;果酒（含酒精）;酒精饮料（啤酒除外）;⽩酒;⻩酒;鸡尾酒;葡萄酒;清酒（⽇本⽶酒）;威⼠忌;烈酒</t>
  </si>
  <si>
    <t>商盈</t>
  </si>
  <si>
    <t>李圆圆</t>
  </si>
  <si>
    <t>鸡尾酒;威⼠忌;烈酒;葡萄酒;⽩酒;酒精饮料（啤酒除外）;⻩酒;果酒（含酒精）;开胃酒;清酒（⽇本⽶酒）</t>
  </si>
  <si>
    <t>乾份</t>
  </si>
  <si>
    <t>卿建辉</t>
  </si>
  <si>
    <t>蜂蜜酒;威⼠忌;⽩酒;果酒（含酒精）;鸡尾酒;蒸馏饮料;⽩兰地;含⽔果酒精饮料;⽶酒;葡萄酒</t>
  </si>
  <si>
    <t>永朝夕</t>
  </si>
  <si>
    <t>赋能（南通）信息科技有限公司</t>
  </si>
  <si>
    <t>⽩酒;红葡萄酒;果酒;⻩酒;含酒精的⽓泡⽔;露酒;清酒;⽶酒;含酒精⽔果饮料;⽩葡萄酒</t>
  </si>
  <si>
    <t>开谈</t>
  </si>
  <si>
    <t>⽩酒;烧酒;果酒（含酒精）;⻩酒;威⼠忌;⽩兰地;葡萄酒;⽶酒;清酒（⽇本⽶酒）;⻘稞酒</t>
  </si>
  <si>
    <t>兴醹</t>
  </si>
  <si>
    <t>济航干细胞生物科技（沈阳）有限公司</t>
  </si>
  <si>
    <t>葡萄酒;⽩酒;烈酒;⻩酒;鸡尾酒;⽩⼲酒（中国⽩酒）;含酒精的充⽓饮料（啤酒除外）;⽶酒;⽼酒（中国蒸馏烈酒）;果酒</t>
  </si>
  <si>
    <t>檀庄</t>
  </si>
  <si>
    <t>河南檀庄商贸有限公司</t>
  </si>
  <si>
    <t>清酒（⽇本⽶酒）;⽶酒;果酒（含酒精）;⻩酒;苹果酒;烧酒;葡萄酒;⽩酒;⻘稞酒;鸡尾酒</t>
  </si>
  <si>
    <t>汉云纪</t>
  </si>
  <si>
    <t>江苏尚元投资管理有限公司</t>
  </si>
  <si>
    <t>鸡尾酒;葡萄酒;⽩酒;果酒（含酒精）;汽酒;酒精饮料原汁;烈酒（饮料）;蒸馏饮料;酒精饮料（啤酒除外）;威⼠忌</t>
  </si>
  <si>
    <t>陡街</t>
  </si>
  <si>
    <t>昭通牛厨餐饮服务有限公司</t>
  </si>
  <si>
    <t>鸡尾酒;蒸馏饮料;⽩兰地;葡萄酒;⽩酒;威⼠忌;⽶酒;烧酒;果酒（含酒精）;⻩酒</t>
  </si>
  <si>
    <t>宋河九真壶</t>
  </si>
  <si>
    <t>河南省宋河酒业股份有限公司</t>
  </si>
  <si>
    <t>鸡尾酒;葡萄酒;酒精饮料原汁;薄荷酒;开胃酒;清酒（⽇本⽶酒）;⽩酒;果酒（含酒精）;酒精饮料（啤酒除外）;⽶酒</t>
  </si>
  <si>
    <t>爱尚鸭小乐</t>
  </si>
  <si>
    <t>康旭</t>
  </si>
  <si>
    <t>葡萄酒;⻩酒;果酒;⽩兰地;含⽔果酒精饮料;⽶酒;⾷⽤酒精;烧酒;酒精饮料原汁;⽩酒</t>
  </si>
  <si>
    <t>小薏</t>
  </si>
  <si>
    <t>⽩⼲酒（中国⽩酒）;⽩酒;烈酒（饮料）;烈酒;⽼酒（中国蒸馏烈酒）;苦荞酒;五加⽪酒（中国混合烈酒）;酒精饮料（啤酒除外）;由⾕物蒸馏的⽩酒;含酒精的饮料（啤酒除外）</t>
  </si>
  <si>
    <t>红鸾昭</t>
  </si>
  <si>
    <t>钱宗科65422********5055X</t>
  </si>
  <si>
    <t>⻩酒;⽼酒（中国蒸馏烈酒）;汽酒;葡萄酒;⽩酒;⽩兰地;甜酒;果酒;威⼠忌;清酒</t>
  </si>
  <si>
    <t>FENG'S STORY</t>
  </si>
  <si>
    <t>成程科技集团有限责任公司</t>
  </si>
  <si>
    <t>鸡尾酒;酒精饮料（啤酒除外）;蒸煮提取物（利⼝酒和烈酒）;开胃酒;葡萄酒;⻩酒;⽩酒;烈酒（饮料）;⽶酒;烧酒</t>
  </si>
  <si>
    <t>邑葆堂</t>
  </si>
  <si>
    <t>广州慧力文化传媒有限公司</t>
  </si>
  <si>
    <t>开胃酒;⻘稞酒;⽩酒;蜂蜜酒;苹果酒;葡萄酒;⻩酒;⽶酒</t>
  </si>
  <si>
    <t>友京典</t>
  </si>
  <si>
    <t>乔春桃</t>
  </si>
  <si>
    <t>烈酒;⾷⽤酒精;⾼粱酒;⽩酒;利⼝酒;威⼠忌;果酒;鸡尾酒;⽶酒;⻩酒</t>
  </si>
  <si>
    <t>华商灯塔</t>
  </si>
  <si>
    <t>贵州盛捷通贸易有限公司</t>
  </si>
  <si>
    <t>葡萄酒;⽩酒;⻘稞酒;果酒;果酒（含酒精）;⻩酒;梅酒;甜果酒;⽼酒（中国蒸馏烈酒）;⽶酒</t>
  </si>
  <si>
    <t>指间甄选</t>
  </si>
  <si>
    <t>珠海市指间文化传媒有限公司</t>
  </si>
  <si>
    <t>清酒（⽇本⽶酒）;苦味酒;葡萄酒;果酒（含酒精）;⽩酒;⻩酒;烈酒（饮料）;⽶酒;烧酒;薄荷酒</t>
  </si>
  <si>
    <t>古河名</t>
  </si>
  <si>
    <t>曹洪峰</t>
  </si>
  <si>
    <t>开胃酒;⽶酒;⽩酒;果酒（含酒精）;威⼠忌;⽩兰地;鸡尾酒;烈酒（饮料）;薄荷酒;⻩酒</t>
  </si>
  <si>
    <t>贵秘天下</t>
  </si>
  <si>
    <t>贵州枫山浙商贸有限公司</t>
  </si>
  <si>
    <t>⽶酒;苦荞酒;⾼粱酒;⻩酒;⽼酒（中国蒸馏烈酒）;清酒;果酒（含酒精）;⽩酒;葡萄酒;烧酒（烈酒）</t>
  </si>
  <si>
    <t>同泽和</t>
  </si>
  <si>
    <t>张功辉（140121********1535）</t>
  </si>
  <si>
    <t>⻩酒;⽩兰地;⽶酒;⽩酒;烧酒;清酒;开胃酒;烈酒（饮料）;葡萄酒;威⼠忌</t>
  </si>
  <si>
    <t>古优特</t>
  </si>
  <si>
    <t>古江涛</t>
  </si>
  <si>
    <t>果酒（含酒精）;蒸馏饮料;蜂蜜酒;⽩酒;汽酒;烈酒（饮料）;酒精饮料（啤酒除外）;蒸煮提取物（利⼝酒和烈酒）;⻩酒;烧酒</t>
  </si>
  <si>
    <t>九邦福禧</t>
  </si>
  <si>
    <t>湖北和美华农牧有限公司</t>
  </si>
  <si>
    <t>烧酒;苦荞酒;⽼酒（中国蒸馏烈酒）;葡萄酒;⻩酒;⾼粱酒;⽶酒;⽩酒;烧酒（烈酒）;⽩⼲酒（中国⽩酒）</t>
  </si>
  <si>
    <t>皓云</t>
  </si>
  <si>
    <t>曾念一</t>
  </si>
  <si>
    <t>烧酒;清酒（⽇本⽶酒）;果酒（含酒精）;烈酒（饮料）;酒精饮料（啤酒除外）;葡萄酒;⻩酒;⽩酒;鸡尾酒;⽶酒</t>
  </si>
  <si>
    <t>景浔</t>
  </si>
  <si>
    <t>黄传永</t>
  </si>
  <si>
    <t>烈酒;果酒（含酒精）;⻩酒;⽩酒;酒精饮料（啤酒除外）;葡萄酒;开胃酒;清酒（⽇本⽶酒）;威⼠忌;鸡尾酒</t>
  </si>
  <si>
    <t>春之辰</t>
  </si>
  <si>
    <t>晋凯</t>
  </si>
  <si>
    <t>⾼粱酒;烧酒（烈酒）;⽼酒（中国蒸馏烈酒）;葡萄酒;⽶酒;⽩酒;清酒;烈酒（饮料）;⽩⼲酒（中国⽩酒）;果酒</t>
  </si>
  <si>
    <t>西郊山林</t>
  </si>
  <si>
    <t>黑龙江省皮亚诺科技发展有限公司</t>
  </si>
  <si>
    <t>酒精饮料浓缩汁;含⽔果酒精饮料;预先混合的酒精饮料（以啤酒为主的除外）;⽩酒;烧酒;蒸馏饮料;⻩酒;酸酒（低等葡萄酒）;酒精饮料（啤酒除外）;果酒（含酒精）</t>
  </si>
  <si>
    <t>椰刻</t>
  </si>
  <si>
    <t>椰刻（上海）饮料有限公司</t>
  </si>
  <si>
    <t>樱桃⽩兰地;鸡尾酒;葡萄酒;⽔果汽酒;伏特加酒;⻨芽威⼠忌;⻘梅酒;红葡萄酒;含酒精的⽓泡⽔;⽩酒</t>
  </si>
  <si>
    <t>上海小就是大企业服务有限公司</t>
  </si>
  <si>
    <t>含⽔果酒精饮料;⻩酒;清酒;开胃酒;⽩酒;⽶酒;果酒（含酒精）;葡萄酒;清酒（⽇本⽶酒）;鸡尾酒</t>
  </si>
  <si>
    <t>大眼姑娘</t>
  </si>
  <si>
    <t>蜂蜜酒;开胃酒;葡萄酒;⽶酒;⻘稞酒;⽩酒;⻩酒;苹果酒</t>
  </si>
  <si>
    <t>五醍浆 尊品</t>
  </si>
  <si>
    <t>含⽔果酒精饮料;⽩酒;果酒（含酒精）;⻩酒;⽶酒;葡萄酒;烧酒;清酒（⽇本⽶酒）;酒精饮料（啤酒除外）;鸡尾酒</t>
  </si>
  <si>
    <t>五醍浆 鉴藏</t>
  </si>
  <si>
    <t>葡萄酒;⻩酒;鸡尾酒;烧酒;含⽔果酒精饮料;清酒（⽇本⽶酒）;⽶酒;酒精饮料（啤酒除外）;果酒（含酒精）;⽩酒</t>
  </si>
  <si>
    <t>锦禧福</t>
  </si>
  <si>
    <t>⽶酒;果酒（含酒精）;⽩酒;含酒精的饮料（啤酒除外）;清酒;⽩⼲酒（中国⽩酒）;葡萄酒;汽酒;烧酒;⻩酒</t>
  </si>
  <si>
    <t>义念</t>
  </si>
  <si>
    <t>大同国子监文化发展有限公司</t>
  </si>
  <si>
    <t>葡萄酒;⻩酒;酒精饮料（啤酒除外）;伏特加酒;⾷⽤酒精;⽩酒;烈酒（饮料）;威⼠忌;⽩兰地;果酒（含酒精）</t>
  </si>
  <si>
    <t>泉城黑虎泉</t>
  </si>
  <si>
    <t>山东创新科学技术公司</t>
  </si>
  <si>
    <t>⽩酒;烧酒;⻩酒;伏特加酒;果酒（含酒精）;⽩兰地;⽶酒;酒精饮料原汁;葡萄酒;含⽔果酒精饮料</t>
  </si>
  <si>
    <t>龙驭高歌 DRAGON CHANT</t>
  </si>
  <si>
    <t>上海龙驭高歌贸易合伙企业（有限合伙）</t>
  </si>
  <si>
    <t>⾕物制蒸馏酒精饮料;预先混合的酒精饮料（以啤酒为主的除外）;⽩酒;果酒（含酒精）;⽶酒;含⽔果酒精饮料;威⼠忌;鸡尾酒;酒精饮料（啤酒除外）;葡萄酒</t>
  </si>
  <si>
    <t>给境</t>
  </si>
  <si>
    <t>大布</t>
  </si>
  <si>
    <t>⽩兰地;烧酒;果酒（含酒精）;⻘稞酒;⽩酒;⽶酒;⻩酒;酒精饮料（啤酒除外）;威⼠忌;葡萄酒</t>
  </si>
  <si>
    <t>贵商酌悦</t>
  </si>
  <si>
    <t>厦门伍杯叁盏酒业有限公司</t>
  </si>
  <si>
    <t>清酒;果酒（含酒精）;蒸煮提取物（利⼝酒和烈酒）;葡萄酒;酒精饮料（啤酒除外）;烧酒;⽩兰地;⻩酒;威⼠忌;⽩酒</t>
  </si>
  <si>
    <t>靓仔泸</t>
  </si>
  <si>
    <t>四川清圣茗林商贸有限公司</t>
  </si>
  <si>
    <t>⽩酒;⽶酒;果酒;露酒;⻘稞酒;⾼粱酒;⻩酒;含酒精的饮料（啤酒除外）;烈酒;葡萄酒</t>
  </si>
  <si>
    <t>盼乐全</t>
  </si>
  <si>
    <t>吴余珍</t>
  </si>
  <si>
    <t>⻩酒;威⼠忌;烧酒;⾷⽤酒精;⻘稞酒;烈酒（饮料）;⽩酒;⽶酒;果酒（含酒精）;含⽔果酒精饮料</t>
  </si>
  <si>
    <t>今自在·传奇社</t>
  </si>
  <si>
    <t>威⼠忌;鸡尾酒;清酒（⽇本⽶酒）;餐后酒（利⼝酒和烈酒）;朗姆酒;葡萄酒;酒精饮料（啤酒除外）;⽩兰地;烈酒（饮料）;⽩酒</t>
  </si>
  <si>
    <t>大树迎福</t>
  </si>
  <si>
    <t>泸州古泉洞酒业股份有限公司</t>
  </si>
  <si>
    <t>利⼝酒;威⼠忌;⽶酒;⽩酒;烧酒;果酒（含酒精）;葡萄酒;⻩酒;⻘稞酒;⽩兰地</t>
  </si>
  <si>
    <t>立劲</t>
  </si>
  <si>
    <t>王俊波</t>
  </si>
  <si>
    <t>⽩⼲酒（中国⽩酒）;⽶酒;烧酒（烈酒）;⽼酒（中国蒸馏烈酒）;⻩酒;鸡尾酒;⾼粱酒;⽩酒;烈酒;果酒（含酒精）</t>
  </si>
  <si>
    <t>蓉滋</t>
  </si>
  <si>
    <t>内蒙古惠夷生物科技有限公司</t>
  </si>
  <si>
    <t>⻩酒;⽩酒;开胃酒;葡萄酒;果酒（含酒精）;烧酒;烈酒（饮料）;酒精饮料（啤酒除外）;⽶酒;清酒（⽇本⽶酒）</t>
  </si>
  <si>
    <t>古蜀谜地</t>
  </si>
  <si>
    <t>什邡市雍城远鑫商贸经营部</t>
  </si>
  <si>
    <t>⽶酒;烧酒;清酒;烈酒（饮料）;⾼粱酒;葡萄酒;⻩酒;烈酒;⽩酒;果酒</t>
  </si>
  <si>
    <t>虔涧</t>
  </si>
  <si>
    <t>赣州虔涧水业有限公司</t>
  </si>
  <si>
    <t>蒸馏饮料;葡萄酒;⻩酒;酒精饮料原汁;⾷⽤酒精;烧酒;⽶酒;烈酒（饮料）;⽩酒;果酒（含酒精）</t>
  </si>
  <si>
    <t>白圭</t>
  </si>
  <si>
    <t>洛阳市睿真水蓝饮品科技有限公司</t>
  </si>
  <si>
    <t>酒精饮料浓缩汁;含酒精的⽓泡⽔;苦味酒;葡萄酒;威⼠忌;苹果酒;⽩酒;⻩酒;伏特加酒;⽩葡萄酒</t>
  </si>
  <si>
    <t>玺醉台</t>
  </si>
  <si>
    <t>王亚伟</t>
  </si>
  <si>
    <t>⽶酒;⽩酒;甜酒;葡萄酒;⻩酒;⽼酒（中国蒸馏烈酒）;含酒精的饮料（啤酒除外）;烧酒;清酒;果酒</t>
  </si>
  <si>
    <t>川课思</t>
  </si>
  <si>
    <t>扬州诚恩车船配件有限公司</t>
  </si>
  <si>
    <t>⽶酒;葡萄酒;果酒（含酒精）;⽩酒</t>
  </si>
  <si>
    <t>银川新华百货连锁超市有限公司</t>
  </si>
  <si>
    <t>蒸馏饮料;餐后酒（利⼝酒和烈酒）;含⽔果酒精饮料;⽶酒;预先混合的酒精饮料（以啤酒为主的除外）;果酒（含酒精）;葡萄酒;开胃酒;酒精饮料（啤酒除外）;鸡尾酒</t>
  </si>
  <si>
    <t>邑喆</t>
  </si>
  <si>
    <t>江门市泰好贸易有限公司</t>
  </si>
  <si>
    <t>五加⽪酒（中国混合烈酒）;⽩兰地;开胃酒;⽶酒;薄荷酒;威⼠忌;烈酒;清酒;⻩酒;烧酒</t>
  </si>
  <si>
    <t>洪楚传奇</t>
  </si>
  <si>
    <t>贵州虹楚传媒有限责任公司</t>
  </si>
  <si>
    <t>杨梅酒;⾼粱酒;烈酒;⻩酒;清酒;酒精饮料（啤酒除外）;葡萄酒;含⽔果酒精饮料;伏特加酒;⽩酒</t>
  </si>
  <si>
    <t>六桥人家</t>
  </si>
  <si>
    <t>南通品质寿都生活馆贸易有限公司</t>
  </si>
  <si>
    <t>⽩酒;葡萄酒;清酒（⽇本⽶酒）;酒精饮料（啤酒除外）;开胃酒;⻩酒;含⽔果酒精饮料;⽶酒;果酒（含酒精）;烧酒</t>
  </si>
  <si>
    <t>VTUN 卫顿</t>
  </si>
  <si>
    <t>安徽卫顿医疗科技有限公司</t>
  </si>
  <si>
    <t>⽩兰地;清酒（⽇本⽶酒）;伏特加酒;薄荷酒;朗姆酒;利⼝酒;鸡尾酒;葡萄酒;⽶酒;果酒（含酒精）</t>
  </si>
  <si>
    <t>柔奕</t>
  </si>
  <si>
    <t>葡萄酒;⾼粱酒;清酒;苦荞酒;烧酒（烈酒）;⽼酒（中国蒸馏烈酒）;⽶酒;⻩酒;果酒（含酒精）;⽩酒</t>
  </si>
  <si>
    <t>铁水牛</t>
  </si>
  <si>
    <t>河南豫贡酒业有限公司</t>
  </si>
  <si>
    <t>开胃酒;烧酒;清酒（⽇本⽶酒）;葡萄酒;⽶酒;⽩酒;⻩酒;⻘稞酒;果酒（含酒精）;酒精饮料原汁</t>
  </si>
  <si>
    <t>岭洲</t>
  </si>
  <si>
    <t>甜酒;梅酒;⽶酒;烧酒;开胃酒;⽩酒;甜果酒;⻘稞酒;果酒;葡萄酒</t>
  </si>
  <si>
    <t>寻风觅艺</t>
  </si>
  <si>
    <t>杭州术本科技有限公司</t>
  </si>
  <si>
    <t>葡萄酒;⽶酒;⻩酒;果酒（含酒精）;酒精饮料（啤酒除外）;烈酒（饮料）;烧酒;⽩酒;蒸馏饮料;⾕物制蒸馏酒精饮料</t>
  </si>
  <si>
    <t>MOJJ</t>
  </si>
  <si>
    <t>北京广义兴隆商贸有限公司</t>
  </si>
  <si>
    <t>烈酒（饮料）;⽩兰地;威⼠忌;含⽔果酒精饮料;⽩酒;预先混合的酒精饮料（以啤酒为主的除外）;果酒（含酒精）;酒精饮料（啤酒除外）;烧酒（烈酒）;朗姆酒</t>
  </si>
  <si>
    <t>颜华风貌</t>
  </si>
  <si>
    <t>国药药材（河南）中原药谷产业研究院管理有限公司</t>
  </si>
  <si>
    <t>酒精饮料（啤酒除外）;⽩酒;开胃酒;酒精饮料原汁;蜂蜜酒;烧酒;果酒（含酒精）;⾕物制蒸馏酒精饮料;汽酒</t>
  </si>
  <si>
    <t>禧臻龙</t>
  </si>
  <si>
    <t>⾕物制蒸馏酒精饮料;⻩酒;葡萄酒;烧酒;⾷⽤酒精;果酒（含酒精）;⽩兰地;⽶酒;伏特加酒;⽩酒</t>
  </si>
  <si>
    <t>贵州省仁怀市珍品酒业（集团）有限公司</t>
  </si>
  <si>
    <t>果酒;葡萄酒;⾼粱酒;烧酒（烈酒）;烧酒;⽩酒;鸡尾酒;⻘稞酒;⽶酒;⻩酒</t>
  </si>
  <si>
    <t>桃序</t>
  </si>
  <si>
    <t>洪丽卿</t>
  </si>
  <si>
    <t>鸡尾酒;葡萄酒;威⼠忌;烈酒;⽩酒;酒精饮料（啤酒除外）;⻩酒;果酒（含酒精）;开胃酒;清酒（⽇本⽶酒）</t>
  </si>
  <si>
    <t>豪奇奇 HAO KII KII</t>
  </si>
  <si>
    <t>利⼝酒;⽩酒;⻩酒;葡萄酒;烧酒;清酒（⽇本⽶酒）;酒精饮料浓缩汁;含⽔果酒精饮料;⾕物制蒸馏酒精饮料;⽶酒</t>
  </si>
  <si>
    <t>主率</t>
  </si>
  <si>
    <t>钱凤娥</t>
  </si>
  <si>
    <t>清酒（⽇本⽶酒）;⻩酒;烧酒;⽩酒;葡萄酒;朗姆酒;果酒（含酒精）;酒精饮料（啤酒除外）;鸡尾酒;伏特加酒</t>
  </si>
  <si>
    <t>九重映泉</t>
  </si>
  <si>
    <t>北京翎钥文化科技有限公司</t>
  </si>
  <si>
    <t>⽶酒;⻩酒;烧酒;葡萄酒;⽩兰地;酒精饮料（啤酒除外）;果酒（含酒精）;⽩酒;清酒;朗姆酒</t>
  </si>
  <si>
    <t>玗起尚</t>
  </si>
  <si>
    <t>蔡承敏</t>
  </si>
  <si>
    <t>烧酒;果酒;⾼粱酒;酒精饮料（啤酒除外）;⽩酒;⻩酒;利⼝酒;⽶酒;蒸馏饮料;葡萄酒</t>
  </si>
  <si>
    <t>华木之本</t>
  </si>
  <si>
    <t>汽酒;⾕物制蒸馏酒精饮料;⽩酒;果酒（含酒精）;烧酒;蜂蜜酒;开胃酒;酒精饮料原汁;酒精饮料（啤酒除外）</t>
  </si>
  <si>
    <t>知窖台</t>
  </si>
  <si>
    <t>葡萄酒;清酒;甜酒;⽼酒（中国蒸馏烈酒）;⽶酒;果酒;⻩酒;含酒精的饮料（啤酒除外）;⽩酒;烧酒</t>
  </si>
  <si>
    <t>柏圣世家</t>
  </si>
  <si>
    <t>刘玉华</t>
  </si>
  <si>
    <t>果酒（含酒精）;威⼠忌;葡萄酒;朗姆酒;清酒;烧酒;红葡萄酒;⽩酒;伏特加酒;含酒精的⽔果鸡尾酒饮料</t>
  </si>
  <si>
    <t>虹之宝</t>
  </si>
  <si>
    <t>果酒（含酒精）;鸡尾酒;甜果酒;开胃酒;朗姆酒;佐餐酒;葡萄酒;威⼠忌;以葡萄酒为主的饮料;⽩兰地</t>
  </si>
  <si>
    <t>放牛总裁</t>
  </si>
  <si>
    <t>深圳市热销科技有限公司</t>
  </si>
  <si>
    <t>鸡尾酒;清酒（⽇本⽶酒）;⽩酒;⻩酒;威⼠忌;酒精饮料（啤酒除外）;开胃酒;果酒（含酒精）;烈酒（饮料）;葡萄酒</t>
  </si>
  <si>
    <t>汉礼</t>
  </si>
  <si>
    <t>贵州汉礼酱酒研究院</t>
  </si>
  <si>
    <t>⽩酒;酒精饮料（啤酒除外）;⽶酒;⻩酒;烧酒;预先混合的酒精饮料（以啤酒为主的除外）;⽩⼲酒（中国⽩酒）;葡萄酒;烈酒（饮料）;清酒（⽇本⽶酒）</t>
  </si>
  <si>
    <t>薏筠</t>
  </si>
  <si>
    <t>酒精饮料（啤酒除外）;由⾕物蒸馏的⽩酒;含酒精的饮料（啤酒除外）;五加⽪酒（中国混合烈酒）;⽼酒（中国蒸馏烈酒）;烈酒;⽩酒;⽩⼲酒（中国⽩酒）;苦荞酒;烈酒（饮料）</t>
  </si>
  <si>
    <t>薏老头</t>
  </si>
  <si>
    <t>烈酒（饮料）;五加⽪酒（中国混合烈酒）;苦荞酒;烈酒;⽼酒（中国蒸馏烈酒）;⽩⼲酒（中国⽩酒）;⽩酒;含酒精的饮料（啤酒除外）;酒精饮料（啤酒除外）;由⾕物蒸馏的⽩酒</t>
  </si>
  <si>
    <t>竹君匠</t>
  </si>
  <si>
    <t>王丹522131********4923</t>
  </si>
  <si>
    <t>⽩酒;葡萄酒;酒精饮料（啤酒除外）;烈酒（饮料）;⽢蔗制烈酒;鸡尾酒;⽶酒;果酒（含酒精）;⻩酒;烧酒</t>
  </si>
  <si>
    <t>水韵晏月楼</t>
  </si>
  <si>
    <t>江苏晏月楼酒店管理有限公司</t>
  </si>
  <si>
    <t>果酒（含酒精）;葡萄酒;⽩酒;烈酒（饮料）;⽶酒;烧酒;甜酒;清酒（⽇本⽶酒）;⻩酒;酒精饮料（啤酒除外）</t>
  </si>
  <si>
    <t>呼伦贝尔博克图镇森鹿酒业有限公司</t>
  </si>
  <si>
    <t>以蒸馏酒为主的开胃酒;⽼酒（中国蒸馏烈酒）;⽩⼲酒（中国⽩酒）;⽩酒;烈酒;烧酒（烈酒）;蒸煮提取物（利⼝酒和烈酒）;餐后酒（利⼝酒和烈酒）;烧酒;由⾕物蒸馏的⽩酒</t>
  </si>
  <si>
    <t>范水板桥</t>
  </si>
  <si>
    <t>江苏赤马科技有限公司</t>
  </si>
  <si>
    <t>⻘稞酒;葡萄酒;蒸馏饮料;含⽔果酒精饮料;⽩兰地;威⼠忌;鸡尾酒;⽩酒;伏特加酒;⽶酒</t>
  </si>
  <si>
    <t>时代华明</t>
  </si>
  <si>
    <t>内蒙古华明食品集团有限公司</t>
  </si>
  <si>
    <t>⽶酒;鸡尾酒;葡萄酒;清酒（⽇本⽶酒）;烈酒（饮料）;酒精饮料（啤酒除外）;⻩酒;⽩酒;果酒（含酒精）;烧酒</t>
  </si>
  <si>
    <t>世至樽</t>
  </si>
  <si>
    <t>威⼠忌;含⽔果酒精饮料;蒸馏饮料;鸡尾酒;⽶酒;⽩酒;蜂蜜酒;果酒（含酒精）;葡萄酒;⽩兰地</t>
  </si>
  <si>
    <t>虾之父</t>
  </si>
  <si>
    <t>金锐</t>
  </si>
  <si>
    <t>⽩酒;汽酒;酸酒（低等葡萄酒）;桃红葡萄酒;威⼠忌;伏特加酒;以葡萄酒为主的饮料;酒精饮料（啤酒除外）;葡萄酒;蒸馏饮料</t>
  </si>
  <si>
    <t>香丝飘逸</t>
  </si>
  <si>
    <t>何道牛</t>
  </si>
  <si>
    <t>蒸馏饮料;酒精饮料（啤酒除外）;含⽔果酒精饮料;含酒精的⽓泡⽔;⾕物制蒸馏酒精饮料;⽩酒;⻩酒;苹果酒;⽶酒;⽢蔗制酒精饮料</t>
  </si>
  <si>
    <t>知窖祖</t>
  </si>
  <si>
    <t>果酒;⻩酒;⽩酒;清酒;⽼酒（中国蒸馏烈酒）;甜酒;⽶酒;烧酒;葡萄酒;含酒精的饮料（啤酒除外）</t>
  </si>
  <si>
    <t>琼和简</t>
  </si>
  <si>
    <t>孔祥豪</t>
  </si>
  <si>
    <t>蒸馏饮料;含⽔果酒精饮料;烧酒;清酒;鸡尾酒;威⼠忌;⽩酒;果酒（含酒精）;酒精饮料原汁;烈酒（饮料）</t>
  </si>
  <si>
    <t>宙斯闪蝶</t>
  </si>
  <si>
    <t>株式会社闪蝶</t>
  </si>
  <si>
    <t>甜果酒;除啤酒外的酒精饮料;清酒;含⽔果酒精饮料;鸡尾酒;⾷⽤酒精;葡萄酒;烧酒;⽩酒;预先混合的酒精饮料（以啤酒为主的除外）</t>
  </si>
  <si>
    <t>杨半城</t>
  </si>
  <si>
    <t>四川杨半城食品有限责任公司</t>
  </si>
  <si>
    <t>威⼠忌;利⼝酒;⻩酒;烧酒;果酒（含酒精）;⽩酒;⽶酒;烈酒（饮料）;酒精饮料（啤酒除外）;葡萄酒</t>
  </si>
  <si>
    <t>子渊公</t>
  </si>
  <si>
    <t>曲阜尼山圣母酒庄有限公司</t>
  </si>
  <si>
    <t>铜鱼</t>
  </si>
  <si>
    <t>⽩⼲酒（中国⽩酒）;柑⾹酒;⾼粱酒;清酒;⽩酒;利⼝酒;开胃酒;⽼酒（中国蒸馏烈酒）;由⾕物蒸馏的⽩酒;苦味酒</t>
  </si>
  <si>
    <t>贾老六</t>
  </si>
  <si>
    <t>贾继鹏</t>
  </si>
  <si>
    <t>⽩兰地;葡萄酒;⻩酒;⽩酒;鸡尾酒;含⽔果酒精饮料;⾕物制蒸馏酒精饮料;⽶酒;果酒（含酒精）;威⼠忌</t>
  </si>
  <si>
    <t>众说</t>
  </si>
  <si>
    <t>景晓丽</t>
  </si>
  <si>
    <t>葡萄酒;果酒（含酒精）;⻩酒;威⼠忌;烧酒;⽶酒;酒精饮料（啤酒除外）;露酒;⽩酒;⻘稞酒</t>
  </si>
  <si>
    <t>昆酌</t>
  </si>
  <si>
    <t>⽩酒;⻘稞酒;果酒（含酒精）;酒精饮料（啤酒除外）;⻩酒;威⼠忌;露酒;烧酒;⽶酒;葡萄酒</t>
  </si>
  <si>
    <t>贵商琼玉</t>
  </si>
  <si>
    <t>威⼠忌;清酒;⽩酒;烧酒;果酒（含酒精）;⽩兰地;酒精饮料（啤酒除外）;⻩酒;葡萄酒;蒸煮提取物（利⼝酒和烈酒）</t>
  </si>
  <si>
    <t>全太烧坊</t>
  </si>
  <si>
    <t>贵州全太品牌管理有限公司</t>
  </si>
  <si>
    <t>威⼠忌;烧酒;⽩酒;薄荷酒;清酒（⽇本⽶酒）;酒精饮料（啤酒除外）;烈酒（饮料）;葡萄酒;⻩酒;果酒（含酒精）</t>
  </si>
  <si>
    <t>刘程程</t>
  </si>
  <si>
    <t>武汉市刘程程餐饮管理有限公司</t>
  </si>
  <si>
    <t>果酒;鸡尾酒;威⼠忌;⽩酒;⽶酒;含酒精⽔果饮料;果酒（含酒精）;烈酒（饮料）;烧酒;预先混合的酒精饮料（以啤酒为主的除外）</t>
  </si>
  <si>
    <t>二安</t>
  </si>
  <si>
    <t>⽩兰地;伏特加酒;酒精饮料原汁;果酒（含酒精）;⽶酒;⻩酒;含⽔果酒精饮料;烧酒;葡萄酒;⽩酒</t>
  </si>
  <si>
    <t>醉秀江</t>
  </si>
  <si>
    <t>许秀江</t>
  </si>
  <si>
    <t>鸡尾酒;由⾕物蒸馏的⽩酒;清酒;果酒（含酒精）;⽩酒;⽶酒;以葡萄酒为主的饮料;五加⽪酒（中国混合烈酒）;葡萄酒;酒精饮料（啤酒除外）</t>
  </si>
  <si>
    <t>河南龙成集团有限公司</t>
  </si>
  <si>
    <t>酒精饮料（啤酒除外）;⻩酒;威⼠忌;葡萄酒;果酒（含酒精）;⻘稞酒;烧酒;⽩酒;以葡萄酒为主的饮料;⽶酒</t>
  </si>
  <si>
    <t>尔玺玉</t>
  </si>
  <si>
    <t>尔玺玉（苏州）文化创意有限公司</t>
  </si>
  <si>
    <t>薄荷酒;烧酒;⻩酒;烈酒（饮料）;⽩兰地;⽶酒;威⼠忌;⽩酒;果酒（含酒精）;葡萄酒</t>
  </si>
  <si>
    <t>馫森鑫</t>
  </si>
  <si>
    <t>福建兵速建筑修缮工程有限公司</t>
  </si>
  <si>
    <t>⽶酒;⽩兰地;威⼠忌;⽩酒;红葡萄酒;含酒精的饮料（啤酒除外）;⻩酒;果酒（含酒精）;鸡尾酒;葡萄酒</t>
  </si>
  <si>
    <t>九龙赋</t>
  </si>
  <si>
    <t>烧酒;⽶酒;葡萄酒;烈酒（饮料）;开胃酒;⽩酒;餐后酒（利⼝酒和烈酒）;柑⾹酒;果酒（含酒精）;⻩酒</t>
  </si>
  <si>
    <t>浙江富凯进出口有限公司</t>
  </si>
  <si>
    <t>清酒（⽇本⽶酒）;⾕物制蒸馏酒精饮料;果酒（含酒精）;葡萄酒;⽩酒;⻩酒;酒精饮料（啤酒除外）;含⽔果酒精饮料;⽶酒;烧酒</t>
  </si>
  <si>
    <t>共土情</t>
  </si>
  <si>
    <t>王增余</t>
  </si>
  <si>
    <t>葡萄酒;⾼粱酒;烧酒（烈酒）;⽩酒;⽶酒;甜酒;果酒;蜂蜜酒;露酒;含酒精的饮料（啤酒除外）</t>
  </si>
  <si>
    <t>乐呵年</t>
  </si>
  <si>
    <t>韦利兵</t>
  </si>
  <si>
    <t>烧酒;⾼粱酒;⻩酒;红葡萄酒;葡萄酒;开胃酒;⽶酒;⽩酒;鸡尾酒;果酒</t>
  </si>
  <si>
    <t>芸醍</t>
  </si>
  <si>
    <t>清酒（⽇本⽶酒）;果酒（含酒精）;⽩酒;开胃酒;⻩酒;酒精饮料（啤酒除外）;⽶酒;烧酒;葡萄酒;烈酒（饮料）</t>
  </si>
  <si>
    <t>天地鸳鸯</t>
  </si>
  <si>
    <t>深圳心灵奇迹文化传播有限公司</t>
  </si>
  <si>
    <t>⽶酒;威⼠忌;烧酒;开胃酒;烈酒（饮料）;⽩酒;葡萄酒;⻩酒;果酒;鸡尾酒</t>
  </si>
  <si>
    <t>天色美</t>
  </si>
  <si>
    <t>朱小英</t>
  </si>
  <si>
    <t>清酒（⽇本⽶酒）;⻩酒;葡萄酒;⽩酒;烧酒;果酒（含酒精）;⽩兰地;⻘稞酒;酒精饮料（啤酒除外）;威⼠忌</t>
  </si>
  <si>
    <t>北京方砖厂六十九号餐饮管理有限公司</t>
  </si>
  <si>
    <t>开胃酒;烈酒（饮料）;⽶酒;鸡尾酒;含⽔果酒精饮料;果酒;威⼠忌;⽩酒;酒精饮料（啤酒除外）;葡萄酒</t>
  </si>
  <si>
    <t>唐生果</t>
  </si>
  <si>
    <t>杭州淳夫品牌管理有限公司</t>
  </si>
  <si>
    <t>⽶酒;利⼝酒;蒸馏饮料;清酒（⽇本⽶酒）;含⽔果酒精饮料;果酒（含酒精）;蜂蜜酒;烧酒;开胃酒;⽩酒</t>
  </si>
  <si>
    <t>京督牛</t>
  </si>
  <si>
    <t>保定京督酒业有限公司</t>
  </si>
  <si>
    <t>甜果酒;含⽔果酒精饮料;⻘稞酒;⽩酒;烧酒;果酒;⽶酒;汽酒;⻩酒;烈酒</t>
  </si>
  <si>
    <t>丫丫惊  YA YA SURPRISE</t>
  </si>
  <si>
    <t>宁夏红粉佳荣酒庄有限公司</t>
  </si>
  <si>
    <t>⽩兰地;⻘稞酒;甜酒;果酒;露酒;⽩酒;开胃酒;葡萄酒;含⽔果酒精饮料;利⼝酒</t>
  </si>
  <si>
    <t>京寅面馆</t>
  </si>
  <si>
    <t>政宴酒业（山东）有限公司</t>
  </si>
  <si>
    <t>烈酒（饮料）;⽶酒;含⽔果酒精饮料;酒精饮料（啤酒除外）;⽩酒;蒸馏饮料;酒精饮料浓缩汁;果酒（含酒精）;葡萄酒;烧酒</t>
  </si>
  <si>
    <t>沽潭桥</t>
  </si>
  <si>
    <t>贵州省仁怀市金御坊酒业有限公司</t>
  </si>
  <si>
    <t>清酒;葡萄酒;酒精饮料（啤酒除外）;果酒（含酒精）;混合威⼠忌酒;⽩兰地;⻩酒;⽩酒;烧酒;烈酒（饮料）</t>
  </si>
  <si>
    <t>HUAQINGSUYAN</t>
  </si>
  <si>
    <t>北京花青素颜科技有限公司</t>
  </si>
  <si>
    <t>果酒（含酒精）;葡萄酒;开胃酒;⽶酒;预先混合的酒精饮料（以啤酒为主的除外）;果酒;烧酒;含⽔果酒精饮料;⽩酒;烈酒（饮料）</t>
  </si>
  <si>
    <t>今自在·盛友荟</t>
  </si>
  <si>
    <t>鸡尾酒;朗姆酒;⽩酒;威⼠忌;清酒（⽇本⽶酒）;葡萄酒;烈酒（饮料）;酒精饮料（啤酒除外）;⽩兰地</t>
  </si>
  <si>
    <t>喜乐猴</t>
  </si>
  <si>
    <t>杭州喜乐猴文化发展有限公司</t>
  </si>
  <si>
    <t>烧酒;果酒（含酒精）;鸡尾酒;⽩酒;葡萄酒;⽶酒;汽酒;酒精饮料（啤酒除外）;⻩酒;烈酒（饮料）</t>
  </si>
  <si>
    <t>MOJ MASTER</t>
  </si>
  <si>
    <t>烈酒（饮料）;酒精饮料（啤酒除外）;含⽔果酒精饮料;⽩酒;朗姆酒;果酒（含酒精）;威⼠忌;烧酒（烈酒）;⽩兰地;预先混合的酒精饮料（以啤酒为主的除外）</t>
  </si>
  <si>
    <t>翔仔</t>
  </si>
  <si>
    <t>胡叶平</t>
  </si>
  <si>
    <t>葡萄酒;⽶酒;汽酒;⽩酒;⻩酒;威⼠忌;薄荷酒;鸡尾酒;烈酒（饮料）;⽩兰地</t>
  </si>
  <si>
    <t>楼门台</t>
  </si>
  <si>
    <t>⽩酒;⻩酒;果酒（含酒精）;⽶酒;烧酒;威⼠忌;⽩兰地;清酒（⽇本⽶酒）;葡萄酒;⻘稞酒</t>
  </si>
  <si>
    <t>理行合</t>
  </si>
  <si>
    <t>河南理行合医疗科技有限公司</t>
  </si>
  <si>
    <t>酒精饮料（啤酒除外）;⽩兰地;茴芹酒（利⼝酒）;清酒（⽇本⽶酒）;苹果酒;杜松⼦酒;蜂蜜酒;薄荷酒;果酒（含酒精）;葡萄酒</t>
  </si>
  <si>
    <t>九重应泉</t>
  </si>
  <si>
    <t>果酒（含酒精）;⽩兰地;⽩酒;酒精饮料（啤酒除外）;烧酒;清酒（⽇本⽶酒）;⻩酒;⽶酒;葡萄酒;朗姆酒</t>
  </si>
  <si>
    <t>汉嵩</t>
  </si>
  <si>
    <t>谢升伟</t>
  </si>
  <si>
    <t>⽶酒;果酒（含酒精）;酒精饮料原汁;⽩酒;葡萄酒;烧酒;⻩酒;酒精饮料（啤酒除外）;烈酒（饮料）;餐后酒（利⼝酒和烈酒）</t>
  </si>
  <si>
    <t>杨巧匠</t>
  </si>
  <si>
    <t>杨仁法（410928********4577）</t>
  </si>
  <si>
    <t>⽶酒;果酒（含酒精）;烈酒（饮料）;⽩酒;清酒（⽇本⽶酒）;蒸馏饮料;烧酒;蒸煮提取物（利⼝酒和烈酒）;苹果酒;葡萄酒</t>
  </si>
  <si>
    <t>曲大运</t>
  </si>
  <si>
    <t>周涛</t>
  </si>
  <si>
    <t>⽶酒;烧酒;果酒（含酒精）;烈酒（饮料）;⽩兰地;酒精饮料（啤酒除外）;⽩酒;威⼠忌;葡萄酒;鸡尾酒</t>
  </si>
  <si>
    <t>腊嗦嗦</t>
  </si>
  <si>
    <t>丽江云壹传媒有限公司</t>
  </si>
  <si>
    <t>⽶酒;葡萄酒;⽼酒（中国蒸馏烈酒）;蒸煮提取物（利⼝酒和烈酒）;⾕物制蒸馏酒精饮料;⽩酒;烈酒;蒸馏饮料;烈酒（饮料）;利⼝酒</t>
  </si>
  <si>
    <t>温韵</t>
  </si>
  <si>
    <t>温州市瓯礼文化研究中心</t>
  </si>
  <si>
    <t>清酒（⽇本⽶酒）;果酒（含酒精）;烈酒;烧酒;⽩酒;酒精饮料（啤酒除外）;含⽔果酒精饮料;⻩酒;葡萄酒</t>
  </si>
  <si>
    <t>君品久</t>
  </si>
  <si>
    <t>佘素敏</t>
  </si>
  <si>
    <t>果酒（含酒精）;⽩酒;⻩酒;烧酒;鸡尾酒;葡萄酒;清酒（⽇本⽶酒）;含⽔果酒精饮料;威⼠忌;烈酒（饮料）</t>
  </si>
  <si>
    <t>念西施</t>
  </si>
  <si>
    <t>张爱杰</t>
  </si>
  <si>
    <t>果酒（含酒精）;清酒（⽇本⽶酒）;⻩酒;含酒精的饮料（啤酒除外）;鸡尾酒;烈酒;果酒;葡萄酒;⽶酒;⽩酒</t>
  </si>
  <si>
    <t>塾师</t>
  </si>
  <si>
    <t>葡萄酒;果酒（含酒精）;威⼠忌;⽩酒;⽶酒;⻘稞酒;⻩酒;酒精饮料（啤酒除外）;露酒;烧酒</t>
  </si>
  <si>
    <t>蓉滋曼</t>
  </si>
  <si>
    <t>烈酒（饮料）;酒精饮料（啤酒除外）;⻩酒;开胃酒;葡萄酒;烧酒;清酒（⽇本⽶酒）;⽩酒;⽶酒;果酒（含酒精）</t>
  </si>
  <si>
    <t>华品流芳</t>
  </si>
  <si>
    <t>陈义静</t>
  </si>
  <si>
    <t>果酒（含酒精）;鸡尾酒;清酒（⽇本⽶酒）;开胃酒;烈酒;威⼠忌;⻩酒;⽩酒;酒精饮料（啤酒除外）;葡萄酒</t>
  </si>
  <si>
    <t>观山骄</t>
  </si>
  <si>
    <t>新润达食品有限公司</t>
  </si>
  <si>
    <t>果酒（含酒精）;含⽔果酒精饮料;鸡尾酒;⽩酒;酒精饮料（啤酒除外）;⾷⽤酒精;⻩酒;⽩兰地;葡萄酒;⽶酒</t>
  </si>
  <si>
    <t>源城厚</t>
  </si>
  <si>
    <t>含⽔果酒精饮料;烈酒（饮料）;酒精饮料浓缩汁;烧酒;预先混合的酒精饮料（以啤酒为主的除外）;酒精饮料（啤酒除外）;蒸馏饮料;酒精饮料原汁;⽶酒;清酒</t>
  </si>
  <si>
    <t>千金格格</t>
  </si>
  <si>
    <t>广西正粮生物科技有限公司</t>
  </si>
  <si>
    <t>⻩酒;⽩酒;⽩兰地;酒精饮料（啤酒除外）;果酒（含酒精）;鸡尾酒;开胃酒;清酒;威⼠忌;葡萄酒</t>
  </si>
  <si>
    <t>诚立勤本</t>
  </si>
  <si>
    <t>⻘稞酒;果酒（含酒精）;⽩酒;⻩酒;⽩兰地;烧酒;清酒（⽇本⽶酒）;酒精饮料（啤酒除外）;威⼠忌;葡萄酒</t>
  </si>
  <si>
    <t>凤千吟</t>
  </si>
  <si>
    <t>曹承彬</t>
  </si>
  <si>
    <t>⻩酒;葡萄酒;烧酒;果酒;威⼠忌;⽶酒;烈酒;⽩酒;⻘稞酒;鸡尾酒</t>
  </si>
  <si>
    <t>宫域</t>
  </si>
  <si>
    <t>廖春红</t>
  </si>
  <si>
    <t>烈酒（饮料）;⽶酒;鸡尾酒;烧酒;葡萄酒;预先混合的酒精饮料（以啤酒为主的除外）;果酒（含酒精）;⻩酒;⽩酒;⾷⽤酒精</t>
  </si>
  <si>
    <t>晋英豪</t>
  </si>
  <si>
    <t>烈酒;鸡尾酒;⽩酒;⽶酒;利⼝酒;⾷⽤酒精;⾼粱酒;威⼠忌;果酒;⻩酒</t>
  </si>
  <si>
    <t>濮皇樽</t>
  </si>
  <si>
    <t>葡萄酒;⻩酒;⽶酒;⽩酒;⽼酒（中国蒸馏烈酒）;甜酒;含酒精的饮料（啤酒除外）;烧酒;清酒;果酒</t>
  </si>
  <si>
    <t>先呼</t>
  </si>
  <si>
    <t>清酒（⽇本⽶酒）;⻩酒;果酒（含酒精）;⽩酒;烧酒;葡萄酒;⽩兰地;⽶酒;⻘稞酒;威⼠忌</t>
  </si>
  <si>
    <t>初咖</t>
  </si>
  <si>
    <t>延吉市龙金信息服务部</t>
  </si>
  <si>
    <t>⽩酒;⽩兰地;烧酒;含⽔果酒精饮料;果酒;葡萄酒;预先混合的酒精饮料（以啤酒为主的除外）;鸡尾酒;⻩酒;⽶酒</t>
  </si>
  <si>
    <t>卡奇菲</t>
  </si>
  <si>
    <t>龙口市红玖泉食品有限公司</t>
  </si>
  <si>
    <t>⻩酒;⾕物制蒸馏酒精饮料;⽶酒;甜酒;⽩酒;果酒（含酒精）;葡萄酒;⾼粱酒;由⾕物蒸馏的⽩酒;清酒</t>
  </si>
  <si>
    <t>博德宝 POGGEN POHL</t>
  </si>
  <si>
    <t>九牧厨卫股份有限公司</t>
  </si>
  <si>
    <t>烈酒（饮料）;⽩兰地;威⼠忌;烧酒;开胃酒;⽶酒;⻩酒;果酒（含酒精）;汽酒;葡萄酒</t>
  </si>
  <si>
    <t>云中语</t>
  </si>
  <si>
    <t>王守道</t>
  </si>
  <si>
    <t>⽩酒;⻩酒;⻘稞酒;已调味的⻨芽酿制的酒精饮料（啤酒除外）;酒精饮料（啤酒除外）;⾷⽤酒精;果酒（含酒精）;苹果酒;葡萄酒;开胃酒</t>
  </si>
  <si>
    <t>梦扎兰</t>
  </si>
  <si>
    <t>天津万象恒科技发展有限公司</t>
  </si>
  <si>
    <t>⽩⼲酒（中国⽩酒）;果酒;⽼酒（中国蒸馏烈酒）;⽩酒;⻩酒;威⼠忌;红葡萄酒;以葡萄酒为主的饮料;含酒精⽔果饮料;含⽔果酒精饮料</t>
  </si>
  <si>
    <t>岑江太子</t>
  </si>
  <si>
    <t>朱伟道</t>
  </si>
  <si>
    <t>烧酒;⽢蔗制烈酒;⽩酒;⽶酒;酒精饮料（啤酒除外）;果酒（含酒精）;鸡尾酒;葡萄酒;烈酒（饮料）;⻩酒</t>
  </si>
  <si>
    <t>伟德圣</t>
  </si>
  <si>
    <t>曲志杰371082********2134</t>
  </si>
  <si>
    <t>果酒（含酒精）;以葡萄酒为主的饮料;酒精饮料（啤酒除外）;苹果酒;⽩酒;⽶酒;葡萄酒;含⽔果酒精饮料;利⼝酒;开胃酒</t>
  </si>
  <si>
    <t>大树印象</t>
  </si>
  <si>
    <t>利⼝酒;烧酒;⽩酒;果酒（含酒精）;葡萄酒;⻘稞酒;⽩兰地;威⼠忌;⽶酒;⻩酒</t>
  </si>
  <si>
    <t>瑀赞</t>
  </si>
  <si>
    <t>宁夏鲁鲜生优选商贸有限公司</t>
  </si>
  <si>
    <t>⽩酒;威⼠忌;鸡尾酒;葡萄酒;含酒精⽔果饮料;以葡萄酒为主的饮料;⽩兰地;起泡⽩葡萄酒;⽔果汽酒;烈酒（饮料）</t>
  </si>
  <si>
    <t>龙万雨</t>
  </si>
  <si>
    <t>孙晶晶</t>
  </si>
  <si>
    <t>果酒（含酒精）;葡萄酒;鸡尾酒;⻩酒;烈酒（饮料）;⽩酒;蒸馏饮料;威⼠忌;⽶酒;酒精饮料（啤酒除外）</t>
  </si>
  <si>
    <t>研稀</t>
  </si>
  <si>
    <t>果酒（含酒精）;⽩兰地;威⼠忌;蒸馏饮料;⽶酒;蜂蜜酒;含⽔果酒精饮料;⽩酒;鸡尾酒;葡萄酒</t>
  </si>
  <si>
    <t>渝云洪岩寨</t>
  </si>
  <si>
    <t>云阳县双龙镇六合村经济联合社</t>
  </si>
  <si>
    <t>烈酒;⽩酒;葡萄酒;⾼粱酒;清酒;烧酒;甜酒;果酒;蜂蜜酒;⽶酒</t>
  </si>
  <si>
    <t>酒祖吟</t>
  </si>
  <si>
    <t>平顶山市酒祖吟商贸有限公司</t>
  </si>
  <si>
    <t>葡萄酒;清酒（⽇本⽶酒）;⾕物制蒸馏酒精饮料;⻩酒;⽩酒;含⽔果酒精饮料;⽶酒;⻘稞酒;烧酒;果酒（含酒精）</t>
  </si>
  <si>
    <t>微虎山</t>
  </si>
  <si>
    <t>喜铁石（上海）信息科技有限公司</t>
  </si>
  <si>
    <t>酒精饮料（啤酒除外）;葡萄酒;⻩酒;鸡尾酒;开胃酒;⽩酒;⽶酒;清酒（⽇本⽶酒）;果酒（含酒精）;烧酒</t>
  </si>
  <si>
    <t>观设</t>
  </si>
  <si>
    <t>七西(香港)有限公司</t>
  </si>
  <si>
    <t>威⼠忌;⽩酒;葡萄酒;酒精饮料原汁;烈酒（饮料）;蒸馏饮料;汽酒;果酒（含酒精）;鸡尾酒;酒精饮料（啤酒除外）</t>
  </si>
  <si>
    <t>车堂主</t>
  </si>
  <si>
    <t>上海吉顺蓥企业管理有限公司</t>
  </si>
  <si>
    <t>烈酒（饮料）;开胃酒;鸡尾酒;清酒（⽇本⽶酒）;果酒（含酒精）;⽶酒;葡萄酒;烧酒;⽩酒;含⽔果酒精饮料</t>
  </si>
  <si>
    <t>顺达五行</t>
  </si>
  <si>
    <t>杭州医慧健康科技有限公司</t>
  </si>
  <si>
    <t>⻩酒;朗姆酒;含⽔果酒精饮料;蒸馏饮料;清酒（⽇本⽶酒）;鸡尾酒;伏特加酒;⽩酒;烧酒;汽酒</t>
  </si>
  <si>
    <t>SMDERI</t>
  </si>
  <si>
    <t>上海齐耀科技集团有限公司</t>
  </si>
  <si>
    <t>烧酒;⽩酒;⾷⽤酒精;亚⼒酒;茴⾹酒（利⼝酒）;鸡尾酒;果酒（含酒精）;开胃酒;苹果酒;蒸馏饮料</t>
  </si>
  <si>
    <t>诗净尼</t>
  </si>
  <si>
    <t>孙成</t>
  </si>
  <si>
    <t>⽶酒;⾷⽤酒精;鸡尾酒;含酒精⽔果饮料;⽩酒;⾕物制蒸馏酒精饮料;果酒（含酒精）;薄荷酒;葡萄酒;⻩酒</t>
  </si>
  <si>
    <t>蔻文</t>
  </si>
  <si>
    <t>⽩酒;葡萄酒;威⼠忌;含⽔果酒精饮料;酒精饮料（啤酒除外）;⻩酒;薄荷酒;开胃酒;蒸馏饮料;果酒（含酒精）</t>
  </si>
  <si>
    <t>甘俏</t>
  </si>
  <si>
    <t>厦门甘俏科技有限公司</t>
  </si>
  <si>
    <t>果酒;甜酒;汽酒;含酒精⽔果饮料;⽶酒;⻩酒;烈酒（饮料）;⽩酒;⾼粱酒;葡萄酒</t>
  </si>
  <si>
    <t>弘鑫恒瑞</t>
  </si>
  <si>
    <t>弘鑫恒瑞(仁怀)工程技术有限公司</t>
  </si>
  <si>
    <t>甜酒;⽶酒;⽩酒;⽼酒（中国蒸馏烈酒）;果酒（含酒精）;烧酒（烈酒）;由⾕物蒸馏的⽩酒;蒸馏饮料;⾷⽤酒精;⾼粱酒</t>
  </si>
  <si>
    <t>沐红雪</t>
  </si>
  <si>
    <t>孙伟龙</t>
  </si>
  <si>
    <t>⽩兰地;葡萄酒;酒精饮料（啤酒除外）;果酒（含酒精）;⻩酒;含⽔果酒精饮料;⽩酒;酒精饮料原汁;开胃酒;烧酒</t>
  </si>
  <si>
    <t>临宾</t>
  </si>
  <si>
    <t>葡萄酒;果酒（含酒精）;⻩酒;威⼠忌;⽩酒;⽶酒;含⽔果酒精饮料;蒸馏饮料;清酒;酒精饮料（啤酒除外）</t>
  </si>
  <si>
    <t>红缨久</t>
  </si>
  <si>
    <t>烧酒（烈酒）;清酒;⽩⼲酒（中国⽩酒）;苦荞酒;⽼酒（中国蒸馏烈酒）;⾼粱酒;茴⾹酒（利⼝酒）;以蒸馏酒为主的开胃酒;⽩酒;由⾕物蒸馏的⽩酒</t>
  </si>
  <si>
    <t>家塾</t>
  </si>
  <si>
    <t>⽩酒;烧酒;露酒;⽶酒;葡萄酒;酒精饮料（啤酒除外）;果酒（含酒精）;⻘稞酒;⻩酒;威⼠忌</t>
  </si>
  <si>
    <t>葡诗漫</t>
  </si>
  <si>
    <t>威⼠忌;起泡⽩葡萄酒;⽔果汽酒;含酒精⽔果饮料;⽩兰地;⽩酒;烈酒（饮料）;葡萄酒;鸡尾酒;以葡萄酒为主的饮料</t>
  </si>
  <si>
    <t>汉云录</t>
  </si>
  <si>
    <t>鸡尾酒;威⼠忌;葡萄酒;酒精饮料原汁;烈酒（饮料）;果酒（含酒精）;蒸馏饮料;酒精饮料（啤酒除外）;⽩酒;汽酒</t>
  </si>
  <si>
    <t>巨人农场农业科技（澳大利亚）有限公司</t>
  </si>
  <si>
    <t>葡萄酒;烈酒（饮料）;甜酒;朗姆酒;酒精饮料（啤酒除外）;预先混合的酒精饮料（以啤酒为主的除外）;以葡萄酒为主的饮料;威⼠忌;利⼝酒;鸡尾酒</t>
  </si>
  <si>
    <t>听袖</t>
  </si>
  <si>
    <t>⻩酒;葡萄酒;⾼粱酒;清酒;⽼酒（中国蒸馏烈酒）;果酒（含酒精）;⽶酒;烧酒（烈酒）;⽩酒;苦荞酒</t>
  </si>
  <si>
    <t>COZYLOVE</t>
  </si>
  <si>
    <t>深圳市百润达科技有限公司</t>
  </si>
  <si>
    <t>⽩兰地;汽酒;苹果酒;威⼠忌;鸡尾酒;⽩酒;葡萄酒;含酒精的饮料（啤酒除外）;红葡萄酒;果酒</t>
  </si>
  <si>
    <t>古攸</t>
  </si>
  <si>
    <t>⽩酒;苦荞酒;葡萄酒;烧酒（烈酒）;⽶酒;⾼粱酒;⻩酒;清酒;果酒（含酒精）;⽼酒（中国蒸馏烈酒）</t>
  </si>
  <si>
    <t>琥礼</t>
  </si>
  <si>
    <t>烧酒;⻩酒;果酒（含酒精）;⽶酒;露酒;⻘稞酒;葡萄酒;威⼠忌;酒精饮料（啤酒除外）;⽩酒</t>
  </si>
  <si>
    <t>承御扬韵</t>
  </si>
  <si>
    <t>果酒（含酒精）;蜂蜜酒;酒精饮料原汁;酒精饮料（啤酒除外）;⽩酒;烧酒;开胃酒;汽酒;⾕物制蒸馏酒精饮料</t>
  </si>
  <si>
    <t>谷窖翁</t>
  </si>
  <si>
    <t>⾷⽤酒精;威⼠忌;利⼝酒;⻩酒;⽩酒;果酒;⽶酒;烈酒;鸡尾酒;⾼粱酒</t>
  </si>
  <si>
    <t>帅功</t>
  </si>
  <si>
    <t>果酒（含酒精）;⽩酒;⻩酒;清酒（⽇本⽶酒）;含⽔果酒精饮料;烈酒（饮料）;葡萄酒;威⼠忌;鸡尾酒;烧酒</t>
  </si>
  <si>
    <t>筱美好</t>
  </si>
  <si>
    <t>杨得俊</t>
  </si>
  <si>
    <t>清酒（⽇本⽶酒）;果酒（含酒精）;鸡尾酒;威⼠忌;葡萄酒;⽩酒;烈酒;开胃酒;酒精饮料（啤酒除外）;⻩酒</t>
  </si>
  <si>
    <t>沁兰园</t>
  </si>
  <si>
    <t>上海勒马听风数字科技集团有限公司</t>
  </si>
  <si>
    <t>⽩酒;⽩兰地;果酒;汽酒;威⼠忌;葡萄酒;蒸煮提取物（利⼝酒和烈酒）;蒸馏饮料;含酒精⽔果饮料;酒精饮料（啤酒除外）</t>
  </si>
  <si>
    <t>达朋泰</t>
  </si>
  <si>
    <t>钟尊达</t>
  </si>
  <si>
    <t>烧酒;⽩酒;烈酒（饮料）;蒸馏饮料;威⼠忌;鸡尾酒;含⽔果酒精饮料;清酒;果酒（含酒精）;酒精饮料原汁</t>
  </si>
  <si>
    <t>龄份</t>
  </si>
  <si>
    <t>⽶酒;⾕物制蒸馏酒精饮料;烧酒;果酒（含酒精）;⽩酒;⻩酒;⾷⽤酒精;葡萄酒;⽩兰地;伏特加酒</t>
  </si>
  <si>
    <t>鞠鹤</t>
  </si>
  <si>
    <t>廊坊市金樽酒造有限公司</t>
  </si>
  <si>
    <t>⽩酒;葡萄酒;开胃酒;⻩酒;⽇本松针酒;利⼝酒;酒精饮料（啤酒除外）;⽶酒;烧酒;果酒</t>
  </si>
  <si>
    <t>楷洛樽</t>
  </si>
  <si>
    <t>严学楷</t>
  </si>
  <si>
    <t>果酒（含酒精）;⻩酒;鸡尾酒;酒精饮料（啤酒除外）;蒸煮提取物（利⼝酒和烈酒）;葡萄酒;⽶酒;⽩酒;烈酒;烧酒</t>
  </si>
  <si>
    <t>远山谣</t>
  </si>
  <si>
    <t>昆明惠提百货商行（个人独资）</t>
  </si>
  <si>
    <t>朗姆酒;⻘稞酒;烧酒（烈酒）;清酒（⽇本⽶酒）;葡萄酒;⽩酒;果酒;酒精饮料（啤酒除外）;⽶酒;⻩酒</t>
  </si>
  <si>
    <t>华草植</t>
  </si>
  <si>
    <t>国药药材实业（山东）有限公司</t>
  </si>
  <si>
    <t>威⼠忌;酒精饮料原汁;⾕物制蒸馏酒精饮料;果酒（含酒精）;⽩酒;汽酒;烧酒;蜂蜜酒;酒精饮料（啤酒除外）;开胃酒</t>
  </si>
  <si>
    <t>啦嗦嗦</t>
  </si>
  <si>
    <t>蒸馏饮料;葡萄酒;⾕物制蒸馏酒精饮料;利⼝酒;蒸煮提取物（利⼝酒和烈酒）;⽶酒;⽩酒;烈酒;⽼酒（中国蒸馏烈酒）;烈酒（饮料）</t>
  </si>
  <si>
    <t>炯火</t>
  </si>
  <si>
    <t>青岛永红源餐饮有限公司</t>
  </si>
  <si>
    <t>葡萄酒;果酒;⽶酒;⻩酒;烧酒;⽩兰地;⽩酒;苹果酒;烈酒（饮料）;清酒</t>
  </si>
  <si>
    <t>龙无畏</t>
  </si>
  <si>
    <t>谢可恩</t>
  </si>
  <si>
    <t>威⼠忌;⽩兰地;⾷⽤酒精;⽩酒;鸡尾酒;果酒（含酒精）;葡萄酒;烧酒;⻩酒;⽶酒</t>
  </si>
  <si>
    <t>情果果</t>
  </si>
  <si>
    <t>南阳市龍乡情食品有限公司</t>
  </si>
  <si>
    <t>果酒（含酒精）;含⽔果酒精饮料;⻩酒;⽩酒;蒸煮提取物（利⼝酒和烈酒）;开胃酒;葡萄酒;⽶酒;烧酒;甜果酒</t>
  </si>
  <si>
    <t>2024/05/31</t>
  </si>
  <si>
    <t>万博和道</t>
  </si>
  <si>
    <t>广州德胜汇文化投资有限公司</t>
  </si>
  <si>
    <t>葡萄酒;⽶酒;威⼠忌;⻩酒;烈酒;烧酒;⽩酒;⾼粱酒;果酒;含酒精的饮料（啤酒除外）</t>
  </si>
  <si>
    <t>昭文王子</t>
  </si>
  <si>
    <t>巩巧娥</t>
  </si>
  <si>
    <t>预先混合的酒精饮料（以啤酒为主的除外）;⽩兰地;酒精饮料（啤酒除外）;威⼠忌;果酒（含酒精）;⽩酒;⽶酒;葡萄酒;鸡尾酒;⻩酒</t>
  </si>
  <si>
    <t>闻臻</t>
  </si>
  <si>
    <t>⻩酒;葡萄酒;烧酒;果酒（含酒精）;⽩酒;⽩兰地;⽶酒;⻘稞酒;清酒（⽇本⽶酒）;威⼠忌</t>
  </si>
  <si>
    <t>相见南</t>
  </si>
  <si>
    <t>宜宾市南溪区龙创产业运营集团有限责任公司</t>
  </si>
  <si>
    <t>⽶酒;蒸馏饮料;葡萄酒;酒精饮料（啤酒除外）;⻩酒;蜂蜜酒;烧酒;酒精饮料浓缩汁;⽩酒;果酒（含酒精）</t>
  </si>
  <si>
    <t>沪真</t>
  </si>
  <si>
    <t>洪小珍</t>
  </si>
  <si>
    <t>果酒（含酒精）;烧酒;⾷⽤酒精;葡萄酒;⻩酒;⽶酒;⽩酒;鸡尾酒;⻘稞酒;清酒（⽇本⽶酒）</t>
  </si>
  <si>
    <t>九洲风彩</t>
  </si>
  <si>
    <t>秦小云</t>
  </si>
  <si>
    <t>开胃酒;鸡尾酒;葡萄酒;清酒（⽇本⽶酒）;酒精饮料（啤酒除外）;⻩酒;⽩酒;烈酒;果酒（含酒精）;威⼠忌</t>
  </si>
  <si>
    <t>瑞华子</t>
  </si>
  <si>
    <t>青岛中科万佳药业有限公司</t>
  </si>
  <si>
    <t>葡萄酒;⻩酒;果酒（含酒精）;蜂蜜酒;含⽔果酒精饮料;⽩酒;开胃酒;预先混合的酒精饮料（以啤酒为主的除外）;烈酒（饮料）;⾷⽤酒精</t>
  </si>
  <si>
    <t>三新吉康</t>
  </si>
  <si>
    <t>浙江三新科技有限公司</t>
  </si>
  <si>
    <t>果酒（含酒精）;⻩酒;薄荷酒;蒸馏饮料;⽩酒;酒精饮料（啤酒除外）;开胃酒;葡萄酒;威⼠忌;含⽔果酒精饮料</t>
  </si>
  <si>
    <t>榴果莱</t>
  </si>
  <si>
    <t>山东台庄酒厂股份有限公司</t>
  </si>
  <si>
    <t>⽩酒;清酒（⽇本⽶酒）;⾕物制蒸馏酒精饮料;葡萄酒;⽶酒;果酒;酒精饮料（啤酒除外）;伏特加酒;烧酒;⻩酒</t>
  </si>
  <si>
    <t>泰夏红</t>
  </si>
  <si>
    <t>泰安市御道奥绿德农业种植专业合作社</t>
  </si>
  <si>
    <t>樱桃酒;酒精饮料（啤酒除外）;含酒精的⽓泡⽔;含酒精⽔果饮料;⽶酒;樱桃⽩兰地;酒精饮料浓缩汁;⽩酒;蒸馏饮料;葡萄酒</t>
  </si>
  <si>
    <t>百脉泉丰和</t>
  </si>
  <si>
    <t>果酒（含酒精）;开胃酒;酸酒（低等葡萄酒）;酒精饮料（啤酒除外）;汽酒;⽩酒;葡萄酒;⽶酒;苹果酒;⻩酒</t>
  </si>
  <si>
    <t>汤臣餐饮集团有限公司</t>
  </si>
  <si>
    <t>⽩酒;⻩酒;伏特加酒;酒精饮料（啤酒除外）;鸡尾酒;葡萄酒;烧酒;果酒（含酒精）;⽩兰地;清酒（⽇本⽶酒）</t>
  </si>
  <si>
    <t>客嘉香韵</t>
  </si>
  <si>
    <t>果酒（含酒精）;⽶酒;酒精饮料（啤酒除外）;⽩酒;含酒精⽔果饮料;蜂蜜酒;⻩酒;甜酒;烧酒;⽔果汽酒</t>
  </si>
  <si>
    <t>侨兴知一酿</t>
  </si>
  <si>
    <t>台山知一贸易有限公司</t>
  </si>
  <si>
    <t>烈酒（饮料）;鸡尾酒;葡萄酒;果酒（含酒精）;⽶酒;⽩酒;烧酒;酒精饮料（啤酒除外）;⻩酒;清酒（⽇本⽶酒）</t>
  </si>
  <si>
    <t>今机</t>
  </si>
  <si>
    <t>林倩伶</t>
  </si>
  <si>
    <t>鸡尾酒;蜂蜜酒;⽩兰地;⽶酒;威⼠忌;蒸馏饮料;葡萄酒;含⽔果酒精饮料;果酒（含酒精）;⽩酒</t>
  </si>
  <si>
    <t>沁河琼浆</t>
  </si>
  <si>
    <t>焦作市沁河酒业有限公司</t>
  </si>
  <si>
    <t>茴芹酒（利⼝酒）;亚⼒酒;⽩酒;由⾕物蒸馏的⽩酒;⽩⼲酒（中国⽩酒）;果酒（含酒精）;苦味酒;茴⾹酒（利⼝酒）;开胃酒;薄荷酒</t>
  </si>
  <si>
    <t>意公子日记</t>
  </si>
  <si>
    <t>厦门意外境界文化传播有限公司</t>
  </si>
  <si>
    <t>酒精饮料原汁;清酒（⽇本⽶酒）;烧酒;⽩酒;伏特加酒;葡萄酒;威⼠忌;鸡尾酒;酒精饮料（啤酒除外）;果酒（含酒精）</t>
  </si>
  <si>
    <t>仁厚黔商</t>
  </si>
  <si>
    <t>黄巧</t>
  </si>
  <si>
    <t>⾼粱酒;葡萄酒;⻩酒;果酒;⽩酒;⽶酒;⻘稞酒;烧酒;⽼酒（中国蒸馏烈酒）;烈酒</t>
  </si>
  <si>
    <t>喜力虎</t>
  </si>
  <si>
    <t>钱雅芬</t>
  </si>
  <si>
    <t>烧酒;果酒（含酒精）;葡萄酒;⽶酒;利⼝酒;⽩酒;汽酒;烈酒（饮料）;酒精饮料原汁;⻩酒</t>
  </si>
  <si>
    <t>泰樱红</t>
  </si>
  <si>
    <t>⽩酒;酒精饮料浓缩汁;葡萄酒;⽶酒;樱桃⽩兰地;樱桃酒;酒精饮料（啤酒除外）;含酒精⽔果饮料;含酒精的⽓泡⽔;蒸馏饮料</t>
  </si>
  <si>
    <t>它山烧坊</t>
  </si>
  <si>
    <t>宁波市沈东人烟酒有限公司</t>
  </si>
  <si>
    <t>果酒（含酒精）;⽩兰地;⽶酒;葡萄酒;⻩酒;鸡尾酒;威⼠忌;⽩酒;酒精饮料（啤酒除外）;预先混合的酒精饮料（以啤酒为主的除外）</t>
  </si>
  <si>
    <t>荣池布</t>
  </si>
  <si>
    <t>陈志强</t>
  </si>
  <si>
    <t>含⽔果酒精饮料;⽩酒;烈酒（饮料）;果酒（含酒精）;酒精饮料原汁;蒸馏饮料;鸡尾酒;烧酒;清酒;威⼠忌</t>
  </si>
  <si>
    <t>丰浠坊</t>
  </si>
  <si>
    <t>上饶市欣宏制衣厂</t>
  </si>
  <si>
    <t>酒精饮料（啤酒除外）;烈酒（饮料）;⻩酒;预先混合的酒精饮料（以啤酒为主的除外）;⾕物制蒸馏酒精饮料;烧酒;⽶酒;⻘稞酒;果酒（含酒精）;⽩酒</t>
  </si>
  <si>
    <t>书香潇湘</t>
  </si>
  <si>
    <t>鸡尾酒;葡萄酒;清酒（⽇本⽶酒）;酒精饮料（啤酒除外）;⽶酒;烈酒（饮料）;⻩酒;⽩酒;烧酒;果酒（含酒精）</t>
  </si>
  <si>
    <t>藏雀酿</t>
  </si>
  <si>
    <t>何金教</t>
  </si>
  <si>
    <t>果酒（含酒精）;威⼠忌;酒精饮料原汁;烈酒（饮料）;烧酒;⽩酒;蒸馏饮料;含⽔果酒精饮料;清酒;鸡尾酒</t>
  </si>
  <si>
    <t>ZEMEIFEEL</t>
  </si>
  <si>
    <t>田麦多国际（香港）有限公司</t>
  </si>
  <si>
    <t>烈酒（饮料）;鸡尾酒;葡萄酒;清酒（⽇本⽶酒）;朗姆酒;⽶酒;果酒（含酒精）;利⼝酒;酒精饮料原汁;威⼠忌</t>
  </si>
  <si>
    <t>它山烧</t>
  </si>
  <si>
    <t>⽩酒;威⼠忌;葡萄酒;果酒（含酒精）;鸡尾酒;预先混合的酒精饮料（以啤酒为主的除外）;⻩酒;酒精饮料（啤酒除外）;⽶酒;⽩兰地</t>
  </si>
  <si>
    <t>禧天门</t>
  </si>
  <si>
    <t>徐州首酿酒业有限公司</t>
  </si>
  <si>
    <t>⻘稞酒;⻩酒;葡萄酒;梨酒;利⼝酒;威⼠忌;开胃酒;⽩酒;烧酒;清酒（⽇本⽶酒）</t>
  </si>
  <si>
    <t>四川堃润文化旅游发展有限公司</t>
  </si>
  <si>
    <t>佐餐酒;果酒;开胃酒;⽶酒;⻘稞酒;含酒精⽔果饮料;含酒精的饮料（啤酒除外）;汽酒;清酒;⻩酒</t>
  </si>
  <si>
    <t>春田缤纷</t>
  </si>
  <si>
    <t>高霞</t>
  </si>
  <si>
    <t>葡萄酒;酒精饮料原汁;⻩酒;果酒（含酒精）;含酒精⽔果饮料;蒸馏饮料;⽩酒;酒精饮料浓缩汁;酒精饮料（啤酒除外）;⽶酒</t>
  </si>
  <si>
    <t>赤梦令</t>
  </si>
  <si>
    <t>龙宗旭</t>
  </si>
  <si>
    <t>开胃酒;酒精饮料（啤酒除外）;果酒（含酒精）;鸡尾酒;烈酒;威⼠忌;葡萄酒;⻩酒;清酒（⽇本⽶酒）;⽩酒</t>
  </si>
  <si>
    <t>李清照青逸</t>
  </si>
  <si>
    <t>开胃酒;酒精饮料（啤酒除外）;⽶酒;汽酒;葡萄酒;苹果酒;⻩酒;酸酒（低等葡萄酒）;果酒（含酒精）;⽩酒</t>
  </si>
  <si>
    <t>悦书</t>
  </si>
  <si>
    <t>果酒（含酒精）;⽩酒;清酒（⽇本⽶酒）;烈酒（饮料）;鸡尾酒;含⽔果酒精饮料;烧酒;葡萄酒;⻩酒;威⼠忌</t>
  </si>
  <si>
    <t>查晓珍</t>
  </si>
  <si>
    <t>葡萄酒;烈酒（饮料）;⽩酒;酸酒（低等葡萄酒）;酒精饮料（啤酒除外）;果酒（含酒精）;以葡萄酒为主的饮料;酒精饮料原汁;酒精饮料浓缩汁;⾕物制蒸馏酒精饮料</t>
  </si>
  <si>
    <t>AUSPICOUS 澳斯珮</t>
  </si>
  <si>
    <t>上海瑞袖贸易有限公司</t>
  </si>
  <si>
    <t>酒精饮料（啤酒除外）;伏特加酒;⽶酒;葡萄酒;威⼠忌;利⼝酒;⽩酒;烈酒（饮料）;⽩兰地;清酒（⽇本⽶酒）</t>
  </si>
  <si>
    <t>大驾门</t>
  </si>
  <si>
    <t>周闻</t>
  </si>
  <si>
    <t>果酒（含酒精）;清酒（⽇本⽶酒）;开胃酒;酒精饮料（啤酒除外）;蜂蜜酒;烧酒;鸡尾酒;⽩酒;葡萄酒;⻩酒</t>
  </si>
  <si>
    <t>泓源翔</t>
  </si>
  <si>
    <t>佳县泓源农产品开发有限责任公司</t>
  </si>
  <si>
    <t>鸡尾酒;⾼粱酒;烧酒;⻩酒;含酒精的鸡尾酒混合饮品;果酒（含酒精）;葡萄酒;⽶酒;⽩酒;预先混合的酒精饮料（以啤酒为主的除外）</t>
  </si>
  <si>
    <t>潭麟</t>
  </si>
  <si>
    <t>张志新</t>
  </si>
  <si>
    <t>⽼酒（中国蒸馏烈酒）;清酒（⽇本⽶酒）;⽩⼲酒（中国⽩酒）;⻘梅酒;烧酒（烈酒）;⽩酒;烧酒;⽶酒;⻩酒;⽩兰地</t>
  </si>
  <si>
    <t>新疆越隆达再生资源科技有限公司</t>
  </si>
  <si>
    <t>⽩酒;蜂蜜酒;烧酒;由⾕物蒸馏的⽩酒;葡萄酒;⾼粱酒;含⽔果酒精饮料;果酒;⽶酒;蒸馏饮料</t>
  </si>
  <si>
    <t>容绅</t>
  </si>
  <si>
    <t>深圳市创品优实业有限公司</t>
  </si>
  <si>
    <t>汽酒;果酒;威⼠忌;烧酒;⽩酒;⽩兰地;⻩酒;葡萄酒;清酒;⽶酒</t>
  </si>
  <si>
    <t>旧时王谢</t>
  </si>
  <si>
    <t>⻘稞酒;威⼠忌;烧酒;清酒（⽇本⽶酒）;葡萄酒;果酒（含酒精）;⽶酒;⻩酒;⽩兰地;⽩酒</t>
  </si>
  <si>
    <t>上樽台</t>
  </si>
  <si>
    <t>烧酒;威⼠忌;葡萄酒;⾷⽤酒精;⽩兰地;⽩酒;果酒（含酒精）;⻩酒;⽶酒;鸡尾酒</t>
  </si>
  <si>
    <t>泗涧唐</t>
  </si>
  <si>
    <t>肖董</t>
  </si>
  <si>
    <t>果酒（含酒精）;⽩酒;清酒（⽇本⽶酒）;蒸馏饮料;⾷⽤酒精;汽酒;烈酒（饮料）;酒精饮料（啤酒除外）;⽶酒;葡萄酒</t>
  </si>
  <si>
    <t>苗悉堂</t>
  </si>
  <si>
    <t>上海品芮医疗用品有限公司</t>
  </si>
  <si>
    <t>⽩酒;苹果酒;薄荷酒;果酒（含酒精）;⻩酒;蜂蜜酒;⻘稞酒;梨酒;⽶酒;杜松⼦酒</t>
  </si>
  <si>
    <t>珍龙涎</t>
  </si>
  <si>
    <t>山东嘉水商贸有限公司</t>
  </si>
  <si>
    <t>鸡尾酒;⽩兰地;除啤酒外的酒精饮料;果酒（含酒精）;葡萄酒;⽩酒;⻩酒;烈酒（饮料）;威⼠忌;清酒</t>
  </si>
  <si>
    <t>黛泉</t>
  </si>
  <si>
    <t>宁夏纳兰蒂酒业贸易有限公司</t>
  </si>
  <si>
    <t>⽩兰地;朗姆酒;威⼠忌;⻩酒;⽩酒;果酒;葡萄酒;酒精饮料（啤酒除外）;伏特加酒;鸡尾酒</t>
  </si>
  <si>
    <t>怡贤台</t>
  </si>
  <si>
    <t>姜文</t>
  </si>
  <si>
    <t>含⽔果酒精饮料;果酒（含酒精）;⽩酒;烧酒;⽶酒;葡萄酒;鸡尾酒;蜂蜜酒;清酒（⽇本⽶酒）;酒精饮料（啤酒除外）</t>
  </si>
  <si>
    <t>世昱中京</t>
  </si>
  <si>
    <t>贵州世昱中京酒业有限公司</t>
  </si>
  <si>
    <t>⽩⼲酒（中国⽩酒）;烈酒（饮料）;烈酒;果酒;⽼酒（中国蒸馏烈酒）;酒精饮料（啤酒除外）;鸡尾酒;⽩酒;葡萄酒;⾼粱酒</t>
  </si>
  <si>
    <t>粮船金谷</t>
  </si>
  <si>
    <t>哈尔滨粮船农业发展有限公司</t>
  </si>
  <si>
    <t>清酒（⽇本⽶酒）;汽酒;⽩酒;⽩兰地;烧酒;葡萄酒;酒精饮料（啤酒除外）;⽶酒;果酒（含酒精）;⾷⽤酒精</t>
  </si>
  <si>
    <t>右玉县善元松鼠食品有限公司</t>
  </si>
  <si>
    <t>酒精饮料（啤酒除外）;⾕物制蒸馏酒精饮料;⻩酒;⽩兰地;果酒（含酒精）;葡萄酒;清酒（⽇本⽶酒）;⽶酒;⻘稞酒;鸡尾酒</t>
  </si>
  <si>
    <t>塞波斯</t>
  </si>
  <si>
    <t>上海赛波斯纺织科技有限公司</t>
  </si>
  <si>
    <t>梨酒;米酒;黄酒;白葡萄酒;高粱酒;白酒;甜酒;果酒;白兰地;清酒</t>
  </si>
  <si>
    <t>熙禧</t>
  </si>
  <si>
    <t>徐州臻蕴酒业有限公司</t>
  </si>
  <si>
    <t>开胃酒;葡萄酒;⻘稞酒;利⼝酒;威⼠忌;⽩酒;梨酒;⻩酒;清酒（⽇本⽶酒）;烧酒</t>
  </si>
  <si>
    <t>和德合</t>
  </si>
  <si>
    <t>佘锦亮</t>
  </si>
  <si>
    <t>含⽔果酒精饮料;⽩酒;⽶酒;果酒（含酒精）;鸡尾酒;葡萄酒;蜂蜜酒;⽩兰地;威⼠忌;蒸馏饮料</t>
  </si>
  <si>
    <t>蜗来斯</t>
  </si>
  <si>
    <t>南京市济民生态农业科技发展有限公司</t>
  </si>
  <si>
    <t>⻩酒;果酒（含酒精）;⽩兰地;烧酒;蒸馏饮料;清酒（⽇本⽶酒）;葡萄酒;朗姆酒;威⼠忌;⽩酒</t>
  </si>
  <si>
    <t>任老汉</t>
  </si>
  <si>
    <t>陕西陕北汉农业科技发展有限公司</t>
  </si>
  <si>
    <t>⽶酒;开胃酒;葡萄酒;⻩酒;烈酒（饮料）;⽩兰地;⽩酒;鸡尾酒;果酒（含酒精）;威⼠忌</t>
  </si>
  <si>
    <t>王张齐</t>
  </si>
  <si>
    <t>天台一半醒电子商务有限公司</t>
  </si>
  <si>
    <t>⽶酒;甜酒;蜂蜜酒;开胃酒;威⼠忌;⽩酒;利⼝酒;烧酒;果酒（含酒精）;⻩酒</t>
  </si>
  <si>
    <t>曲媳妇</t>
  </si>
  <si>
    <t>陈晓龙</t>
  </si>
  <si>
    <t>烧酒（烈酒）;⽩酒;⽶酒;葡萄酒;清酒;⻘稞酒;酒精饮料（啤酒除外）;⾼粱酒;⻩酒;⻘梅酒</t>
  </si>
  <si>
    <t>清家庄</t>
  </si>
  <si>
    <t>潘晨</t>
  </si>
  <si>
    <t>酒精饮料（啤酒除外）;⽩酒;烧酒;果酒（含酒精）;⻩酒;⽶酒;鸡尾酒;烈酒（饮料）;清酒（⽇本⽶酒）;葡萄酒</t>
  </si>
  <si>
    <t>静醹兴</t>
  </si>
  <si>
    <t>⽼酒（中国蒸馏烈酒）;⽩酒;烈酒;含酒精的充⽓饮料（啤酒除外）;⽩⼲酒（中国⽩酒）;鸡尾酒;葡萄酒;⽶酒;果酒;⻩酒</t>
  </si>
  <si>
    <t>萍瓷</t>
  </si>
  <si>
    <t>谭红斌</t>
  </si>
  <si>
    <t>葡萄酒;鸡尾酒;⽩兰地;清酒（⽇本⽶酒）;⻩酒;⻘稞酒;⽩酒;威⼠忌;⽶酒;果酒（含酒精）</t>
  </si>
  <si>
    <t>耘豇惠</t>
  </si>
  <si>
    <t>贵州云酱汇酒业有限公司</t>
  </si>
  <si>
    <t>果酒;⽶酒;⻩酒;⽩酒;甜酒;含酒精⽔果饮料;葡萄酒;⻘稞酒;⾼粱酒;清酒</t>
  </si>
  <si>
    <t>李清照知否</t>
  </si>
  <si>
    <t>开胃酒;葡萄酒;酒精饮料（啤酒除外）;汽酒;⽩酒;果酒（含酒精）;酸酒（低等葡萄酒）;⽶酒;⻩酒;苹果酒</t>
  </si>
  <si>
    <t>嵘府</t>
  </si>
  <si>
    <t>许嘉</t>
  </si>
  <si>
    <t>⻩酒;⽶酒;蒸馏饮料;⽩酒;⾕物制蒸馏酒精饮料;以葡萄酒为主的饮料;烧酒;含⽔果酒精饮料;葡萄酒;预先混合的酒精饮料（以啤酒为主的除外）</t>
  </si>
  <si>
    <t>守到</t>
  </si>
  <si>
    <t>⻩酒;威⼠忌;葡萄酒;⽩兰地;⻘稞酒;清酒（⽇本⽶酒）;⽶酒;果酒（含酒精）;⽩酒;烧酒</t>
  </si>
  <si>
    <t>壹季高禾</t>
  </si>
  <si>
    <t>丘伟康</t>
  </si>
  <si>
    <t>⾷⽤酒精;开胃酒;⽶酒;威⼠忌;酒精饮料（啤酒除外）;⽩兰地;果酒;⻩酒;⽩酒;红葡萄酒</t>
  </si>
  <si>
    <t>招道</t>
  </si>
  <si>
    <t>⽩酒;果酒（含酒精）;葡萄酒;⽶酒;⻩酒;烧酒;⻘稞酒;酒精饮料（啤酒除外）;威⼠忌;⽩兰地</t>
  </si>
  <si>
    <t>苍山玥溪</t>
  </si>
  <si>
    <t>漾濞乐溪酒厂</t>
  </si>
  <si>
    <t>⽶酒;薄荷酒;⽩兰地;⻘稞酒;果酒;蜂蜜酒;尼⽡（以⽢蔗为主的酒精饮料）;酒精饮料（啤酒除外）;⽩酒;⾕物制蒸馏酒精饮料</t>
  </si>
  <si>
    <t>四月桑田</t>
  </si>
  <si>
    <t>开胃酒;⽩酒;蜂蜜酒;⻩酒;葡萄酒;鸡尾酒;酒精饮料（啤酒除外）;⽶酒;烧酒;果酒（含酒精）</t>
  </si>
  <si>
    <t>绿拾野</t>
  </si>
  <si>
    <t>冯俊伟</t>
  </si>
  <si>
    <t>⽶酒;⻩酒;⾼粱酒;甜酒;清酒;葡萄酒;鸡尾酒;烧酒;⽩酒;果酒</t>
  </si>
  <si>
    <t>盛源道</t>
  </si>
  <si>
    <t>四川盛源道科技有限公司</t>
  </si>
  <si>
    <t>⾼粱酒;果酒（含酒精）;烈酒;⽩酒;⽶酒;蜂蜜酒;葡萄酒;烧酒;果酒;甜酒</t>
  </si>
  <si>
    <t>蒙原大青山</t>
  </si>
  <si>
    <t>杜俊俊</t>
  </si>
  <si>
    <t>果酒（含酒精）;⻘稞酒;⾷⽤酒精;含⽔果酒精饮料;汽酒;⽶酒;预先混合的酒精饮料（以啤酒为主的除外）;⽩酒;烧酒;⻩酒</t>
  </si>
  <si>
    <t>贞可口</t>
  </si>
  <si>
    <t>陈华春</t>
  </si>
  <si>
    <t>威⼠忌;葡萄酒;⾷⽤酒精;果酒（含酒精）;⽩兰地;烈酒（饮料）;⻩酒;酒精饮料（啤酒除外）;⽶酒;⽩酒</t>
  </si>
  <si>
    <t>李清照风华</t>
  </si>
  <si>
    <t>开胃酒;苹果酒;果酒（含酒精）;葡萄酒;⽶酒;酸酒（低等葡萄酒）;⻩酒;⽩酒;酒精饮料（啤酒除外）;汽酒</t>
  </si>
  <si>
    <t>君天顺</t>
  </si>
  <si>
    <t>陈婷婷</t>
  </si>
  <si>
    <t>果酒（含酒精）;烧酒;清酒（⽇本⽶酒）;葡萄酒;⻩酒;开胃酒;⽩酒;威⼠忌;鸡尾酒;⽶酒</t>
  </si>
  <si>
    <t>仙天顺</t>
  </si>
  <si>
    <t>⽩酒;烧酒;⻩酒;清酒（⽇本⽶酒）;⽶酒;开胃酒;葡萄酒;威⼠忌;鸡尾酒;果酒（含酒精）</t>
  </si>
  <si>
    <t>黔越绍</t>
  </si>
  <si>
    <t>张建</t>
  </si>
  <si>
    <t>葡萄酒;白兰地;开胃酒;白酒;白干酒（中国白酒）;果酒;鸡尾酒;黄酒;酒精饮料（啤酒除外）;由谷物蒸馏的白酒</t>
  </si>
  <si>
    <t>钓相逢</t>
  </si>
  <si>
    <t>葡萄酒;⻩酒;⾷⽤酒精;烈酒（饮料）;⽩酒;烧酒;果酒（含酒精）;酒精饮料原汁;⽶酒;蒸馏饮料</t>
  </si>
  <si>
    <t>双隅桂悯</t>
  </si>
  <si>
    <t>云阳县凤鸣镇双桂村经济联合社</t>
  </si>
  <si>
    <t>梅酒;⽶酒;⽩酒;清酒;果酒;烈酒;烧酒;葡萄酒;⾼粱酒;汽酒</t>
  </si>
  <si>
    <t>米乐秋</t>
  </si>
  <si>
    <t>宜春市米乐酒业有限公司</t>
  </si>
  <si>
    <t>清酒（⽇本⽶酒）;汽酒;⻩酒;⽶酒</t>
  </si>
  <si>
    <t>智雅吴</t>
  </si>
  <si>
    <t>烧酒;⽩⼲酒（中国⽩酒）;甜酒;烈酒（饮料）;⽩酒;⻩酒;葡萄酒;⾼粱酒;⽼酒（中国蒸馏烈酒）;⽶酒</t>
  </si>
  <si>
    <t>泉河大徳</t>
  </si>
  <si>
    <t>山东泉河酒业有限公司</t>
  </si>
  <si>
    <t>开胃酒;⽩兰地;果酒（含酒精）;利⼝酒;葡萄酒;烧酒;⻩酒;⽩酒;蒸馏饮料;⽶酒</t>
  </si>
  <si>
    <t>福裕盛</t>
  </si>
  <si>
    <t>烧酒;⻩酒;果酒（含酒精）;葡萄酒;⽩酒;⾷⽤酒精;⽶酒;威⼠忌;鸡尾酒;⽩兰地</t>
  </si>
  <si>
    <t>谈理</t>
  </si>
  <si>
    <t>陈志彬</t>
  </si>
  <si>
    <t>⽩酒;清酒（⽇本⽶酒）;威⼠忌;烈酒（饮料）;鸡尾酒;葡萄酒;⻩酒;烧酒;含⽔果酒精饮料;果酒（含酒精）</t>
  </si>
  <si>
    <t>三文笔</t>
  </si>
  <si>
    <t>姬惠</t>
  </si>
  <si>
    <t>葡萄酒;蜂蜜酒;预先混合的酒精饮料（以啤酒为主的除外）;果酒（含酒精）;酒精饮料（啤酒除外）;薄荷酒;苹果酒;含⽔果酒精饮料;⽶酒;樱桃酒</t>
  </si>
  <si>
    <t>大汀门</t>
  </si>
  <si>
    <t>孙世磊</t>
  </si>
  <si>
    <t>葡萄酒;⻩酒;开胃酒;蜂蜜酒;⽩酒;烧酒;果酒（含酒精）;清酒（⽇本⽶酒）;酒精饮料（啤酒除外）;鸡尾酒</t>
  </si>
  <si>
    <t>尝胜君</t>
  </si>
  <si>
    <t>清酒（⽇本⽶酒）;⻘稞酒;烧酒;威⼠忌;⻩酒;开胃酒;葡萄酒;梨酒;利⼝酒;⽩酒</t>
  </si>
  <si>
    <t>纤丝猴</t>
  </si>
  <si>
    <t>商丘市聚仁食品有限公司</t>
  </si>
  <si>
    <t>果酒（含酒精）;蒸馏饮料;⾷⽤酒精;果酒;⽩酒;鸡尾酒;甜酒;葡萄酒;含⽔果酒精饮料;含酒精的充⽓饮料（啤酒除外）</t>
  </si>
  <si>
    <t>扎克兰德</t>
  </si>
  <si>
    <t>李洋</t>
  </si>
  <si>
    <t>果酒（含酒精）;起泡红葡萄酒;葡萄汽酒;汽酒;以葡萄酒为主的开胃酒;以葡萄酒为主的饮料;⽩葡萄酒;酸酒（低等葡萄酒）;红葡萄酒;葡萄酒</t>
  </si>
  <si>
    <t>品知境</t>
  </si>
  <si>
    <t>烧酒;葡萄酒;⽩兰地;果酒（含酒精）;鸡尾酒;⽩酒;⻩酒;⽶酒;威⼠忌;⾷⽤酒精</t>
  </si>
  <si>
    <t>清照清荷</t>
  </si>
  <si>
    <t>果酒（含酒精）;葡萄酒;汽酒;开胃酒;⽶酒;⽩酒;酸酒（低等葡萄酒）;⻩酒;酒精饮料（啤酒除外）;苹果酒</t>
  </si>
  <si>
    <t>清照福礼</t>
  </si>
  <si>
    <t>果酒（含酒精）;⽩酒;酸酒（低等葡萄酒）;酒精饮料（啤酒除外）;⻩酒;苹果酒;葡萄酒;开胃酒;汽酒;⽶酒</t>
  </si>
  <si>
    <t>韶之锋</t>
  </si>
  <si>
    <t>梁晓明</t>
  </si>
  <si>
    <t>烧酒;⽩兰地;⻩酒;鸡尾酒;葡萄酒;⽩酒;威⼠忌;果酒（含酒精）;利⼝酒;伏特加酒</t>
  </si>
  <si>
    <t>厚天承</t>
  </si>
  <si>
    <t>刘伊然</t>
  </si>
  <si>
    <t>⾷⽤酒精;清酒（⽇本⽶酒）;蒸馏饮料;⽶酒;果酒（含酒精）;汽酒;烈酒（饮料）;⽩酒;酒精饮料（啤酒除外）;葡萄酒</t>
  </si>
  <si>
    <t>咸丰春兴</t>
  </si>
  <si>
    <t>佰曼（海南）药业有限公司</t>
  </si>
  <si>
    <t>含酒精的饮料（啤酒除外）;葡萄酒;⽩酒;汽酒;⾷⽤酒精;梨酒;⻩酒;⽶酒;⻘稞酒;果酒（含酒精）</t>
  </si>
  <si>
    <t>果果乡愁</t>
  </si>
  <si>
    <t>关贺双</t>
  </si>
  <si>
    <t>⻩酒;⽩酒;果酒（含酒精）;鸡尾酒;⽩兰地;咖啡利⼝酒;葡萄酒;酒精饮料（啤酒除外）;含酒精的⽓泡⽔;清酒（⽇本⽶酒）</t>
  </si>
  <si>
    <t>冠御仙</t>
  </si>
  <si>
    <t>⽩酒;葡萄酒;⽶酒;烧酒;开胃酒;鸡尾酒;⻩酒;清酒（⽇本⽶酒）;果酒（含酒精）;威⼠忌</t>
  </si>
  <si>
    <t>燕新年华</t>
  </si>
  <si>
    <t>北京燕新科技有限公司</t>
  </si>
  <si>
    <t>甜果酒;烈酒（饮料）;⽩酒;⽶酒;⾷⽤酒精;烧酒;蒸馏饮料;果酒（含酒精）;酒精饮料（啤酒除外）;葡萄酒</t>
  </si>
  <si>
    <t>壹生星赋</t>
  </si>
  <si>
    <t>乐境（山东）科技有限公司</t>
  </si>
  <si>
    <t>⻩酒;开胃酒;⽶酒;葡萄酒;酒精饮料（啤酒除外）;⽩酒;⾼粱酒;鸡尾酒;果酒;烈酒（饮料）</t>
  </si>
  <si>
    <t>阴山篱园</t>
  </si>
  <si>
    <t>包头市美丽牧园农牧业开发有限公司</t>
  </si>
  <si>
    <t>酒精饮料（啤酒除外）;蒸煮提取物（利⼝酒和烈酒）;含⽔果酒精饮料;果酒（含酒精）;⽩兰地;烧酒;鸡尾酒;葡萄酒;蒸馏饮料;⽩酒</t>
  </si>
  <si>
    <t>暖姐儿</t>
  </si>
  <si>
    <t>北京暖口秀甄乐科技有限公司</t>
  </si>
  <si>
    <t>⽩酒;葡萄酒;酒精饮料（啤酒除外）;含酒精的⽓泡⽔;鸡尾酒;⽩兰地;⽶酒;含⽔果酒精饮料;果酒;松叶酒</t>
  </si>
  <si>
    <t>朵朵乡愁</t>
  </si>
  <si>
    <t>清酒（⽇本⽶酒）;⻩酒;含酒精的⽓泡⽔;⽩兰地;咖啡利⼝酒;酒精饮料（啤酒除外）;⽩酒;果酒（含酒精）;鸡尾酒;葡萄酒</t>
  </si>
  <si>
    <t>清照墨玲珑</t>
  </si>
  <si>
    <t>⻩酒;⽩酒;果酒（含酒精）;苹果酒;葡萄酒;酸酒（低等葡萄酒）;开胃酒;酒精饮料（啤酒除外）;⽶酒;汽酒</t>
  </si>
  <si>
    <t>清照修雅</t>
  </si>
  <si>
    <t>果酒（含酒精）;苹果酒;汽酒;葡萄酒;开胃酒;⻩酒;酸酒（低等葡萄酒）;⽶酒;⽩酒;酒精饮料（啤酒除外）</t>
  </si>
  <si>
    <t>盛小叙</t>
  </si>
  <si>
    <t>四川盛小叙酒业有限公司</t>
  </si>
  <si>
    <t>鸡尾酒;利⼝酒;葡萄酒;⽶酒;⽔果汽酒;⽩酒;烧酒;预调甜酒;果酒;威⼠忌</t>
  </si>
  <si>
    <t>过雨荷香</t>
  </si>
  <si>
    <t>王丽娟</t>
  </si>
  <si>
    <t>酒精饮料（啤酒除外）;含⽔果酒精饮料;蒸馏饮料;烈酒（饮料）;鸡尾酒;葡萄酒;预先混合的酒精饮料（以啤酒为主的除外）;烧酒;⽩酒;蒸煮提取物（利⼝酒和烈酒）</t>
  </si>
  <si>
    <t>泰象厨</t>
  </si>
  <si>
    <t>宜佳国际贸易（上海）有限公司</t>
  </si>
  <si>
    <t>果酒（含酒精）;⽶酒;蒸馏饮料;利⼝酒;预先混合的酒精饮料（以啤酒为主的除外）;朗姆酒;鸡尾酒;薄荷酒;蜂蜜酒;葡萄酒</t>
  </si>
  <si>
    <t>芸享醇</t>
  </si>
  <si>
    <t>重庆芸享科技有限公司</t>
  </si>
  <si>
    <t>⻘稞酒;葡萄酒;⾼粱酒;烈酒（饮料）;烈酒;⽩酒;清酒;果酒（含酒精）;含⽔果酒精饮料;⽶酒</t>
  </si>
  <si>
    <t>精璧</t>
  </si>
  <si>
    <t>⻩酒;⽶酒;威⼠忌;果酒（含酒精）;烧酒;⽩酒;⻘稞酒;⽩兰地;葡萄酒;清酒（⽇本⽶酒）</t>
  </si>
  <si>
    <t>禄凤渝福</t>
  </si>
  <si>
    <t>云阳县凤鸣镇福禄村经济联合社</t>
  </si>
  <si>
    <t>葡萄酒;⽶酒;⽩酒;果酒;清酒;烈酒;⾼粱酒;烧酒;汽酒;梅酒</t>
  </si>
  <si>
    <t>怡硕甘</t>
  </si>
  <si>
    <t>范志斌</t>
  </si>
  <si>
    <t>烈酒（饮料）;威⼠忌;清酒;蒸馏饮料;含⽔果酒精饮料;烧酒;⽩酒;果酒（含酒精）;酒精饮料原汁;鸡尾酒</t>
  </si>
  <si>
    <t>山郭朝烟</t>
  </si>
  <si>
    <t>铁岭御樽酒业有限公司</t>
  </si>
  <si>
    <t>酒精饮料（啤酒除外）;⾷⽤酒精;葡萄酒;⽩酒;鸡尾酒;蒸馏饮料;酒精饮料原汁;含⽔果酒精饮料;果酒（含酒精）;蒸煮提取物（利⼝酒和烈酒）</t>
  </si>
  <si>
    <t>铸立</t>
  </si>
  <si>
    <t>⾕物制蒸馏酒精饮料;含酒精⽔果饮料;果酒（含酒精）;⽩兰地;⽩酒;烧酒;葡萄酒;威⼠忌;⻩酒;⽶酒</t>
  </si>
  <si>
    <t>HECSEM</t>
  </si>
  <si>
    <t>深圳市芯朋飞科技有限公司</t>
  </si>
  <si>
    <t>⽩酒;烈酒（饮料）;酒精饮料（啤酒除外）;烧酒;鸡尾酒;葡萄酒;含⽔果酒精饮料;⽶酒;⻩酒;开胃酒</t>
  </si>
  <si>
    <t>她颜</t>
  </si>
  <si>
    <t>杨海涛</t>
  </si>
  <si>
    <t>开胃酒;汽酒;⽩酒;清酒;⻩酒;果酒;甜酒;⽶酒;葡萄酒;⾷⽤酒精</t>
  </si>
  <si>
    <t>龙印双狮</t>
  </si>
  <si>
    <t>泉州市日圣茶业有限公司</t>
  </si>
  <si>
    <t>⽩酒;⻩酒;烧酒;葡萄酒;果酒（含酒精）;清酒（⽇本⽶酒）;威⼠忌;⽶酒;烈酒（饮料）;鸡尾酒</t>
  </si>
  <si>
    <t>高洁丝</t>
  </si>
  <si>
    <t>浙江蓝狮网络科技有限公司</t>
  </si>
  <si>
    <t>鸡尾酒;烈酒（饮料）;威⼠忌;⻩酒;烧酒;葡萄酒;酒精饮料（啤酒除外）;⽶酒;⽩酒;果酒（含酒精）</t>
  </si>
  <si>
    <t>金社服</t>
  </si>
  <si>
    <t>北京本草堂中医诊所有限公司</t>
  </si>
  <si>
    <t>开胃酒;烈酒（饮料）;⽼酒（中国蒸馏烈酒）;果酒;蒸馏饮料;⽩酒;鸡尾酒;汽酒;蒸煮提取物（利⼝酒和烈酒）;利⼝酒</t>
  </si>
  <si>
    <t>甲冬家和</t>
  </si>
  <si>
    <t>福建省长汀县卧龙酿酒业有限公司</t>
  </si>
  <si>
    <t>⻩酒;汽酒;⽩兰地;含酒精的⽓泡⽔;清酒;果酒（含酒精）;酒精饮料原汁;⽶酒;⽩酒;已调味的⻨芽酿制的酒精饮料（啤酒除外）</t>
  </si>
  <si>
    <t>金铜岭</t>
  </si>
  <si>
    <t>杭州千岛湖源上源饮品股份有限公司</t>
  </si>
  <si>
    <t>果酒（含酒精）;⻩酒;⽶酒;红葡萄酒;⽼酒（中国蒸馏烈酒）;⽩⼲酒（中国⽩酒）;⽩酒;调制好的葡萄酒鸡尾酒;烧酒;烈酒</t>
  </si>
  <si>
    <t>豫尚西贝</t>
  </si>
  <si>
    <t>崔耀红411121********2032</t>
  </si>
  <si>
    <t>⽩酒;果酒;⽶酒;葡萄酒;⽼酒（中国蒸馏烈酒）;⾼粱酒;红葡萄酒;烧酒;⻩酒;⻘稞酒</t>
  </si>
  <si>
    <t>汉晋典</t>
  </si>
  <si>
    <t>梁佳佳</t>
  </si>
  <si>
    <t>烧酒;威⼠忌;酒精饮料（啤酒除外）;果酒（含酒精）;⽩兰地;鸡尾酒;⽶酒;葡萄酒;烈酒（饮料）;⽩酒</t>
  </si>
  <si>
    <t>衢龙庭</t>
  </si>
  <si>
    <t>⻩酒;⽩⼲酒（中国⽩酒）;清酒（⽇本⽶酒）;⽶酒;烧酒;烧酒（烈酒）;⽩酒;⽼酒（中国蒸馏烈酒）;⻘梅酒;⽩兰地</t>
  </si>
  <si>
    <t>别亦南</t>
  </si>
  <si>
    <t>蜂蜜酒;⻩酒;⽶酒;酒精饮料（啤酒除外）;⽩酒;酒精饮料浓缩汁;果酒（含酒精）;蒸馏饮料;葡萄酒;烧酒</t>
  </si>
  <si>
    <t>杭州扶鹰教育科技有限公司</t>
  </si>
  <si>
    <t>烧酒;⾷⽤酒精;⻩酒;含⽔果酒精饮料;葡萄酒;汽酒;⽶酒;⻘稞酒;酒精饮料（啤酒除外）;清酒（⽇本⽶酒）</t>
  </si>
  <si>
    <t>云阳县栖霞镇农业服务中心</t>
  </si>
  <si>
    <t>⽩酒;清酒;汽酒;果酒;烧酒;⽶酒;⾼粱酒;烈酒;梅酒;葡萄酒</t>
  </si>
  <si>
    <t>泉麦泉澄</t>
  </si>
  <si>
    <t>济南泉麦酒业有限公司</t>
  </si>
  <si>
    <t>酸酒（低等葡萄酒）;果酒（含酒精）;威⼠忌;鸡尾酒;烈酒（饮料）;酒精饮料原汁;汽酒;苹果酒;⻘稞酒;酒精饮料（啤酒除外）</t>
  </si>
  <si>
    <t>智雅儒</t>
  </si>
  <si>
    <t>⾼粱酒;⽩⼲酒（中国⽩酒）;甜酒;⽩酒;烧酒;⽶酒;葡萄酒;⽼酒（中国蒸馏烈酒）;⻩酒;烈酒（饮料）</t>
  </si>
  <si>
    <t>蕴天美</t>
  </si>
  <si>
    <t>⽩酒;⾷⽤酒精;酒精饮料（啤酒除外）;⽶酒;蒸馏饮料;烈酒（饮料）;清酒（⽇本⽶酒）;葡萄酒;果酒（含酒精）;汽酒</t>
  </si>
  <si>
    <t>丰和景铭</t>
  </si>
  <si>
    <t>山西丰和景铭商贸有限公司</t>
  </si>
  <si>
    <t>清酒;开胃酒;烧酒;果酒（含酒精）;⻩酒;酒精饮料（啤酒除外）;烈酒（饮料）;⽩酒;⽶酒;蒸煮提取物（利⼝酒和烈酒）</t>
  </si>
  <si>
    <t>古锦天</t>
  </si>
  <si>
    <t>⽩酒;酒精饮料（啤酒除外）;葡萄酒;清酒（⽇本⽶酒）;蜂蜜酒;烧酒;鸡尾酒;⽶酒;果酒（含酒精）;含⽔果酒精饮料</t>
  </si>
  <si>
    <t>海麦狮</t>
  </si>
  <si>
    <t>海麦狮（上海）供应链管理有限公司</t>
  </si>
  <si>
    <t>含⽔果酒精饮料;烧酒;葡萄酒;酒精饮料（啤酒除外）;蜂蜜酒;果酒（含酒精）;清酒（⽇本⽶酒）;⽩酒;⽶酒;鸡尾酒</t>
  </si>
  <si>
    <t>蜀王都</t>
  </si>
  <si>
    <t>四川蜀王御液酒业有限公司</t>
  </si>
  <si>
    <t>葡萄酒;威⼠忌;果酒（含酒精）;开胃酒;⽶酒;清酒;蜂蜜酒;鸡尾酒;⽩酒;酒精饮料（啤酒除外）</t>
  </si>
  <si>
    <t>高满藏</t>
  </si>
  <si>
    <t>胡凯文</t>
  </si>
  <si>
    <t>鸡尾酒;清酒;威⼠忌;⽩酒;酒精饮料原汁;含⽔果酒精饮料;烈酒（饮料）;烧酒;果酒（含酒精）;蒸馏饮料</t>
  </si>
  <si>
    <t>佳委</t>
  </si>
  <si>
    <t>丁文强</t>
  </si>
  <si>
    <t>⾷⽤酒精;葡萄酒;酒精饮料（啤酒除外）;果酒;⻩酒;开胃酒;预先混合的酒精饮料（以啤酒为主的除外）;烧酒;⽶酒;⽩酒</t>
  </si>
  <si>
    <t>威兰诗</t>
  </si>
  <si>
    <t>刘世辉</t>
  </si>
  <si>
    <t>威⼠忌;鸡尾酒;蒸煮提取物（利⼝酒和烈酒）;烧酒;果酒（含酒精）;酒精饮料（啤酒除外）;葡萄酒;⽩酒;烈酒（饮料）;⽶酒</t>
  </si>
  <si>
    <t>忆庭月</t>
  </si>
  <si>
    <t>龙广红</t>
  </si>
  <si>
    <t>烧酒;开胃酒;蜂蜜酒;⽩酒;⻩酒;鸡尾酒;清酒（⽇本⽶酒）;威⼠忌;⻘稞酒;烈酒（饮料）</t>
  </si>
  <si>
    <t>群山之巅</t>
  </si>
  <si>
    <t>黑龙江省龙参中草药种植有限公司</t>
  </si>
  <si>
    <t>薄荷酒;⽩酒;⻩酒;烧酒;露酒;刺五加酒;开胃酒;烈酒（饮料）;已调味的⻨芽酿制的酒精饮料（啤酒除外）;预先混合的酒精饮料（以啤酒为主的除外）</t>
  </si>
  <si>
    <t>帝皇贺玺</t>
  </si>
  <si>
    <t>含⽔果酒精饮料;蒸馏饮料;果酒（含酒精）;鸡尾酒;⽶酒;威⼠忌;⽩酒;蜂蜜酒;⽩兰地;葡萄酒</t>
  </si>
  <si>
    <t>野望趣</t>
  </si>
  <si>
    <t>于莹</t>
  </si>
  <si>
    <t>葡萄酒;清酒（⽇本⽶酒）;酒精饮料（啤酒除外）;烧酒;⽶酒;烈酒（饮料）;⽩酒;甜酒;⻩酒;果酒（含酒精）</t>
  </si>
  <si>
    <t>民顺农丰</t>
  </si>
  <si>
    <t>威⼠忌;⽩兰地;果酒（含酒精）;烧酒;鸡尾酒;⽶酒;⾷⽤酒精;葡萄酒;⻩酒;⽩酒</t>
  </si>
  <si>
    <t>TOTEMSTAR</t>
  </si>
  <si>
    <t>无锡星系网络有限公司</t>
  </si>
  <si>
    <t>酒精饮料（啤酒除外）;⽩酒;含⽔果酒精饮料;开胃酒;薄荷酒;葡萄酒;威⼠忌;⻩酒;果酒（含酒精）;蒸馏饮料</t>
  </si>
  <si>
    <t>元气小灯泡</t>
  </si>
  <si>
    <t>上海留量数据科技有限公司</t>
  </si>
  <si>
    <t>烈酒（饮料）;⽼酒（中国蒸馏烈酒）;烧酒;开胃酒;葡萄酒;酒精饮料（啤酒除外）;⽶酒;⾼粱酒;⽩酒;⻩酒</t>
  </si>
  <si>
    <t>坝尚源</t>
  </si>
  <si>
    <t>上海铮信生物科技股份有限公司</t>
  </si>
  <si>
    <t>⽩⼲酒（中国⽩酒）;⽩酒;⾕物制蒸馏酒精饮料;烧酒;⾼粱酒;⻩酒;烈酒;樱桃酒;蒸馏饮料;⽼酒（中国蒸馏烈酒）</t>
  </si>
  <si>
    <t>豫上西贝</t>
  </si>
  <si>
    <t>葡萄酒;⽶酒;⻘稞酒;⾼粱酒;红葡萄酒;⽼酒（中国蒸馏烈酒）;烧酒;⻩酒;果酒;⽩酒</t>
  </si>
  <si>
    <t>宋商风云</t>
  </si>
  <si>
    <t>⾼粱酒;烈酒;⻩酒;⽶酒;⽼酒（中国蒸馏烈酒）;果酒;⻘稞酒;葡萄酒;烧酒;⽩酒</t>
  </si>
  <si>
    <t>百仁梦</t>
  </si>
  <si>
    <t>葡萄酒;⽩酒;酒精饮料（啤酒除外）;清酒（⽇本⽶酒）;含⽔果酒精饮料;鸡尾酒;⽶酒;果酒（含酒精）;蜂蜜酒;烧酒</t>
  </si>
  <si>
    <t>上海掌上春天智能科技有限公司</t>
  </si>
  <si>
    <t>预先混合的酒精饮料（以啤酒为主的除外）;威⼠忌;酒精饮料浓缩汁;咖啡利⼝酒;含⽔果酒精饮料;果酒（含酒精）;酒精饮料（啤酒除外）;蒸馏饮料;鸡尾酒;葡萄酒</t>
  </si>
  <si>
    <t>渝带屿鸣</t>
  </si>
  <si>
    <t>云阳县凤鸣镇玉带村经济联合社</t>
  </si>
  <si>
    <t>烈酒;葡萄酒;⽩酒;⾼粱酒;梅酒;果酒;烧酒;汽酒;⽶酒;清酒</t>
  </si>
  <si>
    <t>酿囩冈</t>
  </si>
  <si>
    <t>⽶酒;清酒（⽇本⽶酒）;⽩兰地;⽩酒;烧酒（烈酒）;⻘梅酒;烧酒;⽼酒（中国蒸馏烈酒）;⻩酒;⽩⼲酒（中国⽩酒）</t>
  </si>
  <si>
    <t>DOMAINE ELENA</t>
  </si>
  <si>
    <t>埃斯梅拉尔达葡萄酒酿造有限公司</t>
  </si>
  <si>
    <t>酒精饮料原汁;酒精饮料（啤酒除外）;酒精饮料浓缩汁</t>
  </si>
  <si>
    <t>鸳湖泛月</t>
  </si>
  <si>
    <t>蒸煮提取物（利⼝酒和烈酒）;蒸馏饮料;果酒（含酒精）;⽩酒;酒精饮料原汁;含⽔果酒精饮料;⾷⽤酒精;葡萄酒;酒精饮料（啤酒除外）;鸡尾酒</t>
  </si>
  <si>
    <t>莫斯漫豪门</t>
  </si>
  <si>
    <t>上海赤霞国际贸易有限公司</t>
  </si>
  <si>
    <t>薄荷酒;⻩酒;清酒;蜂蜜酒;⽩酒;⽶酒;开胃酒;葡萄酒;樱桃酒;烈酒（饮料）</t>
  </si>
  <si>
    <t>秋舞红枫</t>
  </si>
  <si>
    <t>北京麦田华翼影音文化传媒有限公司</t>
  </si>
  <si>
    <t>威⼠忌;⽩酒;清酒;朗姆酒;⾼粱酒;葡萄酒;鸡尾酒;⻩酒;⽩兰地;⽶酒</t>
  </si>
  <si>
    <t>汉醹渚</t>
  </si>
  <si>
    <t>上海福艺坊商贸有限公司</t>
  </si>
  <si>
    <t>开胃酒;酒精饮料（啤酒除外）;⾷⽤酒精;⽶酒;⽩⼲酒（中国⽩酒）;烧酒;⽩酒;果酒（含酒精）;⻩酒;⾼粱酒</t>
  </si>
  <si>
    <t>朦胧源</t>
  </si>
  <si>
    <t>广州成宇商贸有限公司</t>
  </si>
  <si>
    <t>开胃酒;含酒精⽔果饮料;⽶酒;清酒;⽩酒;葡萄酒;⻩酒;烧酒;酒精饮料（啤酒除外）;烈酒（饮料）</t>
  </si>
  <si>
    <t>FUN RABBIT</t>
  </si>
  <si>
    <t>南昌梅岭旅游发展有限公司</t>
  </si>
  <si>
    <t>威⼠忌;⻩酒;⻘稞酒;鸡尾酒;⽩酒;酒精饮料（啤酒除外）;烧酒;朗姆酒;⾼粱酒;果酒（含酒精）</t>
  </si>
  <si>
    <t>智雅鲁</t>
  </si>
  <si>
    <t>⽼酒（中国蒸馏烈酒）;甜酒;烧酒;葡萄酒;⻩酒;⽩酒;⽶酒;⾼粱酒;烈酒（饮料）;⽩⼲酒（中国⽩酒）</t>
  </si>
  <si>
    <t>金奕</t>
  </si>
  <si>
    <t>杭州金奕商贸有限公司</t>
  </si>
  <si>
    <t>葡萄酒;⽩兰地;⻩酒;清酒;伏特加酒;朗姆酒;⽩⼲酒（中国⽩酒）;酒精饮料（啤酒除外）;威⼠忌;鸡尾酒</t>
  </si>
  <si>
    <t>佰卓宝</t>
  </si>
  <si>
    <t>勃第堡国际贸易（杭州）有限公司</t>
  </si>
  <si>
    <t>烈酒（饮料）;酒精饮料（啤酒除外）;果酒（含酒精）;⻩酒;朗姆酒;⽩酒;鸡尾酒;⽩兰地;威⼠忌;葡萄酒</t>
  </si>
  <si>
    <t>先德福</t>
  </si>
  <si>
    <t>永康市恒优诺门业有限公司</t>
  </si>
  <si>
    <t>葡萄酒;⽶酒;利⼝酒;⽩酒;酒精饮料（啤酒除外）;⻩酒;烧酒;⽩兰地;威⼠忌;烈酒（饮料）</t>
  </si>
  <si>
    <t>道运山</t>
  </si>
  <si>
    <t>⽩酒;威⼠忌;鸡尾酒;⽶酒;烈酒（饮料）;酒精饮料（啤酒除外）;⽩兰地;烧酒;葡萄酒;果酒（含酒精）</t>
  </si>
  <si>
    <t>华圣典</t>
  </si>
  <si>
    <t>⽩酒;酒精饮料（啤酒除外）;⽶酒;葡萄酒;⽩兰地;鸡尾酒;烧酒;烈酒（饮料）;果酒（含酒精）;威⼠忌</t>
  </si>
  <si>
    <t>DOMAINE E DE M</t>
  </si>
  <si>
    <t>酒精饮料（啤酒除外）;酒精饮料原汁;酒精饮料浓缩汁</t>
  </si>
  <si>
    <t>贺储</t>
  </si>
  <si>
    <t>⽶酒;鸡尾酒;开胃酒;⽩酒;⻩酒;烧酒;烈酒（饮料）;含⽔果酒精饮料;酒精饮料（啤酒除外）;葡萄酒</t>
  </si>
  <si>
    <t>境道</t>
  </si>
  <si>
    <t>乌毡帽酒业有限公司</t>
  </si>
  <si>
    <t>葡萄酒;烧酒;蜂蜜酒;⻩酒;鸡尾酒;⽶酒;果酒（含酒精）;蒸馏饮料;汽酒;⽩酒</t>
  </si>
  <si>
    <t>蓬渡风帆</t>
  </si>
  <si>
    <t>酒精饮料（啤酒除外）;酒精饮料原汁;果酒（含酒精）;葡萄酒;⾷⽤酒精;鸡尾酒;蒸煮提取物（利⼝酒和烈酒）;蒸馏饮料;含⽔果酒精饮料;⽩酒</t>
  </si>
  <si>
    <t>青树易居</t>
  </si>
  <si>
    <t>大理禾田易居文旅开发有限公司</t>
  </si>
  <si>
    <t>果酒（含酒精）;葡萄酒;清酒（⽇本⽶酒）;⽶酒;烈酒（饮料）;酒精饮料（啤酒除外）;⻩酒;⽩酒;威⼠忌;鸡尾酒</t>
  </si>
  <si>
    <t>持玉</t>
  </si>
  <si>
    <t>⽩酒;⽩兰地;⽶酒;果酒（含酒精）;烧酒;⻩酒;⻘稞酒;威⼠忌;葡萄酒;清酒（⽇本⽶酒）</t>
  </si>
  <si>
    <t>粮中冠</t>
  </si>
  <si>
    <t>马阳阳341282********1219</t>
  </si>
  <si>
    <t>预先混合的酒精饮料（以啤酒为主的除外）;果酒（含酒精）;鸡尾酒;葡萄酒;开胃酒;梅酒;⽩酒;利⼝酒;⽶酒;⻩酒</t>
  </si>
  <si>
    <t>延欣</t>
  </si>
  <si>
    <t>吉林省延才好建筑装饰有限公司</t>
  </si>
  <si>
    <t>⽩酒;果酒（含酒精）;葡萄酒;伏特加酒;马格利酒（朝鲜传统⽶酒）;酒精饮料（啤酒除外）;⽶酒;烧酒;清酒;烈酒</t>
  </si>
  <si>
    <t>2024/06/01</t>
  </si>
  <si>
    <t>福惠双鑫</t>
  </si>
  <si>
    <t>皮勇明</t>
  </si>
  <si>
    <t>杜松⼦酒;樱桃酒;烈酒（饮料）;酸酒（低等葡萄酒）;利⼝酒;蜂蜜酒;⽩兰地;梨酒;餐后酒（利⼝酒和烈酒）;葡萄酒</t>
  </si>
  <si>
    <t>贡花韵</t>
  </si>
  <si>
    <t>⽩酒;鸡尾酒;葡萄酒;果酒（含酒精）;烈酒;开胃酒;清酒（⽇本⽶酒）;酒精饮料（啤酒除外）;⻩酒;威⼠忌</t>
  </si>
  <si>
    <t>琼丰酒业</t>
  </si>
  <si>
    <t>覃雪珠</t>
  </si>
  <si>
    <t>清酒（⽇本⽶酒）;鸡尾酒;威⼠忌;⽩酒;葡萄酒;酒精饮料（啤酒除外）;开胃酒;果酒（含酒精）;烈酒;⻩酒</t>
  </si>
  <si>
    <t>云蒙鹿博士</t>
  </si>
  <si>
    <t>杨智涵</t>
  </si>
  <si>
    <t>⾼粱酒;烧酒;蝮蛇酒;⽩酒;葡萄酒;⽶酒;甜酒;烈酒;果酒;鸡尾酒</t>
  </si>
  <si>
    <t>三花洞</t>
  </si>
  <si>
    <t>⻩酒;⽼酒（中国蒸馏烈酒）;⽩酒;含⽔果酒精饮料;果酒（含酒精）;葡萄酒;⾷⽤酒精;⽶酒;烈酒（饮料）;含酒精的饮料（啤酒除外）</t>
  </si>
  <si>
    <t>玄宁之珠</t>
  </si>
  <si>
    <t>昆山天伦之道投资管理有限公司</t>
  </si>
  <si>
    <t>⽩兰地;葡萄酒;烈酒;果酒（含酒精）;汽酒;⽩酒;露酒;威⼠忌;伏特加酒;鸡尾酒</t>
  </si>
  <si>
    <t>皮嗨滋</t>
  </si>
  <si>
    <t>安徽省皮嗨滋餐饮管理有限公司</t>
  </si>
  <si>
    <t>葡萄酒;⽶酒;杨梅酒;梨酒;⽩酒;鸡尾酒;⻩酒;清酒;含⽔果酒精饮料;果酒（含酒精）</t>
  </si>
  <si>
    <t>柔匠门</t>
  </si>
  <si>
    <t>任勇</t>
  </si>
  <si>
    <t>⻩酒;⽩兰地;威⼠忌;⽩酒;果酒（含酒精）;清酒（⽇本⽶酒）;鸡尾酒;⽶酒;葡萄酒;伏特加酒</t>
  </si>
  <si>
    <t>得穗</t>
  </si>
  <si>
    <t>开胃酒;葡萄酒;⻩酒;果酒（含酒精）;清酒（⽇本⽶酒）;鸡尾酒;酒精饮料（啤酒除外）;⽩酒;威⼠忌;烈酒</t>
  </si>
  <si>
    <t>汘仹源</t>
  </si>
  <si>
    <t>昱目树（重庆）科技有限公司</t>
  </si>
  <si>
    <t>由⾕物蒸馏的⽩酒</t>
  </si>
  <si>
    <t>范举人</t>
  </si>
  <si>
    <t>好酒到家供应链邯郸有限公司</t>
  </si>
  <si>
    <t>葡萄酒;⽶酒;果酒（含酒精）;清酒（⽇本⽶酒）;烧酒;酒精饮料（啤酒除外）;预先混合的酒精饮料（以啤酒为主的除外）;⽩酒;鸡尾酒;以葡萄酒为主的饮料</t>
  </si>
  <si>
    <t>YSPBT 允上品生物科技 YSPBT</t>
  </si>
  <si>
    <t>厦门允上品生物科技有限公司</t>
  </si>
  <si>
    <t>⽩兰地;果酒;鸡尾酒;⾕物制蒸馏酒精饮料;⻩酒;甜酒;⽩酒;烧酒;以葡萄酒为主的饮料;含⽔果酒精饮料</t>
  </si>
  <si>
    <t>庐驾</t>
  </si>
  <si>
    <t>果酒（含酒精）;葡萄酒;清酒（⽇本⽶酒）;威⼠忌;⽶酒;⽩酒;⻩酒;⽩兰地;鸡尾酒;伏特加酒</t>
  </si>
  <si>
    <t>弘封台</t>
  </si>
  <si>
    <t>鸡尾酒;酒精饮料（啤酒除外）;威⼠忌;葡萄酒;果酒（含酒精）;烈酒;开胃酒;清酒（⽇本⽶酒）;⻩酒;⽩酒</t>
  </si>
  <si>
    <t>延阿迈</t>
  </si>
  <si>
    <t>果酒（含酒精）;烧酒;酒精饮料（啤酒除外）;⽩酒;伏特加酒;马格利酒（朝鲜传统⽶酒）;烈酒;⽶酒;葡萄酒;清酒</t>
  </si>
  <si>
    <t>听壶</t>
  </si>
  <si>
    <t>葡萄酒;⽶酒;⻩酒;⾼粱酒;露酒;蒸馏饮料;烧酒;烈酒;⽩酒;果酒（含酒精）</t>
  </si>
  <si>
    <t>白上普</t>
  </si>
  <si>
    <t>北京萨埵智能科技有限公司</t>
  </si>
  <si>
    <t>含⽔果酒精饮料;⻩酒;⽩酒;⾕物制蒸馏酒精饮料;葡萄酒;果酒（含酒精）;酒精饮料（啤酒除外）;汽酒;⻘稞酒;烧酒</t>
  </si>
  <si>
    <t>贵秦怀</t>
  </si>
  <si>
    <t>鸡尾酒;葡萄酒;果酒（含酒精）;清酒（⽇本⽶酒）;烈酒;开胃酒;威⼠忌;⻩酒;⽩酒;酒精饮料（啤酒除外）</t>
  </si>
  <si>
    <t>息夫人</t>
  </si>
  <si>
    <t>河南发祥地酒店管理有限公司</t>
  </si>
  <si>
    <t>酒精饮料（啤酒除外）;⽩酒;⾷⽤酒精;蒸煮提取物（利⼝酒和烈酒）;开胃酒;⻩酒;⽶酒;葡萄酒;果酒（含酒精）;烧酒</t>
  </si>
  <si>
    <t>塞上演义</t>
  </si>
  <si>
    <t>宁夏杞礼农业有限公司</t>
  </si>
  <si>
    <t>⽩兰地;⽩酒;鸡尾酒;酒精饮料（啤酒除外）;果酒;⻘稞酒;⻩酒;葡萄酒;⽶酒;含⽔果酒精饮料</t>
  </si>
  <si>
    <t>东略</t>
  </si>
  <si>
    <t>东略铝制品（佛山）有限公司</t>
  </si>
  <si>
    <t>鸡尾酒;⻩酒;甜酒;⽶酒;果酒;⽩酒;葡萄酒;含酒精的饮料（啤酒除外）;烈酒;烧酒</t>
  </si>
  <si>
    <t>单启述冉</t>
  </si>
  <si>
    <t>六安市晟桐装饰材料销售有限公司</t>
  </si>
  <si>
    <t>清酒;酒精饮料（啤酒除外）;⻩酒;⽩酒;甜酒;果酒（含酒精）;葡萄酒;蜂蜜酒;烧酒;⽶酒</t>
  </si>
  <si>
    <t>世山酒业</t>
  </si>
  <si>
    <t>酒精饮料（啤酒除外）;开胃酒;果酒（含酒精）;清酒（⽇本⽶酒）;葡萄酒;烈酒;⻩酒;⽩酒;威⼠忌;鸡尾酒</t>
  </si>
  <si>
    <t>小杏丰</t>
  </si>
  <si>
    <t>清酒（⽇本⽶酒）;酒精饮料（啤酒除外）;威⼠忌;葡萄酒;⽩酒;鸡尾酒;开胃酒;⻩酒;果酒（含酒精）;烈酒</t>
  </si>
  <si>
    <t>石昊龙尊</t>
  </si>
  <si>
    <t>河南三木品牌设计有限公司</t>
  </si>
  <si>
    <t>⻘稞酒;⽩酒;葡萄酒;⽶酒;⻩酒;果酒（含酒精）;酒精饮料（啤酒除外）;⾷⽤酒精;蒸馏饮料;烧酒</t>
  </si>
  <si>
    <t>班格娜</t>
  </si>
  <si>
    <t>朱佳豪</t>
  </si>
  <si>
    <t>酒精饮料（啤酒除外）;含⽔果酒精饮料;⽩酒;开胃酒;⻩酒;果酒（含酒精）;蒸馏饮料;鸡尾酒;葡萄酒;烈酒（饮料）</t>
  </si>
  <si>
    <t>拂莲</t>
  </si>
  <si>
    <t>石狮市翰玛世元服饰商行</t>
  </si>
  <si>
    <t>鸡尾酒;清酒;烈酒;⻩酒;⽩兰地;果酒;⽶酒;威⼠忌;⽩酒;葡萄酒</t>
  </si>
  <si>
    <t>尊炎烧坊</t>
  </si>
  <si>
    <t>鸡尾酒;清酒（⽇本⽶酒）;酒精饮料（啤酒除外）;威⼠忌;葡萄酒;⽩酒;开胃酒;果酒（含酒精）;烈酒;⻩酒</t>
  </si>
  <si>
    <t>寂台</t>
  </si>
  <si>
    <t>林添福</t>
  </si>
  <si>
    <t>清酒;果酒;⻩酒;⽼酒（中国蒸馏烈酒）;⽩酒;烈酒;烧酒;⽩⼲酒（中国⽩酒）;含⽔果酒精饮料;⽶酒</t>
  </si>
  <si>
    <t>东江源头三百山</t>
  </si>
  <si>
    <t>安远县宾招服务管理有限责任公司</t>
  </si>
  <si>
    <t>烧酒;餐后酒（利⼝酒和烈酒）;果酒（含酒精）;⽩酒;酒精饮料（啤酒除外）;蒸馏饮料;预先混合的酒精饮料（以啤酒为主的除外）;烈酒（饮料）;⻩酒;⽶酒</t>
  </si>
  <si>
    <t>皖晟桐</t>
  </si>
  <si>
    <t>⻩酒;鸡尾酒;葡萄酒;⽶酒;甜酒;⽩酒;清酒;蜂蜜酒;酒精饮料（啤酒除外）;果酒（含酒精）</t>
  </si>
  <si>
    <t>泉亭春</t>
  </si>
  <si>
    <t>杭州久唛恒德财务咨询合伙企业（普通合伙）</t>
  </si>
  <si>
    <t>烈酒（饮料）;⻩酒;⽩酒;葡萄酒;⽶酒;伏特加酒;果酒（含酒精）;鸡尾酒;利⼝酒;威⼠忌</t>
  </si>
  <si>
    <t>沣明</t>
  </si>
  <si>
    <t>刘慧英</t>
  </si>
  <si>
    <t>鸡尾酒;果酒（含酒精）;烈酒;酒精饮料（啤酒除外）;葡萄酒;开胃酒;清酒（⽇本⽶酒）;⽩酒;⻩酒;威⼠忌</t>
  </si>
  <si>
    <t>2024/06/02</t>
  </si>
  <si>
    <t>涡州</t>
  </si>
  <si>
    <t>⽶酒;烧酒;⻩酒;露酒;酒精饮料（啤酒除外）;威⼠忌;⽩酒;蒸馏饮料;葡萄酒;果酒（含酒精）</t>
  </si>
  <si>
    <t>偶得莲味</t>
  </si>
  <si>
    <t>扬州天成食品有限公司</t>
  </si>
  <si>
    <t>⽩酒;⽼酒（中国蒸馏烈酒）;五加⽪酒（中国混合烈酒）;由⾕物蒸馏的⽩酒;⽩⼲酒（中国⽩酒）;⽶酒;果酒;烧酒;⻩酒;烧酒（烈酒）</t>
  </si>
  <si>
    <t>杜振堂</t>
  </si>
  <si>
    <t>杜艳丽</t>
  </si>
  <si>
    <t>⽩酒;蒸煮提取物（利⼝酒和烈酒）;开胃酒;葡萄酒;⽩兰地;⻩酒;⽶酒;酒精饮料（啤酒除外）;蒸馏饮料;果酒（含酒精）</t>
  </si>
  <si>
    <t>散花弗香</t>
  </si>
  <si>
    <t>⽶酒;烈酒;⻩酒;⽩兰地;葡萄酒;清酒;鸡尾酒;威⼠忌;⽩酒;果酒</t>
  </si>
  <si>
    <t>散花女王</t>
  </si>
  <si>
    <t>⽶酒;⽩酒;烈酒;鸡尾酒;⽩兰地;葡萄酒;果酒;清酒;威⼠忌;⻩酒</t>
  </si>
  <si>
    <t>宇阙宫</t>
  </si>
  <si>
    <t>何艳</t>
  </si>
  <si>
    <t>果酒（含酒精）;开胃酒;葡萄酒;⽩兰地;⽩酒;威⼠忌;酒精饮料（啤酒除外）;⽶酒;⾷⽤酒精;⻘稞酒</t>
  </si>
  <si>
    <t>团圆人</t>
  </si>
  <si>
    <t>传奇世界（北京）国际科贸有限公司</t>
  </si>
  <si>
    <t>含酒精⽔果饮料;果酒（含酒精）;清酒（⽇本⽶酒）;酒精饮料（啤酒除外）;⽩⼲酒（中国⽩酒）;葡萄酒;⽶酒;烧酒;⻩酒;⽩酒</t>
  </si>
  <si>
    <t>酌知秋</t>
  </si>
  <si>
    <t>蚌埠宏果酒业有限公司</t>
  </si>
  <si>
    <t>已调味的⻨芽酿制的酒精饮料（啤酒除外）;⼲型苹果酒;尼⽡（以⽢蔗为主的酒精饮料）;酒精饮料（啤酒除外）;含酒精的鸡尾酒混合饮品;预调甜酒;餐后酒（利⼝酒和烈酒）;杨梅酒;含⽔果酒精饮料;露酒</t>
  </si>
  <si>
    <t>馫馥斋</t>
  </si>
  <si>
    <t>清酒;⽼酒（中国蒸馏烈酒）;烈酒;露酒;⻩酒;⽶酒;果酒;⽩酒;⽩兰地;威⼠忌</t>
  </si>
  <si>
    <t>河儿满</t>
  </si>
  <si>
    <t>何殿章</t>
  </si>
  <si>
    <t>果酒（含酒精）;葡萄酒;烈酒（饮料）;开胃酒;烧酒;⽶酒;酒精饮料（啤酒除外）;⽩酒;⾷⽤酒精;⻩酒</t>
  </si>
  <si>
    <t>黔春仙</t>
  </si>
  <si>
    <t>张玉龙</t>
  </si>
  <si>
    <t>威⼠忌;蒸煮提取物（利⼝酒和烈酒）;⻩酒;果酒（含酒精）;含⽔果酒精饮料;⽶酒;⾷⽤酒精;葡萄酒;⽩酒;烧酒</t>
  </si>
  <si>
    <t>巴姆迷虎淘</t>
  </si>
  <si>
    <t>刘莉君</t>
  </si>
  <si>
    <t>⽩兰地;鸡尾酒;葡萄酒;⻩酒;烧酒;⽩酒;果酒（含酒精）;威⼠忌;含⽔果酒精饮料;⽶酒</t>
  </si>
  <si>
    <t>2024/06/03</t>
  </si>
  <si>
    <t>谷高赞</t>
  </si>
  <si>
    <t>李英华</t>
  </si>
  <si>
    <t>烈酒（饮料）;酒精饮料原汁;⽩酒;果酒（含酒精）;蒸馏饮料;清酒;鸡尾酒;烧酒;威⼠忌;含⽔果酒精饮料</t>
  </si>
  <si>
    <t>汉熙福囍</t>
  </si>
  <si>
    <t>广州美韵美康互联网科技有限公司</t>
  </si>
  <si>
    <t>烧酒;葡萄酒;苦味酒;⽩酒;果酒（含酒精）;酒精饮料原汁;利⼝酒;烈酒（饮料）;酒精饮料（啤酒除外）;蜂蜜酒</t>
  </si>
  <si>
    <t>汉熙十二福</t>
  </si>
  <si>
    <t>葡萄酒;苦味酒;果酒（含酒精）;利⼝酒;酒精饮料（啤酒除外）;蜂蜜酒;酒精饮料原汁;⽩酒;烈酒（饮料）;烧酒</t>
  </si>
  <si>
    <t>背匠</t>
  </si>
  <si>
    <t>李德洪</t>
  </si>
  <si>
    <t>⽶酒;⾷⽤酒精;⽩酒;⽼酒（中国蒸馏烈酒）;葡萄酒;蒸馏饮料;烈酒（饮料）;烧酒;果酒（含酒精）;⽩⼲酒（中国⽩酒）</t>
  </si>
  <si>
    <t>臻略</t>
  </si>
  <si>
    <t>汾阳市德醇香酒业有限公司</t>
  </si>
  <si>
    <t>酒精饮料（啤酒除外）;⽶酒;⾷⽤酒精;⽩酒;烈酒（饮料）;烧酒;薄荷酒;⻩酒;苦味酒;果酒（含酒精）</t>
  </si>
  <si>
    <t>醉美仙子</t>
  </si>
  <si>
    <t>史凤兰</t>
  </si>
  <si>
    <t>果酒;开胃酒;葡萄酒;⻘稞酒;⽩酒;汽酒;⻩酒;⾷⽤酒精;烧酒;酒精饮料（啤酒除外）</t>
  </si>
  <si>
    <t>天著大悦泉</t>
  </si>
  <si>
    <t>本溪大略房地产开发有限公司</t>
  </si>
  <si>
    <t>樱桃酒;⻩酒;⽩酒;清酒;烧酒;⾼粱酒;薄荷酒;葡萄酒;⽶酒;苹果酒</t>
  </si>
  <si>
    <t>锦窖天下</t>
  </si>
  <si>
    <t>清酒;薄荷酒;⽶酒;⻩酒;果酒;⽼酒（中国蒸馏烈酒）;烧酒（烈酒）;烧酒;葡萄酒;⽩酒</t>
  </si>
  <si>
    <t>印咸</t>
  </si>
  <si>
    <t>孙银春</t>
  </si>
  <si>
    <t>⾷⽤酒精;⽩酒;蜂蜜酒;烧酒;⽶酒;酒精饮料（啤酒除外）;⻩酒;果酒;烈酒;葡萄酒</t>
  </si>
  <si>
    <t>蜀益嘉</t>
  </si>
  <si>
    <t>李赢</t>
  </si>
  <si>
    <t>烈酒（饮料）;威⼠忌;烧酒;⽩酒;蒸馏饮料;鸡尾酒;清酒;含⽔果酒精饮料;酒精饮料原汁;果酒（含酒精）</t>
  </si>
  <si>
    <t>抚之龙</t>
  </si>
  <si>
    <t>卢建华</t>
  </si>
  <si>
    <t>⽼酒（中国蒸馏烈酒）;⻘梅酒;烧酒;⽩⼲酒（中国⽩酒）;烧酒（烈酒）;⽶酒;⽩酒;⽩兰地;⻩酒;清酒（⽇本⽶酒）</t>
  </si>
  <si>
    <t>梦哒弯 MENGDAVAN</t>
  </si>
  <si>
    <t>新疆梦哒弯二手车服务有限公司</t>
  </si>
  <si>
    <t>果酒（含酒精）;蜂蜜酒;⽩兰地;酒精饮料原汁;含⽔果酒精饮料;以葡萄酒为主的饮料;⽩酒;鸡尾酒;威⼠忌;葡萄酒</t>
  </si>
  <si>
    <t>大红门囍</t>
  </si>
  <si>
    <t>河北大红门酒业有限公司</t>
  </si>
  <si>
    <t>⽶酒;鸡尾酒;烈酒;酒精饮料（啤酒除外）;⽩酒;烈酒（饮料）;威⼠忌;烧酒;⽼酒（中国蒸馏烈酒）;果酒（含酒精）</t>
  </si>
  <si>
    <t>大卫歌尼亚 DAVID GAUNIA</t>
  </si>
  <si>
    <t>⻩酒;果酒;⻘稞酒;⾷⽤酒精;汽酒;烧酒;⽩酒;葡萄酒;酒精饮料（啤酒除外）;开胃酒</t>
  </si>
  <si>
    <t>衡跃</t>
  </si>
  <si>
    <t>清酒（⽇本⽶酒）;葡萄酒;⽩酒;⻩酒;烈酒（饮料）;果酒（含酒精）;鸡尾酒;威⼠忌;⾕物制蒸馏酒精饮料;酒精饮料（啤酒除外）</t>
  </si>
  <si>
    <t>上海丹爱法企业发展有限公司</t>
  </si>
  <si>
    <t>葡萄酒;酒精饮料浓缩汁;开胃酒;利⼝酒;预先混合的酒精饮料（以啤酒为主的除外）;⻩酒;酒精饮料原汁;果酒（含酒精）;酒精饮料（啤酒除外）;⽩酒</t>
  </si>
  <si>
    <t>尕娜妹</t>
  </si>
  <si>
    <t>河南省佰熠信餐饮管理有限公司</t>
  </si>
  <si>
    <t>酒精饮料（啤酒除外）;⽶酒;烈酒（饮料）;葡萄酒;⽼酒（中国蒸馏烈酒）;威⼠忌;⽩兰地;⻩酒;⾼粱酒;⽩酒</t>
  </si>
  <si>
    <t>夵獭</t>
  </si>
  <si>
    <t>南京多阳云真国际贸易有限公司</t>
  </si>
  <si>
    <t>利⼝酒;⽶酒;清酒;⽩酒;苹果酒;葡萄酒;蜂蜜酒;⽩兰地;果酒;开胃酒</t>
  </si>
  <si>
    <t>迪华仕</t>
  </si>
  <si>
    <t>烟台卡特尔酒庄葡萄酿酒有限公司</t>
  </si>
  <si>
    <t>⻩酒;伏特加酒;清酒（⽇本⽶酒）;葡萄酒;⽶酒;威⼠忌;⽩酒;汽酒;酒精饮料（啤酒除外）;果酒（含酒精）</t>
  </si>
  <si>
    <t>张培英</t>
  </si>
  <si>
    <t>果酒（含酒精）;含酒精的⽔果鸡尾酒饮料;开胃酒;⻩酒;烧酒;果酒;⽩酒;葡萄酒;蜂蜜酒;⽶酒</t>
  </si>
  <si>
    <t>金钟仔</t>
  </si>
  <si>
    <t>果酒（含酒精）;鸡尾酒;⽶酒;含⽔果酒精饮料;酒精饮料浓缩汁;葡萄酒;⻩酒;烧酒;烈酒（饮料）;⽩酒</t>
  </si>
  <si>
    <t>蓝典安</t>
  </si>
  <si>
    <t>黄超</t>
  </si>
  <si>
    <t>酒精饮料原汁;含⽔果酒精饮料;果酒（含酒精）;威⼠忌;烧酒;烈酒（饮料）;⽩酒;蒸馏饮料;清酒;鸡尾酒</t>
  </si>
  <si>
    <t>山海关</t>
  </si>
  <si>
    <t>唱宝钐</t>
  </si>
  <si>
    <t>威⼠忌;预调甜酒;含酒精的⽔果鸡尾酒饮料;⽩兰地;⽶酒;葡萄酒;伏特加酒;果酒（含酒精）;⽩酒;酒精饮料（啤酒除外）</t>
  </si>
  <si>
    <t>水美永禾</t>
  </si>
  <si>
    <t>扬中市永蓝果蔬专业合作社</t>
  </si>
  <si>
    <t>⾷⽤酒精;葡萄酒;蜂蜜酒;苹果酒;⽩酒;含⽔果酒精饮料;果酒（含酒精）;酒精饮料（啤酒除外）;⽶酒;⻩酒</t>
  </si>
  <si>
    <t>沁福春</t>
  </si>
  <si>
    <t>山西东风湖生态农业科技有限公司</t>
  </si>
  <si>
    <t>果酒（含酒精）;鸡尾酒;⽩兰地;⽶酒;清酒（⽇本⽶酒）;⾼粱酒;⻘稞酒;利⼝酒;葡萄酒;⽩酒</t>
  </si>
  <si>
    <t>卿筱妍</t>
  </si>
  <si>
    <t>⽶酒;⽩酒;果酒（含酒精）;酒精饮料（啤酒除外）;⾷⽤酒精;葡萄酒;烧酒;蒸馏饮料;⻩酒;⻘稞酒</t>
  </si>
  <si>
    <t>臻利源</t>
  </si>
  <si>
    <t>四川臻利源酒业有限公司</t>
  </si>
  <si>
    <t>烈酒（饮料）;威⼠忌;⽩兰地;葡萄酒;利⼝酒;⽶酒;汽酒;⽩酒;⻘稞酒;⻩酒</t>
  </si>
  <si>
    <t>小懒羊</t>
  </si>
  <si>
    <t>倍力优(北京)健康产业科技有限公司</t>
  </si>
  <si>
    <t>葡萄酒;酒精饮料（啤酒除外）;果酒（含酒精）;开胃酒;威⼠忌;蒸馏饮料;⽩酒;含⽔果酒精饮料;薄荷酒;⻩酒</t>
  </si>
  <si>
    <t>览狮</t>
  </si>
  <si>
    <t>王娇娟</t>
  </si>
  <si>
    <t>酒精饮料浓缩汁;葡萄酒;蒸馏饮料;⽩酒;烧酒;果酒;⻘稞酒;清酒（⽇本⽶酒）;⽶酒;烈酒</t>
  </si>
  <si>
    <t>WENTONG'S</t>
  </si>
  <si>
    <t>李文通</t>
  </si>
  <si>
    <t>蒸馏饮料;汽酒;葡萄酒;含酒精⽔果饮料;⾷⽤酒精;果酒（含酒精）;含酒精的⽓泡⽔;起泡红葡萄酒;酒精饮料（啤酒除外）;鸡尾酒</t>
  </si>
  <si>
    <t>敬英宴</t>
  </si>
  <si>
    <t>三河市国玉商贸有限公司</t>
  </si>
  <si>
    <t>⻘稞酒;⽩兰地;酒精饮料原汁;葡萄酒;果酒（含酒精）;⽩酒;⻩酒;⽶酒;露酒;梨酒</t>
  </si>
  <si>
    <t>叙永县黄坭坪上酒厂</t>
  </si>
  <si>
    <t>果酒（含酒精）;⽶酒;⾷⽤酒精;蒸馏饮料;烧酒;葡萄酒;鸡尾酒;酒精饮料（啤酒除外）;⽩酒;开胃酒</t>
  </si>
  <si>
    <t>灿利宾</t>
  </si>
  <si>
    <t>卢江彬</t>
  </si>
  <si>
    <t>⻩酒;⾷⽤酒精;果酒;葡萄酒;⽩兰地;⽶酒;餐后酒（利⼝酒和烈酒）;含酒精的饮料（啤酒除外）;含酒精的鸡尾酒混合饮品;威⼠忌</t>
  </si>
  <si>
    <t>奉天华</t>
  </si>
  <si>
    <t>广东华枝春酒业有限公司</t>
  </si>
  <si>
    <t>⽶酒;葡萄酒;鸡尾酒;预调甜酒;蒸馏饮料;含酒精⽔果饮料;烈酒（饮料）;⽩酒;果酒（含酒精）;⽩兰地</t>
  </si>
  <si>
    <t>德轩锋</t>
  </si>
  <si>
    <t>重庆德轩锋金属制品有限公司</t>
  </si>
  <si>
    <t>果酒（含酒精）;鸡尾酒;⻘稞酒;⻩酒;梨酒;蜂蜜酒;⽶酒;酒精饮料（啤酒除外）;苹果酒;⽩酒</t>
  </si>
  <si>
    <t>啪哒嘻</t>
  </si>
  <si>
    <t>刘影</t>
  </si>
  <si>
    <t>汽酒;烈酒（饮料）;⽩酒;含⽔果酒精饮料;⻩酒;⽶酒;蒸馏饮料;⾷⽤酒精;鸡尾酒;果酒</t>
  </si>
  <si>
    <t>小尕匠</t>
  </si>
  <si>
    <t>⽩兰地;⽩酒;⽶酒;酒精饮料（啤酒除外）;威⼠忌;烈酒（饮料）;⽼酒（中国蒸馏烈酒）;葡萄酒;⾼粱酒;⻩酒</t>
  </si>
  <si>
    <t>念酒帝</t>
  </si>
  <si>
    <t>周磊</t>
  </si>
  <si>
    <t>烧酒;⻩酒;开胃酒;⽩酒;果酒（含酒精）;⾼粱酒;⽩⼲酒（中国⽩酒）;烈酒;⽶酒;苦荞酒</t>
  </si>
  <si>
    <t>陕谕</t>
  </si>
  <si>
    <t>林方平</t>
  </si>
  <si>
    <t>葡萄酒;烈酒（饮料）;烧酒;预先混合的酒精饮料（以啤酒为主的除外）;⻩酒;⽶酒;清酒（⽇本⽶酒）;杨梅酒;果酒（含酒精）;⽩酒</t>
  </si>
  <si>
    <t>仙曲鼎</t>
  </si>
  <si>
    <t>丁宣晓</t>
  </si>
  <si>
    <t>鸡尾酒;酒精饮料原汁;含⽔果酒精饮料;清酒;蒸馏饮料;⽩酒;果酒（含酒精）;烈酒（饮料）;威⼠忌;烧酒</t>
  </si>
  <si>
    <t>澜牧山</t>
  </si>
  <si>
    <t>李煜文</t>
  </si>
  <si>
    <t>含⽔果酒精饮料;烧酒;蒸馏饮料;⽩酒;鸡尾酒;清酒;烈酒（饮料）;果酒（含酒精）;威⼠忌;酒精饮料原汁</t>
  </si>
  <si>
    <t>大理市余初一食品合伙企业（有限合伙）</t>
  </si>
  <si>
    <t>烈酒（饮料）;开胃酒;烧酒;⽩酒;⽶酒;⾷⽤酒精;果酒（含酒精）;酒精饮料（啤酒除外）;葡萄酒;⻩酒</t>
  </si>
  <si>
    <t>吉花颜</t>
  </si>
  <si>
    <t>潘国华</t>
  </si>
  <si>
    <t>⽶酒;红葡萄酒;果酒;⽩酒;⽩兰地;含酒精⽔果饮料;⾼粱酒;甜酒;汽酒;含酒精的饮料（啤酒除外）</t>
  </si>
  <si>
    <t>龙榜题名</t>
  </si>
  <si>
    <t>四川中科华软信息技术有限公司</t>
  </si>
  <si>
    <t>清酒;蜂蜜酒;烈酒;由⾕物蒸馏的⽩酒;薄荷酒;⽼酒（中国蒸馏烈酒）;⾼粱酒;⽩酒;⽶酒;⻩酒</t>
  </si>
  <si>
    <t>点金术</t>
  </si>
  <si>
    <t>⻩酒;烈酒;由⾕物蒸馏的⽩酒;蜂蜜酒;⾼粱酒;薄荷酒;⽩酒;⽼酒（中国蒸馏烈酒）;清酒;⽶酒</t>
  </si>
  <si>
    <t>华北宁哥</t>
  </si>
  <si>
    <t>沧州市宁哥商贸有限公司</t>
  </si>
  <si>
    <t>烈酒（饮料）;⽼酒（中国蒸馏烈酒）;⽶酒;果酒（含酒精）;酒精饮料（啤酒除外）;⻩酒;⽩酒;烧酒;鸡尾酒;葡萄酒</t>
  </si>
  <si>
    <t>千粹菁典</t>
  </si>
  <si>
    <t>吴肖英</t>
  </si>
  <si>
    <t>酒精饮料（啤酒除外）;鸡尾酒;威⼠忌;⽩酒;烈酒;葡萄酒;果酒（含酒精）;开胃酒;⻩酒;清酒（⽇本⽶酒）</t>
  </si>
  <si>
    <t>敬英池</t>
  </si>
  <si>
    <t>⻩酒;露酒;⽩兰地;梨酒;葡萄酒;⽶酒;⻘稞酒;果酒（含酒精）;酒精饮料原汁;⽩酒</t>
  </si>
  <si>
    <t>觉婺</t>
  </si>
  <si>
    <t>浙江婺小迷贸易有限公司</t>
  </si>
  <si>
    <t>⽶酒;果酒（含酒精）;⻩酒;葡萄酒;酒精饮料（啤酒除外）;清酒（⽇本⽶酒）;⽩酒;⾕物制蒸馏酒精饮料</t>
  </si>
  <si>
    <t>念梅娇</t>
  </si>
  <si>
    <t>振心(成都)乡村旅游有限公司</t>
  </si>
  <si>
    <t>果酒;鸡尾酒;⽩酒;⽩兰地;烈酒;葡萄酒;烧酒;⽶酒;伏特加酒;酒精饮料（啤酒除外）</t>
  </si>
  <si>
    <t>杨毅</t>
  </si>
  <si>
    <t>⾷⽤酒精;⽩酒;葡萄酒;⽩兰地;威⼠忌;伏特加酒;烈酒（饮料）;果酒（含酒精）;朗姆酒</t>
  </si>
  <si>
    <t>平良明珠</t>
  </si>
  <si>
    <t>果酒;⻘稞酒;⽩酒;⾷⽤酒精;⻩酒;烧酒;开胃酒;葡萄酒;汽酒;酒精饮料（啤酒除外）</t>
  </si>
  <si>
    <t>酒夫说</t>
  </si>
  <si>
    <t>春家庄</t>
  </si>
  <si>
    <t>肖梦威</t>
  </si>
  <si>
    <t>威⼠忌;葡萄酒;酒精饮料（啤酒除外）;清酒（⽇本⽶酒）;烧酒;果酒（含酒精）;鸡尾酒;⽩酒;⻩酒;⽩兰地</t>
  </si>
  <si>
    <t>年必酣</t>
  </si>
  <si>
    <t>山东厚德上医生命科学有限公司</t>
  </si>
  <si>
    <t>烧酒;鸡尾酒;开胃酒;果酒;⽩酒;葡萄酒;⽶酒;威⼠忌;含酒精的饮料（啤酒除外）;利⼝酒</t>
  </si>
  <si>
    <t>酣养</t>
  </si>
  <si>
    <t>杭州一即是多科技有限公司</t>
  </si>
  <si>
    <t>果酒（含酒精）;酒精饮料（啤酒除外）;⽩酒;葡萄酒;⻩酒;开胃酒;蒸馏饮料;苹果酒;⽶酒;⽇本梅⼦酒</t>
  </si>
  <si>
    <t>牧北诵</t>
  </si>
  <si>
    <t>李伟亮</t>
  </si>
  <si>
    <t>烧酒;酒精饮料原汁;蒸馏饮料;鸡尾酒;⽩酒;果酒（含酒精）;清酒;威⼠忌;含⽔果酒精饮料;烈酒（饮料）</t>
  </si>
  <si>
    <t>安优南</t>
  </si>
  <si>
    <t>杭州安小乙进出口有限公司</t>
  </si>
  <si>
    <t>果酒（含酒精）;清酒（⽇本⽶酒）;⽩酒;预先混合的酒精饮料（以啤酒为主的除外）;⻩酒;⽶酒;酒精饮料（啤酒除外）;蒸馏饮料;含⽔果酒精饮料;葡萄酒</t>
  </si>
  <si>
    <t>道天涯</t>
  </si>
  <si>
    <t>刘普及</t>
  </si>
  <si>
    <t>⽶酒;⻘稞酒;葡萄酒;含⽔果酒精饮料;威⼠忌;⽩酒;烈性⼲酒;甜酒;果酒（含酒精）;汽酒</t>
  </si>
  <si>
    <t>汉十二福熙</t>
  </si>
  <si>
    <t>葡萄酒;酒精饮料原汁;果酒（含酒精）;蜂蜜酒;烈酒（饮料）;烧酒;⽩酒;苦味酒;利⼝酒;酒精饮料（啤酒除外）</t>
  </si>
  <si>
    <t>西囩龙</t>
  </si>
  <si>
    <t>陈应红</t>
  </si>
  <si>
    <t>清酒（⽇本⽶酒）;鸡尾酒;伏特加酒;⽶酒;烧酒;威⼠忌;果酒（含酒精）;⽩兰地;⽩酒;⻩酒</t>
  </si>
  <si>
    <t>友九福</t>
  </si>
  <si>
    <t>张运利</t>
  </si>
  <si>
    <t>苦荞酒;⽩⼲酒（中国⽩酒）;⽶酒;⻩酒;开胃酒;烧酒;果酒（含酒精）;烈酒;⽩酒;⾼粱酒</t>
  </si>
  <si>
    <t>囩曲运</t>
  </si>
  <si>
    <t>清酒（⽇本⽶酒）;⽩兰地;鸡尾酒;威⼠忌;伏特加酒;⻩酒;⽶酒;⽩酒;果酒（含酒精）;烧酒</t>
  </si>
  <si>
    <t>后海头</t>
  </si>
  <si>
    <t>刘微微</t>
  </si>
  <si>
    <t>含⽔果酒精饮料;蒸馏饮料;葡萄酒;酒精饮料（啤酒除外）;⻩酒;⽩酒;果酒;⽶酒;烧酒;伏特加酒</t>
  </si>
  <si>
    <t>钱商茉咖</t>
  </si>
  <si>
    <t>吉林省钱商商贸有限责任公司</t>
  </si>
  <si>
    <t>果酒;烈酒（饮料）;⽩酒;⻩酒;⽩兰地;⾷⽤酒精;⽶酒;鸡尾酒;酒精饮料原汁;烧酒</t>
  </si>
  <si>
    <t>内蒙古盛德和泰商贸有限责任公司</t>
  </si>
  <si>
    <t>蜂蜜酒;开胃酒;蒸馏饮料;苹果酒;⽩酒;⻩酒;酒精饮料（啤酒除外）;葡萄酒;利⼝酒;果酒（含酒精）</t>
  </si>
  <si>
    <t>碧友会</t>
  </si>
  <si>
    <t>哈玛投资（上海）有限公司</t>
  </si>
  <si>
    <t>烧酒;⻩酒;葡萄酒;酒精饮料（啤酒除外）;烈酒（饮料）;⽶酒;开胃酒;果酒（含酒精）;⽩酒;汽酒</t>
  </si>
  <si>
    <t>东之媚</t>
  </si>
  <si>
    <t>周卫东</t>
  </si>
  <si>
    <t>⽶酒;⾕物制蒸馏酒精饮料;开胃酒;⻩酒;葡萄酒;⽩酒;烈酒（饮料）;鸡尾酒;⽩兰地;蒸馏饮料</t>
  </si>
  <si>
    <t>杭谕</t>
  </si>
  <si>
    <t>葡萄酒;清酒（⽇本⽶酒）;⽩酒;⻩酒;预先混合的酒精饮料（以啤酒为主的除外）;杨梅酒;果酒（含酒精）;烧酒;⽶酒;烈酒（饮料）</t>
  </si>
  <si>
    <t>半山歌瑶</t>
  </si>
  <si>
    <t>徐泽勇</t>
  </si>
  <si>
    <t>葡萄酒;蒸馏饮料;⽩酒;汽酒;威⼠忌;果酒（含酒精）;酒精饮料（啤酒除外）;鸡尾酒;含⽔果酒精饮料;烧酒</t>
  </si>
  <si>
    <t>酒井康熙</t>
  </si>
  <si>
    <t>天津市津门医学研究中心</t>
  </si>
  <si>
    <t>开胃酒;苹果酒;果酒;含酒精的饮料（啤酒除外）;鸡尾酒;烧酒（烈酒）;葡萄酒;⽩酒;⻩酒;清酒</t>
  </si>
  <si>
    <t>凡广尚</t>
  </si>
  <si>
    <t>冯志鹏</t>
  </si>
  <si>
    <t>⽩酒;蒸馏饮料;清酒;鸡尾酒;酒精饮料原汁;威⼠忌;含⽔果酒精饮料;烈酒（饮料）;果酒（含酒精）;烧酒</t>
  </si>
  <si>
    <t>富仙琼</t>
  </si>
  <si>
    <t>黄焕宙</t>
  </si>
  <si>
    <t>果酒（含酒精）;威⼠忌;鸡尾酒;清酒;蒸馏饮料;烈酒（饮料）;烧酒;酒精饮料原汁;含⽔果酒精饮料;⽩酒</t>
  </si>
  <si>
    <t>果酒（含酒精）;葡萄酒;⻩酒;⽩酒;⾕物制蒸馏酒精饮料;清酒（⽇本⽶酒）;酒精饮料（啤酒除外）;⽶酒</t>
  </si>
  <si>
    <t>丹御临</t>
  </si>
  <si>
    <t>李荣林</t>
  </si>
  <si>
    <t>烧酒;⽩酒;烈酒（饮料）;酒精饮料原汁;果酒（含酒精）;鸡尾酒;含⽔果酒精饮料;清酒;威⼠忌;蒸馏饮料</t>
  </si>
  <si>
    <t>炫今朝</t>
  </si>
  <si>
    <t>杨映建</t>
  </si>
  <si>
    <t>开胃酒;⻩酒;烈酒;⽶酒;烧酒;烧酒（烈酒）;五加⽪酒（中国混合烈酒）;果酒;清酒;⽩酒</t>
  </si>
  <si>
    <t>贡沧山</t>
  </si>
  <si>
    <t>葡萄酒;⽩酒;鸡尾酒;酒精饮料（啤酒除外）;开胃酒;烈酒;清酒（⽇本⽶酒）;⻩酒;威⼠忌;果酒（含酒精）</t>
  </si>
  <si>
    <t>河谕</t>
  </si>
  <si>
    <t>果酒（含酒精）;⽩酒;清酒（⽇本⽶酒）;⻩酒;杨梅酒;烈酒（饮料）;⽶酒;葡萄酒;烧酒;预先混合的酒精饮料（以啤酒为主的除外）</t>
  </si>
  <si>
    <t>厚三贝</t>
  </si>
  <si>
    <t>石家庄厚三贝贸易有限公司</t>
  </si>
  <si>
    <t>葡萄酒;果酒（含酒精）;蒸馏饮料;开胃酒;酸酒（低等葡萄酒）;酒精饮料（啤酒除外）;⽩酒;烧酒;⽩兰地;鸡尾酒</t>
  </si>
  <si>
    <t>福沁</t>
  </si>
  <si>
    <t>葡萄酒;⽶酒;⻘稞酒;清酒（⽇本⽶酒）;⾼粱酒;⽩兰地;⽩酒;利⼝酒;果酒（含酒精）;鸡尾酒</t>
  </si>
  <si>
    <t>烽博仑</t>
  </si>
  <si>
    <t>济宁鲁众博电子商务有限公司</t>
  </si>
  <si>
    <t>果酒（含酒精）;⽩酒;葡萄酒;⽶酒;开胃酒;以葡萄酒为主的饮料;鸡尾酒;苹果酒;⽩兰地;威⼠忌</t>
  </si>
  <si>
    <t>烈酒（饮料）;威⼠忌;朗姆酒;⽩兰地;伏特加酒;⾷⽤酒精;⽩酒;葡萄酒;果酒（含酒精）</t>
  </si>
  <si>
    <t>齐歌鲁</t>
  </si>
  <si>
    <t>广州正云大健康投资有限公司</t>
  </si>
  <si>
    <t>蒸馏饮料;⽶酒;⽩酒;烧酒（烈酒）;⻘稞酒;⽼酒（中国蒸馏烈酒）;⽩⼲酒（中国⽩酒）;⾼粱酒;五加⽪酒（中国混合烈酒）;蜂蜜酒</t>
  </si>
  <si>
    <t>潭龙正</t>
  </si>
  <si>
    <t>⽼酒（中国蒸馏烈酒）;⽶酒;⽩兰地;⽩酒;烧酒（烈酒）;⽩⼲酒（中国⽩酒）;烧酒;清酒（⽇本⽶酒）;⻘梅酒;⻩酒</t>
  </si>
  <si>
    <t>百际山</t>
  </si>
  <si>
    <t>上海九华硒泉科技有限公司</t>
  </si>
  <si>
    <t>汽酒;⻩酒;果酒（含酒精）;⽶酒;⾷⽤酒精;苹果酒;蒸馏饮料;烧酒;酒精饮料（啤酒除外）;葡萄酒</t>
  </si>
  <si>
    <t>一册堂</t>
  </si>
  <si>
    <t>广东世家中医中药研究院</t>
  </si>
  <si>
    <t>果酒（含酒精）;葡萄酒;⻩酒;鸡尾酒;威⼠忌;烧酒;蒸馏饮料;⽶酒;⽩酒;⽩兰地</t>
  </si>
  <si>
    <t>京福运</t>
  </si>
  <si>
    <t>⽩酒;果酒（含酒精）;烈酒（饮料）;鸡尾酒;威⼠忌;⾕物制蒸馏酒精饮料;⻩酒;清酒（⽇本⽶酒）;葡萄酒;酒精饮料（啤酒除外）</t>
  </si>
  <si>
    <t>赤尘</t>
  </si>
  <si>
    <t>杭州倔强品牌管理有限公司</t>
  </si>
  <si>
    <t>⽩酒;含⽔果酒精饮料;蒸馏饮料;⻩酒;果酒（含酒精）;薄荷酒;开胃酒;葡萄酒;酒精饮料（啤酒除外）;威⼠忌</t>
  </si>
  <si>
    <t>浙四喜</t>
  </si>
  <si>
    <t>北京京城根商贸有限公司</t>
  </si>
  <si>
    <t>⻩酒;葡萄酒;蜂蜜酒;伏特加酒;⽶酒;苦味酒;烈酒（饮料）;⽩酒;汽酒;⻘稞酒</t>
  </si>
  <si>
    <t>客迎齐</t>
  </si>
  <si>
    <t>烟台百禾品牌管理有限公司</t>
  </si>
  <si>
    <t>⽩酒;苹果酒;烈酒（饮料）;樱桃酒;烧酒;葡萄酒;梨酒;酒精饮料（啤酒除外）;果酒（含酒精）;⻩酒</t>
  </si>
  <si>
    <t>NARJOSITA</t>
  </si>
  <si>
    <t>北京那若悉坛文化发展有限公司</t>
  </si>
  <si>
    <t>开胃酒;⻩酒;果酒（含酒精）;葡萄酒;烧酒;⽶酒;⽩酒;含酒精的⽔果鸡尾酒饮料;蒸馏饮料;蜂蜜酒</t>
  </si>
  <si>
    <t>百续</t>
  </si>
  <si>
    <t>杨乃平（320919********3010）</t>
  </si>
  <si>
    <t>⻩酒;果酒;⽶酒;⽩酒</t>
  </si>
  <si>
    <t>毅农工坊</t>
  </si>
  <si>
    <t>嵊州市毅农农业发展有限公司</t>
  </si>
  <si>
    <t>烈酒（饮料）;⻩酒;含酒精的饮料（啤酒除外）;葡萄酒;烧酒;⾼粱酒;⽩酒;果酒（含酒精）;⽶酒;⽼酒（中国蒸馏烈酒）</t>
  </si>
  <si>
    <t>诗飞扬</t>
  </si>
  <si>
    <t>⽼酒（中国蒸馏烈酒）;葡萄酒;⾼粱酒;烧酒;烧酒（烈酒）;⽩⼲酒（中国⽩酒）;⽶酒;⽩酒;⾕物制蒸馏酒精饮料;⻩酒</t>
  </si>
  <si>
    <t>御枝朝</t>
  </si>
  <si>
    <t>李新智</t>
  </si>
  <si>
    <t>烧酒;清酒;威⼠忌;鸡尾酒;蒸馏饮料;⽩酒;烈酒（饮料）;果酒（含酒精）;酒精饮料原汁;含⽔果酒精饮料</t>
  </si>
  <si>
    <t>开胃酒;⽩酒;烈酒（饮料）;⽩兰地;蒸馏饮料;鸡尾酒;⽶酒;⾕物制蒸馏酒精饮料;葡萄酒;⻩酒</t>
  </si>
  <si>
    <t>至善韵</t>
  </si>
  <si>
    <t>无锡一禾九拓科技有限公司</t>
  </si>
  <si>
    <t>⽩酒;威⼠忌;鸡尾酒;葡萄酒;⻩酒;烧酒;⽶酒;蒸馏饮料;烈酒（饮料）;开胃酒</t>
  </si>
  <si>
    <t>黔龙峰</t>
  </si>
  <si>
    <t>张辉640322********2916</t>
  </si>
  <si>
    <t>开胃酒;汽酒;⽩酒;葡萄酒;酒精饮料原汁;⽩葡萄酒;蒸煮提取物（利⼝酒和烈酒）;酸酒（低等葡萄酒）;⽩兰地;果酒</t>
  </si>
  <si>
    <t>金种仔</t>
  </si>
  <si>
    <t>烈酒（饮料）;酒精饮料浓缩汁;⽩酒;烧酒;⽶酒;⻩酒;含⽔果酒精饮料;果酒（含酒精）;葡萄酒;鸡尾酒</t>
  </si>
  <si>
    <t>汉囍熙</t>
  </si>
  <si>
    <t>葡萄酒;酒精饮料（啤酒除外）;蜂蜜酒;⽩酒;烧酒;果酒（含酒精）;酒精饮料原汁;利⼝酒;烈酒（饮料）;苦味酒</t>
  </si>
  <si>
    <t>云雨燕</t>
  </si>
  <si>
    <t>嘉兴市承瑞商业经营管理有限公司</t>
  </si>
  <si>
    <t>烧酒;⽶酒;⻩酒;⽩酒;清酒;烈酒（饮料）;酒精饮料（啤酒除外）;果酒（含酒精）;葡萄酒;⾷⽤酒精</t>
  </si>
  <si>
    <t>湾秋岭</t>
  </si>
  <si>
    <t>李嘉付</t>
  </si>
  <si>
    <t>清酒;果酒（含酒精）;⽩酒;烈酒（饮料）;酒精饮料原汁;威⼠忌;蒸馏饮料;烧酒;含⽔果酒精饮料;鸡尾酒</t>
  </si>
  <si>
    <t>燕子矶</t>
  </si>
  <si>
    <t>南京长江缘酒业有限公司</t>
  </si>
  <si>
    <t>烈酒（饮料）;烈酒;果酒（含酒精）;鸡尾酒;⽶酒;含⽔果酒精饮料;⽩酒;⻩酒;烧酒;甜果酒</t>
  </si>
  <si>
    <t>九米禾</t>
  </si>
  <si>
    <t>杨高建</t>
  </si>
  <si>
    <t>葡萄酒;⽶酒;汽酒;开胃酒;清酒（⽇本⽶酒）;⽩酒;梨酒;果酒（含酒精）;朝鲜族⽶酒;酒精饮料原汁</t>
  </si>
  <si>
    <t>牧酒翁</t>
  </si>
  <si>
    <t>⽩酒;⽶酒;⽩⼲酒（中国⽩酒）;烧酒;开胃酒;苦荞酒;⾼粱酒;果酒（含酒精）;烈酒;⻩酒</t>
  </si>
  <si>
    <t>沐春三姐妹</t>
  </si>
  <si>
    <t>张玉文</t>
  </si>
  <si>
    <t>果酒（含酒精）;开胃酒;葡萄酒;鸡尾酒;⻩酒;⽩酒;烈酒;利⼝酒;⻘稞酒;⽶酒</t>
  </si>
  <si>
    <t>博然祥</t>
  </si>
  <si>
    <t>山西东西酒库商贸有限公司</t>
  </si>
  <si>
    <t>葡萄酒;含⽔果酒精饮料;⽶酒;⽩酒;酒精饮料（啤酒除外）;烧酒;⾕物制蒸馏酒精饮料;伏特加酒;果酒（含酒精）;⽩兰地</t>
  </si>
  <si>
    <t>金皇善食</t>
  </si>
  <si>
    <t>杭州盛得佳实业有限公司</t>
  </si>
  <si>
    <t>威⼠忌;葡萄酒;清酒（⽇本⽶酒）;果酒（含酒精）;⻩酒;伏特加酒;⽩酒;烧酒;烈酒（饮料）;⽶酒</t>
  </si>
  <si>
    <t>2024/06/04</t>
  </si>
  <si>
    <t>语溪丰</t>
  </si>
  <si>
    <t>台州市唐峰农业科技有限公司</t>
  </si>
  <si>
    <t>果酒;含⽔果酒精饮料;葡萄酒;烧酒;⽩酒;蜂蜜酒;樱桃酒;酒精饮料（啤酒除外）;⽶酒;开胃酒</t>
  </si>
  <si>
    <t>叙诚</t>
  </si>
  <si>
    <t>贵州凌众酒业有限公司</t>
  </si>
  <si>
    <t>果酒（含酒精）;烈酒（饮料）;餐后酒（利⼝酒和烈酒）;苹果酒;⾕物制蒸馏酒精饮料;⽩酒;露酒;葡萄酒;蒸馏饮料;⽶酒</t>
  </si>
  <si>
    <t>富沟领</t>
  </si>
  <si>
    <t>李航</t>
  </si>
  <si>
    <t>果酒（含酒精）;鸡尾酒;清酒;蒸馏饮料;含⽔果酒精饮料;⽩酒;烈酒（饮料）;威⼠忌;酒精饮料原汁;烧酒</t>
  </si>
  <si>
    <t>百川浔</t>
  </si>
  <si>
    <t>⽶酒;⽩兰地;⻘稞酒;⻩酒;烧酒;葡萄酒;烈酒;威⼠忌;⽩酒;鸡尾酒</t>
  </si>
  <si>
    <t>诺央</t>
  </si>
  <si>
    <t>卓润泽</t>
  </si>
  <si>
    <t>⽩酒;酒精饮料原汁;⻩酒;烧酒;⽶酒;酒精饮料（啤酒除外）;烈酒（饮料）;葡萄酒;鸡尾酒;果酒（含酒精）</t>
  </si>
  <si>
    <t>禾果春光</t>
  </si>
  <si>
    <t>关娜娜</t>
  </si>
  <si>
    <t>葡萄酒;⾷⽤酒精;果酒（含酒精）;⽩酒;⻩酒;烧酒;蜂蜜酒;酒精饮料（啤酒除外）;⽶酒;含⽔果酒精饮料</t>
  </si>
  <si>
    <t>淄之蓝</t>
  </si>
  <si>
    <t>⽩兰地;⽶酒;⻩酒;葡萄酒;烈酒（饮料）;威⼠忌;烧酒;果酒（含酒精）;鸡尾酒;⽩酒</t>
  </si>
  <si>
    <t>援香</t>
  </si>
  <si>
    <t>仁怀市国仁投资有限公司</t>
  </si>
  <si>
    <t>葡萄酒;⻩酒;以葡萄酒为主的饮料;利⼝酒;⽶酒;烧酒;开胃酒;⾕物制蒸馏酒精饮料;蜂蜜酒;⽩酒</t>
  </si>
  <si>
    <t>泰锅里</t>
  </si>
  <si>
    <t>河南锦辰企业管理咨询有限公司</t>
  </si>
  <si>
    <t>果酒（含酒精）;⻩酒;葡萄酒;蒸馏饮料;⽶酒;鸡尾酒;⽩酒;餐后酒（利⼝酒和烈酒）;清酒（⽇本⽶酒）;酒精饮料（啤酒除外）</t>
  </si>
  <si>
    <t>葡萄酒;以葡萄酒为主的饮料;⽶酒;鸡尾酒;清酒;果酒;杨梅酒;含⽔果酒精饮料;⽩酒;酒精饮料（啤酒除外）</t>
  </si>
  <si>
    <t>苏浆九池</t>
  </si>
  <si>
    <t>邹炳洪</t>
  </si>
  <si>
    <t>酒精饮料原汁;⽩酒;蒸煮提取物（利⼝酒和烈酒）;果酒（含酒精）;⻩酒;威⼠忌;葡萄酒;⽩兰地;酒精饮料（啤酒除外）;鸡尾酒</t>
  </si>
  <si>
    <t>晋根堂</t>
  </si>
  <si>
    <t>山西晋根堂控股有限公司</t>
  </si>
  <si>
    <t>开胃酒;⻩酒;酒精饮料原汁;鸡尾酒;⽩酒;蜂蜜酒;梨酒;酒精饮料浓缩汁;果酒（含酒精）;葡萄酒</t>
  </si>
  <si>
    <t>麦迪嘉佳能</t>
  </si>
  <si>
    <t>内蒙古麦迪嘉环保科技有限公司</t>
  </si>
  <si>
    <t>烈酒（饮料）;⽶酒;鸡尾酒;⽩酒;酒精饮料原汁;伏特加酒;葡萄酒;清酒（⽇本⽶酒）;酒精饮料（啤酒除外）;威⼠忌</t>
  </si>
  <si>
    <t>沙限</t>
  </si>
  <si>
    <t>福建鹏友智慧科技有限公司</t>
  </si>
  <si>
    <t>果酒（含酒精）;⽩酒;⻩酒;⽶酒;⾷⽤酒精;葡萄酒;苹果酒;烧酒;含⽔果酒精饮料;蒸煮提取物（利⼝酒和烈酒）</t>
  </si>
  <si>
    <t>蕉乐</t>
  </si>
  <si>
    <t>翁汉凯</t>
  </si>
  <si>
    <t>⽩酒;⽶酒;鸡尾酒;含⽔果酒精饮料;烈酒（饮料）;开胃酒;葡萄酒;⻩酒;烧酒;酒精饮料（啤酒除外）</t>
  </si>
  <si>
    <t>壶漠春</t>
  </si>
  <si>
    <t>付巧</t>
  </si>
  <si>
    <t>酒精饮料（啤酒除外）;⽩酒;葡萄酒;烧酒（烈酒）;⽶酒;烧酒;果酒（含酒精）;⾷⽤酒精;蒸煮提取物（利⼝酒和烈酒）;酒精饮料浓缩汁</t>
  </si>
  <si>
    <t>SNZT</t>
  </si>
  <si>
    <t>山东诺众商贸有限公司</t>
  </si>
  <si>
    <t>预先混合的酒精饮料（以啤酒为主的除外）;烧酒;⽩酒;餐后酒（利⼝酒和烈酒）;⻩酒;⾕物制蒸馏酒精饮料;⾷⽤酒精;汽酒;开胃酒;葡萄酒</t>
  </si>
  <si>
    <t>伏特加酒;烧酒;⽩酒;以葡萄酒为主的开胃酒;由⾕物蒸馏的⽩酒;葡萄酒;含酒精⽔果饮料;蒸馏饮料;混合威⼠忌酒;含酒精的饮料（啤酒除外）</t>
  </si>
  <si>
    <t>琰祺</t>
  </si>
  <si>
    <t>来赞达（青岛）科技有限公司</t>
  </si>
  <si>
    <t>鸡尾酒;葡萄酒;酒精饮料（啤酒除外）;⽩酒;⻩酒;⽶酒;伏特加酒;果酒（含酒精）;朗姆酒;⽩兰地</t>
  </si>
  <si>
    <t>雍小满</t>
  </si>
  <si>
    <t>中山市雍王府文化发展有限公司</t>
  </si>
  <si>
    <t>开胃酒;苦味酒;果酒（含酒精）;⻩酒;含酒精⽔果饮料;樱桃酒;烈酒（饮料）;酒精饮料（啤酒除外）;⽩酒;葡萄酒</t>
  </si>
  <si>
    <t>唯井驰</t>
  </si>
  <si>
    <t>新余明友贸易有限公司</t>
  </si>
  <si>
    <t>鸡尾酒;威⼠忌;⽶酒;⽩酒;⽩兰地;烧酒;汽酒;伏特加酒;葡萄酒;果酒（含酒精）</t>
  </si>
  <si>
    <t>劦哥夫人</t>
  </si>
  <si>
    <t>刘国荣</t>
  </si>
  <si>
    <t>蒸馏饮料;烧酒（烈酒）;果酒（含酒精）;烈酒（饮料）;⽩酒;⻩酒;清酒（⽇本⽶酒）;酒精饮料（啤酒除外）;⾷⽤酒精;⽶酒</t>
  </si>
  <si>
    <t>渭佬味</t>
  </si>
  <si>
    <t>陈鹏</t>
  </si>
  <si>
    <t>蒸馏饮料;⽩酒;烧酒;酒精饮料（啤酒除外）;⽶酒;葡萄酒;⻩酒;鸡尾酒;果酒（含酒精）;烈酒（饮料）</t>
  </si>
  <si>
    <t>阳篙</t>
  </si>
  <si>
    <t>万企五万五兴仙酿科技发展（成都）合伙企业（有限合伙）</t>
  </si>
  <si>
    <t>蜂蜜酒;开胃酒;酒精饮料原汁;⽶酒;果酒（含酒精）;汽酒;烈酒（饮料）;⻩酒;⽩酒;蒸馏饮料</t>
  </si>
  <si>
    <t>酌无迹</t>
  </si>
  <si>
    <t>周成敏</t>
  </si>
  <si>
    <t>⾷⽤酒精;果酒（含酒精）;蒸煮提取物（利⼝酒和烈酒）;⽩酒;烧酒;⽶酒;烧酒（烈酒）;酒精饮料浓缩汁;酒精饮料（啤酒除外）;葡萄酒</t>
  </si>
  <si>
    <t>李少龙</t>
  </si>
  <si>
    <t>鸡尾酒;葡萄酒;⽩酒;⻩酒;⻘稞酒;烧酒;⽶酒;⽩兰地;威⼠忌;烈酒（饮料）</t>
  </si>
  <si>
    <t>广州市牧奇服饰有限公司</t>
  </si>
  <si>
    <t>⽩兰地;威⼠忌;酒精饮料原汁;清酒（⽇本⽶酒）;烈酒（饮料）;利⼝酒;果酒（含酒精）;⽩酒;蜂蜜酒;鸡尾酒</t>
  </si>
  <si>
    <t>⽩酒;由⾕物蒸馏的⽩酒;含酒精的饮料（啤酒除外）;烧酒;蒸馏饮料;葡萄酒;含酒精⽔果饮料;混合威⼠忌酒;伏特加酒;以葡萄酒为主的开胃酒</t>
  </si>
  <si>
    <t>闻者</t>
  </si>
  <si>
    <t>河南林楷实业有限公司</t>
  </si>
  <si>
    <t>果酒;⽶酒;⻩酒;蒸馏饮料;含⽔果酒精饮料;酒精饮料（啤酒除外）;⽩酒;开胃酒;烈酒;⾕物制蒸馏酒精饮料</t>
  </si>
  <si>
    <t>平尹</t>
  </si>
  <si>
    <t>伍晋臣</t>
  </si>
  <si>
    <t>葡萄酒;⽩兰地;⽶酒;鸡尾酒;⽩酒;威⼠忌;⻘稞酒;烈酒;⻩酒;烧酒</t>
  </si>
  <si>
    <t>秋岭岗 QIULINGGAN</t>
  </si>
  <si>
    <t>李富强</t>
  </si>
  <si>
    <t>⽩酒;烈酒（饮料）;果酒（含酒精）;威⼠忌;含⽔果酒精饮料;蒸馏饮料;鸡尾酒;烧酒;清酒;酒精饮料原汁</t>
  </si>
  <si>
    <t>樱养</t>
  </si>
  <si>
    <t>于红学</t>
  </si>
  <si>
    <t>葡萄酒;含⽔果酒精饮料;蒸馏饮料;鸡尾酒;樱桃酒;果酒;⽩兰地;⽩酒;利⼝酒;清酒</t>
  </si>
  <si>
    <t>圣相词</t>
  </si>
  <si>
    <t>泸州市善义商贸有限公司</t>
  </si>
  <si>
    <t>酒精饮料原汁;酒精饮料（啤酒除外）;烧酒;鸡尾酒;蒸馏饮料;⻘稞酒;⽶酒;⽩酒;清酒（⽇本⽶酒）;⻩酒</t>
  </si>
  <si>
    <t>富泊特</t>
  </si>
  <si>
    <t>宁波酒胜供应链有限公司</t>
  </si>
  <si>
    <t>蒸煮提取物（利⼝酒和烈酒）;酒精饮料原汁;烧酒;果酒（含酒精）;利⼝酒;开胃酒;酒精饮料（啤酒除外）;⻩酒;葡萄酒;酸酒（低等葡萄酒）</t>
  </si>
  <si>
    <t>亲亲小狐狸</t>
  </si>
  <si>
    <t>葡萄酒;⽶酒;酒精饮料（啤酒除外）;鸡尾酒;蒸馏饮料;⽩酒;以葡萄酒为主的饮料;预先混合的酒精饮料（以啤酒为主的除外）;汽酒;果酒（含酒精）</t>
  </si>
  <si>
    <t>赣沛</t>
  </si>
  <si>
    <t>江怀杰</t>
  </si>
  <si>
    <t>葡萄酒;⽩酒;威⼠忌;烈酒（饮料）;⽩兰地;酒精饮料（啤酒除外）;鸡尾酒;果酒（含酒精）;⽶酒;⻩酒</t>
  </si>
  <si>
    <t>宴如林 餐饮管理</t>
  </si>
  <si>
    <t>如林宴餐饮管理重庆有限公司</t>
  </si>
  <si>
    <t>葡萄酒;⽶酒;清酒;⽩酒;利⼝酒;含⽔果酒精饮料;蒸馏饮料;汽酒;果酒（含酒精）;酒精饮料（啤酒除外）</t>
  </si>
  <si>
    <t>旋梦</t>
  </si>
  <si>
    <t>大连天振国际贸易有限公司</t>
  </si>
  <si>
    <t>鸡尾酒;葡萄酒;酒精饮料（啤酒除外）;含⽔果酒精饮料;蜂蜜酒;预先混合的酒精饮料（以啤酒为主的除外）;果酒（含酒精）;酒精饮料原汁;酒精饮料浓缩汁;樱桃酒</t>
  </si>
  <si>
    <t>平宋</t>
  </si>
  <si>
    <t>烧酒;葡萄酒;⽶酒;鸡尾酒;⽩兰地;⽩酒;⻘稞酒;⻩酒;烈酒;威⼠忌</t>
  </si>
  <si>
    <t>利⼝酒;酒精饮料（啤酒除外）;⻩酒;开胃酒;烧酒;苦荞酒;⻘稞酒;⽩酒;露酒;烈酒（饮料）</t>
  </si>
  <si>
    <t>诺传</t>
  </si>
  <si>
    <t>十诚健康食品（江门新会）有限公司</t>
  </si>
  <si>
    <t>⽩⼲酒（中国⽩酒）;⾼粱酒;蒸馏⽶酒（泡盛酒）;⽼酒（中国蒸馏烈酒）;⾕物制蒸馏酒精饮料;烈酒;由⾕物蒸馏的⽩酒;⻘稞酒;⽩酒;五加⽪酒（中国混合烈酒）</t>
  </si>
  <si>
    <t>洹邺</t>
  </si>
  <si>
    <t>山西清本源酒业有限公司</t>
  </si>
  <si>
    <t>烧酒;鸡尾酒;烈酒（饮料）;⽢蔗制烈酒;酒精饮料（啤酒除外）;⽶酒;⻩酒;葡萄酒;果酒（含酒精）;⽩酒</t>
  </si>
  <si>
    <t>苁色</t>
  </si>
  <si>
    <t>中酿国品（北京）健康科技有限公司</t>
  </si>
  <si>
    <t>含酒精的充⽓饮料（啤酒除外）;以葡萄酒为主的饮料;含酒精⽔果饮料;⽔果汽酒;酒精饮料（啤酒除外）;含酒精的饮料（啤酒除外）;苦荞酒;⽶酒;⽩⼲酒（中国⽩酒）;预先混合的酒精饮料（以啤酒为主的除外）</t>
  </si>
  <si>
    <t>华谊基</t>
  </si>
  <si>
    <t>赵东石</t>
  </si>
  <si>
    <t>⽩酒;果酒（含酒精）;酒精饮料（啤酒除外）;烈酒（饮料）;⻩酒;鸡尾酒;葡萄酒;清酒（⽇本⽶酒）;烧酒;⽶酒</t>
  </si>
  <si>
    <t>闲碰鲜</t>
  </si>
  <si>
    <t>吉林省春杭投资咨询有限公司</t>
  </si>
  <si>
    <t>果酒（含酒精）;开胃酒;葡萄酒;酒精饮料（啤酒除外）;⾷⽤酒精;⽶酒;⽩酒;蒸馏饮料;烧酒;苹果酒</t>
  </si>
  <si>
    <t>维多莱</t>
  </si>
  <si>
    <t>江西安顺堂生物科技有限公司</t>
  </si>
  <si>
    <t>⽶酒;鸡尾酒;果酒（含酒精）;⻩酒;酒精饮料（啤酒除外）;蒸馏饮料;含⽔果酒精饮料;⽩酒;利⼝酒;葡萄酒</t>
  </si>
  <si>
    <t>恒越蓝星</t>
  </si>
  <si>
    <t>中商亚欧（广西）数字科技有限公司</t>
  </si>
  <si>
    <t>⻩酒;⽩酒;酒精饮料浓缩汁;葡萄酒;酒精饮料（啤酒除外）;果酒（含酒精）;含⽔果酒精饮料;蒸馏饮料;清酒;甜酒</t>
  </si>
  <si>
    <t>书林墨宝</t>
  </si>
  <si>
    <t>贵州省仁怀市东仁酒业有限公司</t>
  </si>
  <si>
    <t>⽶酒;⻘稞酒;汽酒;葡萄酒;烈酒（饮料）;烧酒;⻩酒;⾷⽤酒精;酒精饮料原汁;⽩酒</t>
  </si>
  <si>
    <t>祉澄</t>
  </si>
  <si>
    <t>深圳蔻轩投资控股有限公司</t>
  </si>
  <si>
    <t>清酒（⽇本⽶酒）;威⼠忌;红葡萄酒;伏特加酒;调制好的葡萄酒鸡尾酒;⾼粱酒;烧酒;以葡萄酒为主的饮料;⽩兰地;⽩⼲酒（中国⽩酒）</t>
  </si>
  <si>
    <t>桑屿</t>
  </si>
  <si>
    <t>四川唯桑予梓农业有限公司</t>
  </si>
  <si>
    <t>⽩酒;含⽔果酒精饮料;甜果酒;⽩兰地;果酒（含酒精）;餐后酒（利⼝酒和烈酒）;以蒸馏酒为主的开胃酒;⽔果汽酒;含酒精⽔果饮料;⾼粱酒</t>
  </si>
  <si>
    <t>闻语</t>
  </si>
  <si>
    <t>乌兰浩特市闻语广告有限责任公司</t>
  </si>
  <si>
    <t>⽩兰地;威⼠忌;烈酒（饮料）;⽩酒;蜂蜜酒;鸡尾酒;酒精饮料（啤酒除外）;朗姆酒;⾷⽤酒精;烧酒</t>
  </si>
  <si>
    <t>红嫩春</t>
  </si>
  <si>
    <t>陈雷</t>
  </si>
  <si>
    <t>蒸馏饮料;餐后酒（利⼝酒和烈酒）;酒精饮料浓缩汁;预先混合的酒精饮料（以啤酒为主的除外）;⻘稞酒;⾷⽤酒精;烧酒;酒精饮料（啤酒除外）;葡萄酒;⽩酒</t>
  </si>
  <si>
    <t>山帝客</t>
  </si>
  <si>
    <t>中山市华利宝佳服装辅料有限公司</t>
  </si>
  <si>
    <t>葡萄酒;果酒;烈酒;⾼粱酒;鸡尾酒;⽶酒;⻩酒;梅酒;⽩酒;烧酒</t>
  </si>
  <si>
    <t>星品凤</t>
  </si>
  <si>
    <t>杨霞</t>
  </si>
  <si>
    <t>虹的旋律</t>
  </si>
  <si>
    <t>内藤酿造株式会社</t>
  </si>
  <si>
    <t>果酒（含酒精）;蒸馏饮料;葡萄酒;开胃酒;蜂蜜酒;汽酒;利⼝酒;清酒（⽇本⽶酒）;⾷⽤酒精;酒精饮料（啤酒除外）</t>
  </si>
  <si>
    <t>夏小来</t>
  </si>
  <si>
    <t>夏全年</t>
  </si>
  <si>
    <t>杨梅酒;梅酒;⽩酒;⽔果汽酒;烈酒;⽶酒;⻩酒;果酒（含酒精）;清酒;⻘梅酒</t>
  </si>
  <si>
    <t>格兰小猫</t>
  </si>
  <si>
    <t>深圳威赞国际贸易有限公司</t>
  </si>
  <si>
    <t>利⼝酒;⽩酒;烈酒;⽩兰地;鸡尾酒;威⼠忌;果酒（含酒精）;清酒;露酒;葡萄酒</t>
  </si>
  <si>
    <t>DIVICION</t>
  </si>
  <si>
    <t>庞伟青</t>
  </si>
  <si>
    <t>伏特加酒;⽩兰地;⽩酒;朗姆酒;葡萄酒;⾼粱酒;含⽔果酒精饮料;鸡尾酒;烈酒;威⼠忌</t>
  </si>
  <si>
    <t>遇欢满</t>
  </si>
  <si>
    <t>胡柳龙</t>
  </si>
  <si>
    <t>⾷⽤酒精;威⼠忌;果酒（含酒精）;⻩酒;⻘稞酒;⽶酒;烈酒（饮料）;⽩酒;含⽔果酒精饮料;烧酒</t>
  </si>
  <si>
    <t>火山九紫骐</t>
  </si>
  <si>
    <t>海南禅香茶文化有限公司</t>
  </si>
  <si>
    <t>烈酒（饮料）;⽶酒;蒸煮提取物（利⼝酒和烈酒）;葡萄酒;威⼠忌;⽩酒;烧酒;⻩酒;果酒（含酒精）;苦味酒</t>
  </si>
  <si>
    <t>医佳美</t>
  </si>
  <si>
    <t>深圳市医佳美医疗投资有限公司</t>
  </si>
  <si>
    <t>⽩酒;威⼠忌;开胃酒;薄荷酒;⽩兰地;果酒（含酒精）;⽶酒;烈酒（饮料）;⻩酒;鸡尾酒</t>
  </si>
  <si>
    <t>黔叩叩</t>
  </si>
  <si>
    <t>张有智</t>
  </si>
  <si>
    <t>果酒（含酒精）;鸡尾酒;⻩酒;酒精饮料（啤酒除外）;开胃酒;威⼠忌;葡萄酒;⽩酒;清酒（⽇本⽶酒）;烈酒（饮料）</t>
  </si>
  <si>
    <t>协成乾</t>
  </si>
  <si>
    <t>王忠林</t>
  </si>
  <si>
    <t>⽶酒;⽩⼲酒（中国⽩酒）;烧酒;由⾕物蒸馏的⽩酒;葡萄酒;清酒;⽩酒;含酒精⽔果饮料;酒精饮料（啤酒除外）;烈酒</t>
  </si>
  <si>
    <t>南霖北帆</t>
  </si>
  <si>
    <t>重庆中特农业发展有限公司</t>
  </si>
  <si>
    <t>葡萄酒;⽶酒;⾼粱酒;甜酒;⽩酒;烧酒;果酒;烈酒;⻩酒;鸡尾酒</t>
  </si>
  <si>
    <t>苍窖梦</t>
  </si>
  <si>
    <t>⾷⽤酒精;蒸煮提取物（利⼝酒和烈酒）;酒精饮料（啤酒除外）;烧酒;⽩酒;烧酒（烈酒）;酒精饮料浓缩汁;葡萄酒;⽶酒;果酒（含酒精）</t>
  </si>
  <si>
    <t>苏格弗</t>
  </si>
  <si>
    <t>烈酒;葡萄酒;利⼝酒;⽩酒;⽩兰地;清酒;露酒;鸡尾酒;果酒（含酒精）;威⼠忌</t>
  </si>
  <si>
    <t>釜芮</t>
  </si>
  <si>
    <t>赵大玮</t>
  </si>
  <si>
    <t>⻩酒;⾷⽤酒精;果酒（含酒精）;烈酒（饮料）;⽩酒;⽶酒;葡萄酒;烧酒;酒精饮料原汁;酒精饮料（啤酒除外）</t>
  </si>
  <si>
    <t>宏憬康元</t>
  </si>
  <si>
    <t>宏憬健康科技（北京）有限公司</t>
  </si>
  <si>
    <t>薄荷酒;⽶酒;以葡萄酒为主的饮料;苹果酒;⽩酒;果酒（含酒精）;开胃酒;葡萄酒;⾕物制蒸馏酒精饮料;⻩酒</t>
  </si>
  <si>
    <t>喃升女王</t>
  </si>
  <si>
    <t>尹福应</t>
  </si>
  <si>
    <t>⽩酒;含⽔果酒精饮料;葡萄酒;鸡尾酒;烈酒;⾕物制蒸馏酒精饮料;蒸馏饮料;⽶酒;蒸煮提取物（利⼝酒和烈酒）;酒精饮料（啤酒除外）</t>
  </si>
  <si>
    <t>芯互联</t>
  </si>
  <si>
    <t>河南天沃农业科技有限公司</t>
  </si>
  <si>
    <t>樱桃酒;⽶酒;开胃酒;葡萄酒;⽩酒;梨酒;⻩酒;鸡尾酒;⽩兰地;烧酒</t>
  </si>
  <si>
    <t>鑫铭融</t>
  </si>
  <si>
    <t>杭州融和医疗器械有限公司</t>
  </si>
  <si>
    <t>葡萄酒;⽩酒;⻩酒;含酒精的⽓泡⽔;伏特加酒;⽩兰地;⻘稞酒;果酒;⽶酒;酒精饮料（啤酒除外）</t>
  </si>
  <si>
    <t>御法灵芳</t>
  </si>
  <si>
    <t>河北至善至美健康管理有限公司</t>
  </si>
  <si>
    <t>果酒（含酒精）;烈酒;果酒;开胃酒;葡萄酒;⽶酒;⻩酒;含⽔果酒精饮料;烧酒;⽩酒</t>
  </si>
  <si>
    <t>长森河</t>
  </si>
  <si>
    <t>令狐荣梅</t>
  </si>
  <si>
    <t>葡萄酒;蜂蜜酒;樱桃酒;⽶酒;含⽔果酒精饮料;⾕物制蒸馏酒精饮料;⾷⽤酒精;⽩酒;鸡尾酒;烧酒</t>
  </si>
  <si>
    <t>黔灿灿</t>
  </si>
  <si>
    <t>⻩酒;果酒（含酒精）;清酒（⽇本⽶酒）;鸡尾酒;酒精饮料（啤酒除外）;葡萄酒;⽩酒;烈酒（饮料）;开胃酒;威⼠忌</t>
  </si>
  <si>
    <t>殹马</t>
  </si>
  <si>
    <t>云南伊光生物科技有限公司</t>
  </si>
  <si>
    <t>酒精饮料（啤酒除外）;鸡尾酒;烈酒（饮料）;利⼝酒;⻩酒;果酒（含酒精）;葡萄酒;酒精饮料原汁;蒸馏饮料;⽩酒</t>
  </si>
  <si>
    <t>京啸</t>
  </si>
  <si>
    <t>⽩兰地;⻩酒;烧酒;⻘稞酒;威⼠忌;鸡尾酒;⽩酒;葡萄酒;烈酒;⽶酒</t>
  </si>
  <si>
    <t>社溪臻选</t>
  </si>
  <si>
    <t>赣州侠义江头文旅发展有限公司</t>
  </si>
  <si>
    <t>葡萄酒;果酒（含酒精）;烧酒;威⼠忌;鸡尾酒;⽶酒;含⽔果酒精饮料;⻩酒;⽩酒;开胃酒</t>
  </si>
  <si>
    <t>红楼仙</t>
  </si>
  <si>
    <t>广东仙津保健饮料食品有限公司</t>
  </si>
  <si>
    <t>茴⾹酒（利⼝酒）;酒精饮料浓缩汁;酒精饮料原汁;含⽔果酒精饮料;酒精饮料（啤酒除外）;餐后酒（利⼝酒和烈酒）;茴芹酒（利⼝酒）;预先混合的酒精饮料（以啤酒为主的除外）;鸡尾酒;果酒（含酒精）</t>
  </si>
  <si>
    <t>鱼跃公孚</t>
  </si>
  <si>
    <t>丽水市鱼跃酿造食品有限公司</t>
  </si>
  <si>
    <t>⽼酒（中国蒸馏烈酒）;⽩酒;开胃酒;五加⽪酒（中国混合烈酒）;⽶酒;⻩酒;烈酒;汽酒;⾷⽤酒精;果酒（含酒精）</t>
  </si>
  <si>
    <t>甄壹零捌坊</t>
  </si>
  <si>
    <t>乐信贸易有限公司</t>
  </si>
  <si>
    <t>⽩酒;⽩兰地;⽶酒;⾷⽤酒精;鸡尾酒;⻩酒;葡萄酒;酒精饮料（啤酒除外）;含⽔果酒精饮料;果酒（含酒精）</t>
  </si>
  <si>
    <t>臻壹零捌坊</t>
  </si>
  <si>
    <t>⾷⽤酒精;⻩酒;鸡尾酒;果酒（含酒精）;⽶酒;⽩兰地;葡萄酒;含⽔果酒精饮料;酒精饮料（啤酒除外）;⽩酒</t>
  </si>
  <si>
    <t>嘉品成</t>
  </si>
  <si>
    <t>汾阳市鑫汇海商贸有限公司</t>
  </si>
  <si>
    <t>烧酒;⽩酒;⽶酒;酒精饮料（啤酒除外）;蒸馏饮料;⻩酒;开胃酒;果酒;葡萄酒;⾷⽤酒精</t>
  </si>
  <si>
    <t>京隋</t>
  </si>
  <si>
    <t>⽩兰地;⽩酒;⻩酒;葡萄酒;⽶酒;烈酒;威⼠忌;⻘稞酒;烧酒;鸡尾酒</t>
  </si>
  <si>
    <t>京祟</t>
  </si>
  <si>
    <t>鸡尾酒;威⼠忌;葡萄酒;⽩酒;⽶酒;⻩酒;烧酒;烈酒;⻘稞酒;⽩兰地</t>
  </si>
  <si>
    <t>雨中之火</t>
  </si>
  <si>
    <t>北海欢度食品饮料贸易有限公司</t>
  </si>
  <si>
    <t>⽩酒;清酒（⽇本⽶酒）;酒精饮料（啤酒除外）;⽶酒;烧酒;⽩兰地;餐后酒（利⼝酒和烈酒）;鸡尾酒;⻩酒;葡萄酒</t>
  </si>
  <si>
    <t>峨威酒庄</t>
  </si>
  <si>
    <t>四川郎酒股份有限公司</t>
  </si>
  <si>
    <t>威⼠忌;蒸馏饮料;⽩酒;⾼粱酒;⻩酒;葡萄酒;烈酒;⽼酒（中国蒸馏烈酒）;果酒（含酒精）;蒸煮提取物（利⼝酒和烈酒）</t>
  </si>
  <si>
    <t>鄂色天香</t>
  </si>
  <si>
    <t>葡萄酒;烈酒（饮料）;清酒（⽇本⽶酒）;酒精饮料（啤酒除外）;鸡尾酒;烧酒;果酒（含酒精）;⽶酒;⽩酒;⻩酒</t>
  </si>
  <si>
    <t>鸡尾酒;茴⾹酒（利⼝酒）;含⽔果酒精饮料;酒精饮料（啤酒除外）;预先混合的酒精饮料（以啤酒为主的除外）;餐后酒（利⼝酒和烈酒）;茴芹酒（利⼝酒）;酒精饮料浓缩汁;酒精饮料原汁;果酒（含酒精）</t>
  </si>
  <si>
    <t>金桑源</t>
  </si>
  <si>
    <t>郑华海</t>
  </si>
  <si>
    <t>果酒（含酒精）;甜果酒;含⽔果酒精饮料;蜂蜜酒;露酒;蒸馏饮料;⽩酒;酒精饮料原汁;开胃酒;葡萄酒</t>
  </si>
  <si>
    <t>宋清池</t>
  </si>
  <si>
    <t>⻩酒;烧酒;烈酒;⽩兰地;⽶酒;⽩酒;鸡尾酒;葡萄酒;⻘稞酒;威⼠忌</t>
  </si>
  <si>
    <t>君来福</t>
  </si>
  <si>
    <t>杨高山</t>
  </si>
  <si>
    <t>⾷⽤酒精;清酒（⽇本⽶酒）;预先混合的酒精饮料（以啤酒为主的除外）;⽩兰地;开胃酒;蒸馏饮料;梨酒;含酒精的⽓泡⽔;苦味酒;⽩酒</t>
  </si>
  <si>
    <t>菘岱</t>
  </si>
  <si>
    <t>烧酒;⻘稞酒;⽩酒;⾷⽤酒精;烈酒（饮料）;⻩酒;葡萄酒;⽶酒;酒精饮料原汁;汽酒</t>
  </si>
  <si>
    <t>行之本</t>
  </si>
  <si>
    <t>西安行之本餐饮管理有限公司</t>
  </si>
  <si>
    <t>开胃酒;以葡萄酒为主的饮料;烈酒（饮料）;酒精饮料原汁;⽩酒;含⽔果酒精饮料;餐后酒（利⼝酒和烈酒）;预先混合的酒精饮料（以啤酒为主的除外）;果酒（含酒精）;酒精饮料（啤酒除外）</t>
  </si>
  <si>
    <t>蝴蝶夫匹克球</t>
  </si>
  <si>
    <t>东莞市蝴蝶夫体育用品有限公司</t>
  </si>
  <si>
    <t>⽩兰地;威⼠忌;⽶酒;朗姆酒;清酒（⽇本⽶酒）;鸡尾酒;伏特加酒;⽩酒;果酒（含酒精）;⻩酒</t>
  </si>
  <si>
    <t>安领信</t>
  </si>
  <si>
    <t>安领信（北京）科技有限公司</t>
  </si>
  <si>
    <t>⽩兰地;鸡尾酒;利⼝酒;威⼠忌;⽩酒;果酒（含酒精）;葡萄酒;酒精饮料（啤酒除外）;朗姆酒;伏特加酒</t>
  </si>
  <si>
    <t>八荒精汇</t>
  </si>
  <si>
    <t>内蒙古九州尚品商贸有限公司</t>
  </si>
  <si>
    <t>烧酒;⻘稞酒;蒸馏饮料;⾕物制蒸馏酒精饮料;清酒（⽇本⽶酒）;⽶酒;⻩酒;葡萄酒;⽩酒;酒精饮料（啤酒除外）</t>
  </si>
  <si>
    <t>钜鹿鸣酒</t>
  </si>
  <si>
    <t>北京庆松林餐饮有限责任公司</t>
  </si>
  <si>
    <t>果酒;⽩⼲酒（中国⽩酒）;⽩酒;由⾕物蒸馏的⽩酒;甜果酒;含⽔果酒精饮料;果酒（含酒精）</t>
  </si>
  <si>
    <t>老夫笑</t>
  </si>
  <si>
    <t>清酒（⽇本⽶酒）;利⼝酒;⽶酒;开胃酒;烧酒;梨酒;⻩酒;⻘稞酒;⽩酒;葡萄酒</t>
  </si>
  <si>
    <t>凯来时</t>
  </si>
  <si>
    <t>⽩酒;汽酒;预先混合的酒精饮料（以啤酒为主的除外）;果酒（含酒精）;蒸馏饮料;⽶酒;以葡萄酒为主的饮料;酒精饮料（啤酒除外）;鸡尾酒;葡萄酒</t>
  </si>
  <si>
    <t>墨香北易</t>
  </si>
  <si>
    <t>吴明轩</t>
  </si>
  <si>
    <t>鸡尾酒;⻩酒;果酒（含酒精）;⻘稞酒;葡萄酒;⽶酒;⾼粱酒;⽩酒;烧酒;酒精饮料（啤酒除外）</t>
  </si>
  <si>
    <t>水新雷</t>
  </si>
  <si>
    <t>烈酒（饮料）;⽩酒;⾷⽤酒精;⽶酒;开胃酒;鸡尾酒;威⼠忌;利⼝酒;清酒（⽇本⽶酒）;果酒（含酒精）</t>
  </si>
  <si>
    <t>福露健</t>
  </si>
  <si>
    <t>深圳市酒葫芦电子商务有限公司</t>
  </si>
  <si>
    <t>⻩酒;苦荞酒;露酒;⽼酒（中国蒸馏烈酒）;蜂蜜酒;蒸馏饮料;葡萄酒;⽩酒;⾕物制蒸馏酒精饮料;果酒</t>
  </si>
  <si>
    <t>钱江甲</t>
  </si>
  <si>
    <t>浙江锦儿供应链管理有限公司</t>
  </si>
  <si>
    <t>蒸馏饮料;威⼠忌;⻩酒;葡萄酒;⾷⽤酒精;⽩兰地;果酒（含酒精）;⽩酒;烧酒;酒精饮料（啤酒除外）</t>
  </si>
  <si>
    <t>MEYDO PRO</t>
  </si>
  <si>
    <t>江苏名都酒业有限公司</t>
  </si>
  <si>
    <t>威⼠忌;⽩兰地;果酒（含酒精）;⻩酒;葡萄酒;⽶酒;含酒精的饮料（啤酒除外）;⽩酒;⽼酒（中国蒸馏烈酒）;清酒</t>
  </si>
  <si>
    <t>2024/06/05</t>
  </si>
  <si>
    <t>ALESNOW</t>
  </si>
  <si>
    <t>覃双平</t>
  </si>
  <si>
    <t>烈酒;威⼠忌;开胃酒;朗姆酒;亚⼒酒;梅酒;果酒;葡萄酒;⽩兰地;伏特加酒</t>
  </si>
  <si>
    <t>凡一希</t>
  </si>
  <si>
    <t>贺州市八步区天海贸易有限公司</t>
  </si>
  <si>
    <t>含酒精⽔果饮料;⽶酒;开胃酒;烧酒;酒精饮料（啤酒除外）;鸡尾酒;果酒（含酒精）;⽩酒;葡萄酒;蒸馏饮料</t>
  </si>
  <si>
    <t>雅尼洋</t>
  </si>
  <si>
    <t>林芝雅尼供销商贸有限公司</t>
  </si>
  <si>
    <t>清酒（⽇本⽶酒）;⽶酒;以葡萄酒为主的饮料;⻘稞酒;威⼠忌;含⽔果酒精饮料;⽩酒;茴⾹酒（利⼝酒）;⾕物制蒸馏酒精饮料;果酒（含酒精）</t>
  </si>
  <si>
    <t>VANDENBROUCK</t>
  </si>
  <si>
    <t>德隆洋行</t>
  </si>
  <si>
    <t>杜松⼦酒;烈酒（饮料）;鸡尾酒;含⽔果酒精饮料;酒精饮料（啤酒除外）;蒸馏饮料;蒸煮提取物（利⼝酒和烈酒）;预先混合的酒精饮料（以啤酒为主的除外）;酒精饮料原汁;果酒</t>
  </si>
  <si>
    <t>赵发达</t>
  </si>
  <si>
    <t>广州市好食生财餐饮管理有限公司</t>
  </si>
  <si>
    <t>果酒（含酒精）;⻘稞酒;⽩酒;烧酒;果酒;葡萄酒;⻩酒;咖啡利⼝酒;⽶酒;烈酒</t>
  </si>
  <si>
    <t>头焰泉</t>
  </si>
  <si>
    <t>广西平果药王山投资开发有限公司</t>
  </si>
  <si>
    <t>⽶酒;⽩酒;茴⾹酒;露酒;烧酒（烈酒）;果酒;⻩酒;⾼粱酒;苦荞酒;葡萄酒</t>
  </si>
  <si>
    <t>亿翔龙</t>
  </si>
  <si>
    <t>曹熙政</t>
  </si>
  <si>
    <t>⽶酒;⾕物制蒸馏酒精饮料;预先混合的酒精饮料（以啤酒为主的除外）;⻩酒;蒸馏饮料;清酒（⽇本⽶酒）;果酒（含酒精）;蜂蜜酒;鸡尾酒;含⽔果酒精饮料;⽩兰地</t>
  </si>
  <si>
    <t>金岷醉 酒</t>
  </si>
  <si>
    <t>宜宾海顶商贸有限公司</t>
  </si>
  <si>
    <t>由⾕物蒸馏的⽩酒;⾼粱酒;含酒精的充⽓饮料（啤酒除外）;红葡萄酒;⽩酒;⽩⼲酒（中国⽩酒）;⽼酒（中国蒸馏烈酒）;⽩葡萄酒;⾷⽤酒精;已调味的蒸馏酒</t>
  </si>
  <si>
    <t>安味特</t>
  </si>
  <si>
    <t>葡萄酒;含酒精⽔果饮料;⽶酒;烧酒;鸡尾酒;开胃酒;果酒（含酒精）;酒精饮料（啤酒除外）;蒸馏饮料;⽩酒</t>
  </si>
  <si>
    <t>天湖鼎</t>
  </si>
  <si>
    <t>福鼎市嵛山岛茶业有限公司</t>
  </si>
  <si>
    <t>葡萄酒;酒精饮料（啤酒除外）;⽶酒;⽩酒;甜酒;烈酒（饮料）;清酒（⽇本⽶酒）;⻩酒;烧酒;果酒（含酒精）</t>
  </si>
  <si>
    <t>马克摇</t>
  </si>
  <si>
    <t>湖南三发餐饮管理有限公司</t>
  </si>
  <si>
    <t>含⽔果酒精饮料;鸡尾酒;清酒（⽇本⽶酒）;⽔果汽酒;⽩酒;葡萄酒;含酒精⽔果饮料;⻩酒;烈酒（饮料）;果酒</t>
  </si>
  <si>
    <t>匠致初</t>
  </si>
  <si>
    <t>杨佳富</t>
  </si>
  <si>
    <t>薄荷酒;开胃酒;烈酒（饮料）;蒸馏饮料;⽩酒;含⽔果酒精饮料;⽶酒;汽酒;果酒（含酒精）;威⼠忌</t>
  </si>
  <si>
    <t>欣砾染（四川）新材料科技有限公司</t>
  </si>
  <si>
    <t>预先混合的酒精饮料（以啤酒为主的除外）;蒸馏饮料;以葡萄酒为主的饮料;酒精饮料（啤酒除外）;酒精饮料浓缩汁;⽩酒;餐后酒（利⼝酒和烈酒）;酒精饮料原汁;果酒（含酒精）;⾕物制蒸馏酒精饮料</t>
  </si>
  <si>
    <t>福见稳亮</t>
  </si>
  <si>
    <t>福建省福见天禧商贸有限公司</t>
  </si>
  <si>
    <t>开胃酒;⻩酒;⽩酒;葡萄酒;⽩兰地;⽶酒;⻘稞酒;烧酒;鸡尾酒;伏特加酒</t>
  </si>
  <si>
    <t>萌格力</t>
  </si>
  <si>
    <t>上海石洱网络科技有限公司</t>
  </si>
  <si>
    <t>汽酒;酒精饮料（啤酒除外）;含酒精的饮料（啤酒除外）;⾕物制蒸馏酒精饮料;鸡尾酒;利⼝酒;⽩酒;含酒精⽔果饮料;薄荷酒;果酒（含酒精）</t>
  </si>
  <si>
    <t>黄太祖</t>
  </si>
  <si>
    <t>杜希</t>
  </si>
  <si>
    <t>果酒（含酒精）;烧酒;鸡尾酒;清酒（⽇本⽶酒）;烈酒（饮料）;⽶酒;⽩酒;酒精饮料（啤酒除外）;葡萄酒;⻩酒</t>
  </si>
  <si>
    <t>福见小成</t>
  </si>
  <si>
    <t>⽩酒;葡萄酒;⻩酒;鸡尾酒;⽶酒;开胃酒;伏特加酒;烧酒;⽩兰地;⻘稞酒</t>
  </si>
  <si>
    <t>李颜泽</t>
  </si>
  <si>
    <t>李俊杰</t>
  </si>
  <si>
    <t>果酒（含酒精）;蒸馏饮料;鸡尾酒;烈酒（饮料）;甜酒;酒精饮料（啤酒除外）;⾕物制蒸馏酒精饮料;⽩酒;含⽔果酒精饮料;⻘稞酒</t>
  </si>
  <si>
    <t>叶池中</t>
  </si>
  <si>
    <t>叶金花</t>
  </si>
  <si>
    <t>⽶酒;威⼠忌;烧酒;鸡尾酒;烈酒;⽩酒;⽼酒（中国蒸馏烈酒）;⻩酒;⾼粱酒;⻘梅酒</t>
  </si>
  <si>
    <t>砾染</t>
  </si>
  <si>
    <t>酒精饮料（啤酒除外）;预先混合的酒精饮料（以啤酒为主的除外）;酒精饮料浓缩汁;以葡萄酒为主的饮料;⾕物制蒸馏酒精饮料;酒精饮料原汁;蒸馏饮料;果酒（含酒精）;餐后酒（利⼝酒和烈酒）;⽩酒</t>
  </si>
  <si>
    <t>福见正欢</t>
  </si>
  <si>
    <t>⽩酒;伏特加酒;⽩兰地;⽶酒;⻩酒;⻘稞酒;开胃酒;葡萄酒;烧酒;鸡尾酒</t>
  </si>
  <si>
    <t>MEYDOPERS</t>
  </si>
  <si>
    <t>果酒（含酒精）;⽩兰地;⽩酒;⽶酒;清酒;葡萄酒;⻩酒;含酒精的饮料（啤酒除外）;威⼠忌;⽼酒（中国蒸馏烈酒）</t>
  </si>
  <si>
    <t>柳稻香</t>
  </si>
  <si>
    <t>广西力鑫供应链管理有限公司</t>
  </si>
  <si>
    <t>哈尔滨成程生命与物质研究所</t>
  </si>
  <si>
    <t>⽶酒;⽩酒;蒸煮提取物（利⼝酒和烈酒）;烈酒（饮料）;葡萄酒;酒精饮料（啤酒除外）;⻩酒;鸡尾酒;烧酒;开胃酒</t>
  </si>
  <si>
    <t>福见福运</t>
  </si>
  <si>
    <t>烧酒;⽶酒;⻘稞酒;开胃酒;⻩酒;⽩酒;鸡尾酒;葡萄酒;伏特加酒;⽩兰地</t>
  </si>
  <si>
    <t>福见小福运</t>
  </si>
  <si>
    <t>开胃酒;⻩酒;⽩酒;烧酒;⽶酒;伏特加酒;鸡尾酒;⽩兰地;⻘稞酒;葡萄酒</t>
  </si>
  <si>
    <t>喜湘望</t>
  </si>
  <si>
    <t>贵州省仁怀市娇运酒业销售有限公司</t>
  </si>
  <si>
    <t>⽶酒;蒸煮提取物（利⼝酒和烈酒）;⻩酒;烧酒;烈酒;果酒（含酒精）;鸡尾酒;葡萄酒;⽩酒;酒精饮料（啤酒除外）</t>
  </si>
  <si>
    <t>2024/06/06</t>
  </si>
  <si>
    <t>黔汐楠</t>
  </si>
  <si>
    <t>贵州金色之香产业发展有限公司</t>
  </si>
  <si>
    <t>亚⼒酒;葡萄酒;⽩酒;烈酒（饮料）;烧酒;⽶酒;佐餐酒;果酒（含酒精）;开胃酒;烈酒</t>
  </si>
  <si>
    <t>山月行</t>
  </si>
  <si>
    <t>金诚明道（青岛）国际贸易有限公司</t>
  </si>
  <si>
    <t>烧酒;果酒（含酒精）;鸡尾酒;烈酒（饮料）;⽶酒;⽩酒;清酒（⽇本⽶酒）;酒精饮料（啤酒除外）;葡萄酒;⻩酒</t>
  </si>
  <si>
    <t>襄足</t>
  </si>
  <si>
    <t>涂常青</t>
  </si>
  <si>
    <t>果酒;鸡尾酒;⻩酒;利⼝酒;⽶酒;⽩兰地;葡萄酒;⽩酒;酒精饮料（啤酒除外）;开胃酒</t>
  </si>
  <si>
    <t>峄山麓</t>
  </si>
  <si>
    <t>邹城市峄农农业发展有限公司</t>
  </si>
  <si>
    <t>含⽔果酒精饮料;⾷⽤酒精;⽩酒;葡萄酒;果酒（含酒精）;⻩酒;⽶酒;樱桃酒;酒精饮料原汁;烧酒</t>
  </si>
  <si>
    <t>纤果婷</t>
  </si>
  <si>
    <t>福州纤果莱餐饮管理有限公司</t>
  </si>
  <si>
    <t>汽酒;果酒（含酒精）;蒸馏饮料;蜂蜜酒;⽩酒;含酒精的⽓泡⽔;薄荷酒;葡萄酒;⻘稞酒;酒精饮料（啤酒除外）</t>
  </si>
  <si>
    <t>崇玺台</t>
  </si>
  <si>
    <t>贵州黔仙樽酒业有限公司</t>
  </si>
  <si>
    <t>⽩酒;由⾕物蒸馏的⽩酒;⽩兰地;烧酒;烈酒;果酒;威⼠忌;⽶酒;⾷⽤酒精;清酒</t>
  </si>
  <si>
    <t>刘姐七点半</t>
  </si>
  <si>
    <t>湖南七点半商务有限公司</t>
  </si>
  <si>
    <t>葡萄酒;蜂蜜酒;果酒;开胃酒;酒精饮料（啤酒除外）;烈酒;⽶酒;⾷⽤酒精;⽩酒;⻩酒</t>
  </si>
  <si>
    <t>趣哥俩</t>
  </si>
  <si>
    <t>趣哥俩（山东）品牌管理有限责任公司</t>
  </si>
  <si>
    <t>利⼝酒;⽶酒;果酒;⻩酒;⽩酒;葡萄酒;威⼠忌;⽩兰地;汽酒;鸡尾酒</t>
  </si>
  <si>
    <t>维合凯</t>
  </si>
  <si>
    <t>维合凯江苏经贸有限公司</t>
  </si>
  <si>
    <t>酒精饮料（啤酒除外）;含⽔果酒精饮料;以葡萄酒为主的开胃酒;含酒精的⽓泡⽔;含酒精⽔果饮料;⻩酒;清酒;⼲型苹果酒;威⼠忌;烧酒（烈酒）</t>
  </si>
  <si>
    <t>瑞之尚臻</t>
  </si>
  <si>
    <t>通渭瑞亨源种植专业合作社</t>
  </si>
  <si>
    <t>鸡尾酒;烈酒（饮料）;葡萄酒;烧酒;⽩酒;蒸馏⽶酒（泡盛酒）;⽶酒;果酒（含酒精）;⻩酒;⾷⽤酒精</t>
  </si>
  <si>
    <t>绿森零</t>
  </si>
  <si>
    <t>苏州美迎千玺商贸有限公司</t>
  </si>
  <si>
    <t>果酒（含酒精）;蒸馏饮料;威⼠忌;葡萄酒;汽酒;⽩酒;鸡尾酒;酒精饮料原汁;烈酒（饮料）;酒精饮料（啤酒除外）</t>
  </si>
  <si>
    <t>奶淘淘</t>
  </si>
  <si>
    <t>果酒;⽶酒;⻩酒;葡萄酒;酒精饮料（啤酒除外）;⾷⽤酒精;开胃酒;烈酒;⽩酒;蜂蜜酒</t>
  </si>
  <si>
    <t>鑫九峰</t>
  </si>
  <si>
    <t>四川鑫九峰商贸有限公司</t>
  </si>
  <si>
    <t>⽩酒;鸡尾酒;朗姆酒;汽酒;酒精饮料（啤酒除外）;烧酒;葡萄酒;⻩酒;⽶酒;果酒（含酒精）</t>
  </si>
  <si>
    <t>老友美</t>
  </si>
  <si>
    <t>赵瑜</t>
  </si>
  <si>
    <t>⽩酒;葡萄酒;⻩酒;烧酒;⽶酒;⽢蔗制烈酒;果酒（含酒精）;烈酒（饮料）;酒精饮料（啤酒除外）;鸡尾酒</t>
  </si>
  <si>
    <t>时恒</t>
  </si>
  <si>
    <t>牛献忠</t>
  </si>
  <si>
    <t>蒸馏饮料;⻩酒;⽶酒;含⽔果酒精饮料;蒸煮提取物（利⼝酒和烈酒）;葡萄酒;⽩酒;果酒（含酒精）;酒精饮料原汁;烈酒（饮料）</t>
  </si>
  <si>
    <t>营养光年</t>
  </si>
  <si>
    <t>轻愈美（杭州）生物科技有限公司</t>
  </si>
  <si>
    <t>⽶酒;⽩酒;威⼠忌;⽩兰地;预先混合的酒精饮料（以啤酒为主的除外）;⻩酒;薄荷酒;酒精饮料（啤酒除外）;果酒（含酒精）;鸡尾酒</t>
  </si>
  <si>
    <t>枫榕老</t>
  </si>
  <si>
    <t>⽶酒;⽩酒;烈酒（饮料）;露酒;蒸馏饮料;苹果酒;葡萄酒;餐后酒（利⼝酒和烈酒）;⾕物制蒸馏酒精饮料;果酒（含酒精）</t>
  </si>
  <si>
    <t>石际康养</t>
  </si>
  <si>
    <t>蒋梅</t>
  </si>
  <si>
    <t>汽酒;酒精饮料原汁;果酒（含酒精）;烧酒;葡萄酒;⽶酒;鸡尾酒;预先混合的酒精饮料（以啤酒为主的除外）;⻩酒;蜂蜜酒</t>
  </si>
  <si>
    <t>楚湘黔</t>
  </si>
  <si>
    <t>海南今华贸易合伙企业（有限合伙）</t>
  </si>
  <si>
    <t>果酒（含酒精）;蒸馏饮料;葡萄酒;烧酒;以葡萄酒为主的饮料;清酒（⽇本⽶酒）;威⼠忌;⽩酒;伏特加酒;烈酒（饮料）</t>
  </si>
  <si>
    <t>楚湘皇</t>
  </si>
  <si>
    <t>烈酒（饮料）;⽩酒;⻩酒;果酒（含酒精）;⾷⽤酒精;以葡萄酒为主的饮料;烧酒;酸酒（低等葡萄酒）;⽶酒;葡萄酒</t>
  </si>
  <si>
    <t>城川诚礼</t>
  </si>
  <si>
    <t>鄂托克前旗鸿成乡村产业发展有限公司</t>
  </si>
  <si>
    <t>薄荷酒;⽼酒（中国蒸馏烈酒）;⾷⽤酒精;果酒（含酒精）;⻘稞酒;清酒（⽇本⽶酒）;⽩酒;⼲型苹果酒;⽔果汽酒;葡萄酒</t>
  </si>
  <si>
    <t>语生花</t>
  </si>
  <si>
    <t>明溪蓝宝石旅游文化开发有限公司</t>
  </si>
  <si>
    <t>果酒（含酒精）;酒精饮料（啤酒除外）;烈酒（饮料）;烧酒;清酒（⽇本⽶酒）;葡萄酒;威⼠忌;⽶酒;开胃酒;⽩酒</t>
  </si>
  <si>
    <t>2024/06/07</t>
  </si>
  <si>
    <t>懂酩人</t>
  </si>
  <si>
    <t>覃怡钧</t>
  </si>
  <si>
    <t>鸡尾酒;果酒（含酒精）;葡萄酒;酒精饮料（啤酒除外）;烈酒;开胃酒;清酒（⽇本⽶酒）;威⼠忌;⻩酒;⽩酒</t>
  </si>
  <si>
    <t>缘喜乾</t>
  </si>
  <si>
    <t>袁文海</t>
  </si>
  <si>
    <t>⽩酒;梨酒;⽼酒（中国蒸馏烈酒）;⾼粱酒;蜂蜜酒;⻘稞酒;清酒;杨梅酒;⻘梅酒;葡萄酒</t>
  </si>
  <si>
    <t>赤沧河</t>
  </si>
  <si>
    <t>徐周周</t>
  </si>
  <si>
    <t>清酒（⽇本⽶酒）;果酒;鸡尾酒;⽩酒;烈酒（饮料）;⻩酒;威⼠忌;葡萄酒;酒精饮料（啤酒除外）;开胃酒</t>
  </si>
  <si>
    <t>绿洲方温</t>
  </si>
  <si>
    <t>上海碧冬茄餐饮管理有限公司</t>
  </si>
  <si>
    <t>果酒（含酒精）;⽩酒;⽶酒;威⼠忌;烧酒;⻩酒;⽼酒（中国蒸馏烈酒）;⽩兰地;酒精饮料（啤酒除外）;葡萄酒</t>
  </si>
  <si>
    <t>ASTROII</t>
  </si>
  <si>
    <t>⽶酒;鸡尾酒;伏特加酒;清酒（⽇本⽶酒）;⽩酒;果酒;红葡萄酒;利⼝酒;烈酒（饮料）;威⼠忌</t>
  </si>
  <si>
    <t>彩蕴坊</t>
  </si>
  <si>
    <t>贵州贵陶坊酿酒有限公司</t>
  </si>
  <si>
    <t>烈酒（饮料）;酒精饮料（啤酒除外）;伏特加酒;⽩酒;烧酒;鸡尾酒;清酒（⽇本⽶酒）;果酒（含酒精）;开胃酒;葡萄酒</t>
  </si>
  <si>
    <t>彩蕴</t>
  </si>
  <si>
    <t>果酒（含酒精）;鸡尾酒;酒精饮料（啤酒除外）;葡萄酒;⽩酒;开胃酒;烈酒（饮料）;清酒（⽇本⽶酒）;伏特加酒;烧酒</t>
  </si>
  <si>
    <t>威⼠忌;清酒（⽇本⽶酒）;鸡尾酒;伏特加酒;⽩酒;红葡萄酒;果酒;⽶酒;烈酒（饮料）;利⼝酒</t>
  </si>
  <si>
    <t>酣客松</t>
  </si>
  <si>
    <t>开胃酒;果酒（含酒精）;葡萄酒;⽩酒;烧酒;酒精饮料（啤酒除外）;鸡尾酒;清酒（⽇本⽶酒）;伏特加酒;烈酒（饮料）</t>
  </si>
  <si>
    <t>夏春商贸 XIACHUN TRADE</t>
  </si>
  <si>
    <t>西安矮人网络科技有限公司</t>
  </si>
  <si>
    <t>薄荷酒;威⼠忌;开胃酒;葡萄酒;⽩酒;⻩酒;含⽔果酒精饮料;蒸馏饮料;果酒（含酒精）;酒精饮料（啤酒除外）</t>
  </si>
  <si>
    <t>与欣同在</t>
  </si>
  <si>
    <t>海南经济特区畅享世博科技有限公司</t>
  </si>
  <si>
    <t>利⼝酒;⻘稞酒;⽩兰地;果酒（含酒精）;开胃酒;朗姆酒;蜂蜜酒;⽩酒;⽶酒;葡萄酒</t>
  </si>
  <si>
    <t>DASH LAND</t>
  </si>
  <si>
    <t>伏特加酒;果酒;红葡萄酒;威⼠忌;鸡尾酒;⽩酒;利⼝酒;烈酒（饮料）;⽶酒;清酒（⽇本⽶酒）</t>
  </si>
  <si>
    <t>蒙真原</t>
  </si>
  <si>
    <t>烈酒（饮料）;果酒（含酒精）;⻩酒;伏特加酒;葡萄酒;⽩酒;⾷⽤酒精;⽩兰地;威⼠忌;酒精饮料（啤酒除外）</t>
  </si>
  <si>
    <t>清之蕴</t>
  </si>
  <si>
    <t>果酒（含酒精）;开胃酒;烈酒（饮料）;酒精饮料（啤酒除外）;⽩酒;葡萄酒;清酒（⽇本⽶酒）;烧酒;鸡尾酒;伏特加酒</t>
  </si>
  <si>
    <t>堆吻</t>
  </si>
  <si>
    <t>海南陵水堆吻食品有限公司</t>
  </si>
  <si>
    <t>⽶酒;⽩兰地;威⼠忌;⻩酒;清酒;伏特加酒;葡萄酒;⽩酒;果酒;⾷⽤酒精</t>
  </si>
  <si>
    <t>素临</t>
  </si>
  <si>
    <t>义乌市海鸟品牌管理有限公司</t>
  </si>
  <si>
    <t>⻩酒;清酒（⽇本⽶酒）;鸡尾酒;蒸馏饮料;烧酒（烈酒）;⽶酒;烧酒;葡萄酒;⽩酒;果酒（含酒精）</t>
  </si>
  <si>
    <t>2024/06/08</t>
  </si>
  <si>
    <t>桃花田</t>
  </si>
  <si>
    <t>周爱康</t>
  </si>
  <si>
    <t>桃红葡萄酒;威⼠忌;樱桃酒;酒精饮料（啤酒除外）;葡萄酒;⽩酒;⽶酒;果酒（含酒精）;鸡尾酒;⻩酒</t>
  </si>
  <si>
    <t>树渡树</t>
  </si>
  <si>
    <t>山西众妙健康服务平台有限公司</t>
  </si>
  <si>
    <t>⻩酒;烧酒;蒸煮提取物（利⼝酒和烈酒）;蒸馏⽶酒（泡盛酒）;烧酒（烈酒）;⽩酒;⽩⼲酒（中国⽩酒）;苦味酒;由⾕物蒸馏的⽩酒;烈酒</t>
  </si>
  <si>
    <t>和本纲目</t>
  </si>
  <si>
    <t>周新美</t>
  </si>
  <si>
    <t>汽酒;清酒;葡萄酒;伏特加酒;⻩酒;⽶酒;果酒;烈酒;⽩酒;威⼠忌</t>
  </si>
  <si>
    <t>草渡草</t>
  </si>
  <si>
    <t>烈酒;⻩酒;由⾕物蒸馏的⽩酒;⽩⼲酒（中国⽩酒）;蒸馏⽶酒（泡盛酒）;苦味酒;烧酒;烧酒（烈酒）;蒸煮提取物（利⼝酒和烈酒）;⽩酒</t>
  </si>
  <si>
    <t>刘叮当</t>
  </si>
  <si>
    <t>张佳鑫</t>
  </si>
  <si>
    <t>鸡尾酒;利⼝酒;苦味酒;蜂蜜酒;⽩酒;果酒（含酒精）;杜松⼦酒;开胃酒;亚⼒酒;蒸馏饮料</t>
  </si>
  <si>
    <t>雨渡雨</t>
  </si>
  <si>
    <t>⽩⼲酒（中国⽩酒）;葡萄酒;烈酒（饮料）;酒精饮料（啤酒除外）;⽩酒;含⽔果酒精饮料;蒸馏饮料;⾕物制蒸馏酒精饮料;已调味的⻨芽酿制的酒精饮料（啤酒除外）;预先混合的酒精饮料（以啤酒为主的除外）</t>
  </si>
  <si>
    <t>爱丽丝仙径</t>
  </si>
  <si>
    <t>台州柴古唐斯体育文化发展有限公司</t>
  </si>
  <si>
    <t>含⽔果酒精饮料;汽酒;红葡萄酒;开胃酒;⽇式甜⽶酒;梨酒;⽩酒;⽶酒;威⼠忌;⻩酒</t>
  </si>
  <si>
    <t>2024/06/09</t>
  </si>
  <si>
    <t>左分之右</t>
  </si>
  <si>
    <t>诸暨市左分之右纺织有限公司</t>
  </si>
  <si>
    <t>清酒;烧酒;⽩酒;葡萄酒;果酒;⽶酒;汽酒;鸡尾酒;⻘梅酒;威⼠忌</t>
  </si>
  <si>
    <t>2024/06/10</t>
  </si>
  <si>
    <t>田心渔夫</t>
  </si>
  <si>
    <t>韶关市东福康养产业投资有限公司</t>
  </si>
  <si>
    <t>果酒（含酒精）;葡萄酒;酒精饮料（啤酒除外）;烧酒;酒精饮料原汁;⽩酒;⽶酒;⾕物制蒸馏酒精饮料;⾷⽤酒精;鸡尾酒</t>
  </si>
  <si>
    <t>2024/06/11</t>
  </si>
  <si>
    <t>亿万富豪</t>
  </si>
  <si>
    <t>北京点名科技有限公司</t>
  </si>
  <si>
    <t>鸡尾酒;⽩兰地;杜松⼦酒;威⼠忌;⽩酒;葡萄酒;烈酒（饮料）;伏特加酒;清酒（⽇本⽶酒）;朗姆酒</t>
  </si>
  <si>
    <t>BROOKS BROTHERS</t>
  </si>
  <si>
    <t>遂川御壶茶业有限公司</t>
  </si>
  <si>
    <t>鸡尾酒;葡萄酒;⽶酒;⻩酒;蜂蜜酒;开胃酒;清酒（⽇本⽶酒）;威⼠忌;果酒（含酒精）;⽩酒</t>
  </si>
  <si>
    <t>岭南菠皇</t>
  </si>
  <si>
    <t>长沙渴喜渴贺文化传播有限公司</t>
  </si>
  <si>
    <t>清酒（⽇本⽶酒）;含⽔果酒精饮料;汽酒;葡萄酒;威⼠忌;果酒（含酒精）;⽩酒;以葡萄酒为主的饮料;酒精饮料（啤酒除外）;⾕物制蒸馏酒精饮料</t>
  </si>
  <si>
    <t>风柏图</t>
  </si>
  <si>
    <t>吉克名庄荟葡萄酒（北京）有限公司</t>
  </si>
  <si>
    <t>清酒;⽩酒;⻩酒;⽶酒;鸡尾酒;伏特加酒;⽩兰地;威⼠忌;汽酒;葡萄酒</t>
  </si>
  <si>
    <t>樾鹿山</t>
  </si>
  <si>
    <t>长春奢爱农业科技发展有限公司</t>
  </si>
  <si>
    <t>果酒（含酒精）;含⽔果酒精饮料;汽酒;烧酒;酒精饮料原汁;以葡萄酒为主的饮料;酒精饮料（啤酒除外）;⽶酒;含酒精的⽓泡⽔;⽩酒</t>
  </si>
  <si>
    <t>涪翁流觞池</t>
  </si>
  <si>
    <t>成都抛青春酒业有限公司</t>
  </si>
  <si>
    <t>葡萄酒;⻩酒;⽩酒;果酒（含酒精）;烈酒（饮料）;⽶酒;烧酒;汽酒;⾷⽤酒精;酒精饮料原汁</t>
  </si>
  <si>
    <t>红业永定</t>
  </si>
  <si>
    <t>流动创艺（厦门）酒业有限公司</t>
  </si>
  <si>
    <t>⽶酒;⻘稞酒;果酒（含酒精）;⾼粱酒;⽼酒（中国蒸馏烈酒）;汽酒;烧酒;⻩酒;⽩酒;葡萄酒</t>
  </si>
  <si>
    <t>嗖嗖鲸</t>
  </si>
  <si>
    <t>嗖嗖快购（邯郸）网络科技有限公司</t>
  </si>
  <si>
    <t>烧酒;果酒（含酒精）;烈酒（饮料）;⽩兰地;鸡尾酒;预先混合的酒精饮料（以啤酒为主的除外）;威⼠忌;葡萄酒;蒸馏饮料;⽩酒</t>
  </si>
  <si>
    <t>粱贡迎</t>
  </si>
  <si>
    <t>马雅</t>
  </si>
  <si>
    <t>清酒（⽇本⽶酒）;蜂蜜酒;⻘稞酒;⻩酒;鸡尾酒;烈酒（饮料）;烧酒;威⼠忌;⽩酒;开胃酒</t>
  </si>
  <si>
    <t>承源甜咪</t>
  </si>
  <si>
    <t>曾沅</t>
  </si>
  <si>
    <t>含⽔果酒精饮料;甜酒;果酒（含酒精）;鸡尾酒;⽩酒;烈酒;酒精饮料（啤酒除外）;汽酒;⻩酒;⽶酒</t>
  </si>
  <si>
    <t>清酩乐</t>
  </si>
  <si>
    <t>烈酒（饮料）;鸡尾酒;清酒（⽇本⽶酒）;⽩酒;蜂蜜酒;⻘稞酒;威⼠忌;烧酒;开胃酒;⻩酒</t>
  </si>
  <si>
    <t>稻壶欢</t>
  </si>
  <si>
    <t>蜂蜜酒;鸡尾酒;威⼠忌;烧酒;⻩酒;开胃酒;烈酒（饮料）;清酒（⽇本⽶酒）;⽩酒;⻘稞酒</t>
  </si>
  <si>
    <t>戈兰宏</t>
  </si>
  <si>
    <t>宁夏戈兰酒庄有限公司</t>
  </si>
  <si>
    <t>葡萄酒;⽩兰地;以葡萄酒为主的饮料;⽩酒;桃红葡萄酒;加烈葡萄酒;⽩葡萄酒;红葡萄酒;起泡⽩葡萄酒;除啤酒外的酒精饮料</t>
  </si>
  <si>
    <t>褚知己</t>
  </si>
  <si>
    <t>威⼠忌;烧酒;⻘稞酒;鸡尾酒;⽩酒;蜂蜜酒;⻩酒;开胃酒;烈酒（饮料）;清酒（⽇本⽶酒）</t>
  </si>
  <si>
    <t>DO</t>
  </si>
  <si>
    <t>多尔顿有限公司</t>
  </si>
  <si>
    <t>烈酒（饮料）;⻘稞酒;⻩酒;利⼝酒;⽩酒;⽶酒;葡萄酒;鸡尾酒;果酒（含酒精）;清酒（⽇本⽶酒）</t>
  </si>
  <si>
    <t>金如凤</t>
  </si>
  <si>
    <t>陕西紫凤酒业股份有限公司</t>
  </si>
  <si>
    <t>⻩酒;含酒精的饮料（啤酒除外）;烧酒;⽩兰地;烈酒;葡萄酒;⽶酒;果酒（含酒精）;⽩酒;清酒</t>
  </si>
  <si>
    <t>琼曲星</t>
  </si>
  <si>
    <t>烈酒（饮料）;威⼠忌;⽩酒;蜂蜜酒;⻘稞酒;⻩酒;鸡尾酒;清酒（⽇本⽶酒）;烧酒;开胃酒</t>
  </si>
  <si>
    <t>LONGQUECH</t>
  </si>
  <si>
    <t>苏州海千顺电子商务有限公司</t>
  </si>
  <si>
    <t>⽶酒;⽩酒;果酒;⻩酒;含酒精⽔果饮料;鸡尾酒;预先混合的酒精饮料（以啤酒为主的除外）;汽酒;苹果酒;马格利酒（朝鲜传统⽶酒）</t>
  </si>
  <si>
    <t>笑浪</t>
  </si>
  <si>
    <t>唐静</t>
  </si>
  <si>
    <t>利⼝酒;酒精饮料（啤酒除外）;烈酒（饮料）;果酒（含酒精）;樱桃酒;开胃酒;含⽔果酒精饮料;预先混合的酒精饮料（以啤酒为主的除外）;鸡尾酒;汽酒</t>
  </si>
  <si>
    <t>柔沂</t>
  </si>
  <si>
    <t>烈酒（饮料）;清酒（⽇本⽶酒）;威⼠忌;开胃酒;⻩酒;蜂蜜酒;鸡尾酒;⽩酒;⻘稞酒;烧酒</t>
  </si>
  <si>
    <t>丽笔记</t>
  </si>
  <si>
    <t>马妮艳</t>
  </si>
  <si>
    <t>葡萄酒;甜酒;⽶酒;⻩酒;烈酒;⽩酒;果酒;酒精饮料（啤酒除外）;汽酒;烧酒</t>
  </si>
  <si>
    <t>2024/06/12</t>
  </si>
  <si>
    <t>虎虎蒲</t>
  </si>
  <si>
    <t>陕西秦酱酿造科技文化有限公司</t>
  </si>
  <si>
    <t>梨酒;酒精饮料（啤酒除外）;含⽔果酒精饮料;果酒（含酒精）;蜂蜜酒;葡萄酒;开胃酒;⾕物制蒸馏酒精饮料;⻩酒;⽩酒</t>
  </si>
  <si>
    <t>杏遇良缘</t>
  </si>
  <si>
    <t>蒸馏饮料;蒸煮提取物（利⼝酒和烈酒）;葡萄酒;果酒;烧酒;酒精饮料（啤酒除外）;鸡尾酒;含⽔果酒精饮料;⽩酒;⽩兰地</t>
  </si>
  <si>
    <t>2024/06/17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</si>
</sst>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0_ 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4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2" borderId="1" xfId="0" applyFill="1" applyBorder="1" applyAlignment="1">
      <alignment horizontal="center" vertical="top" wrapText="1"/>
    </xf>
    <xf numFmtId="49" fontId="0" fillId="2" borderId="1" xfId="0" applyNumberFormat="1" applyFill="1" applyBorder="1" applyAlignment="1">
      <alignment horizontal="center" vertical="top" wrapText="1"/>
    </xf>
    <xf numFmtId="177" fontId="0" fillId="2" borderId="1" xfId="0" applyNumberFormat="1" applyFill="1" applyBorder="1" applyAlignment="1">
      <alignment horizontal="center" vertical="top" wrapText="1"/>
    </xf>
    <xf numFmtId="176" fontId="0" fillId="2" borderId="1" xfId="0" applyNumberForma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vertical="top" wrapText="1"/>
    </xf>
    <xf numFmtId="177" fontId="0" fillId="0" borderId="0" xfId="0" applyNumberFormat="1" applyAlignment="1">
      <alignment vertical="top" wrapText="1"/>
    </xf>
    <xf numFmtId="176" fontId="0" fillId="0" borderId="0" xfId="0" applyNumberFormat="1" applyAlignment="1">
      <alignment vertical="top" wrapText="1"/>
    </xf>
    <xf numFmtId="0" fontId="3" fillId="0" borderId="1" xfId="1" applyBorder="1" applyAlignment="1">
      <alignment horizontal="right"/>
    </xf>
    <xf numFmtId="0" fontId="3" fillId="0" borderId="1" xfId="1" applyBorder="1"/>
    <xf numFmtId="0" fontId="4" fillId="0" borderId="1" xfId="2" applyFill="1" applyBorder="1" applyAlignment="1"/>
  </cellXfs>
  <cellStyles count="3">
    <cellStyle name="ハイパーリンク" xfId="2" builtinId="8"/>
    <cellStyle name="標準" xfId="0" builtinId="0"/>
    <cellStyle name="標準_1889th" xfId="1" xr:uid="{4AA09252-DDF1-4F95-95DD-DD10F46928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FB343-47C0-4CE0-8FAB-E7608847F386}">
  <dimension ref="A1:I3016"/>
  <sheetViews>
    <sheetView tabSelected="1" workbookViewId="0"/>
  </sheetViews>
  <sheetFormatPr defaultRowHeight="13.5" x14ac:dyDescent="0.15"/>
  <cols>
    <col min="1" max="1" width="9" style="5"/>
    <col min="2" max="2" width="9" style="6"/>
    <col min="3" max="3" width="9" style="7"/>
    <col min="4" max="4" width="11.625" style="8" customWidth="1"/>
    <col min="5" max="5" width="10.625" style="7" bestFit="1" customWidth="1"/>
    <col min="6" max="6" width="28.375" style="6" customWidth="1"/>
    <col min="7" max="7" width="31.375" style="6" customWidth="1"/>
    <col min="8" max="8" width="30.625" style="6" customWidth="1"/>
    <col min="9" max="9" width="11.625" style="8" bestFit="1" customWidth="1"/>
  </cols>
  <sheetData>
    <row r="1" spans="1:9" x14ac:dyDescent="0.15">
      <c r="A1" s="1" t="s">
        <v>8</v>
      </c>
      <c r="B1" s="2" t="s">
        <v>0</v>
      </c>
      <c r="C1" s="3" t="s">
        <v>1</v>
      </c>
      <c r="D1" s="4" t="s">
        <v>2</v>
      </c>
      <c r="E1" s="3" t="s">
        <v>3</v>
      </c>
      <c r="F1" s="2" t="s">
        <v>4</v>
      </c>
      <c r="G1" s="2" t="s">
        <v>5</v>
      </c>
      <c r="H1" s="2" t="s">
        <v>6</v>
      </c>
      <c r="I1" s="4" t="s">
        <v>7</v>
      </c>
    </row>
    <row r="2" spans="1:9" x14ac:dyDescent="0.15">
      <c r="A2" s="9">
        <v>1</v>
      </c>
      <c r="B2" s="10" t="s">
        <v>9</v>
      </c>
      <c r="C2" s="10" t="s">
        <v>170</v>
      </c>
      <c r="D2" s="10" t="s">
        <v>171</v>
      </c>
      <c r="E2" s="11" t="str">
        <f>+HYPERLINK("http://trademark.i-assist.jp/data/china/image_1900th/59349106.pdf", "59349106")</f>
        <v>59349106</v>
      </c>
      <c r="F2" s="10" t="s">
        <v>172</v>
      </c>
      <c r="G2" s="10" t="s">
        <v>173</v>
      </c>
      <c r="H2" s="10" t="s">
        <v>24</v>
      </c>
      <c r="I2" s="10" t="s">
        <v>24</v>
      </c>
    </row>
    <row r="3" spans="1:9" x14ac:dyDescent="0.15">
      <c r="A3" s="9">
        <v>2</v>
      </c>
      <c r="B3" s="10" t="s">
        <v>9</v>
      </c>
      <c r="C3" s="10" t="s">
        <v>170</v>
      </c>
      <c r="D3" s="10" t="s">
        <v>171</v>
      </c>
      <c r="E3" s="11" t="str">
        <f>+HYPERLINK("http://trademark.i-assist.jp/data/china/image_1900th/65889228.pdf", "65889228")</f>
        <v>65889228</v>
      </c>
      <c r="F3" s="10" t="s">
        <v>174</v>
      </c>
      <c r="G3" s="10" t="s">
        <v>175</v>
      </c>
      <c r="H3" s="10" t="s">
        <v>24</v>
      </c>
      <c r="I3" s="10" t="s">
        <v>24</v>
      </c>
    </row>
    <row r="4" spans="1:9" x14ac:dyDescent="0.15">
      <c r="A4" s="9">
        <v>3</v>
      </c>
      <c r="B4" s="10" t="s">
        <v>9</v>
      </c>
      <c r="C4" s="10" t="s">
        <v>170</v>
      </c>
      <c r="D4" s="10" t="s">
        <v>171</v>
      </c>
      <c r="E4" s="11" t="str">
        <f>+HYPERLINK("http://trademark.i-assist.jp/data/china/image_1900th/66926384.pdf", "66926384")</f>
        <v>66926384</v>
      </c>
      <c r="F4" s="10" t="s">
        <v>176</v>
      </c>
      <c r="G4" s="10" t="s">
        <v>177</v>
      </c>
      <c r="H4" s="10" t="s">
        <v>178</v>
      </c>
      <c r="I4" s="10" t="s">
        <v>179</v>
      </c>
    </row>
    <row r="5" spans="1:9" x14ac:dyDescent="0.15">
      <c r="A5" s="9">
        <v>4</v>
      </c>
      <c r="B5" s="10" t="s">
        <v>9</v>
      </c>
      <c r="C5" s="10" t="s">
        <v>170</v>
      </c>
      <c r="D5" s="10" t="s">
        <v>171</v>
      </c>
      <c r="E5" s="11" t="str">
        <f>+HYPERLINK("http://trademark.i-assist.jp/data/china/image_1900th/67038945.pdf", "67038945")</f>
        <v>67038945</v>
      </c>
      <c r="F5" s="10" t="s">
        <v>180</v>
      </c>
      <c r="G5" s="10" t="s">
        <v>181</v>
      </c>
      <c r="H5" s="10" t="s">
        <v>182</v>
      </c>
      <c r="I5" s="10" t="s">
        <v>183</v>
      </c>
    </row>
    <row r="6" spans="1:9" x14ac:dyDescent="0.15">
      <c r="A6" s="9">
        <v>5</v>
      </c>
      <c r="B6" s="10" t="s">
        <v>9</v>
      </c>
      <c r="C6" s="10" t="s">
        <v>170</v>
      </c>
      <c r="D6" s="10" t="s">
        <v>171</v>
      </c>
      <c r="E6" s="11" t="str">
        <f>+HYPERLINK("http://trademark.i-assist.jp/data/china/image_1900th/67136396.pdf", "67136396")</f>
        <v>67136396</v>
      </c>
      <c r="F6" s="10" t="s">
        <v>184</v>
      </c>
      <c r="G6" s="10" t="s">
        <v>11</v>
      </c>
      <c r="H6" s="10" t="s">
        <v>12</v>
      </c>
      <c r="I6" s="10" t="s">
        <v>185</v>
      </c>
    </row>
    <row r="7" spans="1:9" x14ac:dyDescent="0.15">
      <c r="A7" s="9">
        <v>6</v>
      </c>
      <c r="B7" s="10" t="s">
        <v>9</v>
      </c>
      <c r="C7" s="10" t="s">
        <v>170</v>
      </c>
      <c r="D7" s="10" t="s">
        <v>171</v>
      </c>
      <c r="E7" s="11" t="str">
        <f>+HYPERLINK("http://trademark.i-assist.jp/data/china/image_1900th/68151418.pdf", "68151418")</f>
        <v>68151418</v>
      </c>
      <c r="F7" s="10" t="s">
        <v>186</v>
      </c>
      <c r="G7" s="10" t="s">
        <v>187</v>
      </c>
      <c r="H7" s="10" t="s">
        <v>188</v>
      </c>
      <c r="I7" s="10" t="s">
        <v>189</v>
      </c>
    </row>
    <row r="8" spans="1:9" x14ac:dyDescent="0.15">
      <c r="A8" s="9">
        <v>7</v>
      </c>
      <c r="B8" s="10" t="s">
        <v>9</v>
      </c>
      <c r="C8" s="10" t="s">
        <v>170</v>
      </c>
      <c r="D8" s="10" t="s">
        <v>171</v>
      </c>
      <c r="E8" s="11" t="str">
        <f>+HYPERLINK("http://trademark.i-assist.jp/data/china/image_1900th/68539815.pdf", "68539815")</f>
        <v>68539815</v>
      </c>
      <c r="F8" s="10" t="s">
        <v>190</v>
      </c>
      <c r="G8" s="10" t="s">
        <v>191</v>
      </c>
      <c r="H8" s="10" t="s">
        <v>192</v>
      </c>
      <c r="I8" s="10" t="s">
        <v>193</v>
      </c>
    </row>
    <row r="9" spans="1:9" x14ac:dyDescent="0.15">
      <c r="A9" s="9">
        <v>8</v>
      </c>
      <c r="B9" s="10" t="s">
        <v>9</v>
      </c>
      <c r="C9" s="10" t="s">
        <v>170</v>
      </c>
      <c r="D9" s="10" t="s">
        <v>171</v>
      </c>
      <c r="E9" s="11" t="str">
        <f>+HYPERLINK("http://trademark.i-assist.jp/data/china/image_1900th/68598400.pdf", "68598400")</f>
        <v>68598400</v>
      </c>
      <c r="F9" s="10" t="s">
        <v>21</v>
      </c>
      <c r="G9" s="10" t="s">
        <v>22</v>
      </c>
      <c r="H9" s="10" t="s">
        <v>194</v>
      </c>
      <c r="I9" s="10" t="s">
        <v>195</v>
      </c>
    </row>
    <row r="10" spans="1:9" x14ac:dyDescent="0.15">
      <c r="A10" s="9">
        <v>9</v>
      </c>
      <c r="B10" s="10" t="s">
        <v>9</v>
      </c>
      <c r="C10" s="10" t="s">
        <v>170</v>
      </c>
      <c r="D10" s="10" t="s">
        <v>171</v>
      </c>
      <c r="E10" s="11" t="str">
        <f>+HYPERLINK("http://trademark.i-assist.jp/data/china/image_1900th/68664168.pdf", "68664168")</f>
        <v>68664168</v>
      </c>
      <c r="F10" s="10" t="s">
        <v>196</v>
      </c>
      <c r="G10" s="10" t="s">
        <v>197</v>
      </c>
      <c r="H10" s="10" t="s">
        <v>12</v>
      </c>
      <c r="I10" s="10" t="s">
        <v>198</v>
      </c>
    </row>
    <row r="11" spans="1:9" x14ac:dyDescent="0.15">
      <c r="A11" s="9">
        <v>10</v>
      </c>
      <c r="B11" s="10" t="s">
        <v>9</v>
      </c>
      <c r="C11" s="10" t="s">
        <v>170</v>
      </c>
      <c r="D11" s="10" t="s">
        <v>171</v>
      </c>
      <c r="E11" s="11" t="str">
        <f>+HYPERLINK("http://trademark.i-assist.jp/data/china/image_1900th/69997472.pdf", "69997472")</f>
        <v>69997472</v>
      </c>
      <c r="F11" s="10" t="s">
        <v>199</v>
      </c>
      <c r="G11" s="10" t="s">
        <v>200</v>
      </c>
      <c r="H11" s="10" t="s">
        <v>201</v>
      </c>
      <c r="I11" s="10" t="s">
        <v>202</v>
      </c>
    </row>
    <row r="12" spans="1:9" x14ac:dyDescent="0.15">
      <c r="A12" s="9">
        <v>11</v>
      </c>
      <c r="B12" s="10" t="s">
        <v>9</v>
      </c>
      <c r="C12" s="10" t="s">
        <v>170</v>
      </c>
      <c r="D12" s="10" t="s">
        <v>171</v>
      </c>
      <c r="E12" s="11" t="str">
        <f>+HYPERLINK("http://trademark.i-assist.jp/data/china/image_1900th/70484812.pdf", "70484812")</f>
        <v>70484812</v>
      </c>
      <c r="F12" s="10" t="s">
        <v>203</v>
      </c>
      <c r="G12" s="10" t="s">
        <v>204</v>
      </c>
      <c r="H12" s="10" t="s">
        <v>205</v>
      </c>
      <c r="I12" s="10" t="s">
        <v>206</v>
      </c>
    </row>
    <row r="13" spans="1:9" x14ac:dyDescent="0.15">
      <c r="A13" s="9">
        <v>12</v>
      </c>
      <c r="B13" s="10" t="s">
        <v>9</v>
      </c>
      <c r="C13" s="10" t="s">
        <v>170</v>
      </c>
      <c r="D13" s="10" t="s">
        <v>171</v>
      </c>
      <c r="E13" s="11" t="str">
        <f>+HYPERLINK("http://trademark.i-assist.jp/data/china/image_1900th/70621308.pdf", "70621308")</f>
        <v>70621308</v>
      </c>
      <c r="F13" s="10" t="s">
        <v>207</v>
      </c>
      <c r="G13" s="10" t="s">
        <v>208</v>
      </c>
      <c r="H13" s="10" t="s">
        <v>209</v>
      </c>
      <c r="I13" s="10" t="s">
        <v>210</v>
      </c>
    </row>
    <row r="14" spans="1:9" x14ac:dyDescent="0.15">
      <c r="A14" s="9">
        <v>13</v>
      </c>
      <c r="B14" s="10" t="s">
        <v>9</v>
      </c>
      <c r="C14" s="10" t="s">
        <v>170</v>
      </c>
      <c r="D14" s="10" t="s">
        <v>171</v>
      </c>
      <c r="E14" s="11" t="str">
        <f>+HYPERLINK("http://trademark.i-assist.jp/data/china/image_1900th/70668488.pdf", "70668488")</f>
        <v>70668488</v>
      </c>
      <c r="F14" s="10" t="s">
        <v>211</v>
      </c>
      <c r="G14" s="10" t="s">
        <v>212</v>
      </c>
      <c r="H14" s="10" t="s">
        <v>213</v>
      </c>
      <c r="I14" s="10" t="s">
        <v>13</v>
      </c>
    </row>
    <row r="15" spans="1:9" x14ac:dyDescent="0.15">
      <c r="A15" s="9">
        <v>14</v>
      </c>
      <c r="B15" s="10" t="s">
        <v>9</v>
      </c>
      <c r="C15" s="10" t="s">
        <v>170</v>
      </c>
      <c r="D15" s="10" t="s">
        <v>171</v>
      </c>
      <c r="E15" s="11" t="str">
        <f>+HYPERLINK("http://trademark.i-assist.jp/data/china/image_1900th/70880051.pdf", "70880051")</f>
        <v>70880051</v>
      </c>
      <c r="F15" s="10" t="s">
        <v>15</v>
      </c>
      <c r="G15" s="10" t="s">
        <v>214</v>
      </c>
      <c r="H15" s="10" t="s">
        <v>215</v>
      </c>
      <c r="I15" s="10" t="s">
        <v>216</v>
      </c>
    </row>
    <row r="16" spans="1:9" x14ac:dyDescent="0.15">
      <c r="A16" s="9">
        <v>15</v>
      </c>
      <c r="B16" s="10" t="s">
        <v>9</v>
      </c>
      <c r="C16" s="10" t="s">
        <v>170</v>
      </c>
      <c r="D16" s="10" t="s">
        <v>171</v>
      </c>
      <c r="E16" s="11" t="str">
        <f>+HYPERLINK("http://trademark.i-assist.jp/data/china/image_1900th/71054996.pdf", "71054996")</f>
        <v>71054996</v>
      </c>
      <c r="F16" s="10" t="s">
        <v>217</v>
      </c>
      <c r="G16" s="10" t="s">
        <v>218</v>
      </c>
      <c r="H16" s="10" t="s">
        <v>219</v>
      </c>
      <c r="I16" s="10" t="s">
        <v>220</v>
      </c>
    </row>
    <row r="17" spans="1:9" x14ac:dyDescent="0.15">
      <c r="A17" s="9">
        <v>16</v>
      </c>
      <c r="B17" s="10" t="s">
        <v>9</v>
      </c>
      <c r="C17" s="10" t="s">
        <v>170</v>
      </c>
      <c r="D17" s="10" t="s">
        <v>171</v>
      </c>
      <c r="E17" s="11" t="str">
        <f>+HYPERLINK("http://trademark.i-assist.jp/data/china/image_1900th/71059119.pdf", "71059119")</f>
        <v>71059119</v>
      </c>
      <c r="F17" s="10" t="s">
        <v>221</v>
      </c>
      <c r="G17" s="10" t="s">
        <v>222</v>
      </c>
      <c r="H17" s="10" t="s">
        <v>223</v>
      </c>
      <c r="I17" s="10" t="s">
        <v>14</v>
      </c>
    </row>
    <row r="18" spans="1:9" x14ac:dyDescent="0.15">
      <c r="A18" s="9">
        <v>17</v>
      </c>
      <c r="B18" s="10" t="s">
        <v>9</v>
      </c>
      <c r="C18" s="10" t="s">
        <v>170</v>
      </c>
      <c r="D18" s="10" t="s">
        <v>171</v>
      </c>
      <c r="E18" s="11" t="str">
        <f>+HYPERLINK("http://trademark.i-assist.jp/data/china/image_1900th/71083199.pdf", "71083199")</f>
        <v>71083199</v>
      </c>
      <c r="F18" s="10" t="s">
        <v>224</v>
      </c>
      <c r="G18" s="10" t="s">
        <v>225</v>
      </c>
      <c r="H18" s="10" t="s">
        <v>226</v>
      </c>
      <c r="I18" s="10" t="s">
        <v>14</v>
      </c>
    </row>
    <row r="19" spans="1:9" x14ac:dyDescent="0.15">
      <c r="A19" s="9">
        <v>18</v>
      </c>
      <c r="B19" s="10" t="s">
        <v>9</v>
      </c>
      <c r="C19" s="10" t="s">
        <v>170</v>
      </c>
      <c r="D19" s="10" t="s">
        <v>171</v>
      </c>
      <c r="E19" s="11" t="str">
        <f>+HYPERLINK("http://trademark.i-assist.jp/data/china/image_1900th/71371279.pdf", "71371279")</f>
        <v>71371279</v>
      </c>
      <c r="F19" s="10" t="s">
        <v>15</v>
      </c>
      <c r="G19" s="10" t="s">
        <v>227</v>
      </c>
      <c r="H19" s="10" t="s">
        <v>228</v>
      </c>
      <c r="I19" s="10" t="s">
        <v>229</v>
      </c>
    </row>
    <row r="20" spans="1:9" x14ac:dyDescent="0.15">
      <c r="A20" s="9">
        <v>19</v>
      </c>
      <c r="B20" s="10" t="s">
        <v>9</v>
      </c>
      <c r="C20" s="10" t="s">
        <v>170</v>
      </c>
      <c r="D20" s="10" t="s">
        <v>171</v>
      </c>
      <c r="E20" s="11" t="str">
        <f>+HYPERLINK("http://trademark.i-assist.jp/data/china/image_1900th/71638920.pdf", "71638920")</f>
        <v>71638920</v>
      </c>
      <c r="F20" s="10" t="s">
        <v>230</v>
      </c>
      <c r="G20" s="10" t="s">
        <v>231</v>
      </c>
      <c r="H20" s="10" t="s">
        <v>232</v>
      </c>
      <c r="I20" s="10" t="s">
        <v>233</v>
      </c>
    </row>
    <row r="21" spans="1:9" x14ac:dyDescent="0.15">
      <c r="A21" s="9">
        <v>20</v>
      </c>
      <c r="B21" s="10" t="s">
        <v>9</v>
      </c>
      <c r="C21" s="10" t="s">
        <v>170</v>
      </c>
      <c r="D21" s="10" t="s">
        <v>171</v>
      </c>
      <c r="E21" s="11" t="str">
        <f>+HYPERLINK("http://trademark.i-assist.jp/data/china/image_1900th/71781051.pdf", "71781051")</f>
        <v>71781051</v>
      </c>
      <c r="F21" s="10" t="s">
        <v>234</v>
      </c>
      <c r="G21" s="10" t="s">
        <v>235</v>
      </c>
      <c r="H21" s="10" t="s">
        <v>236</v>
      </c>
      <c r="I21" s="10" t="s">
        <v>237</v>
      </c>
    </row>
    <row r="22" spans="1:9" x14ac:dyDescent="0.15">
      <c r="A22" s="9">
        <v>21</v>
      </c>
      <c r="B22" s="10" t="s">
        <v>9</v>
      </c>
      <c r="C22" s="10" t="s">
        <v>170</v>
      </c>
      <c r="D22" s="10" t="s">
        <v>171</v>
      </c>
      <c r="E22" s="11" t="str">
        <f>+HYPERLINK("http://trademark.i-assist.jp/data/china/image_1900th/71892771.pdf", "71892771")</f>
        <v>71892771</v>
      </c>
      <c r="F22" s="10" t="s">
        <v>15</v>
      </c>
      <c r="G22" s="10" t="s">
        <v>238</v>
      </c>
      <c r="H22" s="10" t="s">
        <v>239</v>
      </c>
      <c r="I22" s="10" t="s">
        <v>240</v>
      </c>
    </row>
    <row r="23" spans="1:9" x14ac:dyDescent="0.15">
      <c r="A23" s="9">
        <v>22</v>
      </c>
      <c r="B23" s="10" t="s">
        <v>9</v>
      </c>
      <c r="C23" s="10" t="s">
        <v>170</v>
      </c>
      <c r="D23" s="10" t="s">
        <v>171</v>
      </c>
      <c r="E23" s="11" t="str">
        <f>+HYPERLINK("http://trademark.i-assist.jp/data/china/image_1900th/71933068.pdf", "71933068")</f>
        <v>71933068</v>
      </c>
      <c r="F23" s="10" t="s">
        <v>241</v>
      </c>
      <c r="G23" s="10" t="s">
        <v>242</v>
      </c>
      <c r="H23" s="10" t="s">
        <v>243</v>
      </c>
      <c r="I23" s="10" t="s">
        <v>244</v>
      </c>
    </row>
    <row r="24" spans="1:9" x14ac:dyDescent="0.15">
      <c r="A24" s="9">
        <v>23</v>
      </c>
      <c r="B24" s="10" t="s">
        <v>9</v>
      </c>
      <c r="C24" s="10" t="s">
        <v>170</v>
      </c>
      <c r="D24" s="10" t="s">
        <v>171</v>
      </c>
      <c r="E24" s="11" t="str">
        <f>+HYPERLINK("http://trademark.i-assist.jp/data/china/image_1900th/72002021.pdf", "72002021")</f>
        <v>72002021</v>
      </c>
      <c r="F24" s="10" t="s">
        <v>15</v>
      </c>
      <c r="G24" s="10" t="s">
        <v>245</v>
      </c>
      <c r="H24" s="10" t="s">
        <v>246</v>
      </c>
      <c r="I24" s="10" t="s">
        <v>247</v>
      </c>
    </row>
    <row r="25" spans="1:9" x14ac:dyDescent="0.15">
      <c r="A25" s="9">
        <v>24</v>
      </c>
      <c r="B25" s="10" t="s">
        <v>9</v>
      </c>
      <c r="C25" s="10" t="s">
        <v>170</v>
      </c>
      <c r="D25" s="10" t="s">
        <v>171</v>
      </c>
      <c r="E25" s="11" t="str">
        <f>+HYPERLINK("http://trademark.i-assist.jp/data/china/image_1900th/72020731.pdf", "72020731")</f>
        <v>72020731</v>
      </c>
      <c r="F25" s="10" t="s">
        <v>248</v>
      </c>
      <c r="G25" s="10" t="s">
        <v>249</v>
      </c>
      <c r="H25" s="10" t="s">
        <v>250</v>
      </c>
      <c r="I25" s="10" t="s">
        <v>18</v>
      </c>
    </row>
    <row r="26" spans="1:9" x14ac:dyDescent="0.15">
      <c r="A26" s="9">
        <v>25</v>
      </c>
      <c r="B26" s="10" t="s">
        <v>9</v>
      </c>
      <c r="C26" s="10" t="s">
        <v>170</v>
      </c>
      <c r="D26" s="10" t="s">
        <v>171</v>
      </c>
      <c r="E26" s="11" t="str">
        <f>+HYPERLINK("http://trademark.i-assist.jp/data/china/image_1900th/72132348.pdf", "72132348")</f>
        <v>72132348</v>
      </c>
      <c r="F26" s="10" t="s">
        <v>251</v>
      </c>
      <c r="G26" s="10" t="s">
        <v>252</v>
      </c>
      <c r="H26" s="10" t="s">
        <v>253</v>
      </c>
      <c r="I26" s="10" t="s">
        <v>19</v>
      </c>
    </row>
    <row r="27" spans="1:9" x14ac:dyDescent="0.15">
      <c r="A27" s="9">
        <v>26</v>
      </c>
      <c r="B27" s="10" t="s">
        <v>9</v>
      </c>
      <c r="C27" s="10" t="s">
        <v>170</v>
      </c>
      <c r="D27" s="10" t="s">
        <v>171</v>
      </c>
      <c r="E27" s="11" t="str">
        <f>+HYPERLINK("http://trademark.i-assist.jp/data/china/image_1900th/72524018.pdf", "72524018")</f>
        <v>72524018</v>
      </c>
      <c r="F27" s="10" t="s">
        <v>254</v>
      </c>
      <c r="G27" s="10" t="s">
        <v>255</v>
      </c>
      <c r="H27" s="10" t="s">
        <v>256</v>
      </c>
      <c r="I27" s="10" t="s">
        <v>20</v>
      </c>
    </row>
    <row r="28" spans="1:9" x14ac:dyDescent="0.15">
      <c r="A28" s="9">
        <v>27</v>
      </c>
      <c r="B28" s="10" t="s">
        <v>9</v>
      </c>
      <c r="C28" s="10" t="s">
        <v>170</v>
      </c>
      <c r="D28" s="10" t="s">
        <v>171</v>
      </c>
      <c r="E28" s="11" t="str">
        <f>+HYPERLINK("http://trademark.i-assist.jp/data/china/image_1900th/72593111.pdf", "72593111")</f>
        <v>72593111</v>
      </c>
      <c r="F28" s="10" t="s">
        <v>257</v>
      </c>
      <c r="G28" s="10" t="s">
        <v>258</v>
      </c>
      <c r="H28" s="10" t="s">
        <v>259</v>
      </c>
      <c r="I28" s="10" t="s">
        <v>260</v>
      </c>
    </row>
    <row r="29" spans="1:9" x14ac:dyDescent="0.15">
      <c r="A29" s="9">
        <v>28</v>
      </c>
      <c r="B29" s="10" t="s">
        <v>9</v>
      </c>
      <c r="C29" s="10" t="s">
        <v>170</v>
      </c>
      <c r="D29" s="10" t="s">
        <v>171</v>
      </c>
      <c r="E29" s="11" t="str">
        <f>+HYPERLINK("http://trademark.i-assist.jp/data/china/image_1900th/72729781.pdf", "72729781")</f>
        <v>72729781</v>
      </c>
      <c r="F29" s="10" t="s">
        <v>261</v>
      </c>
      <c r="G29" s="10" t="s">
        <v>262</v>
      </c>
      <c r="H29" s="10" t="s">
        <v>263</v>
      </c>
      <c r="I29" s="10" t="s">
        <v>264</v>
      </c>
    </row>
    <row r="30" spans="1:9" x14ac:dyDescent="0.15">
      <c r="A30" s="9">
        <v>29</v>
      </c>
      <c r="B30" s="10" t="s">
        <v>9</v>
      </c>
      <c r="C30" s="10" t="s">
        <v>170</v>
      </c>
      <c r="D30" s="10" t="s">
        <v>171</v>
      </c>
      <c r="E30" s="11" t="str">
        <f>+HYPERLINK("http://trademark.i-assist.jp/data/china/image_1900th/73082018.pdf", "73082018")</f>
        <v>73082018</v>
      </c>
      <c r="F30" s="10" t="s">
        <v>15</v>
      </c>
      <c r="G30" s="10" t="s">
        <v>265</v>
      </c>
      <c r="H30" s="10" t="s">
        <v>266</v>
      </c>
      <c r="I30" s="10" t="s">
        <v>267</v>
      </c>
    </row>
    <row r="31" spans="1:9" x14ac:dyDescent="0.15">
      <c r="A31" s="9">
        <v>30</v>
      </c>
      <c r="B31" s="10" t="s">
        <v>9</v>
      </c>
      <c r="C31" s="10" t="s">
        <v>170</v>
      </c>
      <c r="D31" s="10" t="s">
        <v>171</v>
      </c>
      <c r="E31" s="11" t="str">
        <f>+HYPERLINK("http://trademark.i-assist.jp/data/china/image_1900th/73215106.pdf", "73215106")</f>
        <v>73215106</v>
      </c>
      <c r="F31" s="10" t="s">
        <v>268</v>
      </c>
      <c r="G31" s="10" t="s">
        <v>269</v>
      </c>
      <c r="H31" s="10" t="s">
        <v>270</v>
      </c>
      <c r="I31" s="10" t="s">
        <v>23</v>
      </c>
    </row>
    <row r="32" spans="1:9" x14ac:dyDescent="0.15">
      <c r="A32" s="9">
        <v>31</v>
      </c>
      <c r="B32" s="10" t="s">
        <v>9</v>
      </c>
      <c r="C32" s="10" t="s">
        <v>170</v>
      </c>
      <c r="D32" s="10" t="s">
        <v>171</v>
      </c>
      <c r="E32" s="11" t="str">
        <f>+HYPERLINK("http://trademark.i-assist.jp/data/china/image_1900th/73529292.pdf", "73529292")</f>
        <v>73529292</v>
      </c>
      <c r="F32" s="10" t="s">
        <v>271</v>
      </c>
      <c r="G32" s="10" t="s">
        <v>272</v>
      </c>
      <c r="H32" s="10" t="s">
        <v>273</v>
      </c>
      <c r="I32" s="10" t="s">
        <v>274</v>
      </c>
    </row>
    <row r="33" spans="1:9" x14ac:dyDescent="0.15">
      <c r="A33" s="9">
        <v>32</v>
      </c>
      <c r="B33" s="10" t="s">
        <v>9</v>
      </c>
      <c r="C33" s="10" t="s">
        <v>170</v>
      </c>
      <c r="D33" s="10" t="s">
        <v>171</v>
      </c>
      <c r="E33" s="11" t="str">
        <f>+HYPERLINK("http://trademark.i-assist.jp/data/china/image_1900th/73594972.pdf", "73594972")</f>
        <v>73594972</v>
      </c>
      <c r="F33" s="10" t="s">
        <v>275</v>
      </c>
      <c r="G33" s="10" t="s">
        <v>276</v>
      </c>
      <c r="H33" s="10" t="s">
        <v>277</v>
      </c>
      <c r="I33" s="10" t="s">
        <v>278</v>
      </c>
    </row>
    <row r="34" spans="1:9" x14ac:dyDescent="0.15">
      <c r="A34" s="9">
        <v>33</v>
      </c>
      <c r="B34" s="10" t="s">
        <v>9</v>
      </c>
      <c r="C34" s="10" t="s">
        <v>170</v>
      </c>
      <c r="D34" s="10" t="s">
        <v>171</v>
      </c>
      <c r="E34" s="11" t="str">
        <f>+HYPERLINK("http://trademark.i-assist.jp/data/china/image_1900th/73602947.pdf", "73602947")</f>
        <v>73602947</v>
      </c>
      <c r="F34" s="10" t="s">
        <v>275</v>
      </c>
      <c r="G34" s="10" t="s">
        <v>276</v>
      </c>
      <c r="H34" s="10" t="s">
        <v>279</v>
      </c>
      <c r="I34" s="10" t="s">
        <v>278</v>
      </c>
    </row>
    <row r="35" spans="1:9" x14ac:dyDescent="0.15">
      <c r="A35" s="9">
        <v>34</v>
      </c>
      <c r="B35" s="10" t="s">
        <v>9</v>
      </c>
      <c r="C35" s="10" t="s">
        <v>170</v>
      </c>
      <c r="D35" s="10" t="s">
        <v>171</v>
      </c>
      <c r="E35" s="11" t="str">
        <f>+HYPERLINK("http://trademark.i-assist.jp/data/china/image_1900th/73769687.pdf", "73769687")</f>
        <v>73769687</v>
      </c>
      <c r="F35" s="10" t="s">
        <v>280</v>
      </c>
      <c r="G35" s="10" t="s">
        <v>281</v>
      </c>
      <c r="H35" s="10" t="s">
        <v>282</v>
      </c>
      <c r="I35" s="10" t="s">
        <v>283</v>
      </c>
    </row>
    <row r="36" spans="1:9" x14ac:dyDescent="0.15">
      <c r="A36" s="9">
        <v>35</v>
      </c>
      <c r="B36" s="10" t="s">
        <v>9</v>
      </c>
      <c r="C36" s="10" t="s">
        <v>170</v>
      </c>
      <c r="D36" s="10" t="s">
        <v>171</v>
      </c>
      <c r="E36" s="11" t="str">
        <f>+HYPERLINK("http://trademark.i-assist.jp/data/china/image_1900th/73966612.pdf", "73966612")</f>
        <v>73966612</v>
      </c>
      <c r="F36" s="10" t="s">
        <v>284</v>
      </c>
      <c r="G36" s="10" t="s">
        <v>285</v>
      </c>
      <c r="H36" s="10" t="s">
        <v>286</v>
      </c>
      <c r="I36" s="10" t="s">
        <v>25</v>
      </c>
    </row>
    <row r="37" spans="1:9" x14ac:dyDescent="0.15">
      <c r="A37" s="9">
        <v>36</v>
      </c>
      <c r="B37" s="10" t="s">
        <v>9</v>
      </c>
      <c r="C37" s="10" t="s">
        <v>170</v>
      </c>
      <c r="D37" s="10" t="s">
        <v>171</v>
      </c>
      <c r="E37" s="11" t="str">
        <f>+HYPERLINK("http://trademark.i-assist.jp/data/china/image_1900th/74097302.pdf", "74097302")</f>
        <v>74097302</v>
      </c>
      <c r="F37" s="10" t="s">
        <v>287</v>
      </c>
      <c r="G37" s="10" t="s">
        <v>288</v>
      </c>
      <c r="H37" s="10" t="s">
        <v>17</v>
      </c>
      <c r="I37" s="10" t="s">
        <v>289</v>
      </c>
    </row>
    <row r="38" spans="1:9" x14ac:dyDescent="0.15">
      <c r="A38" s="9">
        <v>37</v>
      </c>
      <c r="B38" s="10" t="s">
        <v>9</v>
      </c>
      <c r="C38" s="10" t="s">
        <v>170</v>
      </c>
      <c r="D38" s="10" t="s">
        <v>171</v>
      </c>
      <c r="E38" s="11" t="str">
        <f>+HYPERLINK("http://trademark.i-assist.jp/data/china/image_1900th/74138604.pdf", "74138604")</f>
        <v>74138604</v>
      </c>
      <c r="F38" s="10" t="s">
        <v>290</v>
      </c>
      <c r="G38" s="10" t="s">
        <v>291</v>
      </c>
      <c r="H38" s="10" t="s">
        <v>292</v>
      </c>
      <c r="I38" s="10" t="s">
        <v>293</v>
      </c>
    </row>
    <row r="39" spans="1:9" x14ac:dyDescent="0.15">
      <c r="A39" s="9">
        <v>38</v>
      </c>
      <c r="B39" s="10" t="s">
        <v>9</v>
      </c>
      <c r="C39" s="10" t="s">
        <v>170</v>
      </c>
      <c r="D39" s="10" t="s">
        <v>171</v>
      </c>
      <c r="E39" s="11" t="str">
        <f>+HYPERLINK("http://trademark.i-assist.jp/data/china/image_1900th/74165971.pdf", "74165971")</f>
        <v>74165971</v>
      </c>
      <c r="F39" s="10" t="s">
        <v>294</v>
      </c>
      <c r="G39" s="10" t="s">
        <v>295</v>
      </c>
      <c r="H39" s="10" t="s">
        <v>296</v>
      </c>
      <c r="I39" s="10" t="s">
        <v>26</v>
      </c>
    </row>
    <row r="40" spans="1:9" x14ac:dyDescent="0.15">
      <c r="A40" s="9">
        <v>39</v>
      </c>
      <c r="B40" s="10" t="s">
        <v>9</v>
      </c>
      <c r="C40" s="10" t="s">
        <v>170</v>
      </c>
      <c r="D40" s="10" t="s">
        <v>171</v>
      </c>
      <c r="E40" s="11" t="str">
        <f>+HYPERLINK("http://trademark.i-assist.jp/data/china/image_1900th/74182108.pdf", "74182108")</f>
        <v>74182108</v>
      </c>
      <c r="F40" s="10" t="s">
        <v>297</v>
      </c>
      <c r="G40" s="10" t="s">
        <v>298</v>
      </c>
      <c r="H40" s="10" t="s">
        <v>299</v>
      </c>
      <c r="I40" s="10" t="s">
        <v>26</v>
      </c>
    </row>
    <row r="41" spans="1:9" x14ac:dyDescent="0.15">
      <c r="A41" s="9">
        <v>40</v>
      </c>
      <c r="B41" s="10" t="s">
        <v>9</v>
      </c>
      <c r="C41" s="10" t="s">
        <v>170</v>
      </c>
      <c r="D41" s="10" t="s">
        <v>171</v>
      </c>
      <c r="E41" s="11" t="str">
        <f>+HYPERLINK("http://trademark.i-assist.jp/data/china/image_1900th/74345120.pdf", "74345120")</f>
        <v>74345120</v>
      </c>
      <c r="F41" s="10" t="s">
        <v>300</v>
      </c>
      <c r="G41" s="10" t="s">
        <v>301</v>
      </c>
      <c r="H41" s="10" t="s">
        <v>302</v>
      </c>
      <c r="I41" s="10" t="s">
        <v>303</v>
      </c>
    </row>
    <row r="42" spans="1:9" x14ac:dyDescent="0.15">
      <c r="A42" s="9">
        <v>41</v>
      </c>
      <c r="B42" s="10" t="s">
        <v>9</v>
      </c>
      <c r="C42" s="10" t="s">
        <v>170</v>
      </c>
      <c r="D42" s="10" t="s">
        <v>171</v>
      </c>
      <c r="E42" s="11" t="str">
        <f>+HYPERLINK("http://trademark.i-assist.jp/data/china/image_1900th/74444660.pdf", "74444660")</f>
        <v>74444660</v>
      </c>
      <c r="F42" s="10" t="s">
        <v>15</v>
      </c>
      <c r="G42" s="10" t="s">
        <v>304</v>
      </c>
      <c r="H42" s="10" t="s">
        <v>305</v>
      </c>
      <c r="I42" s="10" t="s">
        <v>27</v>
      </c>
    </row>
    <row r="43" spans="1:9" x14ac:dyDescent="0.15">
      <c r="A43" s="9">
        <v>42</v>
      </c>
      <c r="B43" s="10" t="s">
        <v>9</v>
      </c>
      <c r="C43" s="10" t="s">
        <v>170</v>
      </c>
      <c r="D43" s="10" t="s">
        <v>171</v>
      </c>
      <c r="E43" s="11" t="str">
        <f>+HYPERLINK("http://trademark.i-assist.jp/data/china/image_1900th/74573781.pdf", "74573781")</f>
        <v>74573781</v>
      </c>
      <c r="F43" s="10" t="s">
        <v>306</v>
      </c>
      <c r="G43" s="10" t="s">
        <v>307</v>
      </c>
      <c r="H43" s="10" t="s">
        <v>308</v>
      </c>
      <c r="I43" s="10" t="s">
        <v>309</v>
      </c>
    </row>
    <row r="44" spans="1:9" x14ac:dyDescent="0.15">
      <c r="A44" s="9">
        <v>43</v>
      </c>
      <c r="B44" s="10" t="s">
        <v>9</v>
      </c>
      <c r="C44" s="10" t="s">
        <v>170</v>
      </c>
      <c r="D44" s="10" t="s">
        <v>171</v>
      </c>
      <c r="E44" s="11" t="str">
        <f>+HYPERLINK("http://trademark.i-assist.jp/data/china/image_1900th/75534386.pdf", "75534386")</f>
        <v>75534386</v>
      </c>
      <c r="F44" s="10" t="s">
        <v>310</v>
      </c>
      <c r="G44" s="10" t="s">
        <v>311</v>
      </c>
      <c r="H44" s="10" t="s">
        <v>312</v>
      </c>
      <c r="I44" s="10" t="s">
        <v>313</v>
      </c>
    </row>
    <row r="45" spans="1:9" x14ac:dyDescent="0.15">
      <c r="A45" s="9">
        <v>44</v>
      </c>
      <c r="B45" s="10" t="s">
        <v>9</v>
      </c>
      <c r="C45" s="10" t="s">
        <v>170</v>
      </c>
      <c r="D45" s="10" t="s">
        <v>171</v>
      </c>
      <c r="E45" s="11" t="str">
        <f>+HYPERLINK("http://trademark.i-assist.jp/data/china/image_1900th/76050292.pdf", "76050292")</f>
        <v>76050292</v>
      </c>
      <c r="F45" s="10" t="s">
        <v>314</v>
      </c>
      <c r="G45" s="10" t="s">
        <v>315</v>
      </c>
      <c r="H45" s="10" t="s">
        <v>316</v>
      </c>
      <c r="I45" s="10" t="s">
        <v>317</v>
      </c>
    </row>
    <row r="46" spans="1:9" x14ac:dyDescent="0.15">
      <c r="A46" s="9">
        <v>45</v>
      </c>
      <c r="B46" s="10" t="s">
        <v>9</v>
      </c>
      <c r="C46" s="10" t="s">
        <v>170</v>
      </c>
      <c r="D46" s="10" t="s">
        <v>171</v>
      </c>
      <c r="E46" s="11" t="str">
        <f>+HYPERLINK("http://trademark.i-assist.jp/data/china/image_1900th/76062229.pdf", "76062229")</f>
        <v>76062229</v>
      </c>
      <c r="F46" s="10" t="s">
        <v>318</v>
      </c>
      <c r="G46" s="10" t="s">
        <v>319</v>
      </c>
      <c r="H46" s="10" t="s">
        <v>320</v>
      </c>
      <c r="I46" s="10" t="s">
        <v>317</v>
      </c>
    </row>
    <row r="47" spans="1:9" x14ac:dyDescent="0.15">
      <c r="A47" s="9">
        <v>46</v>
      </c>
      <c r="B47" s="10" t="s">
        <v>9</v>
      </c>
      <c r="C47" s="10" t="s">
        <v>170</v>
      </c>
      <c r="D47" s="10" t="s">
        <v>171</v>
      </c>
      <c r="E47" s="11" t="str">
        <f>+HYPERLINK("http://trademark.i-assist.jp/data/china/image_1900th/76238897.pdf", "76238897")</f>
        <v>76238897</v>
      </c>
      <c r="F47" s="10" t="s">
        <v>15</v>
      </c>
      <c r="G47" s="10" t="s">
        <v>321</v>
      </c>
      <c r="H47" s="10" t="s">
        <v>322</v>
      </c>
      <c r="I47" s="10" t="s">
        <v>323</v>
      </c>
    </row>
    <row r="48" spans="1:9" x14ac:dyDescent="0.15">
      <c r="A48" s="9">
        <v>47</v>
      </c>
      <c r="B48" s="10" t="s">
        <v>9</v>
      </c>
      <c r="C48" s="10" t="s">
        <v>170</v>
      </c>
      <c r="D48" s="10" t="s">
        <v>171</v>
      </c>
      <c r="E48" s="11" t="str">
        <f>+HYPERLINK("http://trademark.i-assist.jp/data/china/image_1900th/76372073.pdf", "76372073")</f>
        <v>76372073</v>
      </c>
      <c r="F48" s="10" t="s">
        <v>15</v>
      </c>
      <c r="G48" s="10" t="s">
        <v>324</v>
      </c>
      <c r="H48" s="10" t="s">
        <v>325</v>
      </c>
      <c r="I48" s="10" t="s">
        <v>326</v>
      </c>
    </row>
    <row r="49" spans="1:9" x14ac:dyDescent="0.15">
      <c r="A49" s="9">
        <v>48</v>
      </c>
      <c r="B49" s="10" t="s">
        <v>9</v>
      </c>
      <c r="C49" s="10" t="s">
        <v>170</v>
      </c>
      <c r="D49" s="10" t="s">
        <v>171</v>
      </c>
      <c r="E49" s="11" t="str">
        <f>+HYPERLINK("http://trademark.i-assist.jp/data/china/image_1900th/76570675.pdf", "76570675")</f>
        <v>76570675</v>
      </c>
      <c r="F49" s="10" t="s">
        <v>327</v>
      </c>
      <c r="G49" s="10" t="s">
        <v>328</v>
      </c>
      <c r="H49" s="10" t="s">
        <v>329</v>
      </c>
      <c r="I49" s="10" t="s">
        <v>330</v>
      </c>
    </row>
    <row r="50" spans="1:9" x14ac:dyDescent="0.15">
      <c r="A50" s="9">
        <v>49</v>
      </c>
      <c r="B50" s="10" t="s">
        <v>9</v>
      </c>
      <c r="C50" s="10" t="s">
        <v>170</v>
      </c>
      <c r="D50" s="10" t="s">
        <v>171</v>
      </c>
      <c r="E50" s="11" t="str">
        <f>+HYPERLINK("http://trademark.i-assist.jp/data/china/image_1900th/76614254.pdf", "76614254")</f>
        <v>76614254</v>
      </c>
      <c r="F50" s="10" t="s">
        <v>331</v>
      </c>
      <c r="G50" s="10" t="s">
        <v>332</v>
      </c>
      <c r="H50" s="10" t="s">
        <v>333</v>
      </c>
      <c r="I50" s="10" t="s">
        <v>334</v>
      </c>
    </row>
    <row r="51" spans="1:9" x14ac:dyDescent="0.15">
      <c r="A51" s="9">
        <v>50</v>
      </c>
      <c r="B51" s="10" t="s">
        <v>9</v>
      </c>
      <c r="C51" s="10" t="s">
        <v>170</v>
      </c>
      <c r="D51" s="10" t="s">
        <v>171</v>
      </c>
      <c r="E51" s="11" t="str">
        <f>+HYPERLINK("http://trademark.i-assist.jp/data/china/image_1900th/76729644.pdf", "76729644")</f>
        <v>76729644</v>
      </c>
      <c r="F51" s="10" t="s">
        <v>335</v>
      </c>
      <c r="G51" s="10" t="s">
        <v>336</v>
      </c>
      <c r="H51" s="10" t="s">
        <v>337</v>
      </c>
      <c r="I51" s="10" t="s">
        <v>28</v>
      </c>
    </row>
    <row r="52" spans="1:9" x14ac:dyDescent="0.15">
      <c r="A52" s="9">
        <v>51</v>
      </c>
      <c r="B52" s="10" t="s">
        <v>9</v>
      </c>
      <c r="C52" s="10" t="s">
        <v>170</v>
      </c>
      <c r="D52" s="10" t="s">
        <v>171</v>
      </c>
      <c r="E52" s="11" t="str">
        <f>+HYPERLINK("http://trademark.i-assist.jp/data/china/image_1900th/76810952.pdf", "76810952")</f>
        <v>76810952</v>
      </c>
      <c r="F52" s="10" t="s">
        <v>338</v>
      </c>
      <c r="G52" s="10" t="s">
        <v>339</v>
      </c>
      <c r="H52" s="10" t="s">
        <v>340</v>
      </c>
      <c r="I52" s="10" t="s">
        <v>341</v>
      </c>
    </row>
    <row r="53" spans="1:9" x14ac:dyDescent="0.15">
      <c r="A53" s="9">
        <v>52</v>
      </c>
      <c r="B53" s="10" t="s">
        <v>9</v>
      </c>
      <c r="C53" s="10" t="s">
        <v>170</v>
      </c>
      <c r="D53" s="10" t="s">
        <v>171</v>
      </c>
      <c r="E53" s="11" t="str">
        <f>+HYPERLINK("http://trademark.i-assist.jp/data/china/image_1900th/76837572.pdf", "76837572")</f>
        <v>76837572</v>
      </c>
      <c r="F53" s="10" t="s">
        <v>342</v>
      </c>
      <c r="G53" s="10" t="s">
        <v>343</v>
      </c>
      <c r="H53" s="10" t="s">
        <v>344</v>
      </c>
      <c r="I53" s="10" t="s">
        <v>29</v>
      </c>
    </row>
    <row r="54" spans="1:9" x14ac:dyDescent="0.15">
      <c r="A54" s="9">
        <v>53</v>
      </c>
      <c r="B54" s="10" t="s">
        <v>9</v>
      </c>
      <c r="C54" s="10" t="s">
        <v>170</v>
      </c>
      <c r="D54" s="10" t="s">
        <v>171</v>
      </c>
      <c r="E54" s="11" t="str">
        <f>+HYPERLINK("http://trademark.i-assist.jp/data/china/image_1900th/76926771.pdf", "76926771")</f>
        <v>76926771</v>
      </c>
      <c r="F54" s="10" t="s">
        <v>345</v>
      </c>
      <c r="G54" s="10" t="s">
        <v>346</v>
      </c>
      <c r="H54" s="10" t="s">
        <v>347</v>
      </c>
      <c r="I54" s="10" t="s">
        <v>348</v>
      </c>
    </row>
    <row r="55" spans="1:9" x14ac:dyDescent="0.15">
      <c r="A55" s="9">
        <v>54</v>
      </c>
      <c r="B55" s="10" t="s">
        <v>9</v>
      </c>
      <c r="C55" s="10" t="s">
        <v>170</v>
      </c>
      <c r="D55" s="10" t="s">
        <v>171</v>
      </c>
      <c r="E55" s="11" t="str">
        <f>+HYPERLINK("http://trademark.i-assist.jp/data/china/image_1900th/76970238.pdf", "76970238")</f>
        <v>76970238</v>
      </c>
      <c r="F55" s="10" t="s">
        <v>349</v>
      </c>
      <c r="G55" s="10" t="s">
        <v>350</v>
      </c>
      <c r="H55" s="10" t="s">
        <v>351</v>
      </c>
      <c r="I55" s="10" t="s">
        <v>33</v>
      </c>
    </row>
    <row r="56" spans="1:9" x14ac:dyDescent="0.15">
      <c r="A56" s="9">
        <v>55</v>
      </c>
      <c r="B56" s="10" t="s">
        <v>9</v>
      </c>
      <c r="C56" s="10" t="s">
        <v>170</v>
      </c>
      <c r="D56" s="10" t="s">
        <v>171</v>
      </c>
      <c r="E56" s="11" t="str">
        <f>+HYPERLINK("http://trademark.i-assist.jp/data/china/image_1900th/77062739.pdf", "77062739")</f>
        <v>77062739</v>
      </c>
      <c r="F56" s="10" t="s">
        <v>352</v>
      </c>
      <c r="G56" s="10" t="s">
        <v>353</v>
      </c>
      <c r="H56" s="10" t="s">
        <v>354</v>
      </c>
      <c r="I56" s="10" t="s">
        <v>34</v>
      </c>
    </row>
    <row r="57" spans="1:9" x14ac:dyDescent="0.15">
      <c r="A57" s="9">
        <v>56</v>
      </c>
      <c r="B57" s="10" t="s">
        <v>9</v>
      </c>
      <c r="C57" s="10" t="s">
        <v>170</v>
      </c>
      <c r="D57" s="10" t="s">
        <v>171</v>
      </c>
      <c r="E57" s="11" t="str">
        <f>+HYPERLINK("http://trademark.i-assist.jp/data/china/image_1900th/77085414.pdf", "77085414")</f>
        <v>77085414</v>
      </c>
      <c r="F57" s="10" t="s">
        <v>355</v>
      </c>
      <c r="G57" s="10" t="s">
        <v>356</v>
      </c>
      <c r="H57" s="10" t="s">
        <v>357</v>
      </c>
      <c r="I57" s="10" t="s">
        <v>35</v>
      </c>
    </row>
    <row r="58" spans="1:9" x14ac:dyDescent="0.15">
      <c r="A58" s="9">
        <v>57</v>
      </c>
      <c r="B58" s="10" t="s">
        <v>9</v>
      </c>
      <c r="C58" s="10" t="s">
        <v>170</v>
      </c>
      <c r="D58" s="10" t="s">
        <v>171</v>
      </c>
      <c r="E58" s="11" t="str">
        <f>+HYPERLINK("http://trademark.i-assist.jp/data/china/image_1900th/77137756.pdf", "77137756")</f>
        <v>77137756</v>
      </c>
      <c r="F58" s="10" t="s">
        <v>358</v>
      </c>
      <c r="G58" s="10" t="s">
        <v>359</v>
      </c>
      <c r="H58" s="10" t="s">
        <v>360</v>
      </c>
      <c r="I58" s="10" t="s">
        <v>37</v>
      </c>
    </row>
    <row r="59" spans="1:9" x14ac:dyDescent="0.15">
      <c r="A59" s="9">
        <v>58</v>
      </c>
      <c r="B59" s="10" t="s">
        <v>9</v>
      </c>
      <c r="C59" s="10" t="s">
        <v>170</v>
      </c>
      <c r="D59" s="10" t="s">
        <v>171</v>
      </c>
      <c r="E59" s="11" t="str">
        <f>+HYPERLINK("http://trademark.i-assist.jp/data/china/image_1900th/77142897.pdf", "77142897")</f>
        <v>77142897</v>
      </c>
      <c r="F59" s="10" t="s">
        <v>361</v>
      </c>
      <c r="G59" s="10" t="s">
        <v>36</v>
      </c>
      <c r="H59" s="10" t="s">
        <v>362</v>
      </c>
      <c r="I59" s="10" t="s">
        <v>37</v>
      </c>
    </row>
    <row r="60" spans="1:9" x14ac:dyDescent="0.15">
      <c r="A60" s="9">
        <v>59</v>
      </c>
      <c r="B60" s="10" t="s">
        <v>9</v>
      </c>
      <c r="C60" s="10" t="s">
        <v>170</v>
      </c>
      <c r="D60" s="10" t="s">
        <v>171</v>
      </c>
      <c r="E60" s="11" t="str">
        <f>+HYPERLINK("http://trademark.i-assist.jp/data/china/image_1900th/77229484.pdf", "77229484")</f>
        <v>77229484</v>
      </c>
      <c r="F60" s="10" t="s">
        <v>363</v>
      </c>
      <c r="G60" s="10" t="s">
        <v>364</v>
      </c>
      <c r="H60" s="10" t="s">
        <v>365</v>
      </c>
      <c r="I60" s="10" t="s">
        <v>38</v>
      </c>
    </row>
    <row r="61" spans="1:9" x14ac:dyDescent="0.15">
      <c r="A61" s="9">
        <v>60</v>
      </c>
      <c r="B61" s="10" t="s">
        <v>9</v>
      </c>
      <c r="C61" s="10" t="s">
        <v>170</v>
      </c>
      <c r="D61" s="10" t="s">
        <v>171</v>
      </c>
      <c r="E61" s="11" t="str">
        <f>+HYPERLINK("http://trademark.i-assist.jp/data/china/image_1900th/77230857.pdf", "77230857")</f>
        <v>77230857</v>
      </c>
      <c r="F61" s="10" t="s">
        <v>366</v>
      </c>
      <c r="G61" s="10" t="s">
        <v>367</v>
      </c>
      <c r="H61" s="10" t="s">
        <v>368</v>
      </c>
      <c r="I61" s="10" t="s">
        <v>38</v>
      </c>
    </row>
    <row r="62" spans="1:9" x14ac:dyDescent="0.15">
      <c r="A62" s="9">
        <v>61</v>
      </c>
      <c r="B62" s="10" t="s">
        <v>9</v>
      </c>
      <c r="C62" s="10" t="s">
        <v>170</v>
      </c>
      <c r="D62" s="10" t="s">
        <v>171</v>
      </c>
      <c r="E62" s="11" t="str">
        <f>+HYPERLINK("http://trademark.i-assist.jp/data/china/image_1900th/77252441.pdf", "77252441")</f>
        <v>77252441</v>
      </c>
      <c r="F62" s="10" t="s">
        <v>369</v>
      </c>
      <c r="G62" s="10" t="s">
        <v>370</v>
      </c>
      <c r="H62" s="10" t="s">
        <v>371</v>
      </c>
      <c r="I62" s="10" t="s">
        <v>372</v>
      </c>
    </row>
    <row r="63" spans="1:9" x14ac:dyDescent="0.15">
      <c r="A63" s="9">
        <v>62</v>
      </c>
      <c r="B63" s="10" t="s">
        <v>9</v>
      </c>
      <c r="C63" s="10" t="s">
        <v>170</v>
      </c>
      <c r="D63" s="10" t="s">
        <v>171</v>
      </c>
      <c r="E63" s="11" t="str">
        <f>+HYPERLINK("http://trademark.i-assist.jp/data/china/image_1900th/77274478.pdf", "77274478")</f>
        <v>77274478</v>
      </c>
      <c r="F63" s="10" t="s">
        <v>373</v>
      </c>
      <c r="G63" s="10" t="s">
        <v>374</v>
      </c>
      <c r="H63" s="10" t="s">
        <v>375</v>
      </c>
      <c r="I63" s="10" t="s">
        <v>39</v>
      </c>
    </row>
    <row r="64" spans="1:9" x14ac:dyDescent="0.15">
      <c r="A64" s="9">
        <v>63</v>
      </c>
      <c r="B64" s="10" t="s">
        <v>9</v>
      </c>
      <c r="C64" s="10" t="s">
        <v>170</v>
      </c>
      <c r="D64" s="10" t="s">
        <v>171</v>
      </c>
      <c r="E64" s="11" t="str">
        <f>+HYPERLINK("http://trademark.i-assist.jp/data/china/image_1900th/77278245.pdf", "77278245")</f>
        <v>77278245</v>
      </c>
      <c r="F64" s="10" t="s">
        <v>376</v>
      </c>
      <c r="G64" s="10" t="s">
        <v>367</v>
      </c>
      <c r="H64" s="10" t="s">
        <v>377</v>
      </c>
      <c r="I64" s="10" t="s">
        <v>39</v>
      </c>
    </row>
    <row r="65" spans="1:9" x14ac:dyDescent="0.15">
      <c r="A65" s="9">
        <v>64</v>
      </c>
      <c r="B65" s="10" t="s">
        <v>9</v>
      </c>
      <c r="C65" s="10" t="s">
        <v>170</v>
      </c>
      <c r="D65" s="10" t="s">
        <v>171</v>
      </c>
      <c r="E65" s="11" t="str">
        <f>+HYPERLINK("http://trademark.i-assist.jp/data/china/image_1900th/77288498.pdf", "77288498")</f>
        <v>77288498</v>
      </c>
      <c r="F65" s="10" t="s">
        <v>378</v>
      </c>
      <c r="G65" s="10" t="s">
        <v>379</v>
      </c>
      <c r="H65" s="10" t="s">
        <v>380</v>
      </c>
      <c r="I65" s="10" t="s">
        <v>39</v>
      </c>
    </row>
    <row r="66" spans="1:9" x14ac:dyDescent="0.15">
      <c r="A66" s="9">
        <v>65</v>
      </c>
      <c r="B66" s="10" t="s">
        <v>9</v>
      </c>
      <c r="C66" s="10" t="s">
        <v>170</v>
      </c>
      <c r="D66" s="10" t="s">
        <v>171</v>
      </c>
      <c r="E66" s="11" t="str">
        <f>+HYPERLINK("http://trademark.i-assist.jp/data/china/image_1900th/77291233.pdf", "77291233")</f>
        <v>77291233</v>
      </c>
      <c r="F66" s="10" t="s">
        <v>381</v>
      </c>
      <c r="G66" s="10" t="s">
        <v>382</v>
      </c>
      <c r="H66" s="10" t="s">
        <v>383</v>
      </c>
      <c r="I66" s="10" t="s">
        <v>40</v>
      </c>
    </row>
    <row r="67" spans="1:9" x14ac:dyDescent="0.15">
      <c r="A67" s="9">
        <v>66</v>
      </c>
      <c r="B67" s="10" t="s">
        <v>9</v>
      </c>
      <c r="C67" s="10" t="s">
        <v>170</v>
      </c>
      <c r="D67" s="10" t="s">
        <v>171</v>
      </c>
      <c r="E67" s="11" t="str">
        <f>+HYPERLINK("http://trademark.i-assist.jp/data/china/image_1900th/77299818.pdf", "77299818")</f>
        <v>77299818</v>
      </c>
      <c r="F67" s="10" t="s">
        <v>384</v>
      </c>
      <c r="G67" s="10" t="s">
        <v>385</v>
      </c>
      <c r="H67" s="10" t="s">
        <v>30</v>
      </c>
      <c r="I67" s="10" t="s">
        <v>40</v>
      </c>
    </row>
    <row r="68" spans="1:9" x14ac:dyDescent="0.15">
      <c r="A68" s="9">
        <v>67</v>
      </c>
      <c r="B68" s="10" t="s">
        <v>9</v>
      </c>
      <c r="C68" s="10" t="s">
        <v>170</v>
      </c>
      <c r="D68" s="10" t="s">
        <v>171</v>
      </c>
      <c r="E68" s="11" t="str">
        <f>+HYPERLINK("http://trademark.i-assist.jp/data/china/image_1900th/77332662.pdf", "77332662")</f>
        <v>77332662</v>
      </c>
      <c r="F68" s="10" t="s">
        <v>386</v>
      </c>
      <c r="G68" s="10" t="s">
        <v>387</v>
      </c>
      <c r="H68" s="10" t="s">
        <v>388</v>
      </c>
      <c r="I68" s="10" t="s">
        <v>389</v>
      </c>
    </row>
    <row r="69" spans="1:9" x14ac:dyDescent="0.15">
      <c r="A69" s="9">
        <v>68</v>
      </c>
      <c r="B69" s="10" t="s">
        <v>9</v>
      </c>
      <c r="C69" s="10" t="s">
        <v>170</v>
      </c>
      <c r="D69" s="10" t="s">
        <v>171</v>
      </c>
      <c r="E69" s="11" t="str">
        <f>+HYPERLINK("http://trademark.i-assist.jp/data/china/image_1900th/77372877.pdf", "77372877")</f>
        <v>77372877</v>
      </c>
      <c r="F69" s="10" t="s">
        <v>390</v>
      </c>
      <c r="G69" s="10" t="s">
        <v>391</v>
      </c>
      <c r="H69" s="10" t="s">
        <v>392</v>
      </c>
      <c r="I69" s="10" t="s">
        <v>41</v>
      </c>
    </row>
    <row r="70" spans="1:9" x14ac:dyDescent="0.15">
      <c r="A70" s="9">
        <v>69</v>
      </c>
      <c r="B70" s="10" t="s">
        <v>9</v>
      </c>
      <c r="C70" s="10" t="s">
        <v>170</v>
      </c>
      <c r="D70" s="10" t="s">
        <v>171</v>
      </c>
      <c r="E70" s="11" t="str">
        <f>+HYPERLINK("http://trademark.i-assist.jp/data/china/image_1900th/77395716.pdf", "77395716")</f>
        <v>77395716</v>
      </c>
      <c r="F70" s="10" t="s">
        <v>393</v>
      </c>
      <c r="G70" s="10" t="s">
        <v>394</v>
      </c>
      <c r="H70" s="10" t="s">
        <v>395</v>
      </c>
      <c r="I70" s="10" t="s">
        <v>396</v>
      </c>
    </row>
    <row r="71" spans="1:9" x14ac:dyDescent="0.15">
      <c r="A71" s="9">
        <v>70</v>
      </c>
      <c r="B71" s="10" t="s">
        <v>9</v>
      </c>
      <c r="C71" s="10" t="s">
        <v>170</v>
      </c>
      <c r="D71" s="10" t="s">
        <v>171</v>
      </c>
      <c r="E71" s="11" t="str">
        <f>+HYPERLINK("http://trademark.i-assist.jp/data/china/image_1900th/77420034.pdf", "77420034")</f>
        <v>77420034</v>
      </c>
      <c r="F71" s="10" t="s">
        <v>397</v>
      </c>
      <c r="G71" s="10" t="s">
        <v>398</v>
      </c>
      <c r="H71" s="10" t="s">
        <v>399</v>
      </c>
      <c r="I71" s="10" t="s">
        <v>400</v>
      </c>
    </row>
    <row r="72" spans="1:9" x14ac:dyDescent="0.15">
      <c r="A72" s="9">
        <v>71</v>
      </c>
      <c r="B72" s="10" t="s">
        <v>9</v>
      </c>
      <c r="C72" s="10" t="s">
        <v>170</v>
      </c>
      <c r="D72" s="10" t="s">
        <v>171</v>
      </c>
      <c r="E72" s="11" t="str">
        <f>+HYPERLINK("http://trademark.i-assist.jp/data/china/image_1900th/77447751.pdf", "77447751")</f>
        <v>77447751</v>
      </c>
      <c r="F72" s="10" t="s">
        <v>31</v>
      </c>
      <c r="G72" s="10" t="s">
        <v>32</v>
      </c>
      <c r="H72" s="10" t="s">
        <v>401</v>
      </c>
      <c r="I72" s="10" t="s">
        <v>42</v>
      </c>
    </row>
    <row r="73" spans="1:9" x14ac:dyDescent="0.15">
      <c r="A73" s="9">
        <v>72</v>
      </c>
      <c r="B73" s="10" t="s">
        <v>9</v>
      </c>
      <c r="C73" s="10" t="s">
        <v>170</v>
      </c>
      <c r="D73" s="10" t="s">
        <v>171</v>
      </c>
      <c r="E73" s="11" t="str">
        <f>+HYPERLINK("http://trademark.i-assist.jp/data/china/image_1900th/77458093.pdf", "77458093")</f>
        <v>77458093</v>
      </c>
      <c r="F73" s="10" t="s">
        <v>402</v>
      </c>
      <c r="G73" s="10" t="s">
        <v>403</v>
      </c>
      <c r="H73" s="10" t="s">
        <v>404</v>
      </c>
      <c r="I73" s="10" t="s">
        <v>42</v>
      </c>
    </row>
    <row r="74" spans="1:9" x14ac:dyDescent="0.15">
      <c r="A74" s="9">
        <v>73</v>
      </c>
      <c r="B74" s="10" t="s">
        <v>9</v>
      </c>
      <c r="C74" s="10" t="s">
        <v>170</v>
      </c>
      <c r="D74" s="10" t="s">
        <v>171</v>
      </c>
      <c r="E74" s="11" t="str">
        <f>+HYPERLINK("http://trademark.i-assist.jp/data/china/image_1900th/77481092.pdf", "77481092")</f>
        <v>77481092</v>
      </c>
      <c r="F74" s="10" t="s">
        <v>405</v>
      </c>
      <c r="G74" s="10" t="s">
        <v>406</v>
      </c>
      <c r="H74" s="10" t="s">
        <v>407</v>
      </c>
      <c r="I74" s="10" t="s">
        <v>43</v>
      </c>
    </row>
    <row r="75" spans="1:9" x14ac:dyDescent="0.15">
      <c r="A75" s="9">
        <v>74</v>
      </c>
      <c r="B75" s="10" t="s">
        <v>9</v>
      </c>
      <c r="C75" s="10" t="s">
        <v>170</v>
      </c>
      <c r="D75" s="10" t="s">
        <v>171</v>
      </c>
      <c r="E75" s="11" t="str">
        <f>+HYPERLINK("http://trademark.i-assist.jp/data/china/image_1900th/77484902.pdf", "77484902")</f>
        <v>77484902</v>
      </c>
      <c r="F75" s="10" t="s">
        <v>408</v>
      </c>
      <c r="G75" s="10" t="s">
        <v>409</v>
      </c>
      <c r="H75" s="10" t="s">
        <v>410</v>
      </c>
      <c r="I75" s="10" t="s">
        <v>44</v>
      </c>
    </row>
    <row r="76" spans="1:9" x14ac:dyDescent="0.15">
      <c r="A76" s="9">
        <v>75</v>
      </c>
      <c r="B76" s="10" t="s">
        <v>9</v>
      </c>
      <c r="C76" s="10" t="s">
        <v>170</v>
      </c>
      <c r="D76" s="10" t="s">
        <v>171</v>
      </c>
      <c r="E76" s="11" t="str">
        <f>+HYPERLINK("http://trademark.i-assist.jp/data/china/image_1900th/77494394.pdf", "77494394")</f>
        <v>77494394</v>
      </c>
      <c r="F76" s="10" t="s">
        <v>411</v>
      </c>
      <c r="G76" s="10" t="s">
        <v>412</v>
      </c>
      <c r="H76" s="10" t="s">
        <v>413</v>
      </c>
      <c r="I76" s="10" t="s">
        <v>44</v>
      </c>
    </row>
    <row r="77" spans="1:9" x14ac:dyDescent="0.15">
      <c r="A77" s="9">
        <v>76</v>
      </c>
      <c r="B77" s="10" t="s">
        <v>9</v>
      </c>
      <c r="C77" s="10" t="s">
        <v>170</v>
      </c>
      <c r="D77" s="10" t="s">
        <v>171</v>
      </c>
      <c r="E77" s="11" t="str">
        <f>+HYPERLINK("http://trademark.i-assist.jp/data/china/image_1900th/77527489.pdf", "77527489")</f>
        <v>77527489</v>
      </c>
      <c r="F77" s="10" t="s">
        <v>414</v>
      </c>
      <c r="G77" s="10" t="s">
        <v>415</v>
      </c>
      <c r="H77" s="10" t="s">
        <v>416</v>
      </c>
      <c r="I77" s="10" t="s">
        <v>44</v>
      </c>
    </row>
    <row r="78" spans="1:9" x14ac:dyDescent="0.15">
      <c r="A78" s="9">
        <v>77</v>
      </c>
      <c r="B78" s="10" t="s">
        <v>9</v>
      </c>
      <c r="C78" s="10" t="s">
        <v>170</v>
      </c>
      <c r="D78" s="10" t="s">
        <v>171</v>
      </c>
      <c r="E78" s="11" t="str">
        <f>+HYPERLINK("http://trademark.i-assist.jp/data/china/image_1900th/77529840.pdf", "77529840")</f>
        <v>77529840</v>
      </c>
      <c r="F78" s="10" t="s">
        <v>414</v>
      </c>
      <c r="G78" s="10" t="s">
        <v>415</v>
      </c>
      <c r="H78" s="10" t="s">
        <v>417</v>
      </c>
      <c r="I78" s="10" t="s">
        <v>44</v>
      </c>
    </row>
    <row r="79" spans="1:9" x14ac:dyDescent="0.15">
      <c r="A79" s="9">
        <v>78</v>
      </c>
      <c r="B79" s="10" t="s">
        <v>9</v>
      </c>
      <c r="C79" s="10" t="s">
        <v>170</v>
      </c>
      <c r="D79" s="10" t="s">
        <v>171</v>
      </c>
      <c r="E79" s="11" t="str">
        <f>+HYPERLINK("http://trademark.i-assist.jp/data/china/image_1900th/77549780.pdf", "77549780")</f>
        <v>77549780</v>
      </c>
      <c r="F79" s="10" t="s">
        <v>418</v>
      </c>
      <c r="G79" s="10" t="s">
        <v>419</v>
      </c>
      <c r="H79" s="10" t="s">
        <v>420</v>
      </c>
      <c r="I79" s="10" t="s">
        <v>45</v>
      </c>
    </row>
    <row r="80" spans="1:9" x14ac:dyDescent="0.15">
      <c r="A80" s="9">
        <v>79</v>
      </c>
      <c r="B80" s="10" t="s">
        <v>9</v>
      </c>
      <c r="C80" s="10" t="s">
        <v>170</v>
      </c>
      <c r="D80" s="10" t="s">
        <v>171</v>
      </c>
      <c r="E80" s="11" t="str">
        <f>+HYPERLINK("http://trademark.i-assist.jp/data/china/image_1900th/77574064.pdf", "77574064")</f>
        <v>77574064</v>
      </c>
      <c r="F80" s="10" t="s">
        <v>421</v>
      </c>
      <c r="G80" s="10" t="s">
        <v>422</v>
      </c>
      <c r="H80" s="10" t="s">
        <v>423</v>
      </c>
      <c r="I80" s="10" t="s">
        <v>46</v>
      </c>
    </row>
    <row r="81" spans="1:9" x14ac:dyDescent="0.15">
      <c r="A81" s="9">
        <v>80</v>
      </c>
      <c r="B81" s="10" t="s">
        <v>9</v>
      </c>
      <c r="C81" s="10" t="s">
        <v>170</v>
      </c>
      <c r="D81" s="10" t="s">
        <v>171</v>
      </c>
      <c r="E81" s="11" t="str">
        <f>+HYPERLINK("http://trademark.i-assist.jp/data/china/image_1900th/77630216.pdf", "77630216")</f>
        <v>77630216</v>
      </c>
      <c r="F81" s="10" t="s">
        <v>424</v>
      </c>
      <c r="G81" s="10" t="s">
        <v>425</v>
      </c>
      <c r="H81" s="10" t="s">
        <v>426</v>
      </c>
      <c r="I81" s="10" t="s">
        <v>48</v>
      </c>
    </row>
    <row r="82" spans="1:9" x14ac:dyDescent="0.15">
      <c r="A82" s="9">
        <v>81</v>
      </c>
      <c r="B82" s="10" t="s">
        <v>9</v>
      </c>
      <c r="C82" s="10" t="s">
        <v>170</v>
      </c>
      <c r="D82" s="10" t="s">
        <v>171</v>
      </c>
      <c r="E82" s="11" t="str">
        <f>+HYPERLINK("http://trademark.i-assist.jp/data/china/image_1900th/77632679.pdf", "77632679")</f>
        <v>77632679</v>
      </c>
      <c r="F82" s="10" t="s">
        <v>15</v>
      </c>
      <c r="G82" s="10" t="s">
        <v>427</v>
      </c>
      <c r="H82" s="10" t="s">
        <v>428</v>
      </c>
      <c r="I82" s="10" t="s">
        <v>48</v>
      </c>
    </row>
    <row r="83" spans="1:9" x14ac:dyDescent="0.15">
      <c r="A83" s="9">
        <v>82</v>
      </c>
      <c r="B83" s="10" t="s">
        <v>9</v>
      </c>
      <c r="C83" s="10" t="s">
        <v>170</v>
      </c>
      <c r="D83" s="10" t="s">
        <v>171</v>
      </c>
      <c r="E83" s="11" t="str">
        <f>+HYPERLINK("http://trademark.i-assist.jp/data/china/image_1900th/77638552.pdf", "77638552")</f>
        <v>77638552</v>
      </c>
      <c r="F83" s="10" t="s">
        <v>429</v>
      </c>
      <c r="G83" s="10" t="s">
        <v>430</v>
      </c>
      <c r="H83" s="10" t="s">
        <v>431</v>
      </c>
      <c r="I83" s="10" t="s">
        <v>48</v>
      </c>
    </row>
    <row r="84" spans="1:9" x14ac:dyDescent="0.15">
      <c r="A84" s="9">
        <v>83</v>
      </c>
      <c r="B84" s="10" t="s">
        <v>9</v>
      </c>
      <c r="C84" s="10" t="s">
        <v>170</v>
      </c>
      <c r="D84" s="10" t="s">
        <v>171</v>
      </c>
      <c r="E84" s="11" t="str">
        <f>+HYPERLINK("http://trademark.i-assist.jp/data/china/image_1900th/77639988.pdf", "77639988")</f>
        <v>77639988</v>
      </c>
      <c r="F84" s="10" t="s">
        <v>432</v>
      </c>
      <c r="G84" s="10" t="s">
        <v>433</v>
      </c>
      <c r="H84" s="10" t="s">
        <v>434</v>
      </c>
      <c r="I84" s="10" t="s">
        <v>48</v>
      </c>
    </row>
    <row r="85" spans="1:9" x14ac:dyDescent="0.15">
      <c r="A85" s="9">
        <v>84</v>
      </c>
      <c r="B85" s="10" t="s">
        <v>9</v>
      </c>
      <c r="C85" s="10" t="s">
        <v>170</v>
      </c>
      <c r="D85" s="10" t="s">
        <v>171</v>
      </c>
      <c r="E85" s="11" t="str">
        <f>+HYPERLINK("http://trademark.i-assist.jp/data/china/image_1900th/77640250.pdf", "77640250")</f>
        <v>77640250</v>
      </c>
      <c r="F85" s="10" t="s">
        <v>435</v>
      </c>
      <c r="G85" s="10" t="s">
        <v>436</v>
      </c>
      <c r="H85" s="10" t="s">
        <v>437</v>
      </c>
      <c r="I85" s="10" t="s">
        <v>48</v>
      </c>
    </row>
    <row r="86" spans="1:9" x14ac:dyDescent="0.15">
      <c r="A86" s="9">
        <v>85</v>
      </c>
      <c r="B86" s="10" t="s">
        <v>9</v>
      </c>
      <c r="C86" s="10" t="s">
        <v>170</v>
      </c>
      <c r="D86" s="10" t="s">
        <v>171</v>
      </c>
      <c r="E86" s="11" t="str">
        <f>+HYPERLINK("http://trademark.i-assist.jp/data/china/image_1900th/77651813.pdf", "77651813")</f>
        <v>77651813</v>
      </c>
      <c r="F86" s="10" t="s">
        <v>438</v>
      </c>
      <c r="G86" s="10" t="s">
        <v>439</v>
      </c>
      <c r="H86" s="10" t="s">
        <v>440</v>
      </c>
      <c r="I86" s="10" t="s">
        <v>48</v>
      </c>
    </row>
    <row r="87" spans="1:9" x14ac:dyDescent="0.15">
      <c r="A87" s="9">
        <v>86</v>
      </c>
      <c r="B87" s="10" t="s">
        <v>9</v>
      </c>
      <c r="C87" s="10" t="s">
        <v>170</v>
      </c>
      <c r="D87" s="10" t="s">
        <v>171</v>
      </c>
      <c r="E87" s="11" t="str">
        <f>+HYPERLINK("http://trademark.i-assist.jp/data/china/image_1900th/77658142.pdf", "77658142")</f>
        <v>77658142</v>
      </c>
      <c r="F87" s="10" t="s">
        <v>441</v>
      </c>
      <c r="G87" s="10" t="s">
        <v>439</v>
      </c>
      <c r="H87" s="10" t="s">
        <v>442</v>
      </c>
      <c r="I87" s="10" t="s">
        <v>48</v>
      </c>
    </row>
    <row r="88" spans="1:9" x14ac:dyDescent="0.15">
      <c r="A88" s="9">
        <v>87</v>
      </c>
      <c r="B88" s="10" t="s">
        <v>9</v>
      </c>
      <c r="C88" s="10" t="s">
        <v>170</v>
      </c>
      <c r="D88" s="10" t="s">
        <v>171</v>
      </c>
      <c r="E88" s="11" t="str">
        <f>+HYPERLINK("http://trademark.i-assist.jp/data/china/image_1900th/77684592.pdf", "77684592")</f>
        <v>77684592</v>
      </c>
      <c r="F88" s="10" t="s">
        <v>443</v>
      </c>
      <c r="G88" s="10" t="s">
        <v>444</v>
      </c>
      <c r="H88" s="10" t="s">
        <v>445</v>
      </c>
      <c r="I88" s="10" t="s">
        <v>49</v>
      </c>
    </row>
    <row r="89" spans="1:9" x14ac:dyDescent="0.15">
      <c r="A89" s="9">
        <v>88</v>
      </c>
      <c r="B89" s="10" t="s">
        <v>9</v>
      </c>
      <c r="C89" s="10" t="s">
        <v>170</v>
      </c>
      <c r="D89" s="10" t="s">
        <v>171</v>
      </c>
      <c r="E89" s="11" t="str">
        <f>+HYPERLINK("http://trademark.i-assist.jp/data/china/image_1900th/77690909.pdf", "77690909")</f>
        <v>77690909</v>
      </c>
      <c r="F89" s="10" t="s">
        <v>446</v>
      </c>
      <c r="G89" s="10" t="s">
        <v>447</v>
      </c>
      <c r="H89" s="10" t="s">
        <v>448</v>
      </c>
      <c r="I89" s="10" t="s">
        <v>49</v>
      </c>
    </row>
    <row r="90" spans="1:9" x14ac:dyDescent="0.15">
      <c r="A90" s="9">
        <v>89</v>
      </c>
      <c r="B90" s="10" t="s">
        <v>9</v>
      </c>
      <c r="C90" s="10" t="s">
        <v>170</v>
      </c>
      <c r="D90" s="10" t="s">
        <v>171</v>
      </c>
      <c r="E90" s="11" t="str">
        <f>+HYPERLINK("http://trademark.i-assist.jp/data/china/image_1900th/77713201.pdf", "77713201")</f>
        <v>77713201</v>
      </c>
      <c r="F90" s="10" t="s">
        <v>449</v>
      </c>
      <c r="G90" s="10" t="s">
        <v>450</v>
      </c>
      <c r="H90" s="10" t="s">
        <v>451</v>
      </c>
      <c r="I90" s="10" t="s">
        <v>50</v>
      </c>
    </row>
    <row r="91" spans="1:9" x14ac:dyDescent="0.15">
      <c r="A91" s="9">
        <v>90</v>
      </c>
      <c r="B91" s="10" t="s">
        <v>9</v>
      </c>
      <c r="C91" s="10" t="s">
        <v>170</v>
      </c>
      <c r="D91" s="10" t="s">
        <v>171</v>
      </c>
      <c r="E91" s="11" t="str">
        <f>+HYPERLINK("http://trademark.i-assist.jp/data/china/image_1900th/77739568.pdf", "77739568")</f>
        <v>77739568</v>
      </c>
      <c r="F91" s="10" t="s">
        <v>452</v>
      </c>
      <c r="G91" s="10" t="s">
        <v>453</v>
      </c>
      <c r="H91" s="10" t="s">
        <v>454</v>
      </c>
      <c r="I91" s="10" t="s">
        <v>51</v>
      </c>
    </row>
    <row r="92" spans="1:9" x14ac:dyDescent="0.15">
      <c r="A92" s="9">
        <v>91</v>
      </c>
      <c r="B92" s="10" t="s">
        <v>9</v>
      </c>
      <c r="C92" s="10" t="s">
        <v>170</v>
      </c>
      <c r="D92" s="10" t="s">
        <v>171</v>
      </c>
      <c r="E92" s="11" t="str">
        <f>+HYPERLINK("http://trademark.i-assist.jp/data/china/image_1900th/77751331.pdf", "77751331")</f>
        <v>77751331</v>
      </c>
      <c r="F92" s="10" t="s">
        <v>455</v>
      </c>
      <c r="G92" s="10" t="s">
        <v>456</v>
      </c>
      <c r="H92" s="10" t="s">
        <v>457</v>
      </c>
      <c r="I92" s="10" t="s">
        <v>51</v>
      </c>
    </row>
    <row r="93" spans="1:9" x14ac:dyDescent="0.15">
      <c r="A93" s="9">
        <v>92</v>
      </c>
      <c r="B93" s="10" t="s">
        <v>9</v>
      </c>
      <c r="C93" s="10" t="s">
        <v>170</v>
      </c>
      <c r="D93" s="10" t="s">
        <v>171</v>
      </c>
      <c r="E93" s="11" t="str">
        <f>+HYPERLINK("http://trademark.i-assist.jp/data/china/image_1900th/77755353.pdf", "77755353")</f>
        <v>77755353</v>
      </c>
      <c r="F93" s="10" t="s">
        <v>458</v>
      </c>
      <c r="G93" s="10" t="s">
        <v>459</v>
      </c>
      <c r="H93" s="10" t="s">
        <v>460</v>
      </c>
      <c r="I93" s="10" t="s">
        <v>51</v>
      </c>
    </row>
    <row r="94" spans="1:9" x14ac:dyDescent="0.15">
      <c r="A94" s="9">
        <v>93</v>
      </c>
      <c r="B94" s="10" t="s">
        <v>9</v>
      </c>
      <c r="C94" s="10" t="s">
        <v>170</v>
      </c>
      <c r="D94" s="10" t="s">
        <v>171</v>
      </c>
      <c r="E94" s="11" t="str">
        <f>+HYPERLINK("http://trademark.i-assist.jp/data/china/image_1900th/77762057.pdf", "77762057")</f>
        <v>77762057</v>
      </c>
      <c r="F94" s="10" t="s">
        <v>461</v>
      </c>
      <c r="G94" s="10" t="s">
        <v>459</v>
      </c>
      <c r="H94" s="10" t="s">
        <v>460</v>
      </c>
      <c r="I94" s="10" t="s">
        <v>51</v>
      </c>
    </row>
    <row r="95" spans="1:9" x14ac:dyDescent="0.15">
      <c r="A95" s="9">
        <v>94</v>
      </c>
      <c r="B95" s="10" t="s">
        <v>9</v>
      </c>
      <c r="C95" s="10" t="s">
        <v>170</v>
      </c>
      <c r="D95" s="10" t="s">
        <v>171</v>
      </c>
      <c r="E95" s="11" t="str">
        <f>+HYPERLINK("http://trademark.i-assist.jp/data/china/image_1900th/77794870.pdf", "77794870")</f>
        <v>77794870</v>
      </c>
      <c r="F95" s="10" t="s">
        <v>462</v>
      </c>
      <c r="G95" s="10" t="s">
        <v>463</v>
      </c>
      <c r="H95" s="10" t="s">
        <v>464</v>
      </c>
      <c r="I95" s="10" t="s">
        <v>53</v>
      </c>
    </row>
    <row r="96" spans="1:9" x14ac:dyDescent="0.15">
      <c r="A96" s="9">
        <v>95</v>
      </c>
      <c r="B96" s="10" t="s">
        <v>9</v>
      </c>
      <c r="C96" s="10" t="s">
        <v>170</v>
      </c>
      <c r="D96" s="10" t="s">
        <v>171</v>
      </c>
      <c r="E96" s="11" t="str">
        <f>+HYPERLINK("http://trademark.i-assist.jp/data/china/image_1900th/77810325.pdf", "77810325")</f>
        <v>77810325</v>
      </c>
      <c r="F96" s="10" t="s">
        <v>465</v>
      </c>
      <c r="G96" s="10" t="s">
        <v>466</v>
      </c>
      <c r="H96" s="10" t="s">
        <v>467</v>
      </c>
      <c r="I96" s="10" t="s">
        <v>54</v>
      </c>
    </row>
    <row r="97" spans="1:9" x14ac:dyDescent="0.15">
      <c r="A97" s="9">
        <v>96</v>
      </c>
      <c r="B97" s="10" t="s">
        <v>9</v>
      </c>
      <c r="C97" s="10" t="s">
        <v>170</v>
      </c>
      <c r="D97" s="10" t="s">
        <v>171</v>
      </c>
      <c r="E97" s="11" t="str">
        <f>+HYPERLINK("http://trademark.i-assist.jp/data/china/image_1900th/77861031.pdf", "77861031")</f>
        <v>77861031</v>
      </c>
      <c r="F97" s="10" t="s">
        <v>468</v>
      </c>
      <c r="G97" s="10" t="s">
        <v>469</v>
      </c>
      <c r="H97" s="10" t="s">
        <v>470</v>
      </c>
      <c r="I97" s="10" t="s">
        <v>55</v>
      </c>
    </row>
    <row r="98" spans="1:9" x14ac:dyDescent="0.15">
      <c r="A98" s="9">
        <v>97</v>
      </c>
      <c r="B98" s="10" t="s">
        <v>9</v>
      </c>
      <c r="C98" s="10" t="s">
        <v>170</v>
      </c>
      <c r="D98" s="10" t="s">
        <v>171</v>
      </c>
      <c r="E98" s="11" t="str">
        <f>+HYPERLINK("http://trademark.i-assist.jp/data/china/image_1900th/77875698.pdf", "77875698")</f>
        <v>77875698</v>
      </c>
      <c r="F98" s="10" t="s">
        <v>471</v>
      </c>
      <c r="G98" s="10" t="s">
        <v>472</v>
      </c>
      <c r="H98" s="10" t="s">
        <v>473</v>
      </c>
      <c r="I98" s="10" t="s">
        <v>56</v>
      </c>
    </row>
    <row r="99" spans="1:9" x14ac:dyDescent="0.15">
      <c r="A99" s="9">
        <v>98</v>
      </c>
      <c r="B99" s="10" t="s">
        <v>9</v>
      </c>
      <c r="C99" s="10" t="s">
        <v>170</v>
      </c>
      <c r="D99" s="10" t="s">
        <v>171</v>
      </c>
      <c r="E99" s="11" t="str">
        <f>+HYPERLINK("http://trademark.i-assist.jp/data/china/image_1900th/77879662.pdf", "77879662")</f>
        <v>77879662</v>
      </c>
      <c r="F99" s="10" t="s">
        <v>61</v>
      </c>
      <c r="G99" s="10" t="s">
        <v>474</v>
      </c>
      <c r="H99" s="10" t="s">
        <v>475</v>
      </c>
      <c r="I99" s="10" t="s">
        <v>56</v>
      </c>
    </row>
    <row r="100" spans="1:9" x14ac:dyDescent="0.15">
      <c r="A100" s="9">
        <v>99</v>
      </c>
      <c r="B100" s="10" t="s">
        <v>9</v>
      </c>
      <c r="C100" s="10" t="s">
        <v>170</v>
      </c>
      <c r="D100" s="10" t="s">
        <v>171</v>
      </c>
      <c r="E100" s="11" t="str">
        <f>+HYPERLINK("http://trademark.i-assist.jp/data/china/image_1900th/77898642.pdf", "77898642")</f>
        <v>77898642</v>
      </c>
      <c r="F100" s="10" t="s">
        <v>476</v>
      </c>
      <c r="G100" s="10" t="s">
        <v>477</v>
      </c>
      <c r="H100" s="10" t="s">
        <v>478</v>
      </c>
      <c r="I100" s="10" t="s">
        <v>59</v>
      </c>
    </row>
    <row r="101" spans="1:9" x14ac:dyDescent="0.15">
      <c r="A101" s="9">
        <v>100</v>
      </c>
      <c r="B101" s="10" t="s">
        <v>9</v>
      </c>
      <c r="C101" s="10" t="s">
        <v>170</v>
      </c>
      <c r="D101" s="10" t="s">
        <v>171</v>
      </c>
      <c r="E101" s="11" t="str">
        <f>+HYPERLINK("http://trademark.i-assist.jp/data/china/image_1900th/77898783.pdf", "77898783")</f>
        <v>77898783</v>
      </c>
      <c r="F101" s="10" t="s">
        <v>479</v>
      </c>
      <c r="G101" s="10" t="s">
        <v>480</v>
      </c>
      <c r="H101" s="10" t="s">
        <v>481</v>
      </c>
      <c r="I101" s="10" t="s">
        <v>59</v>
      </c>
    </row>
    <row r="102" spans="1:9" x14ac:dyDescent="0.15">
      <c r="A102" s="9">
        <v>101</v>
      </c>
      <c r="B102" s="10" t="s">
        <v>9</v>
      </c>
      <c r="C102" s="10" t="s">
        <v>170</v>
      </c>
      <c r="D102" s="10" t="s">
        <v>171</v>
      </c>
      <c r="E102" s="11" t="str">
        <f>+HYPERLINK("http://trademark.i-assist.jp/data/china/image_1900th/77899222.pdf", "77899222")</f>
        <v>77899222</v>
      </c>
      <c r="F102" s="10" t="s">
        <v>482</v>
      </c>
      <c r="G102" s="10" t="s">
        <v>483</v>
      </c>
      <c r="H102" s="10" t="s">
        <v>484</v>
      </c>
      <c r="I102" s="10" t="s">
        <v>59</v>
      </c>
    </row>
    <row r="103" spans="1:9" x14ac:dyDescent="0.15">
      <c r="A103" s="9">
        <v>102</v>
      </c>
      <c r="B103" s="10" t="s">
        <v>9</v>
      </c>
      <c r="C103" s="10" t="s">
        <v>170</v>
      </c>
      <c r="D103" s="10" t="s">
        <v>171</v>
      </c>
      <c r="E103" s="11" t="str">
        <f>+HYPERLINK("http://trademark.i-assist.jp/data/china/image_1900th/77907755.pdf", "77907755")</f>
        <v>77907755</v>
      </c>
      <c r="F103" s="10" t="s">
        <v>485</v>
      </c>
      <c r="G103" s="10" t="s">
        <v>480</v>
      </c>
      <c r="H103" s="10" t="s">
        <v>486</v>
      </c>
      <c r="I103" s="10" t="s">
        <v>59</v>
      </c>
    </row>
    <row r="104" spans="1:9" x14ac:dyDescent="0.15">
      <c r="A104" s="9">
        <v>103</v>
      </c>
      <c r="B104" s="10" t="s">
        <v>9</v>
      </c>
      <c r="C104" s="10" t="s">
        <v>170</v>
      </c>
      <c r="D104" s="10" t="s">
        <v>171</v>
      </c>
      <c r="E104" s="11" t="str">
        <f>+HYPERLINK("http://trademark.i-assist.jp/data/china/image_1900th/77909546.pdf", "77909546")</f>
        <v>77909546</v>
      </c>
      <c r="F104" s="10" t="s">
        <v>487</v>
      </c>
      <c r="G104" s="10" t="s">
        <v>488</v>
      </c>
      <c r="H104" s="10" t="s">
        <v>489</v>
      </c>
      <c r="I104" s="10" t="s">
        <v>59</v>
      </c>
    </row>
    <row r="105" spans="1:9" x14ac:dyDescent="0.15">
      <c r="A105" s="9">
        <v>104</v>
      </c>
      <c r="B105" s="10" t="s">
        <v>9</v>
      </c>
      <c r="C105" s="10" t="s">
        <v>170</v>
      </c>
      <c r="D105" s="10" t="s">
        <v>171</v>
      </c>
      <c r="E105" s="11" t="str">
        <f>+HYPERLINK("http://trademark.i-assist.jp/data/china/image_1900th/77909759.pdf", "77909759")</f>
        <v>77909759</v>
      </c>
      <c r="F105" s="10" t="s">
        <v>490</v>
      </c>
      <c r="G105" s="10" t="s">
        <v>491</v>
      </c>
      <c r="H105" s="10" t="s">
        <v>492</v>
      </c>
      <c r="I105" s="10" t="s">
        <v>59</v>
      </c>
    </row>
    <row r="106" spans="1:9" x14ac:dyDescent="0.15">
      <c r="A106" s="9">
        <v>105</v>
      </c>
      <c r="B106" s="10" t="s">
        <v>9</v>
      </c>
      <c r="C106" s="10" t="s">
        <v>170</v>
      </c>
      <c r="D106" s="10" t="s">
        <v>171</v>
      </c>
      <c r="E106" s="11" t="str">
        <f>+HYPERLINK("http://trademark.i-assist.jp/data/china/image_1900th/77917107.pdf", "77917107")</f>
        <v>77917107</v>
      </c>
      <c r="F106" s="10" t="s">
        <v>15</v>
      </c>
      <c r="G106" s="10" t="s">
        <v>493</v>
      </c>
      <c r="H106" s="10" t="s">
        <v>494</v>
      </c>
      <c r="I106" s="10" t="s">
        <v>59</v>
      </c>
    </row>
    <row r="107" spans="1:9" x14ac:dyDescent="0.15">
      <c r="A107" s="9">
        <v>106</v>
      </c>
      <c r="B107" s="10" t="s">
        <v>9</v>
      </c>
      <c r="C107" s="10" t="s">
        <v>170</v>
      </c>
      <c r="D107" s="10" t="s">
        <v>171</v>
      </c>
      <c r="E107" s="11" t="str">
        <f>+HYPERLINK("http://trademark.i-assist.jp/data/china/image_1900th/77943389.pdf", "77943389")</f>
        <v>77943389</v>
      </c>
      <c r="F107" s="10" t="s">
        <v>495</v>
      </c>
      <c r="G107" s="10" t="s">
        <v>496</v>
      </c>
      <c r="H107" s="10" t="s">
        <v>497</v>
      </c>
      <c r="I107" s="10" t="s">
        <v>62</v>
      </c>
    </row>
    <row r="108" spans="1:9" x14ac:dyDescent="0.15">
      <c r="A108" s="9">
        <v>107</v>
      </c>
      <c r="B108" s="10" t="s">
        <v>9</v>
      </c>
      <c r="C108" s="10" t="s">
        <v>170</v>
      </c>
      <c r="D108" s="10" t="s">
        <v>171</v>
      </c>
      <c r="E108" s="11" t="str">
        <f>+HYPERLINK("http://trademark.i-assist.jp/data/china/image_1900th/77960971.pdf", "77960971")</f>
        <v>77960971</v>
      </c>
      <c r="F108" s="10" t="s">
        <v>498</v>
      </c>
      <c r="G108" s="10" t="s">
        <v>499</v>
      </c>
      <c r="H108" s="10" t="s">
        <v>500</v>
      </c>
      <c r="I108" s="10" t="s">
        <v>63</v>
      </c>
    </row>
    <row r="109" spans="1:9" x14ac:dyDescent="0.15">
      <c r="A109" s="9">
        <v>108</v>
      </c>
      <c r="B109" s="10" t="s">
        <v>9</v>
      </c>
      <c r="C109" s="10" t="s">
        <v>170</v>
      </c>
      <c r="D109" s="10" t="s">
        <v>171</v>
      </c>
      <c r="E109" s="11" t="str">
        <f>+HYPERLINK("http://trademark.i-assist.jp/data/china/image_1900th/77963322.pdf", "77963322")</f>
        <v>77963322</v>
      </c>
      <c r="F109" s="10" t="s">
        <v>501</v>
      </c>
      <c r="G109" s="10" t="s">
        <v>502</v>
      </c>
      <c r="H109" s="10" t="s">
        <v>503</v>
      </c>
      <c r="I109" s="10" t="s">
        <v>63</v>
      </c>
    </row>
    <row r="110" spans="1:9" x14ac:dyDescent="0.15">
      <c r="A110" s="9">
        <v>109</v>
      </c>
      <c r="B110" s="10" t="s">
        <v>9</v>
      </c>
      <c r="C110" s="10" t="s">
        <v>170</v>
      </c>
      <c r="D110" s="10" t="s">
        <v>171</v>
      </c>
      <c r="E110" s="11" t="str">
        <f>+HYPERLINK("http://trademark.i-assist.jp/data/china/image_1900th/77966178.pdf", "77966178")</f>
        <v>77966178</v>
      </c>
      <c r="F110" s="10" t="s">
        <v>15</v>
      </c>
      <c r="G110" s="10" t="s">
        <v>504</v>
      </c>
      <c r="H110" s="10" t="s">
        <v>505</v>
      </c>
      <c r="I110" s="10" t="s">
        <v>63</v>
      </c>
    </row>
    <row r="111" spans="1:9" x14ac:dyDescent="0.15">
      <c r="A111" s="9">
        <v>110</v>
      </c>
      <c r="B111" s="10" t="s">
        <v>9</v>
      </c>
      <c r="C111" s="10" t="s">
        <v>170</v>
      </c>
      <c r="D111" s="10" t="s">
        <v>171</v>
      </c>
      <c r="E111" s="11" t="str">
        <f>+HYPERLINK("http://trademark.i-assist.jp/data/china/image_1900th/77977758.pdf", "77977758")</f>
        <v>77977758</v>
      </c>
      <c r="F111" s="10" t="s">
        <v>506</v>
      </c>
      <c r="G111" s="10" t="s">
        <v>123</v>
      </c>
      <c r="H111" s="10" t="s">
        <v>507</v>
      </c>
      <c r="I111" s="10" t="s">
        <v>63</v>
      </c>
    </row>
    <row r="112" spans="1:9" x14ac:dyDescent="0.15">
      <c r="A112" s="9">
        <v>111</v>
      </c>
      <c r="B112" s="10" t="s">
        <v>9</v>
      </c>
      <c r="C112" s="10" t="s">
        <v>170</v>
      </c>
      <c r="D112" s="10" t="s">
        <v>171</v>
      </c>
      <c r="E112" s="11" t="str">
        <f>+HYPERLINK("http://trademark.i-assist.jp/data/china/image_1900th/77980366.pdf", "77980366")</f>
        <v>77980366</v>
      </c>
      <c r="F112" s="10" t="s">
        <v>508</v>
      </c>
      <c r="G112" s="10" t="s">
        <v>509</v>
      </c>
      <c r="H112" s="10" t="s">
        <v>510</v>
      </c>
      <c r="I112" s="10" t="s">
        <v>63</v>
      </c>
    </row>
    <row r="113" spans="1:9" x14ac:dyDescent="0.15">
      <c r="A113" s="9">
        <v>112</v>
      </c>
      <c r="B113" s="10" t="s">
        <v>9</v>
      </c>
      <c r="C113" s="10" t="s">
        <v>170</v>
      </c>
      <c r="D113" s="10" t="s">
        <v>171</v>
      </c>
      <c r="E113" s="11" t="str">
        <f>+HYPERLINK("http://trademark.i-assist.jp/data/china/image_1900th/77986092.pdf", "77986092")</f>
        <v>77986092</v>
      </c>
      <c r="F113" s="10" t="s">
        <v>511</v>
      </c>
      <c r="G113" s="10" t="s">
        <v>512</v>
      </c>
      <c r="H113" s="10" t="s">
        <v>513</v>
      </c>
      <c r="I113" s="10" t="s">
        <v>63</v>
      </c>
    </row>
    <row r="114" spans="1:9" x14ac:dyDescent="0.15">
      <c r="A114" s="9">
        <v>113</v>
      </c>
      <c r="B114" s="10" t="s">
        <v>9</v>
      </c>
      <c r="C114" s="10" t="s">
        <v>170</v>
      </c>
      <c r="D114" s="10" t="s">
        <v>171</v>
      </c>
      <c r="E114" s="11" t="str">
        <f>+HYPERLINK("http://trademark.i-assist.jp/data/china/image_1900th/77990422.pdf", "77990422")</f>
        <v>77990422</v>
      </c>
      <c r="F114" s="10" t="s">
        <v>514</v>
      </c>
      <c r="G114" s="10" t="s">
        <v>515</v>
      </c>
      <c r="H114" s="10" t="s">
        <v>516</v>
      </c>
      <c r="I114" s="10" t="s">
        <v>64</v>
      </c>
    </row>
    <row r="115" spans="1:9" x14ac:dyDescent="0.15">
      <c r="A115" s="9">
        <v>114</v>
      </c>
      <c r="B115" s="10" t="s">
        <v>9</v>
      </c>
      <c r="C115" s="10" t="s">
        <v>170</v>
      </c>
      <c r="D115" s="10" t="s">
        <v>171</v>
      </c>
      <c r="E115" s="11" t="str">
        <f>+HYPERLINK("http://trademark.i-assist.jp/data/china/image_1900th/78008760.pdf", "78008760")</f>
        <v>78008760</v>
      </c>
      <c r="F115" s="10" t="s">
        <v>517</v>
      </c>
      <c r="G115" s="10" t="s">
        <v>518</v>
      </c>
      <c r="H115" s="10" t="s">
        <v>519</v>
      </c>
      <c r="I115" s="10" t="s">
        <v>64</v>
      </c>
    </row>
    <row r="116" spans="1:9" x14ac:dyDescent="0.15">
      <c r="A116" s="9">
        <v>115</v>
      </c>
      <c r="B116" s="10" t="s">
        <v>9</v>
      </c>
      <c r="C116" s="10" t="s">
        <v>170</v>
      </c>
      <c r="D116" s="10" t="s">
        <v>171</v>
      </c>
      <c r="E116" s="11" t="str">
        <f>+HYPERLINK("http://trademark.i-assist.jp/data/china/image_1900th/78010589.pdf", "78010589")</f>
        <v>78010589</v>
      </c>
      <c r="F116" s="10" t="s">
        <v>520</v>
      </c>
      <c r="G116" s="10" t="s">
        <v>521</v>
      </c>
      <c r="H116" s="10" t="s">
        <v>522</v>
      </c>
      <c r="I116" s="10" t="s">
        <v>64</v>
      </c>
    </row>
    <row r="117" spans="1:9" x14ac:dyDescent="0.15">
      <c r="A117" s="9">
        <v>116</v>
      </c>
      <c r="B117" s="10" t="s">
        <v>9</v>
      </c>
      <c r="C117" s="10" t="s">
        <v>170</v>
      </c>
      <c r="D117" s="10" t="s">
        <v>171</v>
      </c>
      <c r="E117" s="11" t="str">
        <f>+HYPERLINK("http://trademark.i-assist.jp/data/china/image_1900th/78017128.pdf", "78017128")</f>
        <v>78017128</v>
      </c>
      <c r="F117" s="10" t="s">
        <v>506</v>
      </c>
      <c r="G117" s="10" t="s">
        <v>123</v>
      </c>
      <c r="H117" s="10" t="s">
        <v>523</v>
      </c>
      <c r="I117" s="10" t="s">
        <v>63</v>
      </c>
    </row>
    <row r="118" spans="1:9" x14ac:dyDescent="0.15">
      <c r="A118" s="9">
        <v>117</v>
      </c>
      <c r="B118" s="10" t="s">
        <v>9</v>
      </c>
      <c r="C118" s="10" t="s">
        <v>170</v>
      </c>
      <c r="D118" s="10" t="s">
        <v>171</v>
      </c>
      <c r="E118" s="11" t="str">
        <f>+HYPERLINK("http://trademark.i-assist.jp/data/china/image_1900th/78037342.pdf", "78037342")</f>
        <v>78037342</v>
      </c>
      <c r="F118" s="10" t="s">
        <v>524</v>
      </c>
      <c r="G118" s="10" t="s">
        <v>525</v>
      </c>
      <c r="H118" s="10" t="s">
        <v>526</v>
      </c>
      <c r="I118" s="10" t="s">
        <v>65</v>
      </c>
    </row>
    <row r="119" spans="1:9" x14ac:dyDescent="0.15">
      <c r="A119" s="9">
        <v>118</v>
      </c>
      <c r="B119" s="10" t="s">
        <v>9</v>
      </c>
      <c r="C119" s="10" t="s">
        <v>170</v>
      </c>
      <c r="D119" s="10" t="s">
        <v>171</v>
      </c>
      <c r="E119" s="11" t="str">
        <f>+HYPERLINK("http://trademark.i-assist.jp/data/china/image_1900th/78041266.pdf", "78041266")</f>
        <v>78041266</v>
      </c>
      <c r="F119" s="10" t="s">
        <v>527</v>
      </c>
      <c r="G119" s="10" t="s">
        <v>528</v>
      </c>
      <c r="H119" s="10" t="s">
        <v>529</v>
      </c>
      <c r="I119" s="10" t="s">
        <v>65</v>
      </c>
    </row>
    <row r="120" spans="1:9" x14ac:dyDescent="0.15">
      <c r="A120" s="9">
        <v>119</v>
      </c>
      <c r="B120" s="10" t="s">
        <v>9</v>
      </c>
      <c r="C120" s="10" t="s">
        <v>170</v>
      </c>
      <c r="D120" s="10" t="s">
        <v>171</v>
      </c>
      <c r="E120" s="11" t="str">
        <f>+HYPERLINK("http://trademark.i-assist.jp/data/china/image_1900th/78050128.pdf", "78050128")</f>
        <v>78050128</v>
      </c>
      <c r="F120" s="10" t="s">
        <v>530</v>
      </c>
      <c r="G120" s="10" t="s">
        <v>531</v>
      </c>
      <c r="H120" s="10" t="s">
        <v>532</v>
      </c>
      <c r="I120" s="10" t="s">
        <v>67</v>
      </c>
    </row>
    <row r="121" spans="1:9" x14ac:dyDescent="0.15">
      <c r="A121" s="9">
        <v>120</v>
      </c>
      <c r="B121" s="10" t="s">
        <v>9</v>
      </c>
      <c r="C121" s="10" t="s">
        <v>170</v>
      </c>
      <c r="D121" s="10" t="s">
        <v>171</v>
      </c>
      <c r="E121" s="11" t="str">
        <f>+HYPERLINK("http://trademark.i-assist.jp/data/china/image_1900th/78062044.pdf", "78062044")</f>
        <v>78062044</v>
      </c>
      <c r="F121" s="10" t="s">
        <v>533</v>
      </c>
      <c r="G121" s="10" t="s">
        <v>534</v>
      </c>
      <c r="H121" s="10" t="s">
        <v>535</v>
      </c>
      <c r="I121" s="10" t="s">
        <v>67</v>
      </c>
    </row>
    <row r="122" spans="1:9" x14ac:dyDescent="0.15">
      <c r="A122" s="9">
        <v>121</v>
      </c>
      <c r="B122" s="10" t="s">
        <v>9</v>
      </c>
      <c r="C122" s="10" t="s">
        <v>170</v>
      </c>
      <c r="D122" s="10" t="s">
        <v>171</v>
      </c>
      <c r="E122" s="11" t="str">
        <f>+HYPERLINK("http://trademark.i-assist.jp/data/china/image_1900th/78081873.pdf", "78081873")</f>
        <v>78081873</v>
      </c>
      <c r="F122" s="10" t="s">
        <v>536</v>
      </c>
      <c r="G122" s="10" t="s">
        <v>537</v>
      </c>
      <c r="H122" s="10" t="s">
        <v>538</v>
      </c>
      <c r="I122" s="10" t="s">
        <v>69</v>
      </c>
    </row>
    <row r="123" spans="1:9" x14ac:dyDescent="0.15">
      <c r="A123" s="9">
        <v>122</v>
      </c>
      <c r="B123" s="10" t="s">
        <v>9</v>
      </c>
      <c r="C123" s="10" t="s">
        <v>170</v>
      </c>
      <c r="D123" s="10" t="s">
        <v>171</v>
      </c>
      <c r="E123" s="11" t="str">
        <f>+HYPERLINK("http://trademark.i-assist.jp/data/china/image_1900th/78087492.pdf", "78087492")</f>
        <v>78087492</v>
      </c>
      <c r="F123" s="10" t="s">
        <v>539</v>
      </c>
      <c r="G123" s="10" t="s">
        <v>540</v>
      </c>
      <c r="H123" s="10" t="s">
        <v>541</v>
      </c>
      <c r="I123" s="10" t="s">
        <v>69</v>
      </c>
    </row>
    <row r="124" spans="1:9" x14ac:dyDescent="0.15">
      <c r="A124" s="9">
        <v>123</v>
      </c>
      <c r="B124" s="10" t="s">
        <v>9</v>
      </c>
      <c r="C124" s="10" t="s">
        <v>170</v>
      </c>
      <c r="D124" s="10" t="s">
        <v>171</v>
      </c>
      <c r="E124" s="11" t="str">
        <f>+HYPERLINK("http://trademark.i-assist.jp/data/china/image_1900th/78094002.pdf", "78094002")</f>
        <v>78094002</v>
      </c>
      <c r="F124" s="10" t="s">
        <v>542</v>
      </c>
      <c r="G124" s="10" t="s">
        <v>543</v>
      </c>
      <c r="H124" s="10" t="s">
        <v>544</v>
      </c>
      <c r="I124" s="10" t="s">
        <v>69</v>
      </c>
    </row>
    <row r="125" spans="1:9" x14ac:dyDescent="0.15">
      <c r="A125" s="9">
        <v>124</v>
      </c>
      <c r="B125" s="10" t="s">
        <v>9</v>
      </c>
      <c r="C125" s="10" t="s">
        <v>170</v>
      </c>
      <c r="D125" s="10" t="s">
        <v>171</v>
      </c>
      <c r="E125" s="11" t="str">
        <f>+HYPERLINK("http://trademark.i-assist.jp/data/china/image_1900th/78096416.pdf", "78096416")</f>
        <v>78096416</v>
      </c>
      <c r="F125" s="10" t="s">
        <v>545</v>
      </c>
      <c r="G125" s="10" t="s">
        <v>83</v>
      </c>
      <c r="H125" s="10" t="s">
        <v>546</v>
      </c>
      <c r="I125" s="10" t="s">
        <v>69</v>
      </c>
    </row>
    <row r="126" spans="1:9" x14ac:dyDescent="0.15">
      <c r="A126" s="9">
        <v>125</v>
      </c>
      <c r="B126" s="10" t="s">
        <v>9</v>
      </c>
      <c r="C126" s="10" t="s">
        <v>170</v>
      </c>
      <c r="D126" s="10" t="s">
        <v>171</v>
      </c>
      <c r="E126" s="11" t="str">
        <f>+HYPERLINK("http://trademark.i-assist.jp/data/china/image_1900th/78097013.pdf", "78097013")</f>
        <v>78097013</v>
      </c>
      <c r="F126" s="10" t="s">
        <v>15</v>
      </c>
      <c r="G126" s="10" t="s">
        <v>547</v>
      </c>
      <c r="H126" s="10" t="s">
        <v>548</v>
      </c>
      <c r="I126" s="10" t="s">
        <v>69</v>
      </c>
    </row>
    <row r="127" spans="1:9" x14ac:dyDescent="0.15">
      <c r="A127" s="9">
        <v>126</v>
      </c>
      <c r="B127" s="10" t="s">
        <v>9</v>
      </c>
      <c r="C127" s="10" t="s">
        <v>170</v>
      </c>
      <c r="D127" s="10" t="s">
        <v>171</v>
      </c>
      <c r="E127" s="11" t="str">
        <f>+HYPERLINK("http://trademark.i-assist.jp/data/china/image_1900th/78098313.pdf", "78098313")</f>
        <v>78098313</v>
      </c>
      <c r="F127" s="10" t="s">
        <v>549</v>
      </c>
      <c r="G127" s="10" t="s">
        <v>550</v>
      </c>
      <c r="H127" s="10" t="s">
        <v>551</v>
      </c>
      <c r="I127" s="10" t="s">
        <v>69</v>
      </c>
    </row>
    <row r="128" spans="1:9" x14ac:dyDescent="0.15">
      <c r="A128" s="9">
        <v>127</v>
      </c>
      <c r="B128" s="10" t="s">
        <v>9</v>
      </c>
      <c r="C128" s="10" t="s">
        <v>170</v>
      </c>
      <c r="D128" s="10" t="s">
        <v>171</v>
      </c>
      <c r="E128" s="11" t="str">
        <f>+HYPERLINK("http://trademark.i-assist.jp/data/china/image_1900th/78099023.pdf", "78099023")</f>
        <v>78099023</v>
      </c>
      <c r="F128" s="10" t="s">
        <v>552</v>
      </c>
      <c r="G128" s="10" t="s">
        <v>553</v>
      </c>
      <c r="H128" s="10" t="s">
        <v>554</v>
      </c>
      <c r="I128" s="10" t="s">
        <v>69</v>
      </c>
    </row>
    <row r="129" spans="1:9" x14ac:dyDescent="0.15">
      <c r="A129" s="9">
        <v>128</v>
      </c>
      <c r="B129" s="10" t="s">
        <v>9</v>
      </c>
      <c r="C129" s="10" t="s">
        <v>170</v>
      </c>
      <c r="D129" s="10" t="s">
        <v>171</v>
      </c>
      <c r="E129" s="11" t="str">
        <f>+HYPERLINK("http://trademark.i-assist.jp/data/china/image_1900th/78101564.pdf", "78101564")</f>
        <v>78101564</v>
      </c>
      <c r="F129" s="10" t="s">
        <v>555</v>
      </c>
      <c r="G129" s="10" t="s">
        <v>10</v>
      </c>
      <c r="H129" s="10" t="s">
        <v>556</v>
      </c>
      <c r="I129" s="10" t="s">
        <v>69</v>
      </c>
    </row>
    <row r="130" spans="1:9" x14ac:dyDescent="0.15">
      <c r="A130" s="9">
        <v>129</v>
      </c>
      <c r="B130" s="10" t="s">
        <v>9</v>
      </c>
      <c r="C130" s="10" t="s">
        <v>170</v>
      </c>
      <c r="D130" s="10" t="s">
        <v>171</v>
      </c>
      <c r="E130" s="11" t="str">
        <f>+HYPERLINK("http://trademark.i-assist.jp/data/china/image_1900th/78122497.pdf", "78122497")</f>
        <v>78122497</v>
      </c>
      <c r="F130" s="10" t="s">
        <v>557</v>
      </c>
      <c r="G130" s="10" t="s">
        <v>558</v>
      </c>
      <c r="H130" s="10" t="s">
        <v>559</v>
      </c>
      <c r="I130" s="10" t="s">
        <v>70</v>
      </c>
    </row>
    <row r="131" spans="1:9" x14ac:dyDescent="0.15">
      <c r="A131" s="9">
        <v>130</v>
      </c>
      <c r="B131" s="10" t="s">
        <v>9</v>
      </c>
      <c r="C131" s="10" t="s">
        <v>170</v>
      </c>
      <c r="D131" s="10" t="s">
        <v>171</v>
      </c>
      <c r="E131" s="11" t="str">
        <f>+HYPERLINK("http://trademark.i-assist.jp/data/china/image_1900th/78129496.pdf", "78129496")</f>
        <v>78129496</v>
      </c>
      <c r="F131" s="10" t="s">
        <v>560</v>
      </c>
      <c r="G131" s="10" t="s">
        <v>561</v>
      </c>
      <c r="H131" s="10" t="s">
        <v>562</v>
      </c>
      <c r="I131" s="10" t="s">
        <v>70</v>
      </c>
    </row>
    <row r="132" spans="1:9" x14ac:dyDescent="0.15">
      <c r="A132" s="9">
        <v>131</v>
      </c>
      <c r="B132" s="10" t="s">
        <v>9</v>
      </c>
      <c r="C132" s="10" t="s">
        <v>170</v>
      </c>
      <c r="D132" s="10" t="s">
        <v>171</v>
      </c>
      <c r="E132" s="11" t="str">
        <f>+HYPERLINK("http://trademark.i-assist.jp/data/china/image_1900th/78138052.pdf", "78138052")</f>
        <v>78138052</v>
      </c>
      <c r="F132" s="10" t="s">
        <v>15</v>
      </c>
      <c r="G132" s="10" t="s">
        <v>563</v>
      </c>
      <c r="H132" s="10" t="s">
        <v>564</v>
      </c>
      <c r="I132" s="10" t="s">
        <v>70</v>
      </c>
    </row>
    <row r="133" spans="1:9" x14ac:dyDescent="0.15">
      <c r="A133" s="9">
        <v>132</v>
      </c>
      <c r="B133" s="10" t="s">
        <v>9</v>
      </c>
      <c r="C133" s="10" t="s">
        <v>170</v>
      </c>
      <c r="D133" s="10" t="s">
        <v>171</v>
      </c>
      <c r="E133" s="11" t="str">
        <f>+HYPERLINK("http://trademark.i-assist.jp/data/china/image_1900th/78142719.pdf", "78142719")</f>
        <v>78142719</v>
      </c>
      <c r="F133" s="10" t="s">
        <v>565</v>
      </c>
      <c r="G133" s="10" t="s">
        <v>566</v>
      </c>
      <c r="H133" s="10" t="s">
        <v>567</v>
      </c>
      <c r="I133" s="10" t="s">
        <v>70</v>
      </c>
    </row>
    <row r="134" spans="1:9" x14ac:dyDescent="0.15">
      <c r="A134" s="9">
        <v>133</v>
      </c>
      <c r="B134" s="10" t="s">
        <v>9</v>
      </c>
      <c r="C134" s="10" t="s">
        <v>170</v>
      </c>
      <c r="D134" s="10" t="s">
        <v>171</v>
      </c>
      <c r="E134" s="11" t="str">
        <f>+HYPERLINK("http://trademark.i-assist.jp/data/china/image_1900th/78144394.pdf", "78144394")</f>
        <v>78144394</v>
      </c>
      <c r="F134" s="10" t="s">
        <v>568</v>
      </c>
      <c r="G134" s="10" t="s">
        <v>73</v>
      </c>
      <c r="H134" s="10" t="s">
        <v>569</v>
      </c>
      <c r="I134" s="10" t="s">
        <v>70</v>
      </c>
    </row>
    <row r="135" spans="1:9" x14ac:dyDescent="0.15">
      <c r="A135" s="9">
        <v>134</v>
      </c>
      <c r="B135" s="10" t="s">
        <v>9</v>
      </c>
      <c r="C135" s="10" t="s">
        <v>170</v>
      </c>
      <c r="D135" s="10" t="s">
        <v>171</v>
      </c>
      <c r="E135" s="11" t="str">
        <f>+HYPERLINK("http://trademark.i-assist.jp/data/china/image_1900th/78148143.pdf", "78148143")</f>
        <v>78148143</v>
      </c>
      <c r="F135" s="10" t="s">
        <v>570</v>
      </c>
      <c r="G135" s="10" t="s">
        <v>571</v>
      </c>
      <c r="H135" s="10" t="s">
        <v>572</v>
      </c>
      <c r="I135" s="10" t="s">
        <v>70</v>
      </c>
    </row>
    <row r="136" spans="1:9" x14ac:dyDescent="0.15">
      <c r="A136" s="9">
        <v>135</v>
      </c>
      <c r="B136" s="10" t="s">
        <v>9</v>
      </c>
      <c r="C136" s="10" t="s">
        <v>170</v>
      </c>
      <c r="D136" s="10" t="s">
        <v>171</v>
      </c>
      <c r="E136" s="11" t="str">
        <f>+HYPERLINK("http://trademark.i-assist.jp/data/china/image_1900th/78148733.pdf", "78148733")</f>
        <v>78148733</v>
      </c>
      <c r="F136" s="10" t="s">
        <v>520</v>
      </c>
      <c r="G136" s="10" t="s">
        <v>521</v>
      </c>
      <c r="H136" s="10" t="s">
        <v>573</v>
      </c>
      <c r="I136" s="10" t="s">
        <v>70</v>
      </c>
    </row>
    <row r="137" spans="1:9" x14ac:dyDescent="0.15">
      <c r="A137" s="9">
        <v>136</v>
      </c>
      <c r="B137" s="10" t="s">
        <v>9</v>
      </c>
      <c r="C137" s="10" t="s">
        <v>170</v>
      </c>
      <c r="D137" s="10" t="s">
        <v>171</v>
      </c>
      <c r="E137" s="11" t="str">
        <f>+HYPERLINK("http://trademark.i-assist.jp/data/china/image_1900th/78154402.pdf", "78154402")</f>
        <v>78154402</v>
      </c>
      <c r="F137" s="10" t="s">
        <v>574</v>
      </c>
      <c r="G137" s="10" t="s">
        <v>575</v>
      </c>
      <c r="H137" s="10" t="s">
        <v>576</v>
      </c>
      <c r="I137" s="10" t="s">
        <v>72</v>
      </c>
    </row>
    <row r="138" spans="1:9" x14ac:dyDescent="0.15">
      <c r="A138" s="9">
        <v>137</v>
      </c>
      <c r="B138" s="10" t="s">
        <v>9</v>
      </c>
      <c r="C138" s="10" t="s">
        <v>170</v>
      </c>
      <c r="D138" s="10" t="s">
        <v>171</v>
      </c>
      <c r="E138" s="11" t="str">
        <f>+HYPERLINK("http://trademark.i-assist.jp/data/china/image_1900th/78159747.pdf", "78159747")</f>
        <v>78159747</v>
      </c>
      <c r="F138" s="10" t="s">
        <v>15</v>
      </c>
      <c r="G138" s="10" t="s">
        <v>577</v>
      </c>
      <c r="H138" s="10" t="s">
        <v>578</v>
      </c>
      <c r="I138" s="10" t="s">
        <v>72</v>
      </c>
    </row>
    <row r="139" spans="1:9" x14ac:dyDescent="0.15">
      <c r="A139" s="9">
        <v>138</v>
      </c>
      <c r="B139" s="10" t="s">
        <v>9</v>
      </c>
      <c r="C139" s="10" t="s">
        <v>170</v>
      </c>
      <c r="D139" s="10" t="s">
        <v>171</v>
      </c>
      <c r="E139" s="11" t="str">
        <f>+HYPERLINK("http://trademark.i-assist.jp/data/china/image_1900th/78160582.pdf", "78160582")</f>
        <v>78160582</v>
      </c>
      <c r="F139" s="10" t="s">
        <v>579</v>
      </c>
      <c r="G139" s="10" t="s">
        <v>580</v>
      </c>
      <c r="H139" s="10" t="s">
        <v>581</v>
      </c>
      <c r="I139" s="10" t="s">
        <v>72</v>
      </c>
    </row>
    <row r="140" spans="1:9" x14ac:dyDescent="0.15">
      <c r="A140" s="9">
        <v>139</v>
      </c>
      <c r="B140" s="10" t="s">
        <v>9</v>
      </c>
      <c r="C140" s="10" t="s">
        <v>170</v>
      </c>
      <c r="D140" s="10" t="s">
        <v>171</v>
      </c>
      <c r="E140" s="11" t="str">
        <f>+HYPERLINK("http://trademark.i-assist.jp/data/china/image_1900th/78167947.pdf", "78167947")</f>
        <v>78167947</v>
      </c>
      <c r="F140" s="10" t="s">
        <v>582</v>
      </c>
      <c r="G140" s="10" t="s">
        <v>583</v>
      </c>
      <c r="H140" s="10" t="s">
        <v>584</v>
      </c>
      <c r="I140" s="10" t="s">
        <v>72</v>
      </c>
    </row>
    <row r="141" spans="1:9" x14ac:dyDescent="0.15">
      <c r="A141" s="9">
        <v>140</v>
      </c>
      <c r="B141" s="10" t="s">
        <v>9</v>
      </c>
      <c r="C141" s="10" t="s">
        <v>170</v>
      </c>
      <c r="D141" s="10" t="s">
        <v>171</v>
      </c>
      <c r="E141" s="11" t="str">
        <f>+HYPERLINK("http://trademark.i-assist.jp/data/china/image_1900th/78183142.pdf", "78183142")</f>
        <v>78183142</v>
      </c>
      <c r="F141" s="10" t="s">
        <v>15</v>
      </c>
      <c r="G141" s="10" t="s">
        <v>585</v>
      </c>
      <c r="H141" s="10" t="s">
        <v>586</v>
      </c>
      <c r="I141" s="10" t="s">
        <v>72</v>
      </c>
    </row>
    <row r="142" spans="1:9" x14ac:dyDescent="0.15">
      <c r="A142" s="9">
        <v>141</v>
      </c>
      <c r="B142" s="10" t="s">
        <v>9</v>
      </c>
      <c r="C142" s="10" t="s">
        <v>170</v>
      </c>
      <c r="D142" s="10" t="s">
        <v>171</v>
      </c>
      <c r="E142" s="11" t="str">
        <f>+HYPERLINK("http://trademark.i-assist.jp/data/china/image_1900th/78187325.pdf", "78187325")</f>
        <v>78187325</v>
      </c>
      <c r="F142" s="10" t="s">
        <v>15</v>
      </c>
      <c r="G142" s="10" t="s">
        <v>587</v>
      </c>
      <c r="H142" s="10" t="s">
        <v>588</v>
      </c>
      <c r="I142" s="10" t="s">
        <v>74</v>
      </c>
    </row>
    <row r="143" spans="1:9" x14ac:dyDescent="0.15">
      <c r="A143" s="9">
        <v>142</v>
      </c>
      <c r="B143" s="10" t="s">
        <v>9</v>
      </c>
      <c r="C143" s="10" t="s">
        <v>170</v>
      </c>
      <c r="D143" s="10" t="s">
        <v>171</v>
      </c>
      <c r="E143" s="11" t="str">
        <f>+HYPERLINK("http://trademark.i-assist.jp/data/china/image_1900th/78195642.pdf", "78195642")</f>
        <v>78195642</v>
      </c>
      <c r="F143" s="10" t="s">
        <v>589</v>
      </c>
      <c r="G143" s="10" t="s">
        <v>590</v>
      </c>
      <c r="H143" s="10" t="s">
        <v>591</v>
      </c>
      <c r="I143" s="10" t="s">
        <v>74</v>
      </c>
    </row>
    <row r="144" spans="1:9" x14ac:dyDescent="0.15">
      <c r="A144" s="9">
        <v>143</v>
      </c>
      <c r="B144" s="10" t="s">
        <v>9</v>
      </c>
      <c r="C144" s="10" t="s">
        <v>170</v>
      </c>
      <c r="D144" s="10" t="s">
        <v>171</v>
      </c>
      <c r="E144" s="11" t="str">
        <f>+HYPERLINK("http://trademark.i-assist.jp/data/china/image_1900th/78202490.pdf", "78202490")</f>
        <v>78202490</v>
      </c>
      <c r="F144" s="10" t="s">
        <v>592</v>
      </c>
      <c r="G144" s="10" t="s">
        <v>593</v>
      </c>
      <c r="H144" s="10" t="s">
        <v>594</v>
      </c>
      <c r="I144" s="10" t="s">
        <v>74</v>
      </c>
    </row>
    <row r="145" spans="1:9" x14ac:dyDescent="0.15">
      <c r="A145" s="9">
        <v>144</v>
      </c>
      <c r="B145" s="10" t="s">
        <v>9</v>
      </c>
      <c r="C145" s="10" t="s">
        <v>170</v>
      </c>
      <c r="D145" s="10" t="s">
        <v>171</v>
      </c>
      <c r="E145" s="11" t="str">
        <f>+HYPERLINK("http://trademark.i-assist.jp/data/china/image_1900th/78212167.pdf", "78212167")</f>
        <v>78212167</v>
      </c>
      <c r="F145" s="10" t="s">
        <v>595</v>
      </c>
      <c r="G145" s="10" t="s">
        <v>596</v>
      </c>
      <c r="H145" s="10" t="s">
        <v>597</v>
      </c>
      <c r="I145" s="10" t="s">
        <v>74</v>
      </c>
    </row>
    <row r="146" spans="1:9" x14ac:dyDescent="0.15">
      <c r="A146" s="9">
        <v>145</v>
      </c>
      <c r="B146" s="10" t="s">
        <v>9</v>
      </c>
      <c r="C146" s="10" t="s">
        <v>170</v>
      </c>
      <c r="D146" s="10" t="s">
        <v>171</v>
      </c>
      <c r="E146" s="11" t="str">
        <f>+HYPERLINK("http://trademark.i-assist.jp/data/china/image_1900th/78214709.pdf", "78214709")</f>
        <v>78214709</v>
      </c>
      <c r="F146" s="10" t="s">
        <v>598</v>
      </c>
      <c r="G146" s="10" t="s">
        <v>599</v>
      </c>
      <c r="H146" s="10" t="s">
        <v>600</v>
      </c>
      <c r="I146" s="10" t="s">
        <v>75</v>
      </c>
    </row>
    <row r="147" spans="1:9" x14ac:dyDescent="0.15">
      <c r="A147" s="9">
        <v>146</v>
      </c>
      <c r="B147" s="10" t="s">
        <v>9</v>
      </c>
      <c r="C147" s="10" t="s">
        <v>170</v>
      </c>
      <c r="D147" s="10" t="s">
        <v>171</v>
      </c>
      <c r="E147" s="11" t="str">
        <f>+HYPERLINK("http://trademark.i-assist.jp/data/china/image_1900th/78215196.pdf", "78215196")</f>
        <v>78215196</v>
      </c>
      <c r="F147" s="10" t="s">
        <v>601</v>
      </c>
      <c r="G147" s="10" t="s">
        <v>602</v>
      </c>
      <c r="H147" s="10" t="s">
        <v>603</v>
      </c>
      <c r="I147" s="10" t="s">
        <v>75</v>
      </c>
    </row>
    <row r="148" spans="1:9" x14ac:dyDescent="0.15">
      <c r="A148" s="9">
        <v>147</v>
      </c>
      <c r="B148" s="10" t="s">
        <v>9</v>
      </c>
      <c r="C148" s="10" t="s">
        <v>170</v>
      </c>
      <c r="D148" s="10" t="s">
        <v>171</v>
      </c>
      <c r="E148" s="11" t="str">
        <f>+HYPERLINK("http://trademark.i-assist.jp/data/china/image_1900th/78216028.pdf", "78216028")</f>
        <v>78216028</v>
      </c>
      <c r="F148" s="10" t="s">
        <v>604</v>
      </c>
      <c r="G148" s="10" t="s">
        <v>605</v>
      </c>
      <c r="H148" s="10" t="s">
        <v>606</v>
      </c>
      <c r="I148" s="10" t="s">
        <v>75</v>
      </c>
    </row>
    <row r="149" spans="1:9" x14ac:dyDescent="0.15">
      <c r="A149" s="9">
        <v>148</v>
      </c>
      <c r="B149" s="10" t="s">
        <v>9</v>
      </c>
      <c r="C149" s="10" t="s">
        <v>170</v>
      </c>
      <c r="D149" s="10" t="s">
        <v>171</v>
      </c>
      <c r="E149" s="11" t="str">
        <f>+HYPERLINK("http://trademark.i-assist.jp/data/china/image_1900th/78216358.pdf", "78216358")</f>
        <v>78216358</v>
      </c>
      <c r="F149" s="10" t="s">
        <v>607</v>
      </c>
      <c r="G149" s="10" t="s">
        <v>608</v>
      </c>
      <c r="H149" s="10" t="s">
        <v>609</v>
      </c>
      <c r="I149" s="10" t="s">
        <v>75</v>
      </c>
    </row>
    <row r="150" spans="1:9" x14ac:dyDescent="0.15">
      <c r="A150" s="9">
        <v>149</v>
      </c>
      <c r="B150" s="10" t="s">
        <v>9</v>
      </c>
      <c r="C150" s="10" t="s">
        <v>170</v>
      </c>
      <c r="D150" s="10" t="s">
        <v>171</v>
      </c>
      <c r="E150" s="11" t="str">
        <f>+HYPERLINK("http://trademark.i-assist.jp/data/china/image_1900th/78216641.pdf", "78216641")</f>
        <v>78216641</v>
      </c>
      <c r="F150" s="10" t="s">
        <v>610</v>
      </c>
      <c r="G150" s="10" t="s">
        <v>611</v>
      </c>
      <c r="H150" s="10" t="s">
        <v>612</v>
      </c>
      <c r="I150" s="10" t="s">
        <v>75</v>
      </c>
    </row>
    <row r="151" spans="1:9" x14ac:dyDescent="0.15">
      <c r="A151" s="9">
        <v>150</v>
      </c>
      <c r="B151" s="10" t="s">
        <v>9</v>
      </c>
      <c r="C151" s="10" t="s">
        <v>170</v>
      </c>
      <c r="D151" s="10" t="s">
        <v>171</v>
      </c>
      <c r="E151" s="11" t="str">
        <f>+HYPERLINK("http://trademark.i-assist.jp/data/china/image_1900th/78217093.pdf", "78217093")</f>
        <v>78217093</v>
      </c>
      <c r="F151" s="10" t="s">
        <v>613</v>
      </c>
      <c r="G151" s="10" t="s">
        <v>614</v>
      </c>
      <c r="H151" s="10" t="s">
        <v>615</v>
      </c>
      <c r="I151" s="10" t="s">
        <v>75</v>
      </c>
    </row>
    <row r="152" spans="1:9" x14ac:dyDescent="0.15">
      <c r="A152" s="9">
        <v>151</v>
      </c>
      <c r="B152" s="10" t="s">
        <v>9</v>
      </c>
      <c r="C152" s="10" t="s">
        <v>170</v>
      </c>
      <c r="D152" s="10" t="s">
        <v>171</v>
      </c>
      <c r="E152" s="11" t="str">
        <f>+HYPERLINK("http://trademark.i-assist.jp/data/china/image_1900th/78221790.pdf", "78221790")</f>
        <v>78221790</v>
      </c>
      <c r="F152" s="10" t="s">
        <v>616</v>
      </c>
      <c r="G152" s="10" t="s">
        <v>617</v>
      </c>
      <c r="H152" s="10" t="s">
        <v>618</v>
      </c>
      <c r="I152" s="10" t="s">
        <v>75</v>
      </c>
    </row>
    <row r="153" spans="1:9" x14ac:dyDescent="0.15">
      <c r="A153" s="9">
        <v>152</v>
      </c>
      <c r="B153" s="10" t="s">
        <v>9</v>
      </c>
      <c r="C153" s="10" t="s">
        <v>170</v>
      </c>
      <c r="D153" s="10" t="s">
        <v>171</v>
      </c>
      <c r="E153" s="11" t="str">
        <f>+HYPERLINK("http://trademark.i-assist.jp/data/china/image_1900th/78227737.pdf", "78227737")</f>
        <v>78227737</v>
      </c>
      <c r="F153" s="10" t="s">
        <v>619</v>
      </c>
      <c r="G153" s="10" t="s">
        <v>620</v>
      </c>
      <c r="H153" s="10" t="s">
        <v>30</v>
      </c>
      <c r="I153" s="10" t="s">
        <v>75</v>
      </c>
    </row>
    <row r="154" spans="1:9" x14ac:dyDescent="0.15">
      <c r="A154" s="9">
        <v>153</v>
      </c>
      <c r="B154" s="10" t="s">
        <v>9</v>
      </c>
      <c r="C154" s="10" t="s">
        <v>170</v>
      </c>
      <c r="D154" s="10" t="s">
        <v>171</v>
      </c>
      <c r="E154" s="11" t="str">
        <f>+HYPERLINK("http://trademark.i-assist.jp/data/china/image_1900th/78229035.pdf", "78229035")</f>
        <v>78229035</v>
      </c>
      <c r="F154" s="10" t="s">
        <v>621</v>
      </c>
      <c r="G154" s="10" t="s">
        <v>622</v>
      </c>
      <c r="H154" s="10" t="s">
        <v>623</v>
      </c>
      <c r="I154" s="10" t="s">
        <v>75</v>
      </c>
    </row>
    <row r="155" spans="1:9" x14ac:dyDescent="0.15">
      <c r="A155" s="9">
        <v>154</v>
      </c>
      <c r="B155" s="10" t="s">
        <v>9</v>
      </c>
      <c r="C155" s="10" t="s">
        <v>170</v>
      </c>
      <c r="D155" s="10" t="s">
        <v>171</v>
      </c>
      <c r="E155" s="11" t="str">
        <f>+HYPERLINK("http://trademark.i-assist.jp/data/china/image_1900th/78238562.pdf", "78238562")</f>
        <v>78238562</v>
      </c>
      <c r="F155" s="10" t="s">
        <v>624</v>
      </c>
      <c r="G155" s="10" t="s">
        <v>625</v>
      </c>
      <c r="H155" s="10" t="s">
        <v>626</v>
      </c>
      <c r="I155" s="10" t="s">
        <v>75</v>
      </c>
    </row>
    <row r="156" spans="1:9" x14ac:dyDescent="0.15">
      <c r="A156" s="9">
        <v>155</v>
      </c>
      <c r="B156" s="10" t="s">
        <v>9</v>
      </c>
      <c r="C156" s="10" t="s">
        <v>170</v>
      </c>
      <c r="D156" s="10" t="s">
        <v>171</v>
      </c>
      <c r="E156" s="11" t="str">
        <f>+HYPERLINK("http://trademark.i-assist.jp/data/china/image_1900th/78239948.pdf", "78239948")</f>
        <v>78239948</v>
      </c>
      <c r="F156" s="10" t="s">
        <v>627</v>
      </c>
      <c r="G156" s="10" t="s">
        <v>628</v>
      </c>
      <c r="H156" s="10" t="s">
        <v>629</v>
      </c>
      <c r="I156" s="10" t="s">
        <v>75</v>
      </c>
    </row>
    <row r="157" spans="1:9" x14ac:dyDescent="0.15">
      <c r="A157" s="9">
        <v>156</v>
      </c>
      <c r="B157" s="10" t="s">
        <v>9</v>
      </c>
      <c r="C157" s="10" t="s">
        <v>170</v>
      </c>
      <c r="D157" s="10" t="s">
        <v>171</v>
      </c>
      <c r="E157" s="11" t="str">
        <f>+HYPERLINK("http://trademark.i-assist.jp/data/china/image_1900th/78240656.pdf", "78240656")</f>
        <v>78240656</v>
      </c>
      <c r="F157" s="10" t="s">
        <v>630</v>
      </c>
      <c r="G157" s="10" t="s">
        <v>57</v>
      </c>
      <c r="H157" s="10" t="s">
        <v>631</v>
      </c>
      <c r="I157" s="10" t="s">
        <v>75</v>
      </c>
    </row>
    <row r="158" spans="1:9" x14ac:dyDescent="0.15">
      <c r="A158" s="9">
        <v>157</v>
      </c>
      <c r="B158" s="10" t="s">
        <v>9</v>
      </c>
      <c r="C158" s="10" t="s">
        <v>170</v>
      </c>
      <c r="D158" s="10" t="s">
        <v>171</v>
      </c>
      <c r="E158" s="11" t="str">
        <f>+HYPERLINK("http://trademark.i-assist.jp/data/china/image_1900th/78241591.pdf", "78241591")</f>
        <v>78241591</v>
      </c>
      <c r="F158" s="10" t="s">
        <v>632</v>
      </c>
      <c r="G158" s="10" t="s">
        <v>633</v>
      </c>
      <c r="H158" s="10" t="s">
        <v>634</v>
      </c>
      <c r="I158" s="10" t="s">
        <v>75</v>
      </c>
    </row>
    <row r="159" spans="1:9" x14ac:dyDescent="0.15">
      <c r="A159" s="9">
        <v>158</v>
      </c>
      <c r="B159" s="10" t="s">
        <v>9</v>
      </c>
      <c r="C159" s="10" t="s">
        <v>170</v>
      </c>
      <c r="D159" s="10" t="s">
        <v>171</v>
      </c>
      <c r="E159" s="11" t="str">
        <f>+HYPERLINK("http://trademark.i-assist.jp/data/china/image_1900th/78245460.pdf", "78245460")</f>
        <v>78245460</v>
      </c>
      <c r="F159" s="10" t="s">
        <v>635</v>
      </c>
      <c r="G159" s="10" t="s">
        <v>636</v>
      </c>
      <c r="H159" s="10" t="s">
        <v>637</v>
      </c>
      <c r="I159" s="10" t="s">
        <v>76</v>
      </c>
    </row>
    <row r="160" spans="1:9" x14ac:dyDescent="0.15">
      <c r="A160" s="9">
        <v>159</v>
      </c>
      <c r="B160" s="10" t="s">
        <v>9</v>
      </c>
      <c r="C160" s="10" t="s">
        <v>170</v>
      </c>
      <c r="D160" s="10" t="s">
        <v>171</v>
      </c>
      <c r="E160" s="11" t="str">
        <f>+HYPERLINK("http://trademark.i-assist.jp/data/china/image_1900th/78245492.pdf", "78245492")</f>
        <v>78245492</v>
      </c>
      <c r="F160" s="10" t="s">
        <v>638</v>
      </c>
      <c r="G160" s="10" t="s">
        <v>639</v>
      </c>
      <c r="H160" s="10" t="s">
        <v>640</v>
      </c>
      <c r="I160" s="10" t="s">
        <v>76</v>
      </c>
    </row>
    <row r="161" spans="1:9" x14ac:dyDescent="0.15">
      <c r="A161" s="9">
        <v>160</v>
      </c>
      <c r="B161" s="10" t="s">
        <v>9</v>
      </c>
      <c r="C161" s="10" t="s">
        <v>170</v>
      </c>
      <c r="D161" s="10" t="s">
        <v>171</v>
      </c>
      <c r="E161" s="11" t="str">
        <f>+HYPERLINK("http://trademark.i-assist.jp/data/china/image_1900th/78245756.pdf", "78245756")</f>
        <v>78245756</v>
      </c>
      <c r="F161" s="10" t="s">
        <v>641</v>
      </c>
      <c r="G161" s="10" t="s">
        <v>642</v>
      </c>
      <c r="H161" s="10" t="s">
        <v>643</v>
      </c>
      <c r="I161" s="10" t="s">
        <v>76</v>
      </c>
    </row>
    <row r="162" spans="1:9" x14ac:dyDescent="0.15">
      <c r="A162" s="9">
        <v>161</v>
      </c>
      <c r="B162" s="10" t="s">
        <v>9</v>
      </c>
      <c r="C162" s="10" t="s">
        <v>170</v>
      </c>
      <c r="D162" s="10" t="s">
        <v>171</v>
      </c>
      <c r="E162" s="11" t="str">
        <f>+HYPERLINK("http://trademark.i-assist.jp/data/china/image_1900th/78254560.pdf", "78254560")</f>
        <v>78254560</v>
      </c>
      <c r="F162" s="10" t="s">
        <v>644</v>
      </c>
      <c r="G162" s="10" t="s">
        <v>102</v>
      </c>
      <c r="H162" s="10" t="s">
        <v>645</v>
      </c>
      <c r="I162" s="10" t="s">
        <v>76</v>
      </c>
    </row>
    <row r="163" spans="1:9" x14ac:dyDescent="0.15">
      <c r="A163" s="9">
        <v>162</v>
      </c>
      <c r="B163" s="10" t="s">
        <v>9</v>
      </c>
      <c r="C163" s="10" t="s">
        <v>170</v>
      </c>
      <c r="D163" s="10" t="s">
        <v>171</v>
      </c>
      <c r="E163" s="11" t="str">
        <f>+HYPERLINK("http://trademark.i-assist.jp/data/china/image_1900th/78257572.pdf", "78257572")</f>
        <v>78257572</v>
      </c>
      <c r="F163" s="10" t="s">
        <v>646</v>
      </c>
      <c r="G163" s="10" t="s">
        <v>647</v>
      </c>
      <c r="H163" s="10" t="s">
        <v>648</v>
      </c>
      <c r="I163" s="10" t="s">
        <v>76</v>
      </c>
    </row>
    <row r="164" spans="1:9" x14ac:dyDescent="0.15">
      <c r="A164" s="9">
        <v>163</v>
      </c>
      <c r="B164" s="10" t="s">
        <v>9</v>
      </c>
      <c r="C164" s="10" t="s">
        <v>170</v>
      </c>
      <c r="D164" s="10" t="s">
        <v>171</v>
      </c>
      <c r="E164" s="11" t="str">
        <f>+HYPERLINK("http://trademark.i-assist.jp/data/china/image_1900th/78263947.pdf", "78263947")</f>
        <v>78263947</v>
      </c>
      <c r="F164" s="10" t="s">
        <v>649</v>
      </c>
      <c r="G164" s="10" t="s">
        <v>650</v>
      </c>
      <c r="H164" s="10" t="s">
        <v>651</v>
      </c>
      <c r="I164" s="10" t="s">
        <v>76</v>
      </c>
    </row>
    <row r="165" spans="1:9" x14ac:dyDescent="0.15">
      <c r="A165" s="9">
        <v>164</v>
      </c>
      <c r="B165" s="10" t="s">
        <v>9</v>
      </c>
      <c r="C165" s="10" t="s">
        <v>170</v>
      </c>
      <c r="D165" s="10" t="s">
        <v>171</v>
      </c>
      <c r="E165" s="11" t="str">
        <f>+HYPERLINK("http://trademark.i-assist.jp/data/china/image_1900th/78264754.pdf", "78264754")</f>
        <v>78264754</v>
      </c>
      <c r="F165" s="10" t="s">
        <v>652</v>
      </c>
      <c r="G165" s="10" t="s">
        <v>133</v>
      </c>
      <c r="H165" s="10" t="s">
        <v>653</v>
      </c>
      <c r="I165" s="10" t="s">
        <v>76</v>
      </c>
    </row>
    <row r="166" spans="1:9" x14ac:dyDescent="0.15">
      <c r="A166" s="9">
        <v>165</v>
      </c>
      <c r="B166" s="10" t="s">
        <v>9</v>
      </c>
      <c r="C166" s="10" t="s">
        <v>170</v>
      </c>
      <c r="D166" s="10" t="s">
        <v>171</v>
      </c>
      <c r="E166" s="11" t="str">
        <f>+HYPERLINK("http://trademark.i-assist.jp/data/china/image_1900th/78270269.pdf", "78270269")</f>
        <v>78270269</v>
      </c>
      <c r="F166" s="10" t="s">
        <v>654</v>
      </c>
      <c r="G166" s="10" t="s">
        <v>655</v>
      </c>
      <c r="H166" s="10" t="s">
        <v>656</v>
      </c>
      <c r="I166" s="10" t="s">
        <v>76</v>
      </c>
    </row>
    <row r="167" spans="1:9" x14ac:dyDescent="0.15">
      <c r="A167" s="9">
        <v>166</v>
      </c>
      <c r="B167" s="10" t="s">
        <v>9</v>
      </c>
      <c r="C167" s="10" t="s">
        <v>170</v>
      </c>
      <c r="D167" s="10" t="s">
        <v>171</v>
      </c>
      <c r="E167" s="11" t="str">
        <f>+HYPERLINK("http://trademark.i-assist.jp/data/china/image_1900th/78274777.pdf", "78274777")</f>
        <v>78274777</v>
      </c>
      <c r="F167" s="10" t="s">
        <v>657</v>
      </c>
      <c r="G167" s="10" t="s">
        <v>658</v>
      </c>
      <c r="H167" s="10" t="s">
        <v>659</v>
      </c>
      <c r="I167" s="10" t="s">
        <v>80</v>
      </c>
    </row>
    <row r="168" spans="1:9" x14ac:dyDescent="0.15">
      <c r="A168" s="9">
        <v>167</v>
      </c>
      <c r="B168" s="10" t="s">
        <v>9</v>
      </c>
      <c r="C168" s="10" t="s">
        <v>170</v>
      </c>
      <c r="D168" s="10" t="s">
        <v>171</v>
      </c>
      <c r="E168" s="11" t="str">
        <f>+HYPERLINK("http://trademark.i-assist.jp/data/china/image_1900th/78278080.pdf", "78278080")</f>
        <v>78278080</v>
      </c>
      <c r="F168" s="10" t="s">
        <v>660</v>
      </c>
      <c r="G168" s="10" t="s">
        <v>105</v>
      </c>
      <c r="H168" s="10" t="s">
        <v>661</v>
      </c>
      <c r="I168" s="10" t="s">
        <v>80</v>
      </c>
    </row>
    <row r="169" spans="1:9" x14ac:dyDescent="0.15">
      <c r="A169" s="9">
        <v>168</v>
      </c>
      <c r="B169" s="10" t="s">
        <v>9</v>
      </c>
      <c r="C169" s="10" t="s">
        <v>170</v>
      </c>
      <c r="D169" s="10" t="s">
        <v>171</v>
      </c>
      <c r="E169" s="11" t="str">
        <f>+HYPERLINK("http://trademark.i-assist.jp/data/china/image_1900th/78282008.pdf", "78282008")</f>
        <v>78282008</v>
      </c>
      <c r="F169" s="10" t="s">
        <v>662</v>
      </c>
      <c r="G169" s="10" t="s">
        <v>663</v>
      </c>
      <c r="H169" s="10" t="s">
        <v>30</v>
      </c>
      <c r="I169" s="10" t="s">
        <v>85</v>
      </c>
    </row>
    <row r="170" spans="1:9" x14ac:dyDescent="0.15">
      <c r="A170" s="9">
        <v>169</v>
      </c>
      <c r="B170" s="10" t="s">
        <v>9</v>
      </c>
      <c r="C170" s="10" t="s">
        <v>170</v>
      </c>
      <c r="D170" s="10" t="s">
        <v>171</v>
      </c>
      <c r="E170" s="11" t="str">
        <f>+HYPERLINK("http://trademark.i-assist.jp/data/china/image_1900th/78282046.pdf", "78282046")</f>
        <v>78282046</v>
      </c>
      <c r="F170" s="10" t="s">
        <v>664</v>
      </c>
      <c r="G170" s="10" t="s">
        <v>66</v>
      </c>
      <c r="H170" s="10" t="s">
        <v>665</v>
      </c>
      <c r="I170" s="10" t="s">
        <v>85</v>
      </c>
    </row>
    <row r="171" spans="1:9" x14ac:dyDescent="0.15">
      <c r="A171" s="9">
        <v>170</v>
      </c>
      <c r="B171" s="10" t="s">
        <v>9</v>
      </c>
      <c r="C171" s="10" t="s">
        <v>170</v>
      </c>
      <c r="D171" s="10" t="s">
        <v>171</v>
      </c>
      <c r="E171" s="11" t="str">
        <f>+HYPERLINK("http://trademark.i-assist.jp/data/china/image_1900th/78283149.pdf", "78283149")</f>
        <v>78283149</v>
      </c>
      <c r="F171" s="10" t="s">
        <v>666</v>
      </c>
      <c r="G171" s="10" t="s">
        <v>667</v>
      </c>
      <c r="H171" s="10" t="s">
        <v>668</v>
      </c>
      <c r="I171" s="10" t="s">
        <v>85</v>
      </c>
    </row>
    <row r="172" spans="1:9" x14ac:dyDescent="0.15">
      <c r="A172" s="9">
        <v>171</v>
      </c>
      <c r="B172" s="10" t="s">
        <v>9</v>
      </c>
      <c r="C172" s="10" t="s">
        <v>170</v>
      </c>
      <c r="D172" s="10" t="s">
        <v>171</v>
      </c>
      <c r="E172" s="11" t="str">
        <f>+HYPERLINK("http://trademark.i-assist.jp/data/china/image_1900th/78283207.pdf", "78283207")</f>
        <v>78283207</v>
      </c>
      <c r="F172" s="10" t="s">
        <v>669</v>
      </c>
      <c r="G172" s="10" t="s">
        <v>670</v>
      </c>
      <c r="H172" s="10" t="s">
        <v>24</v>
      </c>
      <c r="I172" s="10" t="s">
        <v>85</v>
      </c>
    </row>
    <row r="173" spans="1:9" x14ac:dyDescent="0.15">
      <c r="A173" s="9">
        <v>172</v>
      </c>
      <c r="B173" s="10" t="s">
        <v>9</v>
      </c>
      <c r="C173" s="10" t="s">
        <v>170</v>
      </c>
      <c r="D173" s="10" t="s">
        <v>171</v>
      </c>
      <c r="E173" s="11" t="str">
        <f>+HYPERLINK("http://trademark.i-assist.jp/data/china/image_1900th/78284164.pdf", "78284164")</f>
        <v>78284164</v>
      </c>
      <c r="F173" s="10" t="s">
        <v>671</v>
      </c>
      <c r="G173" s="10" t="s">
        <v>672</v>
      </c>
      <c r="H173" s="10" t="s">
        <v>673</v>
      </c>
      <c r="I173" s="10" t="s">
        <v>85</v>
      </c>
    </row>
    <row r="174" spans="1:9" x14ac:dyDescent="0.15">
      <c r="A174" s="9">
        <v>173</v>
      </c>
      <c r="B174" s="10" t="s">
        <v>9</v>
      </c>
      <c r="C174" s="10" t="s">
        <v>170</v>
      </c>
      <c r="D174" s="10" t="s">
        <v>171</v>
      </c>
      <c r="E174" s="11" t="str">
        <f>+HYPERLINK("http://trademark.i-assist.jp/data/china/image_1900th/78287034.pdf", "78287034")</f>
        <v>78287034</v>
      </c>
      <c r="F174" s="10" t="s">
        <v>674</v>
      </c>
      <c r="G174" s="10" t="s">
        <v>675</v>
      </c>
      <c r="H174" s="10" t="s">
        <v>676</v>
      </c>
      <c r="I174" s="10" t="s">
        <v>85</v>
      </c>
    </row>
    <row r="175" spans="1:9" x14ac:dyDescent="0.15">
      <c r="A175" s="9">
        <v>174</v>
      </c>
      <c r="B175" s="10" t="s">
        <v>9</v>
      </c>
      <c r="C175" s="10" t="s">
        <v>170</v>
      </c>
      <c r="D175" s="10" t="s">
        <v>171</v>
      </c>
      <c r="E175" s="11" t="str">
        <f>+HYPERLINK("http://trademark.i-assist.jp/data/china/image_1900th/78288985.pdf", "78288985")</f>
        <v>78288985</v>
      </c>
      <c r="F175" s="10" t="s">
        <v>677</v>
      </c>
      <c r="G175" s="10" t="s">
        <v>66</v>
      </c>
      <c r="H175" s="10" t="s">
        <v>678</v>
      </c>
      <c r="I175" s="10" t="s">
        <v>85</v>
      </c>
    </row>
    <row r="176" spans="1:9" x14ac:dyDescent="0.15">
      <c r="A176" s="9">
        <v>175</v>
      </c>
      <c r="B176" s="10" t="s">
        <v>9</v>
      </c>
      <c r="C176" s="10" t="s">
        <v>170</v>
      </c>
      <c r="D176" s="10" t="s">
        <v>171</v>
      </c>
      <c r="E176" s="11" t="str">
        <f>+HYPERLINK("http://trademark.i-assist.jp/data/china/image_1900th/78290399.pdf", "78290399")</f>
        <v>78290399</v>
      </c>
      <c r="F176" s="10" t="s">
        <v>679</v>
      </c>
      <c r="G176" s="10" t="s">
        <v>680</v>
      </c>
      <c r="H176" s="10" t="s">
        <v>681</v>
      </c>
      <c r="I176" s="10" t="s">
        <v>85</v>
      </c>
    </row>
    <row r="177" spans="1:9" x14ac:dyDescent="0.15">
      <c r="A177" s="9">
        <v>176</v>
      </c>
      <c r="B177" s="10" t="s">
        <v>9</v>
      </c>
      <c r="C177" s="10" t="s">
        <v>170</v>
      </c>
      <c r="D177" s="10" t="s">
        <v>171</v>
      </c>
      <c r="E177" s="11" t="str">
        <f>+HYPERLINK("http://trademark.i-assist.jp/data/china/image_1900th/78291179.pdf", "78291179")</f>
        <v>78291179</v>
      </c>
      <c r="F177" s="10" t="s">
        <v>682</v>
      </c>
      <c r="G177" s="10" t="s">
        <v>683</v>
      </c>
      <c r="H177" s="10" t="s">
        <v>684</v>
      </c>
      <c r="I177" s="10" t="s">
        <v>85</v>
      </c>
    </row>
    <row r="178" spans="1:9" x14ac:dyDescent="0.15">
      <c r="A178" s="9">
        <v>177</v>
      </c>
      <c r="B178" s="10" t="s">
        <v>9</v>
      </c>
      <c r="C178" s="10" t="s">
        <v>170</v>
      </c>
      <c r="D178" s="10" t="s">
        <v>171</v>
      </c>
      <c r="E178" s="11" t="str">
        <f>+HYPERLINK("http://trademark.i-assist.jp/data/china/image_1900th/78292288.pdf", "78292288")</f>
        <v>78292288</v>
      </c>
      <c r="F178" s="10" t="s">
        <v>685</v>
      </c>
      <c r="G178" s="10" t="s">
        <v>686</v>
      </c>
      <c r="H178" s="10" t="s">
        <v>687</v>
      </c>
      <c r="I178" s="10" t="s">
        <v>85</v>
      </c>
    </row>
    <row r="179" spans="1:9" x14ac:dyDescent="0.15">
      <c r="A179" s="9">
        <v>178</v>
      </c>
      <c r="B179" s="10" t="s">
        <v>9</v>
      </c>
      <c r="C179" s="10" t="s">
        <v>170</v>
      </c>
      <c r="D179" s="10" t="s">
        <v>171</v>
      </c>
      <c r="E179" s="11" t="str">
        <f>+HYPERLINK("http://trademark.i-assist.jp/data/china/image_1900th/78295936.pdf", "78295936")</f>
        <v>78295936</v>
      </c>
      <c r="F179" s="10" t="s">
        <v>688</v>
      </c>
      <c r="G179" s="10" t="s">
        <v>689</v>
      </c>
      <c r="H179" s="10" t="s">
        <v>690</v>
      </c>
      <c r="I179" s="10" t="s">
        <v>85</v>
      </c>
    </row>
    <row r="180" spans="1:9" x14ac:dyDescent="0.15">
      <c r="A180" s="9">
        <v>179</v>
      </c>
      <c r="B180" s="10" t="s">
        <v>9</v>
      </c>
      <c r="C180" s="10" t="s">
        <v>170</v>
      </c>
      <c r="D180" s="10" t="s">
        <v>171</v>
      </c>
      <c r="E180" s="11" t="str">
        <f>+HYPERLINK("http://trademark.i-assist.jp/data/china/image_1900th/78296709.pdf", "78296709")</f>
        <v>78296709</v>
      </c>
      <c r="F180" s="10" t="s">
        <v>691</v>
      </c>
      <c r="G180" s="10" t="s">
        <v>692</v>
      </c>
      <c r="H180" s="10" t="s">
        <v>693</v>
      </c>
      <c r="I180" s="10" t="s">
        <v>85</v>
      </c>
    </row>
    <row r="181" spans="1:9" x14ac:dyDescent="0.15">
      <c r="A181" s="9">
        <v>180</v>
      </c>
      <c r="B181" s="10" t="s">
        <v>9</v>
      </c>
      <c r="C181" s="10" t="s">
        <v>170</v>
      </c>
      <c r="D181" s="10" t="s">
        <v>171</v>
      </c>
      <c r="E181" s="11" t="str">
        <f>+HYPERLINK("http://trademark.i-assist.jp/data/china/image_1900th/78298333.pdf", "78298333")</f>
        <v>78298333</v>
      </c>
      <c r="F181" s="10" t="s">
        <v>694</v>
      </c>
      <c r="G181" s="10" t="s">
        <v>695</v>
      </c>
      <c r="H181" s="10" t="s">
        <v>696</v>
      </c>
      <c r="I181" s="10" t="s">
        <v>85</v>
      </c>
    </row>
    <row r="182" spans="1:9" x14ac:dyDescent="0.15">
      <c r="A182" s="9">
        <v>181</v>
      </c>
      <c r="B182" s="10" t="s">
        <v>9</v>
      </c>
      <c r="C182" s="10" t="s">
        <v>170</v>
      </c>
      <c r="D182" s="10" t="s">
        <v>171</v>
      </c>
      <c r="E182" s="11" t="str">
        <f>+HYPERLINK("http://trademark.i-assist.jp/data/china/image_1900th/78300064.pdf", "78300064")</f>
        <v>78300064</v>
      </c>
      <c r="F182" s="10" t="s">
        <v>697</v>
      </c>
      <c r="G182" s="10" t="s">
        <v>698</v>
      </c>
      <c r="H182" s="10" t="s">
        <v>699</v>
      </c>
      <c r="I182" s="10" t="s">
        <v>85</v>
      </c>
    </row>
    <row r="183" spans="1:9" x14ac:dyDescent="0.15">
      <c r="A183" s="9">
        <v>182</v>
      </c>
      <c r="B183" s="10" t="s">
        <v>9</v>
      </c>
      <c r="C183" s="10" t="s">
        <v>170</v>
      </c>
      <c r="D183" s="10" t="s">
        <v>171</v>
      </c>
      <c r="E183" s="11" t="str">
        <f>+HYPERLINK("http://trademark.i-assist.jp/data/china/image_1900th/78300960.pdf", "78300960")</f>
        <v>78300960</v>
      </c>
      <c r="F183" s="10" t="s">
        <v>700</v>
      </c>
      <c r="G183" s="10" t="s">
        <v>160</v>
      </c>
      <c r="H183" s="10" t="s">
        <v>701</v>
      </c>
      <c r="I183" s="10" t="s">
        <v>85</v>
      </c>
    </row>
    <row r="184" spans="1:9" x14ac:dyDescent="0.15">
      <c r="A184" s="9">
        <v>183</v>
      </c>
      <c r="B184" s="10" t="s">
        <v>9</v>
      </c>
      <c r="C184" s="10" t="s">
        <v>170</v>
      </c>
      <c r="D184" s="10" t="s">
        <v>171</v>
      </c>
      <c r="E184" s="11" t="str">
        <f>+HYPERLINK("http://trademark.i-assist.jp/data/china/image_1900th/78301357.pdf", "78301357")</f>
        <v>78301357</v>
      </c>
      <c r="F184" s="10" t="s">
        <v>702</v>
      </c>
      <c r="G184" s="10" t="s">
        <v>84</v>
      </c>
      <c r="H184" s="10" t="s">
        <v>703</v>
      </c>
      <c r="I184" s="10" t="s">
        <v>85</v>
      </c>
    </row>
    <row r="185" spans="1:9" x14ac:dyDescent="0.15">
      <c r="A185" s="9">
        <v>184</v>
      </c>
      <c r="B185" s="10" t="s">
        <v>9</v>
      </c>
      <c r="C185" s="10" t="s">
        <v>170</v>
      </c>
      <c r="D185" s="10" t="s">
        <v>171</v>
      </c>
      <c r="E185" s="11" t="str">
        <f>+HYPERLINK("http://trademark.i-assist.jp/data/china/image_1900th/78301550.pdf", "78301550")</f>
        <v>78301550</v>
      </c>
      <c r="F185" s="10" t="s">
        <v>704</v>
      </c>
      <c r="G185" s="10" t="s">
        <v>705</v>
      </c>
      <c r="H185" s="10" t="s">
        <v>706</v>
      </c>
      <c r="I185" s="10" t="s">
        <v>85</v>
      </c>
    </row>
    <row r="186" spans="1:9" x14ac:dyDescent="0.15">
      <c r="A186" s="9">
        <v>185</v>
      </c>
      <c r="B186" s="10" t="s">
        <v>9</v>
      </c>
      <c r="C186" s="10" t="s">
        <v>170</v>
      </c>
      <c r="D186" s="10" t="s">
        <v>171</v>
      </c>
      <c r="E186" s="11" t="str">
        <f>+HYPERLINK("http://trademark.i-assist.jp/data/china/image_1900th/78301649.pdf", "78301649")</f>
        <v>78301649</v>
      </c>
      <c r="F186" s="10" t="s">
        <v>707</v>
      </c>
      <c r="G186" s="10" t="s">
        <v>708</v>
      </c>
      <c r="H186" s="10" t="s">
        <v>709</v>
      </c>
      <c r="I186" s="10" t="s">
        <v>85</v>
      </c>
    </row>
    <row r="187" spans="1:9" x14ac:dyDescent="0.15">
      <c r="A187" s="9">
        <v>186</v>
      </c>
      <c r="B187" s="10" t="s">
        <v>9</v>
      </c>
      <c r="C187" s="10" t="s">
        <v>170</v>
      </c>
      <c r="D187" s="10" t="s">
        <v>171</v>
      </c>
      <c r="E187" s="11" t="str">
        <f>+HYPERLINK("http://trademark.i-assist.jp/data/china/image_1900th/78304358.pdf", "78304358")</f>
        <v>78304358</v>
      </c>
      <c r="F187" s="10" t="s">
        <v>710</v>
      </c>
      <c r="G187" s="10" t="s">
        <v>711</v>
      </c>
      <c r="H187" s="10" t="s">
        <v>712</v>
      </c>
      <c r="I187" s="10" t="s">
        <v>85</v>
      </c>
    </row>
    <row r="188" spans="1:9" x14ac:dyDescent="0.15">
      <c r="A188" s="9">
        <v>187</v>
      </c>
      <c r="B188" s="10" t="s">
        <v>9</v>
      </c>
      <c r="C188" s="10" t="s">
        <v>170</v>
      </c>
      <c r="D188" s="10" t="s">
        <v>171</v>
      </c>
      <c r="E188" s="11" t="str">
        <f>+HYPERLINK("http://trademark.i-assist.jp/data/china/image_1900th/78306316.pdf", "78306316")</f>
        <v>78306316</v>
      </c>
      <c r="F188" s="10" t="s">
        <v>713</v>
      </c>
      <c r="G188" s="10" t="s">
        <v>84</v>
      </c>
      <c r="H188" s="10" t="s">
        <v>714</v>
      </c>
      <c r="I188" s="10" t="s">
        <v>85</v>
      </c>
    </row>
    <row r="189" spans="1:9" x14ac:dyDescent="0.15">
      <c r="A189" s="9">
        <v>188</v>
      </c>
      <c r="B189" s="10" t="s">
        <v>9</v>
      </c>
      <c r="C189" s="10" t="s">
        <v>170</v>
      </c>
      <c r="D189" s="10" t="s">
        <v>171</v>
      </c>
      <c r="E189" s="11" t="str">
        <f>+HYPERLINK("http://trademark.i-assist.jp/data/china/image_1900th/78307080.pdf", "78307080")</f>
        <v>78307080</v>
      </c>
      <c r="F189" s="10" t="s">
        <v>715</v>
      </c>
      <c r="G189" s="10" t="s">
        <v>716</v>
      </c>
      <c r="H189" s="10" t="s">
        <v>717</v>
      </c>
      <c r="I189" s="10" t="s">
        <v>85</v>
      </c>
    </row>
    <row r="190" spans="1:9" x14ac:dyDescent="0.15">
      <c r="A190" s="9">
        <v>189</v>
      </c>
      <c r="B190" s="10" t="s">
        <v>9</v>
      </c>
      <c r="C190" s="10" t="s">
        <v>170</v>
      </c>
      <c r="D190" s="10" t="s">
        <v>171</v>
      </c>
      <c r="E190" s="11" t="str">
        <f>+HYPERLINK("http://trademark.i-assist.jp/data/china/image_1900th/78307169.pdf", "78307169")</f>
        <v>78307169</v>
      </c>
      <c r="F190" s="10" t="s">
        <v>718</v>
      </c>
      <c r="G190" s="10" t="s">
        <v>719</v>
      </c>
      <c r="H190" s="10" t="s">
        <v>720</v>
      </c>
      <c r="I190" s="10" t="s">
        <v>85</v>
      </c>
    </row>
    <row r="191" spans="1:9" x14ac:dyDescent="0.15">
      <c r="A191" s="9">
        <v>190</v>
      </c>
      <c r="B191" s="10" t="s">
        <v>9</v>
      </c>
      <c r="C191" s="10" t="s">
        <v>170</v>
      </c>
      <c r="D191" s="10" t="s">
        <v>171</v>
      </c>
      <c r="E191" s="11" t="str">
        <f>+HYPERLINK("http://trademark.i-assist.jp/data/china/image_1900th/78307259.pdf", "78307259")</f>
        <v>78307259</v>
      </c>
      <c r="F191" s="10" t="s">
        <v>721</v>
      </c>
      <c r="G191" s="10" t="s">
        <v>722</v>
      </c>
      <c r="H191" s="10" t="s">
        <v>723</v>
      </c>
      <c r="I191" s="10" t="s">
        <v>85</v>
      </c>
    </row>
    <row r="192" spans="1:9" x14ac:dyDescent="0.15">
      <c r="A192" s="9">
        <v>191</v>
      </c>
      <c r="B192" s="10" t="s">
        <v>9</v>
      </c>
      <c r="C192" s="10" t="s">
        <v>170</v>
      </c>
      <c r="D192" s="10" t="s">
        <v>171</v>
      </c>
      <c r="E192" s="11" t="str">
        <f>+HYPERLINK("http://trademark.i-assist.jp/data/china/image_1900th/78307567.pdf", "78307567")</f>
        <v>78307567</v>
      </c>
      <c r="F192" s="10" t="s">
        <v>710</v>
      </c>
      <c r="G192" s="10" t="s">
        <v>711</v>
      </c>
      <c r="H192" s="10" t="s">
        <v>724</v>
      </c>
      <c r="I192" s="10" t="s">
        <v>85</v>
      </c>
    </row>
    <row r="193" spans="1:9" x14ac:dyDescent="0.15">
      <c r="A193" s="9">
        <v>192</v>
      </c>
      <c r="B193" s="10" t="s">
        <v>9</v>
      </c>
      <c r="C193" s="10" t="s">
        <v>170</v>
      </c>
      <c r="D193" s="10" t="s">
        <v>171</v>
      </c>
      <c r="E193" s="11" t="str">
        <f>+HYPERLINK("http://trademark.i-assist.jp/data/china/image_1900th/78312019.pdf", "78312019")</f>
        <v>78312019</v>
      </c>
      <c r="F193" s="10" t="s">
        <v>725</v>
      </c>
      <c r="G193" s="10" t="s">
        <v>726</v>
      </c>
      <c r="H193" s="10" t="s">
        <v>727</v>
      </c>
      <c r="I193" s="10" t="s">
        <v>88</v>
      </c>
    </row>
    <row r="194" spans="1:9" x14ac:dyDescent="0.15">
      <c r="A194" s="9">
        <v>193</v>
      </c>
      <c r="B194" s="10" t="s">
        <v>9</v>
      </c>
      <c r="C194" s="10" t="s">
        <v>170</v>
      </c>
      <c r="D194" s="10" t="s">
        <v>171</v>
      </c>
      <c r="E194" s="11" t="str">
        <f>+HYPERLINK("http://trademark.i-assist.jp/data/china/image_1900th/78315404.pdf", "78315404")</f>
        <v>78315404</v>
      </c>
      <c r="F194" s="10" t="s">
        <v>728</v>
      </c>
      <c r="G194" s="10" t="s">
        <v>729</v>
      </c>
      <c r="H194" s="10" t="s">
        <v>730</v>
      </c>
      <c r="I194" s="10" t="s">
        <v>88</v>
      </c>
    </row>
    <row r="195" spans="1:9" x14ac:dyDescent="0.15">
      <c r="A195" s="9">
        <v>194</v>
      </c>
      <c r="B195" s="10" t="s">
        <v>9</v>
      </c>
      <c r="C195" s="10" t="s">
        <v>170</v>
      </c>
      <c r="D195" s="10" t="s">
        <v>171</v>
      </c>
      <c r="E195" s="11" t="str">
        <f>+HYPERLINK("http://trademark.i-assist.jp/data/china/image_1900th/78315723.pdf", "78315723")</f>
        <v>78315723</v>
      </c>
      <c r="F195" s="10" t="s">
        <v>731</v>
      </c>
      <c r="G195" s="10" t="s">
        <v>732</v>
      </c>
      <c r="H195" s="10" t="s">
        <v>733</v>
      </c>
      <c r="I195" s="10" t="s">
        <v>88</v>
      </c>
    </row>
    <row r="196" spans="1:9" x14ac:dyDescent="0.15">
      <c r="A196" s="9">
        <v>195</v>
      </c>
      <c r="B196" s="10" t="s">
        <v>9</v>
      </c>
      <c r="C196" s="10" t="s">
        <v>170</v>
      </c>
      <c r="D196" s="10" t="s">
        <v>171</v>
      </c>
      <c r="E196" s="11" t="str">
        <f>+HYPERLINK("http://trademark.i-assist.jp/data/china/image_1900th/78316956.pdf", "78316956")</f>
        <v>78316956</v>
      </c>
      <c r="F196" s="10" t="s">
        <v>734</v>
      </c>
      <c r="G196" s="10" t="s">
        <v>735</v>
      </c>
      <c r="H196" s="10" t="s">
        <v>736</v>
      </c>
      <c r="I196" s="10" t="s">
        <v>88</v>
      </c>
    </row>
    <row r="197" spans="1:9" x14ac:dyDescent="0.15">
      <c r="A197" s="9">
        <v>196</v>
      </c>
      <c r="B197" s="10" t="s">
        <v>9</v>
      </c>
      <c r="C197" s="10" t="s">
        <v>170</v>
      </c>
      <c r="D197" s="10" t="s">
        <v>171</v>
      </c>
      <c r="E197" s="11" t="str">
        <f>+HYPERLINK("http://trademark.i-assist.jp/data/china/image_1900th/78326214.pdf", "78326214")</f>
        <v>78326214</v>
      </c>
      <c r="F197" s="10" t="s">
        <v>737</v>
      </c>
      <c r="G197" s="10" t="s">
        <v>738</v>
      </c>
      <c r="H197" s="10" t="s">
        <v>739</v>
      </c>
      <c r="I197" s="10" t="s">
        <v>88</v>
      </c>
    </row>
    <row r="198" spans="1:9" x14ac:dyDescent="0.15">
      <c r="A198" s="9">
        <v>197</v>
      </c>
      <c r="B198" s="10" t="s">
        <v>9</v>
      </c>
      <c r="C198" s="10" t="s">
        <v>170</v>
      </c>
      <c r="D198" s="10" t="s">
        <v>171</v>
      </c>
      <c r="E198" s="11" t="str">
        <f>+HYPERLINK("http://trademark.i-assist.jp/data/china/image_1900th/78330996.pdf", "78330996")</f>
        <v>78330996</v>
      </c>
      <c r="F198" s="10" t="s">
        <v>740</v>
      </c>
      <c r="G198" s="10" t="s">
        <v>741</v>
      </c>
      <c r="H198" s="10" t="s">
        <v>742</v>
      </c>
      <c r="I198" s="10" t="s">
        <v>88</v>
      </c>
    </row>
    <row r="199" spans="1:9" x14ac:dyDescent="0.15">
      <c r="A199" s="9">
        <v>198</v>
      </c>
      <c r="B199" s="10" t="s">
        <v>9</v>
      </c>
      <c r="C199" s="10" t="s">
        <v>170</v>
      </c>
      <c r="D199" s="10" t="s">
        <v>171</v>
      </c>
      <c r="E199" s="11" t="str">
        <f>+HYPERLINK("http://trademark.i-assist.jp/data/china/image_1900th/78341426.pdf", "78341426")</f>
        <v>78341426</v>
      </c>
      <c r="F199" s="10" t="s">
        <v>743</v>
      </c>
      <c r="G199" s="10" t="s">
        <v>744</v>
      </c>
      <c r="H199" s="10" t="s">
        <v>745</v>
      </c>
      <c r="I199" s="10" t="s">
        <v>88</v>
      </c>
    </row>
    <row r="200" spans="1:9" x14ac:dyDescent="0.15">
      <c r="A200" s="9">
        <v>199</v>
      </c>
      <c r="B200" s="10" t="s">
        <v>9</v>
      </c>
      <c r="C200" s="10" t="s">
        <v>170</v>
      </c>
      <c r="D200" s="10" t="s">
        <v>171</v>
      </c>
      <c r="E200" s="11" t="str">
        <f>+HYPERLINK("http://trademark.i-assist.jp/data/china/image_1900th/78344143.pdf", "78344143")</f>
        <v>78344143</v>
      </c>
      <c r="F200" s="10" t="s">
        <v>746</v>
      </c>
      <c r="G200" s="10" t="s">
        <v>747</v>
      </c>
      <c r="H200" s="10" t="s">
        <v>748</v>
      </c>
      <c r="I200" s="10" t="s">
        <v>88</v>
      </c>
    </row>
    <row r="201" spans="1:9" x14ac:dyDescent="0.15">
      <c r="A201" s="9">
        <v>200</v>
      </c>
      <c r="B201" s="10" t="s">
        <v>9</v>
      </c>
      <c r="C201" s="10" t="s">
        <v>170</v>
      </c>
      <c r="D201" s="10" t="s">
        <v>171</v>
      </c>
      <c r="E201" s="11" t="str">
        <f>+HYPERLINK("http://trademark.i-assist.jp/data/china/image_1900th/78352318.pdf", "78352318")</f>
        <v>78352318</v>
      </c>
      <c r="F201" s="10" t="s">
        <v>749</v>
      </c>
      <c r="G201" s="10" t="s">
        <v>750</v>
      </c>
      <c r="H201" s="10" t="s">
        <v>751</v>
      </c>
      <c r="I201" s="10" t="s">
        <v>92</v>
      </c>
    </row>
    <row r="202" spans="1:9" x14ac:dyDescent="0.15">
      <c r="A202" s="9">
        <v>201</v>
      </c>
      <c r="B202" s="10" t="s">
        <v>9</v>
      </c>
      <c r="C202" s="10" t="s">
        <v>170</v>
      </c>
      <c r="D202" s="10" t="s">
        <v>171</v>
      </c>
      <c r="E202" s="11" t="str">
        <f>+HYPERLINK("http://trademark.i-assist.jp/data/china/image_1900th/78353831.pdf", "78353831")</f>
        <v>78353831</v>
      </c>
      <c r="F202" s="10" t="s">
        <v>752</v>
      </c>
      <c r="G202" s="10" t="s">
        <v>753</v>
      </c>
      <c r="H202" s="10" t="s">
        <v>754</v>
      </c>
      <c r="I202" s="10" t="s">
        <v>94</v>
      </c>
    </row>
    <row r="203" spans="1:9" x14ac:dyDescent="0.15">
      <c r="A203" s="9">
        <v>202</v>
      </c>
      <c r="B203" s="10" t="s">
        <v>9</v>
      </c>
      <c r="C203" s="10" t="s">
        <v>170</v>
      </c>
      <c r="D203" s="10" t="s">
        <v>171</v>
      </c>
      <c r="E203" s="11" t="str">
        <f>+HYPERLINK("http://trademark.i-assist.jp/data/china/image_1900th/78354538.pdf", "78354538")</f>
        <v>78354538</v>
      </c>
      <c r="F203" s="10" t="s">
        <v>755</v>
      </c>
      <c r="G203" s="10" t="s">
        <v>140</v>
      </c>
      <c r="H203" s="10" t="s">
        <v>756</v>
      </c>
      <c r="I203" s="10" t="s">
        <v>92</v>
      </c>
    </row>
    <row r="204" spans="1:9" x14ac:dyDescent="0.15">
      <c r="A204" s="9">
        <v>203</v>
      </c>
      <c r="B204" s="10" t="s">
        <v>9</v>
      </c>
      <c r="C204" s="10" t="s">
        <v>170</v>
      </c>
      <c r="D204" s="10" t="s">
        <v>171</v>
      </c>
      <c r="E204" s="11" t="str">
        <f>+HYPERLINK("http://trademark.i-assist.jp/data/china/image_1900th/78354566.pdf", "78354566")</f>
        <v>78354566</v>
      </c>
      <c r="F204" s="10" t="s">
        <v>757</v>
      </c>
      <c r="G204" s="10" t="s">
        <v>758</v>
      </c>
      <c r="H204" s="10" t="s">
        <v>759</v>
      </c>
      <c r="I204" s="10" t="s">
        <v>92</v>
      </c>
    </row>
    <row r="205" spans="1:9" x14ac:dyDescent="0.15">
      <c r="A205" s="9">
        <v>204</v>
      </c>
      <c r="B205" s="10" t="s">
        <v>9</v>
      </c>
      <c r="C205" s="10" t="s">
        <v>170</v>
      </c>
      <c r="D205" s="10" t="s">
        <v>171</v>
      </c>
      <c r="E205" s="11" t="str">
        <f>+HYPERLINK("http://trademark.i-assist.jp/data/china/image_1900th/78356184.pdf", "78356184")</f>
        <v>78356184</v>
      </c>
      <c r="F205" s="10" t="s">
        <v>760</v>
      </c>
      <c r="G205" s="10" t="s">
        <v>90</v>
      </c>
      <c r="H205" s="10" t="s">
        <v>761</v>
      </c>
      <c r="I205" s="10" t="s">
        <v>92</v>
      </c>
    </row>
    <row r="206" spans="1:9" x14ac:dyDescent="0.15">
      <c r="A206" s="9">
        <v>205</v>
      </c>
      <c r="B206" s="10" t="s">
        <v>9</v>
      </c>
      <c r="C206" s="10" t="s">
        <v>170</v>
      </c>
      <c r="D206" s="10" t="s">
        <v>171</v>
      </c>
      <c r="E206" s="11" t="str">
        <f>+HYPERLINK("http://trademark.i-assist.jp/data/china/image_1900th/78356324.pdf", "78356324")</f>
        <v>78356324</v>
      </c>
      <c r="F206" s="10" t="s">
        <v>762</v>
      </c>
      <c r="G206" s="10" t="s">
        <v>763</v>
      </c>
      <c r="H206" s="10" t="s">
        <v>764</v>
      </c>
      <c r="I206" s="10" t="s">
        <v>92</v>
      </c>
    </row>
    <row r="207" spans="1:9" x14ac:dyDescent="0.15">
      <c r="A207" s="9">
        <v>206</v>
      </c>
      <c r="B207" s="10" t="s">
        <v>9</v>
      </c>
      <c r="C207" s="10" t="s">
        <v>170</v>
      </c>
      <c r="D207" s="10" t="s">
        <v>171</v>
      </c>
      <c r="E207" s="11" t="str">
        <f>+HYPERLINK("http://trademark.i-assist.jp/data/china/image_1900th/78356591.pdf", "78356591")</f>
        <v>78356591</v>
      </c>
      <c r="F207" s="10" t="s">
        <v>765</v>
      </c>
      <c r="G207" s="10" t="s">
        <v>766</v>
      </c>
      <c r="H207" s="10" t="s">
        <v>767</v>
      </c>
      <c r="I207" s="10" t="s">
        <v>92</v>
      </c>
    </row>
    <row r="208" spans="1:9" x14ac:dyDescent="0.15">
      <c r="A208" s="9">
        <v>207</v>
      </c>
      <c r="B208" s="10" t="s">
        <v>9</v>
      </c>
      <c r="C208" s="10" t="s">
        <v>170</v>
      </c>
      <c r="D208" s="10" t="s">
        <v>171</v>
      </c>
      <c r="E208" s="11" t="str">
        <f>+HYPERLINK("http://trademark.i-assist.jp/data/china/image_1900th/78357955.pdf", "78357955")</f>
        <v>78357955</v>
      </c>
      <c r="F208" s="10" t="s">
        <v>768</v>
      </c>
      <c r="G208" s="10" t="s">
        <v>769</v>
      </c>
      <c r="H208" s="10" t="s">
        <v>770</v>
      </c>
      <c r="I208" s="10" t="s">
        <v>92</v>
      </c>
    </row>
    <row r="209" spans="1:9" x14ac:dyDescent="0.15">
      <c r="A209" s="9">
        <v>208</v>
      </c>
      <c r="B209" s="10" t="s">
        <v>9</v>
      </c>
      <c r="C209" s="10" t="s">
        <v>170</v>
      </c>
      <c r="D209" s="10" t="s">
        <v>171</v>
      </c>
      <c r="E209" s="11" t="str">
        <f>+HYPERLINK("http://trademark.i-assist.jp/data/china/image_1900th/78358501.pdf", "78358501")</f>
        <v>78358501</v>
      </c>
      <c r="F209" s="10" t="s">
        <v>771</v>
      </c>
      <c r="G209" s="10" t="s">
        <v>772</v>
      </c>
      <c r="H209" s="10" t="s">
        <v>773</v>
      </c>
      <c r="I209" s="10" t="s">
        <v>92</v>
      </c>
    </row>
    <row r="210" spans="1:9" x14ac:dyDescent="0.15">
      <c r="A210" s="9">
        <v>209</v>
      </c>
      <c r="B210" s="10" t="s">
        <v>9</v>
      </c>
      <c r="C210" s="10" t="s">
        <v>170</v>
      </c>
      <c r="D210" s="10" t="s">
        <v>171</v>
      </c>
      <c r="E210" s="11" t="str">
        <f>+HYPERLINK("http://trademark.i-assist.jp/data/china/image_1900th/78359084.pdf", "78359084")</f>
        <v>78359084</v>
      </c>
      <c r="F210" s="10" t="s">
        <v>774</v>
      </c>
      <c r="G210" s="10" t="s">
        <v>775</v>
      </c>
      <c r="H210" s="10" t="s">
        <v>776</v>
      </c>
      <c r="I210" s="10" t="s">
        <v>92</v>
      </c>
    </row>
    <row r="211" spans="1:9" x14ac:dyDescent="0.15">
      <c r="A211" s="9">
        <v>210</v>
      </c>
      <c r="B211" s="10" t="s">
        <v>9</v>
      </c>
      <c r="C211" s="10" t="s">
        <v>170</v>
      </c>
      <c r="D211" s="10" t="s">
        <v>171</v>
      </c>
      <c r="E211" s="11" t="str">
        <f>+HYPERLINK("http://trademark.i-assist.jp/data/china/image_1900th/78359809.pdf", "78359809")</f>
        <v>78359809</v>
      </c>
      <c r="F211" s="10" t="s">
        <v>777</v>
      </c>
      <c r="G211" s="10" t="s">
        <v>778</v>
      </c>
      <c r="H211" s="10" t="s">
        <v>779</v>
      </c>
      <c r="I211" s="10" t="s">
        <v>92</v>
      </c>
    </row>
    <row r="212" spans="1:9" x14ac:dyDescent="0.15">
      <c r="A212" s="9">
        <v>211</v>
      </c>
      <c r="B212" s="10" t="s">
        <v>9</v>
      </c>
      <c r="C212" s="10" t="s">
        <v>170</v>
      </c>
      <c r="D212" s="10" t="s">
        <v>171</v>
      </c>
      <c r="E212" s="11" t="str">
        <f>+HYPERLINK("http://trademark.i-assist.jp/data/china/image_1900th/78361421.pdf", "78361421")</f>
        <v>78361421</v>
      </c>
      <c r="F212" s="10" t="s">
        <v>780</v>
      </c>
      <c r="G212" s="10" t="s">
        <v>781</v>
      </c>
      <c r="H212" s="10" t="s">
        <v>782</v>
      </c>
      <c r="I212" s="10" t="s">
        <v>94</v>
      </c>
    </row>
    <row r="213" spans="1:9" x14ac:dyDescent="0.15">
      <c r="A213" s="9">
        <v>212</v>
      </c>
      <c r="B213" s="10" t="s">
        <v>9</v>
      </c>
      <c r="C213" s="10" t="s">
        <v>170</v>
      </c>
      <c r="D213" s="10" t="s">
        <v>171</v>
      </c>
      <c r="E213" s="11" t="str">
        <f>+HYPERLINK("http://trademark.i-assist.jp/data/china/image_1900th/78361441.pdf", "78361441")</f>
        <v>78361441</v>
      </c>
      <c r="F213" s="10" t="s">
        <v>783</v>
      </c>
      <c r="G213" s="10" t="s">
        <v>784</v>
      </c>
      <c r="H213" s="10" t="s">
        <v>785</v>
      </c>
      <c r="I213" s="10" t="s">
        <v>92</v>
      </c>
    </row>
    <row r="214" spans="1:9" x14ac:dyDescent="0.15">
      <c r="A214" s="9">
        <v>213</v>
      </c>
      <c r="B214" s="10" t="s">
        <v>9</v>
      </c>
      <c r="C214" s="10" t="s">
        <v>170</v>
      </c>
      <c r="D214" s="10" t="s">
        <v>171</v>
      </c>
      <c r="E214" s="11" t="str">
        <f>+HYPERLINK("http://trademark.i-assist.jp/data/china/image_1900th/78364680.pdf", "78364680")</f>
        <v>78364680</v>
      </c>
      <c r="F214" s="10" t="s">
        <v>786</v>
      </c>
      <c r="G214" s="10" t="s">
        <v>521</v>
      </c>
      <c r="H214" s="10" t="s">
        <v>787</v>
      </c>
      <c r="I214" s="10" t="s">
        <v>92</v>
      </c>
    </row>
    <row r="215" spans="1:9" x14ac:dyDescent="0.15">
      <c r="A215" s="9">
        <v>214</v>
      </c>
      <c r="B215" s="10" t="s">
        <v>9</v>
      </c>
      <c r="C215" s="10" t="s">
        <v>170</v>
      </c>
      <c r="D215" s="10" t="s">
        <v>171</v>
      </c>
      <c r="E215" s="11" t="str">
        <f>+HYPERLINK("http://trademark.i-assist.jp/data/china/image_1900th/78364852.pdf", "78364852")</f>
        <v>78364852</v>
      </c>
      <c r="F215" s="10" t="s">
        <v>788</v>
      </c>
      <c r="G215" s="10" t="s">
        <v>789</v>
      </c>
      <c r="H215" s="10" t="s">
        <v>790</v>
      </c>
      <c r="I215" s="10" t="s">
        <v>92</v>
      </c>
    </row>
    <row r="216" spans="1:9" x14ac:dyDescent="0.15">
      <c r="A216" s="9">
        <v>215</v>
      </c>
      <c r="B216" s="10" t="s">
        <v>9</v>
      </c>
      <c r="C216" s="10" t="s">
        <v>170</v>
      </c>
      <c r="D216" s="10" t="s">
        <v>171</v>
      </c>
      <c r="E216" s="11" t="str">
        <f>+HYPERLINK("http://trademark.i-assist.jp/data/china/image_1900th/78367661.pdf", "78367661")</f>
        <v>78367661</v>
      </c>
      <c r="F216" s="10" t="s">
        <v>791</v>
      </c>
      <c r="G216" s="10" t="s">
        <v>792</v>
      </c>
      <c r="H216" s="10" t="s">
        <v>793</v>
      </c>
      <c r="I216" s="10" t="s">
        <v>92</v>
      </c>
    </row>
    <row r="217" spans="1:9" x14ac:dyDescent="0.15">
      <c r="A217" s="9">
        <v>216</v>
      </c>
      <c r="B217" s="10" t="s">
        <v>9</v>
      </c>
      <c r="C217" s="10" t="s">
        <v>170</v>
      </c>
      <c r="D217" s="10" t="s">
        <v>171</v>
      </c>
      <c r="E217" s="11" t="str">
        <f>+HYPERLINK("http://trademark.i-assist.jp/data/china/image_1900th/78370272.pdf", "78370272")</f>
        <v>78370272</v>
      </c>
      <c r="F217" s="10" t="s">
        <v>794</v>
      </c>
      <c r="G217" s="10" t="s">
        <v>795</v>
      </c>
      <c r="H217" s="10" t="s">
        <v>796</v>
      </c>
      <c r="I217" s="10" t="s">
        <v>92</v>
      </c>
    </row>
    <row r="218" spans="1:9" x14ac:dyDescent="0.15">
      <c r="A218" s="9">
        <v>217</v>
      </c>
      <c r="B218" s="10" t="s">
        <v>9</v>
      </c>
      <c r="C218" s="10" t="s">
        <v>170</v>
      </c>
      <c r="D218" s="10" t="s">
        <v>171</v>
      </c>
      <c r="E218" s="11" t="str">
        <f>+HYPERLINK("http://trademark.i-assist.jp/data/china/image_1900th/78371526.pdf", "78371526")</f>
        <v>78371526</v>
      </c>
      <c r="F218" s="10" t="s">
        <v>15</v>
      </c>
      <c r="G218" s="10" t="s">
        <v>797</v>
      </c>
      <c r="H218" s="10" t="s">
        <v>798</v>
      </c>
      <c r="I218" s="10" t="s">
        <v>92</v>
      </c>
    </row>
    <row r="219" spans="1:9" x14ac:dyDescent="0.15">
      <c r="A219" s="9">
        <v>218</v>
      </c>
      <c r="B219" s="10" t="s">
        <v>9</v>
      </c>
      <c r="C219" s="10" t="s">
        <v>170</v>
      </c>
      <c r="D219" s="10" t="s">
        <v>171</v>
      </c>
      <c r="E219" s="11" t="str">
        <f>+HYPERLINK("http://trademark.i-assist.jp/data/china/image_1900th/78374051.pdf", "78374051")</f>
        <v>78374051</v>
      </c>
      <c r="F219" s="10" t="s">
        <v>799</v>
      </c>
      <c r="G219" s="10" t="s">
        <v>800</v>
      </c>
      <c r="H219" s="10" t="s">
        <v>801</v>
      </c>
      <c r="I219" s="10" t="s">
        <v>92</v>
      </c>
    </row>
    <row r="220" spans="1:9" x14ac:dyDescent="0.15">
      <c r="A220" s="9">
        <v>219</v>
      </c>
      <c r="B220" s="10" t="s">
        <v>9</v>
      </c>
      <c r="C220" s="10" t="s">
        <v>170</v>
      </c>
      <c r="D220" s="10" t="s">
        <v>171</v>
      </c>
      <c r="E220" s="11" t="str">
        <f>+HYPERLINK("http://trademark.i-assist.jp/data/china/image_1900th/78374683.pdf", "78374683")</f>
        <v>78374683</v>
      </c>
      <c r="F220" s="10" t="s">
        <v>771</v>
      </c>
      <c r="G220" s="10" t="s">
        <v>772</v>
      </c>
      <c r="H220" s="10" t="s">
        <v>802</v>
      </c>
      <c r="I220" s="10" t="s">
        <v>92</v>
      </c>
    </row>
    <row r="221" spans="1:9" x14ac:dyDescent="0.15">
      <c r="A221" s="9">
        <v>220</v>
      </c>
      <c r="B221" s="10" t="s">
        <v>9</v>
      </c>
      <c r="C221" s="10" t="s">
        <v>170</v>
      </c>
      <c r="D221" s="10" t="s">
        <v>171</v>
      </c>
      <c r="E221" s="11" t="str">
        <f>+HYPERLINK("http://trademark.i-assist.jp/data/china/image_1900th/78378421.pdf", "78378421")</f>
        <v>78378421</v>
      </c>
      <c r="F221" s="10" t="s">
        <v>803</v>
      </c>
      <c r="G221" s="10" t="s">
        <v>804</v>
      </c>
      <c r="H221" s="10" t="s">
        <v>805</v>
      </c>
      <c r="I221" s="10" t="s">
        <v>92</v>
      </c>
    </row>
    <row r="222" spans="1:9" x14ac:dyDescent="0.15">
      <c r="A222" s="9">
        <v>221</v>
      </c>
      <c r="B222" s="10" t="s">
        <v>9</v>
      </c>
      <c r="C222" s="10" t="s">
        <v>170</v>
      </c>
      <c r="D222" s="10" t="s">
        <v>171</v>
      </c>
      <c r="E222" s="11" t="str">
        <f>+HYPERLINK("http://trademark.i-assist.jp/data/china/image_1900th/78382432.pdf", "78382432")</f>
        <v>78382432</v>
      </c>
      <c r="F222" s="10" t="s">
        <v>806</v>
      </c>
      <c r="G222" s="10" t="s">
        <v>95</v>
      </c>
      <c r="H222" s="10" t="s">
        <v>807</v>
      </c>
      <c r="I222" s="10" t="s">
        <v>94</v>
      </c>
    </row>
    <row r="223" spans="1:9" x14ac:dyDescent="0.15">
      <c r="A223" s="9">
        <v>222</v>
      </c>
      <c r="B223" s="10" t="s">
        <v>9</v>
      </c>
      <c r="C223" s="10" t="s">
        <v>170</v>
      </c>
      <c r="D223" s="10" t="s">
        <v>171</v>
      </c>
      <c r="E223" s="11" t="str">
        <f>+HYPERLINK("http://trademark.i-assist.jp/data/china/image_1900th/78383843.pdf", "78383843")</f>
        <v>78383843</v>
      </c>
      <c r="F223" s="10" t="s">
        <v>808</v>
      </c>
      <c r="G223" s="10" t="s">
        <v>809</v>
      </c>
      <c r="H223" s="10" t="s">
        <v>810</v>
      </c>
      <c r="I223" s="10" t="s">
        <v>94</v>
      </c>
    </row>
    <row r="224" spans="1:9" x14ac:dyDescent="0.15">
      <c r="A224" s="9">
        <v>223</v>
      </c>
      <c r="B224" s="10" t="s">
        <v>9</v>
      </c>
      <c r="C224" s="10" t="s">
        <v>170</v>
      </c>
      <c r="D224" s="10" t="s">
        <v>171</v>
      </c>
      <c r="E224" s="11" t="str">
        <f>+HYPERLINK("http://trademark.i-assist.jp/data/china/image_1900th/78385117.pdf", "78385117")</f>
        <v>78385117</v>
      </c>
      <c r="F224" s="10" t="s">
        <v>811</v>
      </c>
      <c r="G224" s="10" t="s">
        <v>812</v>
      </c>
      <c r="H224" s="10" t="s">
        <v>813</v>
      </c>
      <c r="I224" s="10" t="s">
        <v>92</v>
      </c>
    </row>
    <row r="225" spans="1:9" x14ac:dyDescent="0.15">
      <c r="A225" s="9">
        <v>224</v>
      </c>
      <c r="B225" s="10" t="s">
        <v>9</v>
      </c>
      <c r="C225" s="10" t="s">
        <v>170</v>
      </c>
      <c r="D225" s="10" t="s">
        <v>171</v>
      </c>
      <c r="E225" s="11" t="str">
        <f>+HYPERLINK("http://trademark.i-assist.jp/data/china/image_1900th/78385990.pdf", "78385990")</f>
        <v>78385990</v>
      </c>
      <c r="F225" s="10" t="s">
        <v>15</v>
      </c>
      <c r="G225" s="10" t="s">
        <v>814</v>
      </c>
      <c r="H225" s="10" t="s">
        <v>815</v>
      </c>
      <c r="I225" s="10" t="s">
        <v>94</v>
      </c>
    </row>
    <row r="226" spans="1:9" x14ac:dyDescent="0.15">
      <c r="A226" s="9">
        <v>225</v>
      </c>
      <c r="B226" s="10" t="s">
        <v>9</v>
      </c>
      <c r="C226" s="10" t="s">
        <v>170</v>
      </c>
      <c r="D226" s="10" t="s">
        <v>171</v>
      </c>
      <c r="E226" s="11" t="str">
        <f>+HYPERLINK("http://trademark.i-assist.jp/data/china/image_1900th/78387702.pdf", "78387702")</f>
        <v>78387702</v>
      </c>
      <c r="F226" s="10" t="s">
        <v>816</v>
      </c>
      <c r="G226" s="10" t="s">
        <v>108</v>
      </c>
      <c r="H226" s="10" t="s">
        <v>817</v>
      </c>
      <c r="I226" s="10" t="s">
        <v>92</v>
      </c>
    </row>
    <row r="227" spans="1:9" x14ac:dyDescent="0.15">
      <c r="A227" s="9">
        <v>226</v>
      </c>
      <c r="B227" s="10" t="s">
        <v>9</v>
      </c>
      <c r="C227" s="10" t="s">
        <v>170</v>
      </c>
      <c r="D227" s="10" t="s">
        <v>171</v>
      </c>
      <c r="E227" s="11" t="str">
        <f>+HYPERLINK("http://trademark.i-assist.jp/data/china/image_1900th/78388946.pdf", "78388946")</f>
        <v>78388946</v>
      </c>
      <c r="F227" s="10" t="s">
        <v>15</v>
      </c>
      <c r="G227" s="10" t="s">
        <v>818</v>
      </c>
      <c r="H227" s="10" t="s">
        <v>819</v>
      </c>
      <c r="I227" s="10" t="s">
        <v>92</v>
      </c>
    </row>
    <row r="228" spans="1:9" x14ac:dyDescent="0.15">
      <c r="A228" s="9">
        <v>227</v>
      </c>
      <c r="B228" s="10" t="s">
        <v>9</v>
      </c>
      <c r="C228" s="10" t="s">
        <v>170</v>
      </c>
      <c r="D228" s="10" t="s">
        <v>171</v>
      </c>
      <c r="E228" s="11" t="str">
        <f>+HYPERLINK("http://trademark.i-assist.jp/data/china/image_1900th/78390351.pdf", "78390351")</f>
        <v>78390351</v>
      </c>
      <c r="F228" s="10" t="s">
        <v>820</v>
      </c>
      <c r="G228" s="10" t="s">
        <v>821</v>
      </c>
      <c r="H228" s="10" t="s">
        <v>822</v>
      </c>
      <c r="I228" s="10" t="s">
        <v>94</v>
      </c>
    </row>
    <row r="229" spans="1:9" x14ac:dyDescent="0.15">
      <c r="A229" s="9">
        <v>228</v>
      </c>
      <c r="B229" s="10" t="s">
        <v>9</v>
      </c>
      <c r="C229" s="10" t="s">
        <v>170</v>
      </c>
      <c r="D229" s="10" t="s">
        <v>171</v>
      </c>
      <c r="E229" s="11" t="str">
        <f>+HYPERLINK("http://trademark.i-assist.jp/data/china/image_1900th/78390437.pdf", "78390437")</f>
        <v>78390437</v>
      </c>
      <c r="F229" s="10" t="s">
        <v>823</v>
      </c>
      <c r="G229" s="10" t="s">
        <v>824</v>
      </c>
      <c r="H229" s="10" t="s">
        <v>825</v>
      </c>
      <c r="I229" s="10" t="s">
        <v>94</v>
      </c>
    </row>
    <row r="230" spans="1:9" x14ac:dyDescent="0.15">
      <c r="A230" s="9">
        <v>229</v>
      </c>
      <c r="B230" s="10" t="s">
        <v>9</v>
      </c>
      <c r="C230" s="10" t="s">
        <v>170</v>
      </c>
      <c r="D230" s="10" t="s">
        <v>171</v>
      </c>
      <c r="E230" s="11" t="str">
        <f>+HYPERLINK("http://trademark.i-assist.jp/data/china/image_1900th/78392635.pdf", "78392635")</f>
        <v>78392635</v>
      </c>
      <c r="F230" s="10" t="s">
        <v>826</v>
      </c>
      <c r="G230" s="10" t="s">
        <v>827</v>
      </c>
      <c r="H230" s="10" t="s">
        <v>828</v>
      </c>
      <c r="I230" s="10" t="s">
        <v>94</v>
      </c>
    </row>
    <row r="231" spans="1:9" x14ac:dyDescent="0.15">
      <c r="A231" s="9">
        <v>230</v>
      </c>
      <c r="B231" s="10" t="s">
        <v>9</v>
      </c>
      <c r="C231" s="10" t="s">
        <v>170</v>
      </c>
      <c r="D231" s="10" t="s">
        <v>171</v>
      </c>
      <c r="E231" s="11" t="str">
        <f>+HYPERLINK("http://trademark.i-assist.jp/data/china/image_1900th/78393562.pdf", "78393562")</f>
        <v>78393562</v>
      </c>
      <c r="F231" s="10" t="s">
        <v>829</v>
      </c>
      <c r="G231" s="10" t="s">
        <v>830</v>
      </c>
      <c r="H231" s="10" t="s">
        <v>831</v>
      </c>
      <c r="I231" s="10" t="s">
        <v>94</v>
      </c>
    </row>
    <row r="232" spans="1:9" x14ac:dyDescent="0.15">
      <c r="A232" s="9">
        <v>231</v>
      </c>
      <c r="B232" s="10" t="s">
        <v>9</v>
      </c>
      <c r="C232" s="10" t="s">
        <v>170</v>
      </c>
      <c r="D232" s="10" t="s">
        <v>171</v>
      </c>
      <c r="E232" s="11" t="str">
        <f>+HYPERLINK("http://trademark.i-assist.jp/data/china/image_1900th/78396994.pdf", "78396994")</f>
        <v>78396994</v>
      </c>
      <c r="F232" s="10" t="s">
        <v>832</v>
      </c>
      <c r="G232" s="10" t="s">
        <v>821</v>
      </c>
      <c r="H232" s="10" t="s">
        <v>833</v>
      </c>
      <c r="I232" s="10" t="s">
        <v>94</v>
      </c>
    </row>
    <row r="233" spans="1:9" x14ac:dyDescent="0.15">
      <c r="A233" s="9">
        <v>232</v>
      </c>
      <c r="B233" s="10" t="s">
        <v>9</v>
      </c>
      <c r="C233" s="10" t="s">
        <v>170</v>
      </c>
      <c r="D233" s="10" t="s">
        <v>171</v>
      </c>
      <c r="E233" s="11" t="str">
        <f>+HYPERLINK("http://trademark.i-assist.jp/data/china/image_1900th/78401066.pdf", "78401066")</f>
        <v>78401066</v>
      </c>
      <c r="F233" s="10" t="s">
        <v>834</v>
      </c>
      <c r="G233" s="10" t="s">
        <v>835</v>
      </c>
      <c r="H233" s="10" t="s">
        <v>836</v>
      </c>
      <c r="I233" s="10" t="s">
        <v>94</v>
      </c>
    </row>
    <row r="234" spans="1:9" x14ac:dyDescent="0.15">
      <c r="A234" s="9">
        <v>233</v>
      </c>
      <c r="B234" s="10" t="s">
        <v>9</v>
      </c>
      <c r="C234" s="10" t="s">
        <v>170</v>
      </c>
      <c r="D234" s="10" t="s">
        <v>171</v>
      </c>
      <c r="E234" s="11" t="str">
        <f>+HYPERLINK("http://trademark.i-assist.jp/data/china/image_1900th/78405350.pdf", "78405350")</f>
        <v>78405350</v>
      </c>
      <c r="F234" s="10" t="s">
        <v>837</v>
      </c>
      <c r="G234" s="10" t="s">
        <v>838</v>
      </c>
      <c r="H234" s="10" t="s">
        <v>839</v>
      </c>
      <c r="I234" s="10" t="s">
        <v>94</v>
      </c>
    </row>
    <row r="235" spans="1:9" x14ac:dyDescent="0.15">
      <c r="A235" s="9">
        <v>234</v>
      </c>
      <c r="B235" s="10" t="s">
        <v>9</v>
      </c>
      <c r="C235" s="10" t="s">
        <v>170</v>
      </c>
      <c r="D235" s="10" t="s">
        <v>171</v>
      </c>
      <c r="E235" s="11" t="str">
        <f>+HYPERLINK("http://trademark.i-assist.jp/data/china/image_1900th/78406527.pdf", "78406527")</f>
        <v>78406527</v>
      </c>
      <c r="F235" s="10" t="s">
        <v>166</v>
      </c>
      <c r="G235" s="10" t="s">
        <v>167</v>
      </c>
      <c r="H235" s="10" t="s">
        <v>840</v>
      </c>
      <c r="I235" s="10" t="s">
        <v>94</v>
      </c>
    </row>
    <row r="236" spans="1:9" x14ac:dyDescent="0.15">
      <c r="A236" s="9">
        <v>235</v>
      </c>
      <c r="B236" s="10" t="s">
        <v>9</v>
      </c>
      <c r="C236" s="10" t="s">
        <v>170</v>
      </c>
      <c r="D236" s="10" t="s">
        <v>171</v>
      </c>
      <c r="E236" s="11" t="str">
        <f>+HYPERLINK("http://trademark.i-assist.jp/data/china/image_1900th/78407908.pdf", "78407908")</f>
        <v>78407908</v>
      </c>
      <c r="F236" s="10" t="s">
        <v>841</v>
      </c>
      <c r="G236" s="10" t="s">
        <v>842</v>
      </c>
      <c r="H236" s="10" t="s">
        <v>843</v>
      </c>
      <c r="I236" s="10" t="s">
        <v>94</v>
      </c>
    </row>
    <row r="237" spans="1:9" x14ac:dyDescent="0.15">
      <c r="A237" s="9">
        <v>236</v>
      </c>
      <c r="B237" s="10" t="s">
        <v>9</v>
      </c>
      <c r="C237" s="10" t="s">
        <v>170</v>
      </c>
      <c r="D237" s="10" t="s">
        <v>171</v>
      </c>
      <c r="E237" s="11" t="str">
        <f>+HYPERLINK("http://trademark.i-assist.jp/data/china/image_1900th/78408536.pdf", "78408536")</f>
        <v>78408536</v>
      </c>
      <c r="F237" s="10" t="s">
        <v>844</v>
      </c>
      <c r="G237" s="10" t="s">
        <v>845</v>
      </c>
      <c r="H237" s="10" t="s">
        <v>846</v>
      </c>
      <c r="I237" s="10" t="s">
        <v>94</v>
      </c>
    </row>
    <row r="238" spans="1:9" x14ac:dyDescent="0.15">
      <c r="A238" s="9">
        <v>237</v>
      </c>
      <c r="B238" s="10" t="s">
        <v>9</v>
      </c>
      <c r="C238" s="10" t="s">
        <v>170</v>
      </c>
      <c r="D238" s="10" t="s">
        <v>171</v>
      </c>
      <c r="E238" s="11" t="str">
        <f>+HYPERLINK("http://trademark.i-assist.jp/data/china/image_1900th/78408849A.pdf", "78408849A")</f>
        <v>78408849A</v>
      </c>
      <c r="F238" s="10" t="s">
        <v>847</v>
      </c>
      <c r="G238" s="10" t="s">
        <v>848</v>
      </c>
      <c r="H238" s="10" t="s">
        <v>849</v>
      </c>
      <c r="I238" s="10" t="s">
        <v>94</v>
      </c>
    </row>
    <row r="239" spans="1:9" x14ac:dyDescent="0.15">
      <c r="A239" s="9">
        <v>238</v>
      </c>
      <c r="B239" s="10" t="s">
        <v>9</v>
      </c>
      <c r="C239" s="10" t="s">
        <v>170</v>
      </c>
      <c r="D239" s="10" t="s">
        <v>171</v>
      </c>
      <c r="E239" s="11" t="str">
        <f>+HYPERLINK("http://trademark.i-assist.jp/data/china/image_1900th/78410457.pdf", "78410457")</f>
        <v>78410457</v>
      </c>
      <c r="F239" s="10" t="s">
        <v>850</v>
      </c>
      <c r="G239" s="10" t="s">
        <v>851</v>
      </c>
      <c r="H239" s="10" t="s">
        <v>852</v>
      </c>
      <c r="I239" s="10" t="s">
        <v>94</v>
      </c>
    </row>
    <row r="240" spans="1:9" x14ac:dyDescent="0.15">
      <c r="A240" s="9">
        <v>239</v>
      </c>
      <c r="B240" s="10" t="s">
        <v>9</v>
      </c>
      <c r="C240" s="10" t="s">
        <v>170</v>
      </c>
      <c r="D240" s="10" t="s">
        <v>171</v>
      </c>
      <c r="E240" s="11" t="str">
        <f>+HYPERLINK("http://trademark.i-assist.jp/data/china/image_1900th/78410875.pdf", "78410875")</f>
        <v>78410875</v>
      </c>
      <c r="F240" s="10" t="s">
        <v>853</v>
      </c>
      <c r="G240" s="10" t="s">
        <v>854</v>
      </c>
      <c r="H240" s="10" t="s">
        <v>855</v>
      </c>
      <c r="I240" s="10" t="s">
        <v>94</v>
      </c>
    </row>
    <row r="241" spans="1:9" x14ac:dyDescent="0.15">
      <c r="A241" s="9">
        <v>240</v>
      </c>
      <c r="B241" s="10" t="s">
        <v>9</v>
      </c>
      <c r="C241" s="10" t="s">
        <v>170</v>
      </c>
      <c r="D241" s="10" t="s">
        <v>171</v>
      </c>
      <c r="E241" s="11" t="str">
        <f>+HYPERLINK("http://trademark.i-assist.jp/data/china/image_1900th/78412159.pdf", "78412159")</f>
        <v>78412159</v>
      </c>
      <c r="F241" s="10" t="s">
        <v>856</v>
      </c>
      <c r="G241" s="10" t="s">
        <v>857</v>
      </c>
      <c r="H241" s="10" t="s">
        <v>858</v>
      </c>
      <c r="I241" s="10" t="s">
        <v>94</v>
      </c>
    </row>
    <row r="242" spans="1:9" x14ac:dyDescent="0.15">
      <c r="A242" s="9">
        <v>241</v>
      </c>
      <c r="B242" s="10" t="s">
        <v>9</v>
      </c>
      <c r="C242" s="10" t="s">
        <v>170</v>
      </c>
      <c r="D242" s="10" t="s">
        <v>171</v>
      </c>
      <c r="E242" s="11" t="str">
        <f>+HYPERLINK("http://trademark.i-assist.jp/data/china/image_1900th/78413465.pdf", "78413465")</f>
        <v>78413465</v>
      </c>
      <c r="F242" s="10" t="s">
        <v>859</v>
      </c>
      <c r="G242" s="10" t="s">
        <v>821</v>
      </c>
      <c r="H242" s="10" t="s">
        <v>860</v>
      </c>
      <c r="I242" s="10" t="s">
        <v>94</v>
      </c>
    </row>
    <row r="243" spans="1:9" x14ac:dyDescent="0.15">
      <c r="A243" s="9">
        <v>242</v>
      </c>
      <c r="B243" s="10" t="s">
        <v>9</v>
      </c>
      <c r="C243" s="10" t="s">
        <v>170</v>
      </c>
      <c r="D243" s="10" t="s">
        <v>171</v>
      </c>
      <c r="E243" s="11" t="str">
        <f>+HYPERLINK("http://trademark.i-assist.jp/data/china/image_1900th/78416075.pdf", "78416075")</f>
        <v>78416075</v>
      </c>
      <c r="F243" s="10" t="s">
        <v>861</v>
      </c>
      <c r="G243" s="10" t="s">
        <v>821</v>
      </c>
      <c r="H243" s="10" t="s">
        <v>862</v>
      </c>
      <c r="I243" s="10" t="s">
        <v>94</v>
      </c>
    </row>
    <row r="244" spans="1:9" x14ac:dyDescent="0.15">
      <c r="A244" s="9">
        <v>243</v>
      </c>
      <c r="B244" s="10" t="s">
        <v>9</v>
      </c>
      <c r="C244" s="10" t="s">
        <v>170</v>
      </c>
      <c r="D244" s="10" t="s">
        <v>171</v>
      </c>
      <c r="E244" s="11" t="str">
        <f>+HYPERLINK("http://trademark.i-assist.jp/data/china/image_1900th/78416269.pdf", "78416269")</f>
        <v>78416269</v>
      </c>
      <c r="F244" s="10" t="s">
        <v>863</v>
      </c>
      <c r="G244" s="10" t="s">
        <v>864</v>
      </c>
      <c r="H244" s="10" t="s">
        <v>865</v>
      </c>
      <c r="I244" s="10" t="s">
        <v>94</v>
      </c>
    </row>
    <row r="245" spans="1:9" x14ac:dyDescent="0.15">
      <c r="A245" s="9">
        <v>244</v>
      </c>
      <c r="B245" s="10" t="s">
        <v>9</v>
      </c>
      <c r="C245" s="10" t="s">
        <v>170</v>
      </c>
      <c r="D245" s="10" t="s">
        <v>171</v>
      </c>
      <c r="E245" s="11" t="str">
        <f>+HYPERLINK("http://trademark.i-assist.jp/data/china/image_1900th/78416725.pdf", "78416725")</f>
        <v>78416725</v>
      </c>
      <c r="F245" s="10" t="s">
        <v>866</v>
      </c>
      <c r="G245" s="10" t="s">
        <v>867</v>
      </c>
      <c r="H245" s="10" t="s">
        <v>868</v>
      </c>
      <c r="I245" s="10" t="s">
        <v>94</v>
      </c>
    </row>
    <row r="246" spans="1:9" x14ac:dyDescent="0.15">
      <c r="A246" s="9">
        <v>245</v>
      </c>
      <c r="B246" s="10" t="s">
        <v>9</v>
      </c>
      <c r="C246" s="10" t="s">
        <v>170</v>
      </c>
      <c r="D246" s="10" t="s">
        <v>171</v>
      </c>
      <c r="E246" s="11" t="str">
        <f>+HYPERLINK("http://trademark.i-assist.jp/data/china/image_1900th/78417989.pdf", "78417989")</f>
        <v>78417989</v>
      </c>
      <c r="F246" s="10" t="s">
        <v>869</v>
      </c>
      <c r="G246" s="10" t="s">
        <v>870</v>
      </c>
      <c r="H246" s="10" t="s">
        <v>871</v>
      </c>
      <c r="I246" s="10" t="s">
        <v>111</v>
      </c>
    </row>
    <row r="247" spans="1:9" x14ac:dyDescent="0.15">
      <c r="A247" s="9">
        <v>246</v>
      </c>
      <c r="B247" s="10" t="s">
        <v>9</v>
      </c>
      <c r="C247" s="10" t="s">
        <v>170</v>
      </c>
      <c r="D247" s="10" t="s">
        <v>171</v>
      </c>
      <c r="E247" s="11" t="str">
        <f>+HYPERLINK("http://trademark.i-assist.jp/data/china/image_1900th/78419377.pdf", "78419377")</f>
        <v>78419377</v>
      </c>
      <c r="F247" s="10" t="s">
        <v>15</v>
      </c>
      <c r="G247" s="10" t="s">
        <v>872</v>
      </c>
      <c r="H247" s="10" t="s">
        <v>873</v>
      </c>
      <c r="I247" s="10" t="s">
        <v>111</v>
      </c>
    </row>
    <row r="248" spans="1:9" x14ac:dyDescent="0.15">
      <c r="A248" s="9">
        <v>247</v>
      </c>
      <c r="B248" s="10" t="s">
        <v>9</v>
      </c>
      <c r="C248" s="10" t="s">
        <v>170</v>
      </c>
      <c r="D248" s="10" t="s">
        <v>171</v>
      </c>
      <c r="E248" s="11" t="str">
        <f>+HYPERLINK("http://trademark.i-assist.jp/data/china/image_1900th/78419928.pdf", "78419928")</f>
        <v>78419928</v>
      </c>
      <c r="F248" s="10" t="s">
        <v>874</v>
      </c>
      <c r="G248" s="10" t="s">
        <v>875</v>
      </c>
      <c r="H248" s="10" t="s">
        <v>876</v>
      </c>
      <c r="I248" s="10" t="s">
        <v>111</v>
      </c>
    </row>
    <row r="249" spans="1:9" x14ac:dyDescent="0.15">
      <c r="A249" s="9">
        <v>248</v>
      </c>
      <c r="B249" s="10" t="s">
        <v>9</v>
      </c>
      <c r="C249" s="10" t="s">
        <v>170</v>
      </c>
      <c r="D249" s="10" t="s">
        <v>171</v>
      </c>
      <c r="E249" s="11" t="str">
        <f>+HYPERLINK("http://trademark.i-assist.jp/data/china/image_1900th/78421900.pdf", "78421900")</f>
        <v>78421900</v>
      </c>
      <c r="F249" s="10" t="s">
        <v>877</v>
      </c>
      <c r="G249" s="10" t="s">
        <v>878</v>
      </c>
      <c r="H249" s="10" t="s">
        <v>879</v>
      </c>
      <c r="I249" s="10" t="s">
        <v>111</v>
      </c>
    </row>
    <row r="250" spans="1:9" x14ac:dyDescent="0.15">
      <c r="A250" s="9">
        <v>249</v>
      </c>
      <c r="B250" s="10" t="s">
        <v>9</v>
      </c>
      <c r="C250" s="10" t="s">
        <v>170</v>
      </c>
      <c r="D250" s="10" t="s">
        <v>171</v>
      </c>
      <c r="E250" s="11" t="str">
        <f>+HYPERLINK("http://trademark.i-assist.jp/data/china/image_1900th/78421911.pdf", "78421911")</f>
        <v>78421911</v>
      </c>
      <c r="F250" s="10" t="s">
        <v>880</v>
      </c>
      <c r="G250" s="10" t="s">
        <v>878</v>
      </c>
      <c r="H250" s="10" t="s">
        <v>881</v>
      </c>
      <c r="I250" s="10" t="s">
        <v>111</v>
      </c>
    </row>
    <row r="251" spans="1:9" x14ac:dyDescent="0.15">
      <c r="A251" s="9">
        <v>250</v>
      </c>
      <c r="B251" s="10" t="s">
        <v>9</v>
      </c>
      <c r="C251" s="10" t="s">
        <v>170</v>
      </c>
      <c r="D251" s="10" t="s">
        <v>171</v>
      </c>
      <c r="E251" s="11" t="str">
        <f>+HYPERLINK("http://trademark.i-assist.jp/data/china/image_1900th/78422187.pdf", "78422187")</f>
        <v>78422187</v>
      </c>
      <c r="F251" s="10" t="s">
        <v>882</v>
      </c>
      <c r="G251" s="10" t="s">
        <v>883</v>
      </c>
      <c r="H251" s="10" t="s">
        <v>884</v>
      </c>
      <c r="I251" s="10" t="s">
        <v>111</v>
      </c>
    </row>
    <row r="252" spans="1:9" x14ac:dyDescent="0.15">
      <c r="A252" s="9">
        <v>251</v>
      </c>
      <c r="B252" s="10" t="s">
        <v>9</v>
      </c>
      <c r="C252" s="10" t="s">
        <v>170</v>
      </c>
      <c r="D252" s="10" t="s">
        <v>171</v>
      </c>
      <c r="E252" s="11" t="str">
        <f>+HYPERLINK("http://trademark.i-assist.jp/data/china/image_1900th/78422215.pdf", "78422215")</f>
        <v>78422215</v>
      </c>
      <c r="F252" s="10" t="s">
        <v>885</v>
      </c>
      <c r="G252" s="10" t="s">
        <v>883</v>
      </c>
      <c r="H252" s="10" t="s">
        <v>886</v>
      </c>
      <c r="I252" s="10" t="s">
        <v>111</v>
      </c>
    </row>
    <row r="253" spans="1:9" x14ac:dyDescent="0.15">
      <c r="A253" s="9">
        <v>252</v>
      </c>
      <c r="B253" s="10" t="s">
        <v>9</v>
      </c>
      <c r="C253" s="10" t="s">
        <v>170</v>
      </c>
      <c r="D253" s="10" t="s">
        <v>171</v>
      </c>
      <c r="E253" s="11" t="str">
        <f>+HYPERLINK("http://trademark.i-assist.jp/data/china/image_1900th/78422223.pdf", "78422223")</f>
        <v>78422223</v>
      </c>
      <c r="F253" s="10" t="s">
        <v>887</v>
      </c>
      <c r="G253" s="10" t="s">
        <v>888</v>
      </c>
      <c r="H253" s="10" t="s">
        <v>889</v>
      </c>
      <c r="I253" s="10" t="s">
        <v>111</v>
      </c>
    </row>
    <row r="254" spans="1:9" x14ac:dyDescent="0.15">
      <c r="A254" s="9">
        <v>253</v>
      </c>
      <c r="B254" s="10" t="s">
        <v>9</v>
      </c>
      <c r="C254" s="10" t="s">
        <v>170</v>
      </c>
      <c r="D254" s="10" t="s">
        <v>171</v>
      </c>
      <c r="E254" s="11" t="str">
        <f>+HYPERLINK("http://trademark.i-assist.jp/data/china/image_1900th/78425025.pdf", "78425025")</f>
        <v>78425025</v>
      </c>
      <c r="F254" s="10" t="s">
        <v>890</v>
      </c>
      <c r="G254" s="10" t="s">
        <v>891</v>
      </c>
      <c r="H254" s="10" t="s">
        <v>892</v>
      </c>
      <c r="I254" s="10" t="s">
        <v>111</v>
      </c>
    </row>
    <row r="255" spans="1:9" x14ac:dyDescent="0.15">
      <c r="A255" s="9">
        <v>254</v>
      </c>
      <c r="B255" s="10" t="s">
        <v>9</v>
      </c>
      <c r="C255" s="10" t="s">
        <v>170</v>
      </c>
      <c r="D255" s="10" t="s">
        <v>171</v>
      </c>
      <c r="E255" s="11" t="str">
        <f>+HYPERLINK("http://trademark.i-assist.jp/data/china/image_1900th/78427489.pdf", "78427489")</f>
        <v>78427489</v>
      </c>
      <c r="F255" s="10" t="s">
        <v>893</v>
      </c>
      <c r="G255" s="10" t="s">
        <v>894</v>
      </c>
      <c r="H255" s="10" t="s">
        <v>895</v>
      </c>
      <c r="I255" s="10" t="s">
        <v>111</v>
      </c>
    </row>
    <row r="256" spans="1:9" x14ac:dyDescent="0.15">
      <c r="A256" s="9">
        <v>255</v>
      </c>
      <c r="B256" s="10" t="s">
        <v>9</v>
      </c>
      <c r="C256" s="10" t="s">
        <v>170</v>
      </c>
      <c r="D256" s="10" t="s">
        <v>171</v>
      </c>
      <c r="E256" s="11" t="str">
        <f>+HYPERLINK("http://trademark.i-assist.jp/data/china/image_1900th/78429182.pdf", "78429182")</f>
        <v>78429182</v>
      </c>
      <c r="F256" s="10" t="s">
        <v>896</v>
      </c>
      <c r="G256" s="10" t="s">
        <v>897</v>
      </c>
      <c r="H256" s="10" t="s">
        <v>898</v>
      </c>
      <c r="I256" s="10" t="s">
        <v>111</v>
      </c>
    </row>
    <row r="257" spans="1:9" x14ac:dyDescent="0.15">
      <c r="A257" s="9">
        <v>256</v>
      </c>
      <c r="B257" s="10" t="s">
        <v>9</v>
      </c>
      <c r="C257" s="10" t="s">
        <v>170</v>
      </c>
      <c r="D257" s="10" t="s">
        <v>171</v>
      </c>
      <c r="E257" s="11" t="str">
        <f>+HYPERLINK("http://trademark.i-assist.jp/data/china/image_1900th/78430514.pdf", "78430514")</f>
        <v>78430514</v>
      </c>
      <c r="F257" s="10" t="s">
        <v>899</v>
      </c>
      <c r="G257" s="10" t="s">
        <v>900</v>
      </c>
      <c r="H257" s="10" t="s">
        <v>901</v>
      </c>
      <c r="I257" s="10" t="s">
        <v>111</v>
      </c>
    </row>
    <row r="258" spans="1:9" x14ac:dyDescent="0.15">
      <c r="A258" s="9">
        <v>257</v>
      </c>
      <c r="B258" s="10" t="s">
        <v>9</v>
      </c>
      <c r="C258" s="10" t="s">
        <v>170</v>
      </c>
      <c r="D258" s="10" t="s">
        <v>171</v>
      </c>
      <c r="E258" s="11" t="str">
        <f>+HYPERLINK("http://trademark.i-assist.jp/data/china/image_1900th/78434401.pdf", "78434401")</f>
        <v>78434401</v>
      </c>
      <c r="F258" s="10" t="s">
        <v>902</v>
      </c>
      <c r="G258" s="10" t="s">
        <v>903</v>
      </c>
      <c r="H258" s="10" t="s">
        <v>904</v>
      </c>
      <c r="I258" s="10" t="s">
        <v>111</v>
      </c>
    </row>
    <row r="259" spans="1:9" x14ac:dyDescent="0.15">
      <c r="A259" s="9">
        <v>258</v>
      </c>
      <c r="B259" s="10" t="s">
        <v>9</v>
      </c>
      <c r="C259" s="10" t="s">
        <v>170</v>
      </c>
      <c r="D259" s="10" t="s">
        <v>171</v>
      </c>
      <c r="E259" s="11" t="str">
        <f>+HYPERLINK("http://trademark.i-assist.jp/data/china/image_1900th/78438188.pdf", "78438188")</f>
        <v>78438188</v>
      </c>
      <c r="F259" s="10" t="s">
        <v>905</v>
      </c>
      <c r="G259" s="10" t="s">
        <v>906</v>
      </c>
      <c r="H259" s="10" t="s">
        <v>907</v>
      </c>
      <c r="I259" s="10" t="s">
        <v>111</v>
      </c>
    </row>
    <row r="260" spans="1:9" x14ac:dyDescent="0.15">
      <c r="A260" s="9">
        <v>259</v>
      </c>
      <c r="B260" s="10" t="s">
        <v>9</v>
      </c>
      <c r="C260" s="10" t="s">
        <v>170</v>
      </c>
      <c r="D260" s="10" t="s">
        <v>171</v>
      </c>
      <c r="E260" s="11" t="str">
        <f>+HYPERLINK("http://trademark.i-assist.jp/data/china/image_1900th/78440109.pdf", "78440109")</f>
        <v>78440109</v>
      </c>
      <c r="F260" s="10" t="s">
        <v>908</v>
      </c>
      <c r="G260" s="10" t="s">
        <v>909</v>
      </c>
      <c r="H260" s="10" t="s">
        <v>910</v>
      </c>
      <c r="I260" s="10" t="s">
        <v>111</v>
      </c>
    </row>
    <row r="261" spans="1:9" x14ac:dyDescent="0.15">
      <c r="A261" s="9">
        <v>260</v>
      </c>
      <c r="B261" s="10" t="s">
        <v>9</v>
      </c>
      <c r="C261" s="10" t="s">
        <v>170</v>
      </c>
      <c r="D261" s="10" t="s">
        <v>171</v>
      </c>
      <c r="E261" s="11" t="str">
        <f>+HYPERLINK("http://trademark.i-assist.jp/data/china/image_1900th/78440602.pdf", "78440602")</f>
        <v>78440602</v>
      </c>
      <c r="F261" s="10" t="s">
        <v>15</v>
      </c>
      <c r="G261" s="10" t="s">
        <v>911</v>
      </c>
      <c r="H261" s="10" t="s">
        <v>912</v>
      </c>
      <c r="I261" s="10" t="s">
        <v>111</v>
      </c>
    </row>
    <row r="262" spans="1:9" x14ac:dyDescent="0.15">
      <c r="A262" s="9">
        <v>261</v>
      </c>
      <c r="B262" s="10" t="s">
        <v>9</v>
      </c>
      <c r="C262" s="10" t="s">
        <v>170</v>
      </c>
      <c r="D262" s="10" t="s">
        <v>171</v>
      </c>
      <c r="E262" s="11" t="str">
        <f>+HYPERLINK("http://trademark.i-assist.jp/data/china/image_1900th/78440984.pdf", "78440984")</f>
        <v>78440984</v>
      </c>
      <c r="F262" s="10" t="s">
        <v>913</v>
      </c>
      <c r="G262" s="10" t="s">
        <v>914</v>
      </c>
      <c r="H262" s="10" t="s">
        <v>915</v>
      </c>
      <c r="I262" s="10" t="s">
        <v>111</v>
      </c>
    </row>
    <row r="263" spans="1:9" x14ac:dyDescent="0.15">
      <c r="A263" s="9">
        <v>262</v>
      </c>
      <c r="B263" s="10" t="s">
        <v>9</v>
      </c>
      <c r="C263" s="10" t="s">
        <v>170</v>
      </c>
      <c r="D263" s="10" t="s">
        <v>171</v>
      </c>
      <c r="E263" s="11" t="str">
        <f>+HYPERLINK("http://trademark.i-assist.jp/data/china/image_1900th/78441285.pdf", "78441285")</f>
        <v>78441285</v>
      </c>
      <c r="F263" s="10" t="s">
        <v>916</v>
      </c>
      <c r="G263" s="10" t="s">
        <v>917</v>
      </c>
      <c r="H263" s="10" t="s">
        <v>918</v>
      </c>
      <c r="I263" s="10" t="s">
        <v>111</v>
      </c>
    </row>
    <row r="264" spans="1:9" x14ac:dyDescent="0.15">
      <c r="A264" s="9">
        <v>263</v>
      </c>
      <c r="B264" s="10" t="s">
        <v>9</v>
      </c>
      <c r="C264" s="10" t="s">
        <v>170</v>
      </c>
      <c r="D264" s="10" t="s">
        <v>171</v>
      </c>
      <c r="E264" s="11" t="str">
        <f>+HYPERLINK("http://trademark.i-assist.jp/data/china/image_1900th/78441366.pdf", "78441366")</f>
        <v>78441366</v>
      </c>
      <c r="F264" s="10" t="s">
        <v>919</v>
      </c>
      <c r="G264" s="10" t="s">
        <v>110</v>
      </c>
      <c r="H264" s="10" t="s">
        <v>920</v>
      </c>
      <c r="I264" s="10" t="s">
        <v>111</v>
      </c>
    </row>
    <row r="265" spans="1:9" x14ac:dyDescent="0.15">
      <c r="A265" s="9">
        <v>264</v>
      </c>
      <c r="B265" s="10" t="s">
        <v>9</v>
      </c>
      <c r="C265" s="10" t="s">
        <v>170</v>
      </c>
      <c r="D265" s="10" t="s">
        <v>171</v>
      </c>
      <c r="E265" s="11" t="str">
        <f>+HYPERLINK("http://trademark.i-assist.jp/data/china/image_1900th/78443583.pdf", "78443583")</f>
        <v>78443583</v>
      </c>
      <c r="F265" s="10" t="s">
        <v>921</v>
      </c>
      <c r="G265" s="10" t="s">
        <v>922</v>
      </c>
      <c r="H265" s="10" t="s">
        <v>923</v>
      </c>
      <c r="I265" s="10" t="s">
        <v>111</v>
      </c>
    </row>
    <row r="266" spans="1:9" x14ac:dyDescent="0.15">
      <c r="A266" s="9">
        <v>265</v>
      </c>
      <c r="B266" s="10" t="s">
        <v>9</v>
      </c>
      <c r="C266" s="10" t="s">
        <v>170</v>
      </c>
      <c r="D266" s="10" t="s">
        <v>171</v>
      </c>
      <c r="E266" s="11" t="str">
        <f>+HYPERLINK("http://trademark.i-assist.jp/data/china/image_1900th/78443862.pdf", "78443862")</f>
        <v>78443862</v>
      </c>
      <c r="F266" s="10" t="s">
        <v>924</v>
      </c>
      <c r="G266" s="10" t="s">
        <v>925</v>
      </c>
      <c r="H266" s="10" t="s">
        <v>926</v>
      </c>
      <c r="I266" s="10" t="s">
        <v>111</v>
      </c>
    </row>
    <row r="267" spans="1:9" x14ac:dyDescent="0.15">
      <c r="A267" s="9">
        <v>266</v>
      </c>
      <c r="B267" s="10" t="s">
        <v>9</v>
      </c>
      <c r="C267" s="10" t="s">
        <v>170</v>
      </c>
      <c r="D267" s="10" t="s">
        <v>171</v>
      </c>
      <c r="E267" s="11" t="str">
        <f>+HYPERLINK("http://trademark.i-assist.jp/data/china/image_1900th/78443966.pdf", "78443966")</f>
        <v>78443966</v>
      </c>
      <c r="F267" s="10" t="s">
        <v>927</v>
      </c>
      <c r="G267" s="10" t="s">
        <v>875</v>
      </c>
      <c r="H267" s="10" t="s">
        <v>928</v>
      </c>
      <c r="I267" s="10" t="s">
        <v>111</v>
      </c>
    </row>
    <row r="268" spans="1:9" x14ac:dyDescent="0.15">
      <c r="A268" s="9">
        <v>267</v>
      </c>
      <c r="B268" s="10" t="s">
        <v>9</v>
      </c>
      <c r="C268" s="10" t="s">
        <v>170</v>
      </c>
      <c r="D268" s="10" t="s">
        <v>171</v>
      </c>
      <c r="E268" s="11" t="str">
        <f>+HYPERLINK("http://trademark.i-assist.jp/data/china/image_1900th/78444993.pdf", "78444993")</f>
        <v>78444993</v>
      </c>
      <c r="F268" s="10" t="s">
        <v>929</v>
      </c>
      <c r="G268" s="10" t="s">
        <v>930</v>
      </c>
      <c r="H268" s="10" t="s">
        <v>931</v>
      </c>
      <c r="I268" s="10" t="s">
        <v>111</v>
      </c>
    </row>
    <row r="269" spans="1:9" x14ac:dyDescent="0.15">
      <c r="A269" s="9">
        <v>268</v>
      </c>
      <c r="B269" s="10" t="s">
        <v>9</v>
      </c>
      <c r="C269" s="10" t="s">
        <v>170</v>
      </c>
      <c r="D269" s="10" t="s">
        <v>171</v>
      </c>
      <c r="E269" s="11" t="str">
        <f>+HYPERLINK("http://trademark.i-assist.jp/data/china/image_1900th/78446299.pdf", "78446299")</f>
        <v>78446299</v>
      </c>
      <c r="F269" s="10" t="s">
        <v>932</v>
      </c>
      <c r="G269" s="10" t="s">
        <v>933</v>
      </c>
      <c r="H269" s="10" t="s">
        <v>934</v>
      </c>
      <c r="I269" s="10" t="s">
        <v>111</v>
      </c>
    </row>
    <row r="270" spans="1:9" x14ac:dyDescent="0.15">
      <c r="A270" s="9">
        <v>269</v>
      </c>
      <c r="B270" s="10" t="s">
        <v>9</v>
      </c>
      <c r="C270" s="10" t="s">
        <v>170</v>
      </c>
      <c r="D270" s="10" t="s">
        <v>171</v>
      </c>
      <c r="E270" s="11" t="str">
        <f>+HYPERLINK("http://trademark.i-assist.jp/data/china/image_1900th/78448708.pdf", "78448708")</f>
        <v>78448708</v>
      </c>
      <c r="F270" s="10" t="s">
        <v>935</v>
      </c>
      <c r="G270" s="10" t="s">
        <v>936</v>
      </c>
      <c r="H270" s="10" t="s">
        <v>937</v>
      </c>
      <c r="I270" s="10" t="s">
        <v>92</v>
      </c>
    </row>
    <row r="271" spans="1:9" x14ac:dyDescent="0.15">
      <c r="A271" s="9">
        <v>270</v>
      </c>
      <c r="B271" s="10" t="s">
        <v>9</v>
      </c>
      <c r="C271" s="10" t="s">
        <v>170</v>
      </c>
      <c r="D271" s="10" t="s">
        <v>171</v>
      </c>
      <c r="E271" s="11" t="str">
        <f>+HYPERLINK("http://trademark.i-assist.jp/data/china/image_1900th/78451322.pdf", "78451322")</f>
        <v>78451322</v>
      </c>
      <c r="F271" s="10" t="s">
        <v>938</v>
      </c>
      <c r="G271" s="10" t="s">
        <v>939</v>
      </c>
      <c r="H271" s="10" t="s">
        <v>940</v>
      </c>
      <c r="I271" s="10" t="s">
        <v>111</v>
      </c>
    </row>
    <row r="272" spans="1:9" x14ac:dyDescent="0.15">
      <c r="A272" s="9">
        <v>271</v>
      </c>
      <c r="B272" s="10" t="s">
        <v>9</v>
      </c>
      <c r="C272" s="10" t="s">
        <v>170</v>
      </c>
      <c r="D272" s="10" t="s">
        <v>171</v>
      </c>
      <c r="E272" s="11" t="str">
        <f>+HYPERLINK("http://trademark.i-assist.jp/data/china/image_1900th/78451768.pdf", "78451768")</f>
        <v>78451768</v>
      </c>
      <c r="F272" s="10" t="s">
        <v>941</v>
      </c>
      <c r="G272" s="10" t="s">
        <v>936</v>
      </c>
      <c r="H272" s="10" t="s">
        <v>937</v>
      </c>
      <c r="I272" s="10" t="s">
        <v>92</v>
      </c>
    </row>
    <row r="273" spans="1:9" x14ac:dyDescent="0.15">
      <c r="A273" s="9">
        <v>272</v>
      </c>
      <c r="B273" s="10" t="s">
        <v>9</v>
      </c>
      <c r="C273" s="10" t="s">
        <v>170</v>
      </c>
      <c r="D273" s="10" t="s">
        <v>171</v>
      </c>
      <c r="E273" s="11" t="str">
        <f>+HYPERLINK("http://trademark.i-assist.jp/data/china/image_1900th/78453944.pdf", "78453944")</f>
        <v>78453944</v>
      </c>
      <c r="F273" s="10" t="s">
        <v>942</v>
      </c>
      <c r="G273" s="10" t="s">
        <v>943</v>
      </c>
      <c r="H273" s="10" t="s">
        <v>944</v>
      </c>
      <c r="I273" s="10" t="s">
        <v>92</v>
      </c>
    </row>
    <row r="274" spans="1:9" x14ac:dyDescent="0.15">
      <c r="A274" s="9">
        <v>273</v>
      </c>
      <c r="B274" s="10" t="s">
        <v>9</v>
      </c>
      <c r="C274" s="10" t="s">
        <v>170</v>
      </c>
      <c r="D274" s="10" t="s">
        <v>171</v>
      </c>
      <c r="E274" s="11" t="str">
        <f>+HYPERLINK("http://trademark.i-assist.jp/data/china/image_1900th/78456782.pdf", "78456782")</f>
        <v>78456782</v>
      </c>
      <c r="F274" s="10" t="s">
        <v>945</v>
      </c>
      <c r="G274" s="10" t="s">
        <v>946</v>
      </c>
      <c r="H274" s="10" t="s">
        <v>947</v>
      </c>
      <c r="I274" s="10" t="s">
        <v>121</v>
      </c>
    </row>
    <row r="275" spans="1:9" x14ac:dyDescent="0.15">
      <c r="A275" s="9">
        <v>274</v>
      </c>
      <c r="B275" s="10" t="s">
        <v>9</v>
      </c>
      <c r="C275" s="10" t="s">
        <v>170</v>
      </c>
      <c r="D275" s="10" t="s">
        <v>171</v>
      </c>
      <c r="E275" s="11" t="str">
        <f>+HYPERLINK("http://trademark.i-assist.jp/data/china/image_1900th/78457560.pdf", "78457560")</f>
        <v>78457560</v>
      </c>
      <c r="F275" s="10" t="s">
        <v>948</v>
      </c>
      <c r="G275" s="10" t="s">
        <v>949</v>
      </c>
      <c r="H275" s="10" t="s">
        <v>950</v>
      </c>
      <c r="I275" s="10" t="s">
        <v>121</v>
      </c>
    </row>
    <row r="276" spans="1:9" x14ac:dyDescent="0.15">
      <c r="A276" s="9">
        <v>275</v>
      </c>
      <c r="B276" s="10" t="s">
        <v>9</v>
      </c>
      <c r="C276" s="10" t="s">
        <v>170</v>
      </c>
      <c r="D276" s="10" t="s">
        <v>171</v>
      </c>
      <c r="E276" s="11" t="str">
        <f>+HYPERLINK("http://trademark.i-assist.jp/data/china/image_1900th/78457931.pdf", "78457931")</f>
        <v>78457931</v>
      </c>
      <c r="F276" s="10" t="s">
        <v>15</v>
      </c>
      <c r="G276" s="10" t="s">
        <v>951</v>
      </c>
      <c r="H276" s="10" t="s">
        <v>952</v>
      </c>
      <c r="I276" s="10" t="s">
        <v>121</v>
      </c>
    </row>
    <row r="277" spans="1:9" x14ac:dyDescent="0.15">
      <c r="A277" s="9">
        <v>276</v>
      </c>
      <c r="B277" s="10" t="s">
        <v>9</v>
      </c>
      <c r="C277" s="10" t="s">
        <v>170</v>
      </c>
      <c r="D277" s="10" t="s">
        <v>171</v>
      </c>
      <c r="E277" s="11" t="str">
        <f>+HYPERLINK("http://trademark.i-assist.jp/data/china/image_1900th/78458448.pdf", "78458448")</f>
        <v>78458448</v>
      </c>
      <c r="F277" s="10" t="s">
        <v>953</v>
      </c>
      <c r="G277" s="10" t="s">
        <v>954</v>
      </c>
      <c r="H277" s="10" t="s">
        <v>955</v>
      </c>
      <c r="I277" s="10" t="s">
        <v>121</v>
      </c>
    </row>
    <row r="278" spans="1:9" x14ac:dyDescent="0.15">
      <c r="A278" s="9">
        <v>277</v>
      </c>
      <c r="B278" s="10" t="s">
        <v>9</v>
      </c>
      <c r="C278" s="10" t="s">
        <v>170</v>
      </c>
      <c r="D278" s="10" t="s">
        <v>171</v>
      </c>
      <c r="E278" s="11" t="str">
        <f>+HYPERLINK("http://trademark.i-assist.jp/data/china/image_1900th/78459640.pdf", "78459640")</f>
        <v>78459640</v>
      </c>
      <c r="F278" s="10" t="s">
        <v>956</v>
      </c>
      <c r="G278" s="10" t="s">
        <v>957</v>
      </c>
      <c r="H278" s="10" t="s">
        <v>958</v>
      </c>
      <c r="I278" s="10" t="s">
        <v>121</v>
      </c>
    </row>
    <row r="279" spans="1:9" x14ac:dyDescent="0.15">
      <c r="A279" s="9">
        <v>278</v>
      </c>
      <c r="B279" s="10" t="s">
        <v>9</v>
      </c>
      <c r="C279" s="10" t="s">
        <v>170</v>
      </c>
      <c r="D279" s="10" t="s">
        <v>171</v>
      </c>
      <c r="E279" s="11" t="str">
        <f>+HYPERLINK("http://trademark.i-assist.jp/data/china/image_1900th/78460594.pdf", "78460594")</f>
        <v>78460594</v>
      </c>
      <c r="F279" s="10" t="s">
        <v>959</v>
      </c>
      <c r="G279" s="10" t="s">
        <v>960</v>
      </c>
      <c r="H279" s="10" t="s">
        <v>961</v>
      </c>
      <c r="I279" s="10" t="s">
        <v>121</v>
      </c>
    </row>
    <row r="280" spans="1:9" x14ac:dyDescent="0.15">
      <c r="A280" s="9">
        <v>279</v>
      </c>
      <c r="B280" s="10" t="s">
        <v>9</v>
      </c>
      <c r="C280" s="10" t="s">
        <v>170</v>
      </c>
      <c r="D280" s="10" t="s">
        <v>171</v>
      </c>
      <c r="E280" s="11" t="str">
        <f>+HYPERLINK("http://trademark.i-assist.jp/data/china/image_1900th/78460597.pdf", "78460597")</f>
        <v>78460597</v>
      </c>
      <c r="F280" s="10" t="s">
        <v>962</v>
      </c>
      <c r="G280" s="10" t="s">
        <v>960</v>
      </c>
      <c r="H280" s="10" t="s">
        <v>963</v>
      </c>
      <c r="I280" s="10" t="s">
        <v>121</v>
      </c>
    </row>
    <row r="281" spans="1:9" x14ac:dyDescent="0.15">
      <c r="A281" s="9">
        <v>280</v>
      </c>
      <c r="B281" s="10" t="s">
        <v>9</v>
      </c>
      <c r="C281" s="10" t="s">
        <v>170</v>
      </c>
      <c r="D281" s="10" t="s">
        <v>171</v>
      </c>
      <c r="E281" s="11" t="str">
        <f>+HYPERLINK("http://trademark.i-assist.jp/data/china/image_1900th/78461072.pdf", "78461072")</f>
        <v>78461072</v>
      </c>
      <c r="F281" s="10" t="s">
        <v>964</v>
      </c>
      <c r="G281" s="10" t="s">
        <v>117</v>
      </c>
      <c r="H281" s="10" t="s">
        <v>965</v>
      </c>
      <c r="I281" s="10" t="s">
        <v>121</v>
      </c>
    </row>
    <row r="282" spans="1:9" x14ac:dyDescent="0.15">
      <c r="A282" s="9">
        <v>281</v>
      </c>
      <c r="B282" s="10" t="s">
        <v>9</v>
      </c>
      <c r="C282" s="10" t="s">
        <v>170</v>
      </c>
      <c r="D282" s="10" t="s">
        <v>171</v>
      </c>
      <c r="E282" s="11" t="str">
        <f>+HYPERLINK("http://trademark.i-assist.jp/data/china/image_1900th/78461653.pdf", "78461653")</f>
        <v>78461653</v>
      </c>
      <c r="F282" s="10" t="s">
        <v>966</v>
      </c>
      <c r="G282" s="10" t="s">
        <v>967</v>
      </c>
      <c r="H282" s="10" t="s">
        <v>968</v>
      </c>
      <c r="I282" s="10" t="s">
        <v>121</v>
      </c>
    </row>
    <row r="283" spans="1:9" x14ac:dyDescent="0.15">
      <c r="A283" s="9">
        <v>282</v>
      </c>
      <c r="B283" s="10" t="s">
        <v>9</v>
      </c>
      <c r="C283" s="10" t="s">
        <v>170</v>
      </c>
      <c r="D283" s="10" t="s">
        <v>171</v>
      </c>
      <c r="E283" s="11" t="str">
        <f>+HYPERLINK("http://trademark.i-assist.jp/data/china/image_1900th/78461886.pdf", "78461886")</f>
        <v>78461886</v>
      </c>
      <c r="F283" s="10" t="s">
        <v>969</v>
      </c>
      <c r="G283" s="10" t="s">
        <v>970</v>
      </c>
      <c r="H283" s="10" t="s">
        <v>971</v>
      </c>
      <c r="I283" s="10" t="s">
        <v>121</v>
      </c>
    </row>
    <row r="284" spans="1:9" x14ac:dyDescent="0.15">
      <c r="A284" s="9">
        <v>283</v>
      </c>
      <c r="B284" s="10" t="s">
        <v>9</v>
      </c>
      <c r="C284" s="10" t="s">
        <v>170</v>
      </c>
      <c r="D284" s="10" t="s">
        <v>171</v>
      </c>
      <c r="E284" s="11" t="str">
        <f>+HYPERLINK("http://trademark.i-assist.jp/data/china/image_1900th/78462093.pdf", "78462093")</f>
        <v>78462093</v>
      </c>
      <c r="F284" s="10" t="s">
        <v>972</v>
      </c>
      <c r="G284" s="10" t="s">
        <v>973</v>
      </c>
      <c r="H284" s="10" t="s">
        <v>974</v>
      </c>
      <c r="I284" s="10" t="s">
        <v>121</v>
      </c>
    </row>
    <row r="285" spans="1:9" x14ac:dyDescent="0.15">
      <c r="A285" s="9">
        <v>284</v>
      </c>
      <c r="B285" s="10" t="s">
        <v>9</v>
      </c>
      <c r="C285" s="10" t="s">
        <v>170</v>
      </c>
      <c r="D285" s="10" t="s">
        <v>171</v>
      </c>
      <c r="E285" s="11" t="str">
        <f>+HYPERLINK("http://trademark.i-assist.jp/data/china/image_1900th/78462760.pdf", "78462760")</f>
        <v>78462760</v>
      </c>
      <c r="F285" s="10" t="s">
        <v>975</v>
      </c>
      <c r="G285" s="10" t="s">
        <v>976</v>
      </c>
      <c r="H285" s="10" t="s">
        <v>977</v>
      </c>
      <c r="I285" s="10" t="s">
        <v>121</v>
      </c>
    </row>
    <row r="286" spans="1:9" x14ac:dyDescent="0.15">
      <c r="A286" s="9">
        <v>285</v>
      </c>
      <c r="B286" s="10" t="s">
        <v>9</v>
      </c>
      <c r="C286" s="10" t="s">
        <v>170</v>
      </c>
      <c r="D286" s="10" t="s">
        <v>171</v>
      </c>
      <c r="E286" s="11" t="str">
        <f>+HYPERLINK("http://trademark.i-assist.jp/data/china/image_1900th/78463018.pdf", "78463018")</f>
        <v>78463018</v>
      </c>
      <c r="F286" s="10" t="s">
        <v>978</v>
      </c>
      <c r="G286" s="10" t="s">
        <v>949</v>
      </c>
      <c r="H286" s="10" t="s">
        <v>979</v>
      </c>
      <c r="I286" s="10" t="s">
        <v>121</v>
      </c>
    </row>
    <row r="287" spans="1:9" x14ac:dyDescent="0.15">
      <c r="A287" s="9">
        <v>286</v>
      </c>
      <c r="B287" s="10" t="s">
        <v>9</v>
      </c>
      <c r="C287" s="10" t="s">
        <v>170</v>
      </c>
      <c r="D287" s="10" t="s">
        <v>171</v>
      </c>
      <c r="E287" s="11" t="str">
        <f>+HYPERLINK("http://trademark.i-assist.jp/data/china/image_1900th/78464653.pdf", "78464653")</f>
        <v>78464653</v>
      </c>
      <c r="F287" s="10" t="s">
        <v>980</v>
      </c>
      <c r="G287" s="10" t="s">
        <v>981</v>
      </c>
      <c r="H287" s="10" t="s">
        <v>982</v>
      </c>
      <c r="I287" s="10" t="s">
        <v>121</v>
      </c>
    </row>
    <row r="288" spans="1:9" x14ac:dyDescent="0.15">
      <c r="A288" s="9">
        <v>287</v>
      </c>
      <c r="B288" s="10" t="s">
        <v>9</v>
      </c>
      <c r="C288" s="10" t="s">
        <v>170</v>
      </c>
      <c r="D288" s="10" t="s">
        <v>171</v>
      </c>
      <c r="E288" s="11" t="str">
        <f>+HYPERLINK("http://trademark.i-assist.jp/data/china/image_1900th/78464903.pdf", "78464903")</f>
        <v>78464903</v>
      </c>
      <c r="F288" s="10" t="s">
        <v>983</v>
      </c>
      <c r="G288" s="10" t="s">
        <v>103</v>
      </c>
      <c r="H288" s="10" t="s">
        <v>984</v>
      </c>
      <c r="I288" s="10" t="s">
        <v>121</v>
      </c>
    </row>
    <row r="289" spans="1:9" x14ac:dyDescent="0.15">
      <c r="A289" s="9">
        <v>288</v>
      </c>
      <c r="B289" s="10" t="s">
        <v>9</v>
      </c>
      <c r="C289" s="10" t="s">
        <v>170</v>
      </c>
      <c r="D289" s="10" t="s">
        <v>171</v>
      </c>
      <c r="E289" s="11" t="str">
        <f>+HYPERLINK("http://trademark.i-assist.jp/data/china/image_1900th/78466771.pdf", "78466771")</f>
        <v>78466771</v>
      </c>
      <c r="F289" s="10" t="s">
        <v>985</v>
      </c>
      <c r="G289" s="10" t="s">
        <v>986</v>
      </c>
      <c r="H289" s="10" t="s">
        <v>987</v>
      </c>
      <c r="I289" s="10" t="s">
        <v>121</v>
      </c>
    </row>
    <row r="290" spans="1:9" x14ac:dyDescent="0.15">
      <c r="A290" s="9">
        <v>289</v>
      </c>
      <c r="B290" s="10" t="s">
        <v>9</v>
      </c>
      <c r="C290" s="10" t="s">
        <v>170</v>
      </c>
      <c r="D290" s="10" t="s">
        <v>171</v>
      </c>
      <c r="E290" s="11" t="str">
        <f>+HYPERLINK("http://trademark.i-assist.jp/data/china/image_1900th/78468703.pdf", "78468703")</f>
        <v>78468703</v>
      </c>
      <c r="F290" s="10" t="s">
        <v>988</v>
      </c>
      <c r="G290" s="10" t="s">
        <v>989</v>
      </c>
      <c r="H290" s="10" t="s">
        <v>990</v>
      </c>
      <c r="I290" s="10" t="s">
        <v>121</v>
      </c>
    </row>
    <row r="291" spans="1:9" x14ac:dyDescent="0.15">
      <c r="A291" s="9">
        <v>290</v>
      </c>
      <c r="B291" s="10" t="s">
        <v>9</v>
      </c>
      <c r="C291" s="10" t="s">
        <v>170</v>
      </c>
      <c r="D291" s="10" t="s">
        <v>171</v>
      </c>
      <c r="E291" s="11" t="str">
        <f>+HYPERLINK("http://trademark.i-assist.jp/data/china/image_1900th/78469184.pdf", "78469184")</f>
        <v>78469184</v>
      </c>
      <c r="F291" s="10" t="s">
        <v>991</v>
      </c>
      <c r="G291" s="10" t="s">
        <v>992</v>
      </c>
      <c r="H291" s="10" t="s">
        <v>993</v>
      </c>
      <c r="I291" s="10" t="s">
        <v>121</v>
      </c>
    </row>
    <row r="292" spans="1:9" x14ac:dyDescent="0.15">
      <c r="A292" s="9">
        <v>291</v>
      </c>
      <c r="B292" s="10" t="s">
        <v>9</v>
      </c>
      <c r="C292" s="10" t="s">
        <v>170</v>
      </c>
      <c r="D292" s="10" t="s">
        <v>171</v>
      </c>
      <c r="E292" s="11" t="str">
        <f>+HYPERLINK("http://trademark.i-assist.jp/data/china/image_1900th/78471579.pdf", "78471579")</f>
        <v>78471579</v>
      </c>
      <c r="F292" s="10" t="s">
        <v>994</v>
      </c>
      <c r="G292" s="10" t="s">
        <v>995</v>
      </c>
      <c r="H292" s="10" t="s">
        <v>996</v>
      </c>
      <c r="I292" s="10" t="s">
        <v>121</v>
      </c>
    </row>
    <row r="293" spans="1:9" x14ac:dyDescent="0.15">
      <c r="A293" s="9">
        <v>292</v>
      </c>
      <c r="B293" s="10" t="s">
        <v>9</v>
      </c>
      <c r="C293" s="10" t="s">
        <v>170</v>
      </c>
      <c r="D293" s="10" t="s">
        <v>171</v>
      </c>
      <c r="E293" s="11" t="str">
        <f>+HYPERLINK("http://trademark.i-assist.jp/data/china/image_1900th/78472617.pdf", "78472617")</f>
        <v>78472617</v>
      </c>
      <c r="F293" s="10" t="s">
        <v>997</v>
      </c>
      <c r="G293" s="10" t="s">
        <v>117</v>
      </c>
      <c r="H293" s="10" t="s">
        <v>998</v>
      </c>
      <c r="I293" s="10" t="s">
        <v>121</v>
      </c>
    </row>
    <row r="294" spans="1:9" x14ac:dyDescent="0.15">
      <c r="A294" s="9">
        <v>293</v>
      </c>
      <c r="B294" s="10" t="s">
        <v>9</v>
      </c>
      <c r="C294" s="10" t="s">
        <v>170</v>
      </c>
      <c r="D294" s="10" t="s">
        <v>171</v>
      </c>
      <c r="E294" s="11" t="str">
        <f>+HYPERLINK("http://trademark.i-assist.jp/data/china/image_1900th/78473163.pdf", "78473163")</f>
        <v>78473163</v>
      </c>
      <c r="F294" s="10" t="s">
        <v>999</v>
      </c>
      <c r="G294" s="10" t="s">
        <v>144</v>
      </c>
      <c r="H294" s="10" t="s">
        <v>1000</v>
      </c>
      <c r="I294" s="10" t="s">
        <v>121</v>
      </c>
    </row>
    <row r="295" spans="1:9" x14ac:dyDescent="0.15">
      <c r="A295" s="9">
        <v>294</v>
      </c>
      <c r="B295" s="10" t="s">
        <v>9</v>
      </c>
      <c r="C295" s="10" t="s">
        <v>170</v>
      </c>
      <c r="D295" s="10" t="s">
        <v>171</v>
      </c>
      <c r="E295" s="11" t="str">
        <f>+HYPERLINK("http://trademark.i-assist.jp/data/china/image_1900th/78473962.pdf", "78473962")</f>
        <v>78473962</v>
      </c>
      <c r="F295" s="10" t="s">
        <v>1001</v>
      </c>
      <c r="G295" s="10" t="s">
        <v>122</v>
      </c>
      <c r="H295" s="10" t="s">
        <v>1002</v>
      </c>
      <c r="I295" s="10" t="s">
        <v>121</v>
      </c>
    </row>
    <row r="296" spans="1:9" x14ac:dyDescent="0.15">
      <c r="A296" s="9">
        <v>295</v>
      </c>
      <c r="B296" s="10" t="s">
        <v>9</v>
      </c>
      <c r="C296" s="10" t="s">
        <v>170</v>
      </c>
      <c r="D296" s="10" t="s">
        <v>171</v>
      </c>
      <c r="E296" s="11" t="str">
        <f>+HYPERLINK("http://trademark.i-assist.jp/data/china/image_1900th/78474387.pdf", "78474387")</f>
        <v>78474387</v>
      </c>
      <c r="F296" s="10" t="s">
        <v>1003</v>
      </c>
      <c r="G296" s="10" t="s">
        <v>986</v>
      </c>
      <c r="H296" s="10" t="s">
        <v>1004</v>
      </c>
      <c r="I296" s="10" t="s">
        <v>121</v>
      </c>
    </row>
    <row r="297" spans="1:9" x14ac:dyDescent="0.15">
      <c r="A297" s="9">
        <v>296</v>
      </c>
      <c r="B297" s="10" t="s">
        <v>9</v>
      </c>
      <c r="C297" s="10" t="s">
        <v>170</v>
      </c>
      <c r="D297" s="10" t="s">
        <v>171</v>
      </c>
      <c r="E297" s="11" t="str">
        <f>+HYPERLINK("http://trademark.i-assist.jp/data/china/image_1900th/78474674.pdf", "78474674")</f>
        <v>78474674</v>
      </c>
      <c r="F297" s="10" t="s">
        <v>1005</v>
      </c>
      <c r="G297" s="10" t="s">
        <v>126</v>
      </c>
      <c r="H297" s="10" t="s">
        <v>1006</v>
      </c>
      <c r="I297" s="10" t="s">
        <v>121</v>
      </c>
    </row>
    <row r="298" spans="1:9" x14ac:dyDescent="0.15">
      <c r="A298" s="9">
        <v>297</v>
      </c>
      <c r="B298" s="10" t="s">
        <v>9</v>
      </c>
      <c r="C298" s="10" t="s">
        <v>170</v>
      </c>
      <c r="D298" s="10" t="s">
        <v>171</v>
      </c>
      <c r="E298" s="11" t="str">
        <f>+HYPERLINK("http://trademark.i-assist.jp/data/china/image_1900th/78475664.pdf", "78475664")</f>
        <v>78475664</v>
      </c>
      <c r="F298" s="10" t="s">
        <v>1007</v>
      </c>
      <c r="G298" s="10" t="s">
        <v>1008</v>
      </c>
      <c r="H298" s="10" t="s">
        <v>1009</v>
      </c>
      <c r="I298" s="10" t="s">
        <v>121</v>
      </c>
    </row>
    <row r="299" spans="1:9" x14ac:dyDescent="0.15">
      <c r="A299" s="9">
        <v>298</v>
      </c>
      <c r="B299" s="10" t="s">
        <v>9</v>
      </c>
      <c r="C299" s="10" t="s">
        <v>170</v>
      </c>
      <c r="D299" s="10" t="s">
        <v>171</v>
      </c>
      <c r="E299" s="11" t="str">
        <f>+HYPERLINK("http://trademark.i-assist.jp/data/china/image_1900th/78476320.pdf", "78476320")</f>
        <v>78476320</v>
      </c>
      <c r="F299" s="10" t="s">
        <v>1010</v>
      </c>
      <c r="G299" s="10" t="s">
        <v>122</v>
      </c>
      <c r="H299" s="10" t="s">
        <v>1011</v>
      </c>
      <c r="I299" s="10" t="s">
        <v>121</v>
      </c>
    </row>
    <row r="300" spans="1:9" x14ac:dyDescent="0.15">
      <c r="A300" s="9">
        <v>299</v>
      </c>
      <c r="B300" s="10" t="s">
        <v>9</v>
      </c>
      <c r="C300" s="10" t="s">
        <v>170</v>
      </c>
      <c r="D300" s="10" t="s">
        <v>171</v>
      </c>
      <c r="E300" s="11" t="str">
        <f>+HYPERLINK("http://trademark.i-assist.jp/data/china/image_1900th/78477628.pdf", "78477628")</f>
        <v>78477628</v>
      </c>
      <c r="F300" s="10" t="s">
        <v>1012</v>
      </c>
      <c r="G300" s="10" t="s">
        <v>1013</v>
      </c>
      <c r="H300" s="10" t="s">
        <v>1014</v>
      </c>
      <c r="I300" s="10" t="s">
        <v>121</v>
      </c>
    </row>
    <row r="301" spans="1:9" x14ac:dyDescent="0.15">
      <c r="A301" s="9">
        <v>300</v>
      </c>
      <c r="B301" s="10" t="s">
        <v>9</v>
      </c>
      <c r="C301" s="10" t="s">
        <v>170</v>
      </c>
      <c r="D301" s="10" t="s">
        <v>171</v>
      </c>
      <c r="E301" s="11" t="str">
        <f>+HYPERLINK("http://trademark.i-assist.jp/data/china/image_1900th/78479895.pdf", "78479895")</f>
        <v>78479895</v>
      </c>
      <c r="F301" s="10" t="s">
        <v>1015</v>
      </c>
      <c r="G301" s="10" t="s">
        <v>1016</v>
      </c>
      <c r="H301" s="10" t="s">
        <v>1017</v>
      </c>
      <c r="I301" s="10" t="s">
        <v>121</v>
      </c>
    </row>
    <row r="302" spans="1:9" x14ac:dyDescent="0.15">
      <c r="A302" s="9">
        <v>301</v>
      </c>
      <c r="B302" s="10" t="s">
        <v>9</v>
      </c>
      <c r="C302" s="10" t="s">
        <v>170</v>
      </c>
      <c r="D302" s="10" t="s">
        <v>171</v>
      </c>
      <c r="E302" s="11" t="str">
        <f>+HYPERLINK("http://trademark.i-assist.jp/data/china/image_1900th/78480330.pdf", "78480330")</f>
        <v>78480330</v>
      </c>
      <c r="F302" s="10" t="s">
        <v>1018</v>
      </c>
      <c r="G302" s="10" t="s">
        <v>117</v>
      </c>
      <c r="H302" s="10" t="s">
        <v>1019</v>
      </c>
      <c r="I302" s="10" t="s">
        <v>121</v>
      </c>
    </row>
    <row r="303" spans="1:9" x14ac:dyDescent="0.15">
      <c r="A303" s="9">
        <v>302</v>
      </c>
      <c r="B303" s="10" t="s">
        <v>9</v>
      </c>
      <c r="C303" s="10" t="s">
        <v>170</v>
      </c>
      <c r="D303" s="10" t="s">
        <v>171</v>
      </c>
      <c r="E303" s="11" t="str">
        <f>+HYPERLINK("http://trademark.i-assist.jp/data/china/image_1900th/78481384.pdf", "78481384")</f>
        <v>78481384</v>
      </c>
      <c r="F303" s="10" t="s">
        <v>1020</v>
      </c>
      <c r="G303" s="10" t="s">
        <v>949</v>
      </c>
      <c r="H303" s="10" t="s">
        <v>1021</v>
      </c>
      <c r="I303" s="10" t="s">
        <v>121</v>
      </c>
    </row>
    <row r="304" spans="1:9" x14ac:dyDescent="0.15">
      <c r="A304" s="9">
        <v>303</v>
      </c>
      <c r="B304" s="10" t="s">
        <v>9</v>
      </c>
      <c r="C304" s="10" t="s">
        <v>170</v>
      </c>
      <c r="D304" s="10" t="s">
        <v>171</v>
      </c>
      <c r="E304" s="11" t="str">
        <f>+HYPERLINK("http://trademark.i-assist.jp/data/china/image_1900th/78484230.pdf", "78484230")</f>
        <v>78484230</v>
      </c>
      <c r="F304" s="10" t="s">
        <v>1022</v>
      </c>
      <c r="G304" s="10" t="s">
        <v>1023</v>
      </c>
      <c r="H304" s="10" t="s">
        <v>1024</v>
      </c>
      <c r="I304" s="10" t="s">
        <v>121</v>
      </c>
    </row>
    <row r="305" spans="1:9" x14ac:dyDescent="0.15">
      <c r="A305" s="9">
        <v>304</v>
      </c>
      <c r="B305" s="10" t="s">
        <v>9</v>
      </c>
      <c r="C305" s="10" t="s">
        <v>170</v>
      </c>
      <c r="D305" s="10" t="s">
        <v>171</v>
      </c>
      <c r="E305" s="11" t="str">
        <f>+HYPERLINK("http://trademark.i-assist.jp/data/china/image_1900th/78484520.pdf", "78484520")</f>
        <v>78484520</v>
      </c>
      <c r="F305" s="10" t="s">
        <v>15</v>
      </c>
      <c r="G305" s="10" t="s">
        <v>1025</v>
      </c>
      <c r="H305" s="10" t="s">
        <v>1026</v>
      </c>
      <c r="I305" s="10" t="s">
        <v>134</v>
      </c>
    </row>
    <row r="306" spans="1:9" x14ac:dyDescent="0.15">
      <c r="A306" s="9">
        <v>305</v>
      </c>
      <c r="B306" s="10" t="s">
        <v>9</v>
      </c>
      <c r="C306" s="10" t="s">
        <v>170</v>
      </c>
      <c r="D306" s="10" t="s">
        <v>171</v>
      </c>
      <c r="E306" s="11" t="str">
        <f>+HYPERLINK("http://trademark.i-assist.jp/data/china/image_1900th/78484648.pdf", "78484648")</f>
        <v>78484648</v>
      </c>
      <c r="F306" s="10" t="s">
        <v>1027</v>
      </c>
      <c r="G306" s="10" t="s">
        <v>77</v>
      </c>
      <c r="H306" s="10" t="s">
        <v>1028</v>
      </c>
      <c r="I306" s="10" t="s">
        <v>134</v>
      </c>
    </row>
    <row r="307" spans="1:9" x14ac:dyDescent="0.15">
      <c r="A307" s="9">
        <v>306</v>
      </c>
      <c r="B307" s="10" t="s">
        <v>9</v>
      </c>
      <c r="C307" s="10" t="s">
        <v>170</v>
      </c>
      <c r="D307" s="10" t="s">
        <v>171</v>
      </c>
      <c r="E307" s="11" t="str">
        <f>+HYPERLINK("http://trademark.i-assist.jp/data/china/image_1900th/78485920.pdf", "78485920")</f>
        <v>78485920</v>
      </c>
      <c r="F307" s="10" t="s">
        <v>1029</v>
      </c>
      <c r="G307" s="10" t="s">
        <v>1030</v>
      </c>
      <c r="H307" s="10" t="s">
        <v>1031</v>
      </c>
      <c r="I307" s="10" t="s">
        <v>134</v>
      </c>
    </row>
    <row r="308" spans="1:9" x14ac:dyDescent="0.15">
      <c r="A308" s="9">
        <v>307</v>
      </c>
      <c r="B308" s="10" t="s">
        <v>9</v>
      </c>
      <c r="C308" s="10" t="s">
        <v>170</v>
      </c>
      <c r="D308" s="10" t="s">
        <v>171</v>
      </c>
      <c r="E308" s="11" t="str">
        <f>+HYPERLINK("http://trademark.i-assist.jp/data/china/image_1900th/78486090.pdf", "78486090")</f>
        <v>78486090</v>
      </c>
      <c r="F308" s="10" t="s">
        <v>1032</v>
      </c>
      <c r="G308" s="10" t="s">
        <v>1033</v>
      </c>
      <c r="H308" s="10" t="s">
        <v>1034</v>
      </c>
      <c r="I308" s="10" t="s">
        <v>134</v>
      </c>
    </row>
    <row r="309" spans="1:9" x14ac:dyDescent="0.15">
      <c r="A309" s="9">
        <v>308</v>
      </c>
      <c r="B309" s="10" t="s">
        <v>9</v>
      </c>
      <c r="C309" s="10" t="s">
        <v>170</v>
      </c>
      <c r="D309" s="10" t="s">
        <v>171</v>
      </c>
      <c r="E309" s="11" t="str">
        <f>+HYPERLINK("http://trademark.i-assist.jp/data/china/image_1900th/78491578.pdf", "78491578")</f>
        <v>78491578</v>
      </c>
      <c r="F309" s="10" t="s">
        <v>1035</v>
      </c>
      <c r="G309" s="10" t="s">
        <v>1036</v>
      </c>
      <c r="H309" s="10" t="s">
        <v>1037</v>
      </c>
      <c r="I309" s="10" t="s">
        <v>134</v>
      </c>
    </row>
    <row r="310" spans="1:9" x14ac:dyDescent="0.15">
      <c r="A310" s="9">
        <v>309</v>
      </c>
      <c r="B310" s="10" t="s">
        <v>9</v>
      </c>
      <c r="C310" s="10" t="s">
        <v>170</v>
      </c>
      <c r="D310" s="10" t="s">
        <v>171</v>
      </c>
      <c r="E310" s="11" t="str">
        <f>+HYPERLINK("http://trademark.i-assist.jp/data/china/image_1900th/78492258.pdf", "78492258")</f>
        <v>78492258</v>
      </c>
      <c r="F310" s="10" t="s">
        <v>1038</v>
      </c>
      <c r="G310" s="10" t="s">
        <v>1039</v>
      </c>
      <c r="H310" s="10" t="s">
        <v>1040</v>
      </c>
      <c r="I310" s="10" t="s">
        <v>134</v>
      </c>
    </row>
    <row r="311" spans="1:9" x14ac:dyDescent="0.15">
      <c r="A311" s="9">
        <v>310</v>
      </c>
      <c r="B311" s="10" t="s">
        <v>9</v>
      </c>
      <c r="C311" s="10" t="s">
        <v>170</v>
      </c>
      <c r="D311" s="10" t="s">
        <v>171</v>
      </c>
      <c r="E311" s="11" t="str">
        <f>+HYPERLINK("http://trademark.i-assist.jp/data/china/image_1900th/78492863.pdf", "78492863")</f>
        <v>78492863</v>
      </c>
      <c r="F311" s="10" t="s">
        <v>15</v>
      </c>
      <c r="G311" s="10" t="s">
        <v>135</v>
      </c>
      <c r="H311" s="10" t="s">
        <v>1041</v>
      </c>
      <c r="I311" s="10" t="s">
        <v>134</v>
      </c>
    </row>
    <row r="312" spans="1:9" x14ac:dyDescent="0.15">
      <c r="A312" s="9">
        <v>311</v>
      </c>
      <c r="B312" s="10" t="s">
        <v>9</v>
      </c>
      <c r="C312" s="10" t="s">
        <v>170</v>
      </c>
      <c r="D312" s="10" t="s">
        <v>171</v>
      </c>
      <c r="E312" s="11" t="str">
        <f>+HYPERLINK("http://trademark.i-assist.jp/data/china/image_1900th/78493015.pdf", "78493015")</f>
        <v>78493015</v>
      </c>
      <c r="F312" s="10" t="s">
        <v>1042</v>
      </c>
      <c r="G312" s="10" t="s">
        <v>1043</v>
      </c>
      <c r="H312" s="10" t="s">
        <v>1044</v>
      </c>
      <c r="I312" s="10" t="s">
        <v>134</v>
      </c>
    </row>
    <row r="313" spans="1:9" x14ac:dyDescent="0.15">
      <c r="A313" s="9">
        <v>312</v>
      </c>
      <c r="B313" s="10" t="s">
        <v>9</v>
      </c>
      <c r="C313" s="10" t="s">
        <v>170</v>
      </c>
      <c r="D313" s="10" t="s">
        <v>171</v>
      </c>
      <c r="E313" s="11" t="str">
        <f>+HYPERLINK("http://trademark.i-assist.jp/data/china/image_1900th/78493465.pdf", "78493465")</f>
        <v>78493465</v>
      </c>
      <c r="F313" s="10" t="s">
        <v>1045</v>
      </c>
      <c r="G313" s="10" t="s">
        <v>1046</v>
      </c>
      <c r="H313" s="10" t="s">
        <v>1047</v>
      </c>
      <c r="I313" s="10" t="s">
        <v>134</v>
      </c>
    </row>
    <row r="314" spans="1:9" x14ac:dyDescent="0.15">
      <c r="A314" s="9">
        <v>313</v>
      </c>
      <c r="B314" s="10" t="s">
        <v>9</v>
      </c>
      <c r="C314" s="10" t="s">
        <v>170</v>
      </c>
      <c r="D314" s="10" t="s">
        <v>171</v>
      </c>
      <c r="E314" s="11" t="str">
        <f>+HYPERLINK("http://trademark.i-assist.jp/data/china/image_1900th/78493472.pdf", "78493472")</f>
        <v>78493472</v>
      </c>
      <c r="F314" s="10" t="s">
        <v>1048</v>
      </c>
      <c r="G314" s="10" t="s">
        <v>1049</v>
      </c>
      <c r="H314" s="10" t="s">
        <v>1050</v>
      </c>
      <c r="I314" s="10" t="s">
        <v>134</v>
      </c>
    </row>
    <row r="315" spans="1:9" x14ac:dyDescent="0.15">
      <c r="A315" s="9">
        <v>314</v>
      </c>
      <c r="B315" s="10" t="s">
        <v>9</v>
      </c>
      <c r="C315" s="10" t="s">
        <v>170</v>
      </c>
      <c r="D315" s="10" t="s">
        <v>171</v>
      </c>
      <c r="E315" s="11" t="str">
        <f>+HYPERLINK("http://trademark.i-assist.jp/data/china/image_1900th/78493477.pdf", "78493477")</f>
        <v>78493477</v>
      </c>
      <c r="F315" s="10" t="s">
        <v>1051</v>
      </c>
      <c r="G315" s="10" t="s">
        <v>1052</v>
      </c>
      <c r="H315" s="10" t="s">
        <v>1053</v>
      </c>
      <c r="I315" s="10" t="s">
        <v>134</v>
      </c>
    </row>
    <row r="316" spans="1:9" x14ac:dyDescent="0.15">
      <c r="A316" s="9">
        <v>315</v>
      </c>
      <c r="B316" s="10" t="s">
        <v>9</v>
      </c>
      <c r="C316" s="10" t="s">
        <v>170</v>
      </c>
      <c r="D316" s="10" t="s">
        <v>171</v>
      </c>
      <c r="E316" s="11" t="str">
        <f>+HYPERLINK("http://trademark.i-assist.jp/data/china/image_1900th/78493812.pdf", "78493812")</f>
        <v>78493812</v>
      </c>
      <c r="F316" s="10" t="s">
        <v>1054</v>
      </c>
      <c r="G316" s="10" t="s">
        <v>1055</v>
      </c>
      <c r="H316" s="10" t="s">
        <v>1056</v>
      </c>
      <c r="I316" s="10" t="s">
        <v>134</v>
      </c>
    </row>
    <row r="317" spans="1:9" x14ac:dyDescent="0.15">
      <c r="A317" s="9">
        <v>316</v>
      </c>
      <c r="B317" s="10" t="s">
        <v>9</v>
      </c>
      <c r="C317" s="10" t="s">
        <v>170</v>
      </c>
      <c r="D317" s="10" t="s">
        <v>171</v>
      </c>
      <c r="E317" s="11" t="str">
        <f>+HYPERLINK("http://trademark.i-assist.jp/data/china/image_1900th/78495114.pdf", "78495114")</f>
        <v>78495114</v>
      </c>
      <c r="F317" s="10" t="s">
        <v>1057</v>
      </c>
      <c r="G317" s="10" t="s">
        <v>1058</v>
      </c>
      <c r="H317" s="10" t="s">
        <v>1059</v>
      </c>
      <c r="I317" s="10" t="s">
        <v>134</v>
      </c>
    </row>
    <row r="318" spans="1:9" x14ac:dyDescent="0.15">
      <c r="A318" s="9">
        <v>317</v>
      </c>
      <c r="B318" s="10" t="s">
        <v>9</v>
      </c>
      <c r="C318" s="10" t="s">
        <v>170</v>
      </c>
      <c r="D318" s="10" t="s">
        <v>171</v>
      </c>
      <c r="E318" s="11" t="str">
        <f>+HYPERLINK("http://trademark.i-assist.jp/data/china/image_1900th/78497003.pdf", "78497003")</f>
        <v>78497003</v>
      </c>
      <c r="F318" s="10" t="s">
        <v>1060</v>
      </c>
      <c r="G318" s="10" t="s">
        <v>1061</v>
      </c>
      <c r="H318" s="10" t="s">
        <v>1062</v>
      </c>
      <c r="I318" s="10" t="s">
        <v>134</v>
      </c>
    </row>
    <row r="319" spans="1:9" x14ac:dyDescent="0.15">
      <c r="A319" s="9">
        <v>318</v>
      </c>
      <c r="B319" s="10" t="s">
        <v>9</v>
      </c>
      <c r="C319" s="10" t="s">
        <v>170</v>
      </c>
      <c r="D319" s="10" t="s">
        <v>171</v>
      </c>
      <c r="E319" s="11" t="str">
        <f>+HYPERLINK("http://trademark.i-assist.jp/data/china/image_1900th/78497115.pdf", "78497115")</f>
        <v>78497115</v>
      </c>
      <c r="F319" s="10" t="s">
        <v>1063</v>
      </c>
      <c r="G319" s="10" t="s">
        <v>1064</v>
      </c>
      <c r="H319" s="10" t="s">
        <v>1065</v>
      </c>
      <c r="I319" s="10" t="s">
        <v>134</v>
      </c>
    </row>
    <row r="320" spans="1:9" x14ac:dyDescent="0.15">
      <c r="A320" s="9">
        <v>319</v>
      </c>
      <c r="B320" s="10" t="s">
        <v>9</v>
      </c>
      <c r="C320" s="10" t="s">
        <v>170</v>
      </c>
      <c r="D320" s="10" t="s">
        <v>171</v>
      </c>
      <c r="E320" s="11" t="str">
        <f>+HYPERLINK("http://trademark.i-assist.jp/data/china/image_1900th/78498379.pdf", "78498379")</f>
        <v>78498379</v>
      </c>
      <c r="F320" s="10" t="s">
        <v>1066</v>
      </c>
      <c r="G320" s="10" t="s">
        <v>1067</v>
      </c>
      <c r="H320" s="10" t="s">
        <v>1068</v>
      </c>
      <c r="I320" s="10" t="s">
        <v>134</v>
      </c>
    </row>
    <row r="321" spans="1:9" x14ac:dyDescent="0.15">
      <c r="A321" s="9">
        <v>320</v>
      </c>
      <c r="B321" s="10" t="s">
        <v>9</v>
      </c>
      <c r="C321" s="10" t="s">
        <v>170</v>
      </c>
      <c r="D321" s="10" t="s">
        <v>171</v>
      </c>
      <c r="E321" s="11" t="str">
        <f>+HYPERLINK("http://trademark.i-assist.jp/data/china/image_1900th/78498411.pdf", "78498411")</f>
        <v>78498411</v>
      </c>
      <c r="F321" s="10" t="s">
        <v>1069</v>
      </c>
      <c r="G321" s="10" t="s">
        <v>1070</v>
      </c>
      <c r="H321" s="10" t="s">
        <v>1071</v>
      </c>
      <c r="I321" s="10" t="s">
        <v>134</v>
      </c>
    </row>
    <row r="322" spans="1:9" x14ac:dyDescent="0.15">
      <c r="A322" s="9">
        <v>321</v>
      </c>
      <c r="B322" s="10" t="s">
        <v>9</v>
      </c>
      <c r="C322" s="10" t="s">
        <v>170</v>
      </c>
      <c r="D322" s="10" t="s">
        <v>171</v>
      </c>
      <c r="E322" s="11" t="str">
        <f>+HYPERLINK("http://trademark.i-assist.jp/data/china/image_1900th/78498419.pdf", "78498419")</f>
        <v>78498419</v>
      </c>
      <c r="F322" s="10" t="s">
        <v>1072</v>
      </c>
      <c r="G322" s="10" t="s">
        <v>104</v>
      </c>
      <c r="H322" s="10" t="s">
        <v>1073</v>
      </c>
      <c r="I322" s="10" t="s">
        <v>134</v>
      </c>
    </row>
    <row r="323" spans="1:9" x14ac:dyDescent="0.15">
      <c r="A323" s="9">
        <v>322</v>
      </c>
      <c r="B323" s="10" t="s">
        <v>9</v>
      </c>
      <c r="C323" s="10" t="s">
        <v>170</v>
      </c>
      <c r="D323" s="10" t="s">
        <v>171</v>
      </c>
      <c r="E323" s="11" t="str">
        <f>+HYPERLINK("http://trademark.i-assist.jp/data/china/image_1900th/78500062.pdf", "78500062")</f>
        <v>78500062</v>
      </c>
      <c r="F323" s="10" t="s">
        <v>1074</v>
      </c>
      <c r="G323" s="10" t="s">
        <v>1075</v>
      </c>
      <c r="H323" s="10" t="s">
        <v>1076</v>
      </c>
      <c r="I323" s="10" t="s">
        <v>134</v>
      </c>
    </row>
    <row r="324" spans="1:9" x14ac:dyDescent="0.15">
      <c r="A324" s="9">
        <v>323</v>
      </c>
      <c r="B324" s="10" t="s">
        <v>9</v>
      </c>
      <c r="C324" s="10" t="s">
        <v>170</v>
      </c>
      <c r="D324" s="10" t="s">
        <v>171</v>
      </c>
      <c r="E324" s="11" t="str">
        <f>+HYPERLINK("http://trademark.i-assist.jp/data/china/image_1900th/78500464.pdf", "78500464")</f>
        <v>78500464</v>
      </c>
      <c r="F324" s="10" t="s">
        <v>1077</v>
      </c>
      <c r="G324" s="10" t="s">
        <v>1078</v>
      </c>
      <c r="H324" s="10" t="s">
        <v>1079</v>
      </c>
      <c r="I324" s="10" t="s">
        <v>134</v>
      </c>
    </row>
    <row r="325" spans="1:9" x14ac:dyDescent="0.15">
      <c r="A325" s="9">
        <v>324</v>
      </c>
      <c r="B325" s="10" t="s">
        <v>9</v>
      </c>
      <c r="C325" s="10" t="s">
        <v>170</v>
      </c>
      <c r="D325" s="10" t="s">
        <v>171</v>
      </c>
      <c r="E325" s="11" t="str">
        <f>+HYPERLINK("http://trademark.i-assist.jp/data/china/image_1900th/78500806.pdf", "78500806")</f>
        <v>78500806</v>
      </c>
      <c r="F325" s="10" t="s">
        <v>1080</v>
      </c>
      <c r="G325" s="10" t="s">
        <v>1067</v>
      </c>
      <c r="H325" s="10" t="s">
        <v>1081</v>
      </c>
      <c r="I325" s="10" t="s">
        <v>134</v>
      </c>
    </row>
    <row r="326" spans="1:9" x14ac:dyDescent="0.15">
      <c r="A326" s="9">
        <v>325</v>
      </c>
      <c r="B326" s="10" t="s">
        <v>9</v>
      </c>
      <c r="C326" s="10" t="s">
        <v>170</v>
      </c>
      <c r="D326" s="10" t="s">
        <v>171</v>
      </c>
      <c r="E326" s="11" t="str">
        <f>+HYPERLINK("http://trademark.i-assist.jp/data/china/image_1900th/78502689.pdf", "78502689")</f>
        <v>78502689</v>
      </c>
      <c r="F326" s="10" t="s">
        <v>1082</v>
      </c>
      <c r="G326" s="10" t="s">
        <v>1083</v>
      </c>
      <c r="H326" s="10" t="s">
        <v>1084</v>
      </c>
      <c r="I326" s="10" t="s">
        <v>134</v>
      </c>
    </row>
    <row r="327" spans="1:9" x14ac:dyDescent="0.15">
      <c r="A327" s="9">
        <v>326</v>
      </c>
      <c r="B327" s="10" t="s">
        <v>9</v>
      </c>
      <c r="C327" s="10" t="s">
        <v>170</v>
      </c>
      <c r="D327" s="10" t="s">
        <v>171</v>
      </c>
      <c r="E327" s="11" t="str">
        <f>+HYPERLINK("http://trademark.i-assist.jp/data/china/image_1900th/78502843.pdf", "78502843")</f>
        <v>78502843</v>
      </c>
      <c r="F327" s="10" t="s">
        <v>1085</v>
      </c>
      <c r="G327" s="10" t="s">
        <v>1086</v>
      </c>
      <c r="H327" s="10" t="s">
        <v>1087</v>
      </c>
      <c r="I327" s="10" t="s">
        <v>134</v>
      </c>
    </row>
    <row r="328" spans="1:9" x14ac:dyDescent="0.15">
      <c r="A328" s="9">
        <v>327</v>
      </c>
      <c r="B328" s="10" t="s">
        <v>9</v>
      </c>
      <c r="C328" s="10" t="s">
        <v>170</v>
      </c>
      <c r="D328" s="10" t="s">
        <v>171</v>
      </c>
      <c r="E328" s="11" t="str">
        <f>+HYPERLINK("http://trademark.i-assist.jp/data/china/image_1900th/78503099.pdf", "78503099")</f>
        <v>78503099</v>
      </c>
      <c r="F328" s="10" t="s">
        <v>1088</v>
      </c>
      <c r="G328" s="10" t="s">
        <v>1089</v>
      </c>
      <c r="H328" s="10" t="s">
        <v>1090</v>
      </c>
      <c r="I328" s="10" t="s">
        <v>134</v>
      </c>
    </row>
    <row r="329" spans="1:9" x14ac:dyDescent="0.15">
      <c r="A329" s="9">
        <v>328</v>
      </c>
      <c r="B329" s="10" t="s">
        <v>9</v>
      </c>
      <c r="C329" s="10" t="s">
        <v>170</v>
      </c>
      <c r="D329" s="10" t="s">
        <v>171</v>
      </c>
      <c r="E329" s="11" t="str">
        <f>+HYPERLINK("http://trademark.i-assist.jp/data/china/image_1900th/78503461.pdf", "78503461")</f>
        <v>78503461</v>
      </c>
      <c r="F329" s="10" t="s">
        <v>1091</v>
      </c>
      <c r="G329" s="10" t="s">
        <v>1092</v>
      </c>
      <c r="H329" s="10" t="s">
        <v>1093</v>
      </c>
      <c r="I329" s="10" t="s">
        <v>134</v>
      </c>
    </row>
    <row r="330" spans="1:9" x14ac:dyDescent="0.15">
      <c r="A330" s="9">
        <v>329</v>
      </c>
      <c r="B330" s="10" t="s">
        <v>9</v>
      </c>
      <c r="C330" s="10" t="s">
        <v>170</v>
      </c>
      <c r="D330" s="10" t="s">
        <v>171</v>
      </c>
      <c r="E330" s="11" t="str">
        <f>+HYPERLINK("http://trademark.i-assist.jp/data/china/image_1900th/78503892.pdf", "78503892")</f>
        <v>78503892</v>
      </c>
      <c r="F330" s="10" t="s">
        <v>15</v>
      </c>
      <c r="G330" s="10" t="s">
        <v>1094</v>
      </c>
      <c r="H330" s="10" t="s">
        <v>1095</v>
      </c>
      <c r="I330" s="10" t="s">
        <v>134</v>
      </c>
    </row>
    <row r="331" spans="1:9" x14ac:dyDescent="0.15">
      <c r="A331" s="9">
        <v>330</v>
      </c>
      <c r="B331" s="10" t="s">
        <v>9</v>
      </c>
      <c r="C331" s="10" t="s">
        <v>170</v>
      </c>
      <c r="D331" s="10" t="s">
        <v>171</v>
      </c>
      <c r="E331" s="11" t="str">
        <f>+HYPERLINK("http://trademark.i-assist.jp/data/china/image_1900th/78504174.pdf", "78504174")</f>
        <v>78504174</v>
      </c>
      <c r="F331" s="10" t="s">
        <v>15</v>
      </c>
      <c r="G331" s="10" t="s">
        <v>1096</v>
      </c>
      <c r="H331" s="10" t="s">
        <v>1097</v>
      </c>
      <c r="I331" s="10" t="s">
        <v>134</v>
      </c>
    </row>
    <row r="332" spans="1:9" x14ac:dyDescent="0.15">
      <c r="A332" s="9">
        <v>331</v>
      </c>
      <c r="B332" s="10" t="s">
        <v>9</v>
      </c>
      <c r="C332" s="10" t="s">
        <v>170</v>
      </c>
      <c r="D332" s="10" t="s">
        <v>171</v>
      </c>
      <c r="E332" s="11" t="str">
        <f>+HYPERLINK("http://trademark.i-assist.jp/data/china/image_1900th/78504756.pdf", "78504756")</f>
        <v>78504756</v>
      </c>
      <c r="F332" s="10" t="s">
        <v>1098</v>
      </c>
      <c r="G332" s="10" t="s">
        <v>1099</v>
      </c>
      <c r="H332" s="10" t="s">
        <v>1100</v>
      </c>
      <c r="I332" s="10" t="s">
        <v>134</v>
      </c>
    </row>
    <row r="333" spans="1:9" x14ac:dyDescent="0.15">
      <c r="A333" s="9">
        <v>332</v>
      </c>
      <c r="B333" s="10" t="s">
        <v>9</v>
      </c>
      <c r="C333" s="10" t="s">
        <v>170</v>
      </c>
      <c r="D333" s="10" t="s">
        <v>171</v>
      </c>
      <c r="E333" s="11" t="str">
        <f>+HYPERLINK("http://trademark.i-assist.jp/data/china/image_1900th/78504776.pdf", "78504776")</f>
        <v>78504776</v>
      </c>
      <c r="F333" s="10" t="s">
        <v>1101</v>
      </c>
      <c r="G333" s="10" t="s">
        <v>1102</v>
      </c>
      <c r="H333" s="10" t="s">
        <v>1103</v>
      </c>
      <c r="I333" s="10" t="s">
        <v>134</v>
      </c>
    </row>
    <row r="334" spans="1:9" x14ac:dyDescent="0.15">
      <c r="A334" s="9">
        <v>333</v>
      </c>
      <c r="B334" s="10" t="s">
        <v>9</v>
      </c>
      <c r="C334" s="10" t="s">
        <v>170</v>
      </c>
      <c r="D334" s="10" t="s">
        <v>171</v>
      </c>
      <c r="E334" s="11" t="str">
        <f>+HYPERLINK("http://trademark.i-assist.jp/data/china/image_1900th/78504785.pdf", "78504785")</f>
        <v>78504785</v>
      </c>
      <c r="F334" s="10" t="s">
        <v>1104</v>
      </c>
      <c r="G334" s="10" t="s">
        <v>1105</v>
      </c>
      <c r="H334" s="10" t="s">
        <v>1106</v>
      </c>
      <c r="I334" s="10" t="s">
        <v>134</v>
      </c>
    </row>
    <row r="335" spans="1:9" x14ac:dyDescent="0.15">
      <c r="A335" s="9">
        <v>334</v>
      </c>
      <c r="B335" s="10" t="s">
        <v>9</v>
      </c>
      <c r="C335" s="10" t="s">
        <v>170</v>
      </c>
      <c r="D335" s="10" t="s">
        <v>171</v>
      </c>
      <c r="E335" s="11" t="str">
        <f>+HYPERLINK("http://trademark.i-assist.jp/data/china/image_1900th/78505055.pdf", "78505055")</f>
        <v>78505055</v>
      </c>
      <c r="F335" s="10" t="s">
        <v>1107</v>
      </c>
      <c r="G335" s="10" t="s">
        <v>1108</v>
      </c>
      <c r="H335" s="10" t="s">
        <v>1109</v>
      </c>
      <c r="I335" s="10" t="s">
        <v>134</v>
      </c>
    </row>
    <row r="336" spans="1:9" x14ac:dyDescent="0.15">
      <c r="A336" s="9">
        <v>335</v>
      </c>
      <c r="B336" s="10" t="s">
        <v>9</v>
      </c>
      <c r="C336" s="10" t="s">
        <v>170</v>
      </c>
      <c r="D336" s="10" t="s">
        <v>171</v>
      </c>
      <c r="E336" s="11" t="str">
        <f>+HYPERLINK("http://trademark.i-assist.jp/data/china/image_1900th/78505710.pdf", "78505710")</f>
        <v>78505710</v>
      </c>
      <c r="F336" s="10" t="s">
        <v>1110</v>
      </c>
      <c r="G336" s="10" t="s">
        <v>1111</v>
      </c>
      <c r="H336" s="10" t="s">
        <v>1112</v>
      </c>
      <c r="I336" s="10" t="s">
        <v>134</v>
      </c>
    </row>
    <row r="337" spans="1:9" x14ac:dyDescent="0.15">
      <c r="A337" s="9">
        <v>336</v>
      </c>
      <c r="B337" s="10" t="s">
        <v>9</v>
      </c>
      <c r="C337" s="10" t="s">
        <v>170</v>
      </c>
      <c r="D337" s="10" t="s">
        <v>171</v>
      </c>
      <c r="E337" s="11" t="str">
        <f>+HYPERLINK("http://trademark.i-assist.jp/data/china/image_1900th/78506231.pdf", "78506231")</f>
        <v>78506231</v>
      </c>
      <c r="F337" s="10" t="s">
        <v>1113</v>
      </c>
      <c r="G337" s="10" t="s">
        <v>1114</v>
      </c>
      <c r="H337" s="10" t="s">
        <v>1115</v>
      </c>
      <c r="I337" s="10" t="s">
        <v>134</v>
      </c>
    </row>
    <row r="338" spans="1:9" x14ac:dyDescent="0.15">
      <c r="A338" s="9">
        <v>337</v>
      </c>
      <c r="B338" s="10" t="s">
        <v>9</v>
      </c>
      <c r="C338" s="10" t="s">
        <v>170</v>
      </c>
      <c r="D338" s="10" t="s">
        <v>171</v>
      </c>
      <c r="E338" s="11" t="str">
        <f>+HYPERLINK("http://trademark.i-assist.jp/data/china/image_1900th/78506526.pdf", "78506526")</f>
        <v>78506526</v>
      </c>
      <c r="F338" s="10" t="s">
        <v>1116</v>
      </c>
      <c r="G338" s="10" t="s">
        <v>1117</v>
      </c>
      <c r="H338" s="10" t="s">
        <v>1118</v>
      </c>
      <c r="I338" s="10" t="s">
        <v>134</v>
      </c>
    </row>
    <row r="339" spans="1:9" x14ac:dyDescent="0.15">
      <c r="A339" s="9">
        <v>338</v>
      </c>
      <c r="B339" s="10" t="s">
        <v>9</v>
      </c>
      <c r="C339" s="10" t="s">
        <v>170</v>
      </c>
      <c r="D339" s="10" t="s">
        <v>171</v>
      </c>
      <c r="E339" s="11" t="str">
        <f>+HYPERLINK("http://trademark.i-assist.jp/data/china/image_1900th/78506551.pdf", "78506551")</f>
        <v>78506551</v>
      </c>
      <c r="F339" s="10" t="s">
        <v>1119</v>
      </c>
      <c r="G339" s="10" t="s">
        <v>1120</v>
      </c>
      <c r="H339" s="10" t="s">
        <v>1121</v>
      </c>
      <c r="I339" s="10" t="s">
        <v>134</v>
      </c>
    </row>
    <row r="340" spans="1:9" x14ac:dyDescent="0.15">
      <c r="A340" s="9">
        <v>339</v>
      </c>
      <c r="B340" s="10" t="s">
        <v>9</v>
      </c>
      <c r="C340" s="10" t="s">
        <v>170</v>
      </c>
      <c r="D340" s="10" t="s">
        <v>171</v>
      </c>
      <c r="E340" s="11" t="str">
        <f>+HYPERLINK("http://trademark.i-assist.jp/data/china/image_1900th/78507626.pdf", "78507626")</f>
        <v>78507626</v>
      </c>
      <c r="F340" s="10" t="s">
        <v>1122</v>
      </c>
      <c r="G340" s="10" t="s">
        <v>1123</v>
      </c>
      <c r="H340" s="10" t="s">
        <v>1124</v>
      </c>
      <c r="I340" s="10" t="s">
        <v>134</v>
      </c>
    </row>
    <row r="341" spans="1:9" x14ac:dyDescent="0.15">
      <c r="A341" s="9">
        <v>340</v>
      </c>
      <c r="B341" s="10" t="s">
        <v>9</v>
      </c>
      <c r="C341" s="10" t="s">
        <v>170</v>
      </c>
      <c r="D341" s="10" t="s">
        <v>171</v>
      </c>
      <c r="E341" s="11" t="str">
        <f>+HYPERLINK("http://trademark.i-assist.jp/data/china/image_1900th/78508579.pdf", "78508579")</f>
        <v>78508579</v>
      </c>
      <c r="F341" s="10" t="s">
        <v>15</v>
      </c>
      <c r="G341" s="10" t="s">
        <v>1125</v>
      </c>
      <c r="H341" s="10" t="s">
        <v>1126</v>
      </c>
      <c r="I341" s="10" t="s">
        <v>134</v>
      </c>
    </row>
    <row r="342" spans="1:9" x14ac:dyDescent="0.15">
      <c r="A342" s="9">
        <v>341</v>
      </c>
      <c r="B342" s="10" t="s">
        <v>9</v>
      </c>
      <c r="C342" s="10" t="s">
        <v>170</v>
      </c>
      <c r="D342" s="10" t="s">
        <v>171</v>
      </c>
      <c r="E342" s="11" t="str">
        <f>+HYPERLINK("http://trademark.i-assist.jp/data/china/image_1900th/78509011.pdf", "78509011")</f>
        <v>78509011</v>
      </c>
      <c r="F342" s="10" t="s">
        <v>1127</v>
      </c>
      <c r="G342" s="10" t="s">
        <v>1128</v>
      </c>
      <c r="H342" s="10" t="s">
        <v>1129</v>
      </c>
      <c r="I342" s="10" t="s">
        <v>134</v>
      </c>
    </row>
    <row r="343" spans="1:9" x14ac:dyDescent="0.15">
      <c r="A343" s="9">
        <v>342</v>
      </c>
      <c r="B343" s="10" t="s">
        <v>9</v>
      </c>
      <c r="C343" s="10" t="s">
        <v>170</v>
      </c>
      <c r="D343" s="10" t="s">
        <v>171</v>
      </c>
      <c r="E343" s="11" t="str">
        <f>+HYPERLINK("http://trademark.i-assist.jp/data/china/image_1900th/78509092.pdf", "78509092")</f>
        <v>78509092</v>
      </c>
      <c r="F343" s="10" t="s">
        <v>1130</v>
      </c>
      <c r="G343" s="10" t="s">
        <v>1131</v>
      </c>
      <c r="H343" s="10" t="s">
        <v>1132</v>
      </c>
      <c r="I343" s="10" t="s">
        <v>134</v>
      </c>
    </row>
    <row r="344" spans="1:9" x14ac:dyDescent="0.15">
      <c r="A344" s="9">
        <v>343</v>
      </c>
      <c r="B344" s="10" t="s">
        <v>9</v>
      </c>
      <c r="C344" s="10" t="s">
        <v>170</v>
      </c>
      <c r="D344" s="10" t="s">
        <v>171</v>
      </c>
      <c r="E344" s="11" t="str">
        <f>+HYPERLINK("http://trademark.i-assist.jp/data/china/image_1900th/78509729.pdf", "78509729")</f>
        <v>78509729</v>
      </c>
      <c r="F344" s="10" t="s">
        <v>1133</v>
      </c>
      <c r="G344" s="10" t="s">
        <v>1134</v>
      </c>
      <c r="H344" s="10" t="s">
        <v>1135</v>
      </c>
      <c r="I344" s="10" t="s">
        <v>134</v>
      </c>
    </row>
    <row r="345" spans="1:9" x14ac:dyDescent="0.15">
      <c r="A345" s="9">
        <v>344</v>
      </c>
      <c r="B345" s="10" t="s">
        <v>9</v>
      </c>
      <c r="C345" s="10" t="s">
        <v>170</v>
      </c>
      <c r="D345" s="10" t="s">
        <v>171</v>
      </c>
      <c r="E345" s="11" t="str">
        <f>+HYPERLINK("http://trademark.i-assist.jp/data/china/image_1900th/78510189.pdf", "78510189")</f>
        <v>78510189</v>
      </c>
      <c r="F345" s="10" t="s">
        <v>1136</v>
      </c>
      <c r="G345" s="10" t="s">
        <v>1058</v>
      </c>
      <c r="H345" s="10" t="s">
        <v>1137</v>
      </c>
      <c r="I345" s="10" t="s">
        <v>134</v>
      </c>
    </row>
    <row r="346" spans="1:9" x14ac:dyDescent="0.15">
      <c r="A346" s="9">
        <v>345</v>
      </c>
      <c r="B346" s="10" t="s">
        <v>9</v>
      </c>
      <c r="C346" s="10" t="s">
        <v>170</v>
      </c>
      <c r="D346" s="10" t="s">
        <v>171</v>
      </c>
      <c r="E346" s="11" t="str">
        <f>+HYPERLINK("http://trademark.i-assist.jp/data/china/image_1900th/78510801.pdf", "78510801")</f>
        <v>78510801</v>
      </c>
      <c r="F346" s="10" t="s">
        <v>1138</v>
      </c>
      <c r="G346" s="10" t="s">
        <v>1139</v>
      </c>
      <c r="H346" s="10" t="s">
        <v>1140</v>
      </c>
      <c r="I346" s="10" t="s">
        <v>134</v>
      </c>
    </row>
    <row r="347" spans="1:9" x14ac:dyDescent="0.15">
      <c r="A347" s="9">
        <v>346</v>
      </c>
      <c r="B347" s="10" t="s">
        <v>9</v>
      </c>
      <c r="C347" s="10" t="s">
        <v>170</v>
      </c>
      <c r="D347" s="10" t="s">
        <v>171</v>
      </c>
      <c r="E347" s="11" t="str">
        <f>+HYPERLINK("http://trademark.i-assist.jp/data/china/image_1900th/78510972.pdf", "78510972")</f>
        <v>78510972</v>
      </c>
      <c r="F347" s="10" t="s">
        <v>1141</v>
      </c>
      <c r="G347" s="10" t="s">
        <v>1036</v>
      </c>
      <c r="H347" s="10" t="s">
        <v>1142</v>
      </c>
      <c r="I347" s="10" t="s">
        <v>134</v>
      </c>
    </row>
    <row r="348" spans="1:9" x14ac:dyDescent="0.15">
      <c r="A348" s="9">
        <v>347</v>
      </c>
      <c r="B348" s="10" t="s">
        <v>9</v>
      </c>
      <c r="C348" s="10" t="s">
        <v>170</v>
      </c>
      <c r="D348" s="10" t="s">
        <v>171</v>
      </c>
      <c r="E348" s="11" t="str">
        <f>+HYPERLINK("http://trademark.i-assist.jp/data/china/image_1900th/78511708.pdf", "78511708")</f>
        <v>78511708</v>
      </c>
      <c r="F348" s="10" t="s">
        <v>1143</v>
      </c>
      <c r="G348" s="10" t="s">
        <v>1144</v>
      </c>
      <c r="H348" s="10" t="s">
        <v>1145</v>
      </c>
      <c r="I348" s="10" t="s">
        <v>134</v>
      </c>
    </row>
    <row r="349" spans="1:9" x14ac:dyDescent="0.15">
      <c r="A349" s="9">
        <v>348</v>
      </c>
      <c r="B349" s="10" t="s">
        <v>9</v>
      </c>
      <c r="C349" s="10" t="s">
        <v>170</v>
      </c>
      <c r="D349" s="10" t="s">
        <v>171</v>
      </c>
      <c r="E349" s="11" t="str">
        <f>+HYPERLINK("http://trademark.i-assist.jp/data/china/image_1900th/78512259.pdf", "78512259")</f>
        <v>78512259</v>
      </c>
      <c r="F349" s="10" t="s">
        <v>1146</v>
      </c>
      <c r="G349" s="10" t="s">
        <v>1147</v>
      </c>
      <c r="H349" s="10" t="s">
        <v>1148</v>
      </c>
      <c r="I349" s="10" t="s">
        <v>134</v>
      </c>
    </row>
    <row r="350" spans="1:9" x14ac:dyDescent="0.15">
      <c r="A350" s="9">
        <v>349</v>
      </c>
      <c r="B350" s="10" t="s">
        <v>9</v>
      </c>
      <c r="C350" s="10" t="s">
        <v>170</v>
      </c>
      <c r="D350" s="10" t="s">
        <v>171</v>
      </c>
      <c r="E350" s="11" t="str">
        <f>+HYPERLINK("http://trademark.i-assist.jp/data/china/image_1900th/78512392.pdf", "78512392")</f>
        <v>78512392</v>
      </c>
      <c r="F350" s="10" t="s">
        <v>1149</v>
      </c>
      <c r="G350" s="10" t="s">
        <v>1150</v>
      </c>
      <c r="H350" s="10" t="s">
        <v>1151</v>
      </c>
      <c r="I350" s="10" t="s">
        <v>134</v>
      </c>
    </row>
    <row r="351" spans="1:9" x14ac:dyDescent="0.15">
      <c r="A351" s="9">
        <v>350</v>
      </c>
      <c r="B351" s="10" t="s">
        <v>9</v>
      </c>
      <c r="C351" s="10" t="s">
        <v>170</v>
      </c>
      <c r="D351" s="10" t="s">
        <v>171</v>
      </c>
      <c r="E351" s="11" t="str">
        <f>+HYPERLINK("http://trademark.i-assist.jp/data/china/image_1900th/78512729.pdf", "78512729")</f>
        <v>78512729</v>
      </c>
      <c r="F351" s="10" t="s">
        <v>1152</v>
      </c>
      <c r="G351" s="10" t="s">
        <v>1153</v>
      </c>
      <c r="H351" s="10" t="s">
        <v>1154</v>
      </c>
      <c r="I351" s="10" t="s">
        <v>138</v>
      </c>
    </row>
    <row r="352" spans="1:9" x14ac:dyDescent="0.15">
      <c r="A352" s="9">
        <v>351</v>
      </c>
      <c r="B352" s="10" t="s">
        <v>9</v>
      </c>
      <c r="C352" s="10" t="s">
        <v>170</v>
      </c>
      <c r="D352" s="10" t="s">
        <v>171</v>
      </c>
      <c r="E352" s="11" t="str">
        <f>+HYPERLINK("http://trademark.i-assist.jp/data/china/image_1900th/78512940.pdf", "78512940")</f>
        <v>78512940</v>
      </c>
      <c r="F352" s="10" t="s">
        <v>1155</v>
      </c>
      <c r="G352" s="10" t="s">
        <v>141</v>
      </c>
      <c r="H352" s="10" t="s">
        <v>1156</v>
      </c>
      <c r="I352" s="10" t="s">
        <v>138</v>
      </c>
    </row>
    <row r="353" spans="1:9" x14ac:dyDescent="0.15">
      <c r="A353" s="9">
        <v>352</v>
      </c>
      <c r="B353" s="10" t="s">
        <v>9</v>
      </c>
      <c r="C353" s="10" t="s">
        <v>170</v>
      </c>
      <c r="D353" s="10" t="s">
        <v>171</v>
      </c>
      <c r="E353" s="11" t="str">
        <f>+HYPERLINK("http://trademark.i-assist.jp/data/china/image_1900th/78513052.pdf", "78513052")</f>
        <v>78513052</v>
      </c>
      <c r="F353" s="10" t="s">
        <v>1157</v>
      </c>
      <c r="G353" s="10" t="s">
        <v>1158</v>
      </c>
      <c r="H353" s="10" t="s">
        <v>1159</v>
      </c>
      <c r="I353" s="10" t="s">
        <v>138</v>
      </c>
    </row>
    <row r="354" spans="1:9" x14ac:dyDescent="0.15">
      <c r="A354" s="9">
        <v>353</v>
      </c>
      <c r="B354" s="10" t="s">
        <v>9</v>
      </c>
      <c r="C354" s="10" t="s">
        <v>170</v>
      </c>
      <c r="D354" s="10" t="s">
        <v>171</v>
      </c>
      <c r="E354" s="11" t="str">
        <f>+HYPERLINK("http://trademark.i-assist.jp/data/china/image_1900th/78516189.pdf", "78516189")</f>
        <v>78516189</v>
      </c>
      <c r="F354" s="10" t="s">
        <v>1160</v>
      </c>
      <c r="G354" s="10" t="s">
        <v>1161</v>
      </c>
      <c r="H354" s="10" t="s">
        <v>1162</v>
      </c>
      <c r="I354" s="10" t="s">
        <v>138</v>
      </c>
    </row>
    <row r="355" spans="1:9" x14ac:dyDescent="0.15">
      <c r="A355" s="9">
        <v>354</v>
      </c>
      <c r="B355" s="10" t="s">
        <v>9</v>
      </c>
      <c r="C355" s="10" t="s">
        <v>170</v>
      </c>
      <c r="D355" s="10" t="s">
        <v>171</v>
      </c>
      <c r="E355" s="11" t="str">
        <f>+HYPERLINK("http://trademark.i-assist.jp/data/china/image_1900th/78516580.pdf", "78516580")</f>
        <v>78516580</v>
      </c>
      <c r="F355" s="10" t="s">
        <v>1163</v>
      </c>
      <c r="G355" s="10" t="s">
        <v>1164</v>
      </c>
      <c r="H355" s="10" t="s">
        <v>1165</v>
      </c>
      <c r="I355" s="10" t="s">
        <v>138</v>
      </c>
    </row>
    <row r="356" spans="1:9" x14ac:dyDescent="0.15">
      <c r="A356" s="9">
        <v>355</v>
      </c>
      <c r="B356" s="10" t="s">
        <v>9</v>
      </c>
      <c r="C356" s="10" t="s">
        <v>170</v>
      </c>
      <c r="D356" s="10" t="s">
        <v>171</v>
      </c>
      <c r="E356" s="11" t="str">
        <f>+HYPERLINK("http://trademark.i-assist.jp/data/china/image_1900th/78518286.pdf", "78518286")</f>
        <v>78518286</v>
      </c>
      <c r="F356" s="10" t="s">
        <v>1166</v>
      </c>
      <c r="G356" s="10" t="s">
        <v>139</v>
      </c>
      <c r="H356" s="10" t="s">
        <v>1167</v>
      </c>
      <c r="I356" s="10" t="s">
        <v>138</v>
      </c>
    </row>
    <row r="357" spans="1:9" x14ac:dyDescent="0.15">
      <c r="A357" s="9">
        <v>356</v>
      </c>
      <c r="B357" s="10" t="s">
        <v>9</v>
      </c>
      <c r="C357" s="10" t="s">
        <v>170</v>
      </c>
      <c r="D357" s="10" t="s">
        <v>171</v>
      </c>
      <c r="E357" s="11" t="str">
        <f>+HYPERLINK("http://trademark.i-assist.jp/data/china/image_1900th/78518811.pdf", "78518811")</f>
        <v>78518811</v>
      </c>
      <c r="F357" s="10" t="s">
        <v>1168</v>
      </c>
      <c r="G357" s="10" t="s">
        <v>1158</v>
      </c>
      <c r="H357" s="10" t="s">
        <v>1169</v>
      </c>
      <c r="I357" s="10" t="s">
        <v>138</v>
      </c>
    </row>
    <row r="358" spans="1:9" x14ac:dyDescent="0.15">
      <c r="A358" s="9">
        <v>357</v>
      </c>
      <c r="B358" s="10" t="s">
        <v>9</v>
      </c>
      <c r="C358" s="10" t="s">
        <v>170</v>
      </c>
      <c r="D358" s="10" t="s">
        <v>171</v>
      </c>
      <c r="E358" s="11" t="str">
        <f>+HYPERLINK("http://trademark.i-assist.jp/data/china/image_1900th/78519495.pdf", "78519495")</f>
        <v>78519495</v>
      </c>
      <c r="F358" s="10" t="s">
        <v>1170</v>
      </c>
      <c r="G358" s="10" t="s">
        <v>350</v>
      </c>
      <c r="H358" s="10" t="s">
        <v>1171</v>
      </c>
      <c r="I358" s="10" t="s">
        <v>138</v>
      </c>
    </row>
    <row r="359" spans="1:9" x14ac:dyDescent="0.15">
      <c r="A359" s="9">
        <v>358</v>
      </c>
      <c r="B359" s="10" t="s">
        <v>9</v>
      </c>
      <c r="C359" s="10" t="s">
        <v>170</v>
      </c>
      <c r="D359" s="10" t="s">
        <v>171</v>
      </c>
      <c r="E359" s="11" t="str">
        <f>+HYPERLINK("http://trademark.i-assist.jp/data/china/image_1900th/78520008.pdf", "78520008")</f>
        <v>78520008</v>
      </c>
      <c r="F359" s="10" t="s">
        <v>1172</v>
      </c>
      <c r="G359" s="10" t="s">
        <v>1158</v>
      </c>
      <c r="H359" s="10" t="s">
        <v>1173</v>
      </c>
      <c r="I359" s="10" t="s">
        <v>138</v>
      </c>
    </row>
    <row r="360" spans="1:9" x14ac:dyDescent="0.15">
      <c r="A360" s="9">
        <v>359</v>
      </c>
      <c r="B360" s="10" t="s">
        <v>9</v>
      </c>
      <c r="C360" s="10" t="s">
        <v>170</v>
      </c>
      <c r="D360" s="10" t="s">
        <v>171</v>
      </c>
      <c r="E360" s="11" t="str">
        <f>+HYPERLINK("http://trademark.i-assist.jp/data/china/image_1900th/78524991.pdf", "78524991")</f>
        <v>78524991</v>
      </c>
      <c r="F360" s="10" t="s">
        <v>1174</v>
      </c>
      <c r="G360" s="10" t="s">
        <v>1175</v>
      </c>
      <c r="H360" s="10" t="s">
        <v>1176</v>
      </c>
      <c r="I360" s="10" t="s">
        <v>138</v>
      </c>
    </row>
    <row r="361" spans="1:9" x14ac:dyDescent="0.15">
      <c r="A361" s="9">
        <v>360</v>
      </c>
      <c r="B361" s="10" t="s">
        <v>9</v>
      </c>
      <c r="C361" s="10" t="s">
        <v>170</v>
      </c>
      <c r="D361" s="10" t="s">
        <v>171</v>
      </c>
      <c r="E361" s="11" t="str">
        <f>+HYPERLINK("http://trademark.i-assist.jp/data/china/image_1900th/78525543.pdf", "78525543")</f>
        <v>78525543</v>
      </c>
      <c r="F361" s="10" t="s">
        <v>1177</v>
      </c>
      <c r="G361" s="10" t="s">
        <v>1178</v>
      </c>
      <c r="H361" s="10" t="s">
        <v>1179</v>
      </c>
      <c r="I361" s="10" t="s">
        <v>138</v>
      </c>
    </row>
    <row r="362" spans="1:9" x14ac:dyDescent="0.15">
      <c r="A362" s="9">
        <v>361</v>
      </c>
      <c r="B362" s="10" t="s">
        <v>9</v>
      </c>
      <c r="C362" s="10" t="s">
        <v>170</v>
      </c>
      <c r="D362" s="10" t="s">
        <v>171</v>
      </c>
      <c r="E362" s="11" t="str">
        <f>+HYPERLINK("http://trademark.i-assist.jp/data/china/image_1900th/78525552.pdf", "78525552")</f>
        <v>78525552</v>
      </c>
      <c r="F362" s="10" t="s">
        <v>1180</v>
      </c>
      <c r="G362" s="10" t="s">
        <v>1181</v>
      </c>
      <c r="H362" s="10" t="s">
        <v>1182</v>
      </c>
      <c r="I362" s="10" t="s">
        <v>138</v>
      </c>
    </row>
    <row r="363" spans="1:9" x14ac:dyDescent="0.15">
      <c r="A363" s="9">
        <v>362</v>
      </c>
      <c r="B363" s="10" t="s">
        <v>9</v>
      </c>
      <c r="C363" s="10" t="s">
        <v>170</v>
      </c>
      <c r="D363" s="10" t="s">
        <v>171</v>
      </c>
      <c r="E363" s="11" t="str">
        <f>+HYPERLINK("http://trademark.i-assist.jp/data/china/image_1900th/78525612.pdf", "78525612")</f>
        <v>78525612</v>
      </c>
      <c r="F363" s="10" t="s">
        <v>1183</v>
      </c>
      <c r="G363" s="10" t="s">
        <v>1184</v>
      </c>
      <c r="H363" s="10" t="s">
        <v>1185</v>
      </c>
      <c r="I363" s="10" t="s">
        <v>138</v>
      </c>
    </row>
    <row r="364" spans="1:9" x14ac:dyDescent="0.15">
      <c r="A364" s="9">
        <v>363</v>
      </c>
      <c r="B364" s="10" t="s">
        <v>9</v>
      </c>
      <c r="C364" s="10" t="s">
        <v>170</v>
      </c>
      <c r="D364" s="10" t="s">
        <v>171</v>
      </c>
      <c r="E364" s="11" t="str">
        <f>+HYPERLINK("http://trademark.i-assist.jp/data/china/image_1900th/78525659.pdf", "78525659")</f>
        <v>78525659</v>
      </c>
      <c r="F364" s="10" t="s">
        <v>1186</v>
      </c>
      <c r="G364" s="10" t="s">
        <v>1187</v>
      </c>
      <c r="H364" s="10" t="s">
        <v>1188</v>
      </c>
      <c r="I364" s="10" t="s">
        <v>138</v>
      </c>
    </row>
    <row r="365" spans="1:9" x14ac:dyDescent="0.15">
      <c r="A365" s="9">
        <v>364</v>
      </c>
      <c r="B365" s="10" t="s">
        <v>9</v>
      </c>
      <c r="C365" s="10" t="s">
        <v>170</v>
      </c>
      <c r="D365" s="10" t="s">
        <v>171</v>
      </c>
      <c r="E365" s="11" t="str">
        <f>+HYPERLINK("http://trademark.i-assist.jp/data/china/image_1900th/78525730.pdf", "78525730")</f>
        <v>78525730</v>
      </c>
      <c r="F365" s="10" t="s">
        <v>1189</v>
      </c>
      <c r="G365" s="10" t="s">
        <v>1190</v>
      </c>
      <c r="H365" s="10" t="s">
        <v>1191</v>
      </c>
      <c r="I365" s="10" t="s">
        <v>138</v>
      </c>
    </row>
    <row r="366" spans="1:9" x14ac:dyDescent="0.15">
      <c r="A366" s="9">
        <v>365</v>
      </c>
      <c r="B366" s="10" t="s">
        <v>9</v>
      </c>
      <c r="C366" s="10" t="s">
        <v>170</v>
      </c>
      <c r="D366" s="10" t="s">
        <v>171</v>
      </c>
      <c r="E366" s="11" t="str">
        <f>+HYPERLINK("http://trademark.i-assist.jp/data/china/image_1900th/78526139.pdf", "78526139")</f>
        <v>78526139</v>
      </c>
      <c r="F366" s="10" t="s">
        <v>1192</v>
      </c>
      <c r="G366" s="10" t="s">
        <v>1193</v>
      </c>
      <c r="H366" s="10" t="s">
        <v>1194</v>
      </c>
      <c r="I366" s="10" t="s">
        <v>138</v>
      </c>
    </row>
    <row r="367" spans="1:9" x14ac:dyDescent="0.15">
      <c r="A367" s="9">
        <v>366</v>
      </c>
      <c r="B367" s="10" t="s">
        <v>9</v>
      </c>
      <c r="C367" s="10" t="s">
        <v>170</v>
      </c>
      <c r="D367" s="10" t="s">
        <v>171</v>
      </c>
      <c r="E367" s="11" t="str">
        <f>+HYPERLINK("http://trademark.i-assist.jp/data/china/image_1900th/78527015.pdf", "78527015")</f>
        <v>78527015</v>
      </c>
      <c r="F367" s="10" t="s">
        <v>1195</v>
      </c>
      <c r="G367" s="10" t="s">
        <v>1158</v>
      </c>
      <c r="H367" s="10" t="s">
        <v>1196</v>
      </c>
      <c r="I367" s="10" t="s">
        <v>138</v>
      </c>
    </row>
    <row r="368" spans="1:9" x14ac:dyDescent="0.15">
      <c r="A368" s="9">
        <v>367</v>
      </c>
      <c r="B368" s="10" t="s">
        <v>9</v>
      </c>
      <c r="C368" s="10" t="s">
        <v>170</v>
      </c>
      <c r="D368" s="10" t="s">
        <v>171</v>
      </c>
      <c r="E368" s="11" t="str">
        <f>+HYPERLINK("http://trademark.i-assist.jp/data/china/image_1900th/78527689.pdf", "78527689")</f>
        <v>78527689</v>
      </c>
      <c r="F368" s="10" t="s">
        <v>1197</v>
      </c>
      <c r="G368" s="10" t="s">
        <v>1198</v>
      </c>
      <c r="H368" s="10" t="s">
        <v>1199</v>
      </c>
      <c r="I368" s="10" t="s">
        <v>138</v>
      </c>
    </row>
    <row r="369" spans="1:9" x14ac:dyDescent="0.15">
      <c r="A369" s="9">
        <v>368</v>
      </c>
      <c r="B369" s="10" t="s">
        <v>9</v>
      </c>
      <c r="C369" s="10" t="s">
        <v>170</v>
      </c>
      <c r="D369" s="10" t="s">
        <v>171</v>
      </c>
      <c r="E369" s="11" t="str">
        <f>+HYPERLINK("http://trademark.i-assist.jp/data/china/image_1900th/78528135.pdf", "78528135")</f>
        <v>78528135</v>
      </c>
      <c r="F369" s="10" t="s">
        <v>1200</v>
      </c>
      <c r="G369" s="10" t="s">
        <v>139</v>
      </c>
      <c r="H369" s="10" t="s">
        <v>1201</v>
      </c>
      <c r="I369" s="10" t="s">
        <v>138</v>
      </c>
    </row>
    <row r="370" spans="1:9" x14ac:dyDescent="0.15">
      <c r="A370" s="9">
        <v>369</v>
      </c>
      <c r="B370" s="10" t="s">
        <v>9</v>
      </c>
      <c r="C370" s="10" t="s">
        <v>170</v>
      </c>
      <c r="D370" s="10" t="s">
        <v>171</v>
      </c>
      <c r="E370" s="11" t="str">
        <f>+HYPERLINK("http://trademark.i-assist.jp/data/china/image_1900th/78528484.pdf", "78528484")</f>
        <v>78528484</v>
      </c>
      <c r="F370" s="10" t="s">
        <v>1202</v>
      </c>
      <c r="G370" s="10" t="s">
        <v>1203</v>
      </c>
      <c r="H370" s="10" t="s">
        <v>1204</v>
      </c>
      <c r="I370" s="10" t="s">
        <v>138</v>
      </c>
    </row>
    <row r="371" spans="1:9" x14ac:dyDescent="0.15">
      <c r="A371" s="9">
        <v>370</v>
      </c>
      <c r="B371" s="10" t="s">
        <v>9</v>
      </c>
      <c r="C371" s="10" t="s">
        <v>170</v>
      </c>
      <c r="D371" s="10" t="s">
        <v>171</v>
      </c>
      <c r="E371" s="11" t="str">
        <f>+HYPERLINK("http://trademark.i-assist.jp/data/china/image_1900th/78529637.pdf", "78529637")</f>
        <v>78529637</v>
      </c>
      <c r="F371" s="10" t="s">
        <v>1205</v>
      </c>
      <c r="G371" s="10" t="s">
        <v>1206</v>
      </c>
      <c r="H371" s="10" t="s">
        <v>1207</v>
      </c>
      <c r="I371" s="10" t="s">
        <v>138</v>
      </c>
    </row>
    <row r="372" spans="1:9" x14ac:dyDescent="0.15">
      <c r="A372" s="9">
        <v>371</v>
      </c>
      <c r="B372" s="10" t="s">
        <v>9</v>
      </c>
      <c r="C372" s="10" t="s">
        <v>170</v>
      </c>
      <c r="D372" s="10" t="s">
        <v>171</v>
      </c>
      <c r="E372" s="11" t="str">
        <f>+HYPERLINK("http://trademark.i-assist.jp/data/china/image_1900th/78533741.pdf", "78533741")</f>
        <v>78533741</v>
      </c>
      <c r="F372" s="10" t="s">
        <v>1208</v>
      </c>
      <c r="G372" s="10" t="s">
        <v>1209</v>
      </c>
      <c r="H372" s="10" t="s">
        <v>1210</v>
      </c>
      <c r="I372" s="10" t="s">
        <v>138</v>
      </c>
    </row>
    <row r="373" spans="1:9" x14ac:dyDescent="0.15">
      <c r="A373" s="9">
        <v>372</v>
      </c>
      <c r="B373" s="10" t="s">
        <v>9</v>
      </c>
      <c r="C373" s="10" t="s">
        <v>170</v>
      </c>
      <c r="D373" s="10" t="s">
        <v>171</v>
      </c>
      <c r="E373" s="11" t="str">
        <f>+HYPERLINK("http://trademark.i-assist.jp/data/china/image_1900th/78534067.pdf", "78534067")</f>
        <v>78534067</v>
      </c>
      <c r="F373" s="10" t="s">
        <v>1211</v>
      </c>
      <c r="G373" s="10" t="s">
        <v>1212</v>
      </c>
      <c r="H373" s="10" t="s">
        <v>1213</v>
      </c>
      <c r="I373" s="10" t="s">
        <v>138</v>
      </c>
    </row>
    <row r="374" spans="1:9" x14ac:dyDescent="0.15">
      <c r="A374" s="9">
        <v>373</v>
      </c>
      <c r="B374" s="10" t="s">
        <v>9</v>
      </c>
      <c r="C374" s="10" t="s">
        <v>170</v>
      </c>
      <c r="D374" s="10" t="s">
        <v>171</v>
      </c>
      <c r="E374" s="11" t="str">
        <f>+HYPERLINK("http://trademark.i-assist.jp/data/china/image_1900th/78534585.pdf", "78534585")</f>
        <v>78534585</v>
      </c>
      <c r="F374" s="10" t="s">
        <v>1214</v>
      </c>
      <c r="G374" s="10" t="s">
        <v>1215</v>
      </c>
      <c r="H374" s="10" t="s">
        <v>1216</v>
      </c>
      <c r="I374" s="10" t="s">
        <v>138</v>
      </c>
    </row>
    <row r="375" spans="1:9" x14ac:dyDescent="0.15">
      <c r="A375" s="9">
        <v>374</v>
      </c>
      <c r="B375" s="10" t="s">
        <v>9</v>
      </c>
      <c r="C375" s="10" t="s">
        <v>170</v>
      </c>
      <c r="D375" s="10" t="s">
        <v>171</v>
      </c>
      <c r="E375" s="11" t="str">
        <f>+HYPERLINK("http://trademark.i-assist.jp/data/china/image_1900th/78534598.pdf", "78534598")</f>
        <v>78534598</v>
      </c>
      <c r="F375" s="10" t="s">
        <v>1217</v>
      </c>
      <c r="G375" s="10" t="s">
        <v>1218</v>
      </c>
      <c r="H375" s="10" t="s">
        <v>1219</v>
      </c>
      <c r="I375" s="10" t="s">
        <v>138</v>
      </c>
    </row>
    <row r="376" spans="1:9" x14ac:dyDescent="0.15">
      <c r="A376" s="9">
        <v>375</v>
      </c>
      <c r="B376" s="10" t="s">
        <v>9</v>
      </c>
      <c r="C376" s="10" t="s">
        <v>170</v>
      </c>
      <c r="D376" s="10" t="s">
        <v>171</v>
      </c>
      <c r="E376" s="11" t="str">
        <f>+HYPERLINK("http://trademark.i-assist.jp/data/china/image_1900th/78534934.pdf", "78534934")</f>
        <v>78534934</v>
      </c>
      <c r="F376" s="10" t="s">
        <v>1220</v>
      </c>
      <c r="G376" s="10" t="s">
        <v>1221</v>
      </c>
      <c r="H376" s="10" t="s">
        <v>1222</v>
      </c>
      <c r="I376" s="10" t="s">
        <v>138</v>
      </c>
    </row>
    <row r="377" spans="1:9" x14ac:dyDescent="0.15">
      <c r="A377" s="9">
        <v>376</v>
      </c>
      <c r="B377" s="10" t="s">
        <v>9</v>
      </c>
      <c r="C377" s="10" t="s">
        <v>170</v>
      </c>
      <c r="D377" s="10" t="s">
        <v>171</v>
      </c>
      <c r="E377" s="11" t="str">
        <f>+HYPERLINK("http://trademark.i-assist.jp/data/china/image_1900th/78535170.pdf", "78535170")</f>
        <v>78535170</v>
      </c>
      <c r="F377" s="10" t="s">
        <v>1223</v>
      </c>
      <c r="G377" s="10" t="s">
        <v>1224</v>
      </c>
      <c r="H377" s="10" t="s">
        <v>1225</v>
      </c>
      <c r="I377" s="10" t="s">
        <v>138</v>
      </c>
    </row>
    <row r="378" spans="1:9" x14ac:dyDescent="0.15">
      <c r="A378" s="9">
        <v>377</v>
      </c>
      <c r="B378" s="10" t="s">
        <v>9</v>
      </c>
      <c r="C378" s="10" t="s">
        <v>170</v>
      </c>
      <c r="D378" s="10" t="s">
        <v>171</v>
      </c>
      <c r="E378" s="11" t="str">
        <f>+HYPERLINK("http://trademark.i-assist.jp/data/china/image_1900th/78535432.pdf", "78535432")</f>
        <v>78535432</v>
      </c>
      <c r="F378" s="10" t="s">
        <v>1226</v>
      </c>
      <c r="G378" s="10" t="s">
        <v>1227</v>
      </c>
      <c r="H378" s="10" t="s">
        <v>1228</v>
      </c>
      <c r="I378" s="10" t="s">
        <v>138</v>
      </c>
    </row>
    <row r="379" spans="1:9" x14ac:dyDescent="0.15">
      <c r="A379" s="9">
        <v>378</v>
      </c>
      <c r="B379" s="10" t="s">
        <v>9</v>
      </c>
      <c r="C379" s="10" t="s">
        <v>170</v>
      </c>
      <c r="D379" s="10" t="s">
        <v>171</v>
      </c>
      <c r="E379" s="11" t="str">
        <f>+HYPERLINK("http://trademark.i-assist.jp/data/china/image_1900th/78536269.pdf", "78536269")</f>
        <v>78536269</v>
      </c>
      <c r="F379" s="10" t="s">
        <v>1229</v>
      </c>
      <c r="G379" s="10" t="s">
        <v>87</v>
      </c>
      <c r="H379" s="10" t="s">
        <v>1230</v>
      </c>
      <c r="I379" s="10" t="s">
        <v>138</v>
      </c>
    </row>
    <row r="380" spans="1:9" x14ac:dyDescent="0.15">
      <c r="A380" s="9">
        <v>379</v>
      </c>
      <c r="B380" s="10" t="s">
        <v>9</v>
      </c>
      <c r="C380" s="10" t="s">
        <v>170</v>
      </c>
      <c r="D380" s="10" t="s">
        <v>171</v>
      </c>
      <c r="E380" s="11" t="str">
        <f>+HYPERLINK("http://trademark.i-assist.jp/data/china/image_1900th/78536425.pdf", "78536425")</f>
        <v>78536425</v>
      </c>
      <c r="F380" s="10" t="s">
        <v>1231</v>
      </c>
      <c r="G380" s="10" t="s">
        <v>1232</v>
      </c>
      <c r="H380" s="10" t="s">
        <v>1233</v>
      </c>
      <c r="I380" s="10" t="s">
        <v>138</v>
      </c>
    </row>
    <row r="381" spans="1:9" x14ac:dyDescent="0.15">
      <c r="A381" s="9">
        <v>380</v>
      </c>
      <c r="B381" s="10" t="s">
        <v>9</v>
      </c>
      <c r="C381" s="10" t="s">
        <v>170</v>
      </c>
      <c r="D381" s="10" t="s">
        <v>171</v>
      </c>
      <c r="E381" s="11" t="str">
        <f>+HYPERLINK("http://trademark.i-assist.jp/data/china/image_1900th/78537578.pdf", "78537578")</f>
        <v>78537578</v>
      </c>
      <c r="F381" s="10" t="s">
        <v>1234</v>
      </c>
      <c r="G381" s="10" t="s">
        <v>1235</v>
      </c>
      <c r="H381" s="10" t="s">
        <v>1236</v>
      </c>
      <c r="I381" s="10" t="s">
        <v>146</v>
      </c>
    </row>
    <row r="382" spans="1:9" x14ac:dyDescent="0.15">
      <c r="A382" s="9">
        <v>381</v>
      </c>
      <c r="B382" s="10" t="s">
        <v>9</v>
      </c>
      <c r="C382" s="10" t="s">
        <v>170</v>
      </c>
      <c r="D382" s="10" t="s">
        <v>171</v>
      </c>
      <c r="E382" s="11" t="str">
        <f>+HYPERLINK("http://trademark.i-assist.jp/data/china/image_1900th/78538654.pdf", "78538654")</f>
        <v>78538654</v>
      </c>
      <c r="F382" s="10" t="s">
        <v>1237</v>
      </c>
      <c r="G382" s="10" t="s">
        <v>1238</v>
      </c>
      <c r="H382" s="10" t="s">
        <v>1239</v>
      </c>
      <c r="I382" s="10" t="s">
        <v>146</v>
      </c>
    </row>
    <row r="383" spans="1:9" x14ac:dyDescent="0.15">
      <c r="A383" s="9">
        <v>382</v>
      </c>
      <c r="B383" s="10" t="s">
        <v>9</v>
      </c>
      <c r="C383" s="10" t="s">
        <v>170</v>
      </c>
      <c r="D383" s="10" t="s">
        <v>171</v>
      </c>
      <c r="E383" s="11" t="str">
        <f>+HYPERLINK("http://trademark.i-assist.jp/data/china/image_1900th/78539775.pdf", "78539775")</f>
        <v>78539775</v>
      </c>
      <c r="F383" s="10" t="s">
        <v>1240</v>
      </c>
      <c r="G383" s="10" t="s">
        <v>1238</v>
      </c>
      <c r="H383" s="10" t="s">
        <v>1241</v>
      </c>
      <c r="I383" s="10" t="s">
        <v>146</v>
      </c>
    </row>
    <row r="384" spans="1:9" x14ac:dyDescent="0.15">
      <c r="A384" s="9">
        <v>383</v>
      </c>
      <c r="B384" s="10" t="s">
        <v>9</v>
      </c>
      <c r="C384" s="10" t="s">
        <v>170</v>
      </c>
      <c r="D384" s="10" t="s">
        <v>171</v>
      </c>
      <c r="E384" s="11" t="str">
        <f>+HYPERLINK("http://trademark.i-assist.jp/data/china/image_1900th/78539776.pdf", "78539776")</f>
        <v>78539776</v>
      </c>
      <c r="F384" s="10" t="s">
        <v>1242</v>
      </c>
      <c r="G384" s="10" t="s">
        <v>1238</v>
      </c>
      <c r="H384" s="10" t="s">
        <v>1243</v>
      </c>
      <c r="I384" s="10" t="s">
        <v>146</v>
      </c>
    </row>
    <row r="385" spans="1:9" x14ac:dyDescent="0.15">
      <c r="A385" s="9">
        <v>384</v>
      </c>
      <c r="B385" s="10" t="s">
        <v>9</v>
      </c>
      <c r="C385" s="10" t="s">
        <v>170</v>
      </c>
      <c r="D385" s="10" t="s">
        <v>171</v>
      </c>
      <c r="E385" s="11" t="str">
        <f>+HYPERLINK("http://trademark.i-assist.jp/data/china/image_1900th/78544053.pdf", "78544053")</f>
        <v>78544053</v>
      </c>
      <c r="F385" s="10" t="s">
        <v>1244</v>
      </c>
      <c r="G385" s="10" t="s">
        <v>1245</v>
      </c>
      <c r="H385" s="10" t="s">
        <v>1246</v>
      </c>
      <c r="I385" s="10" t="s">
        <v>148</v>
      </c>
    </row>
    <row r="386" spans="1:9" x14ac:dyDescent="0.15">
      <c r="A386" s="9">
        <v>385</v>
      </c>
      <c r="B386" s="10" t="s">
        <v>9</v>
      </c>
      <c r="C386" s="10" t="s">
        <v>170</v>
      </c>
      <c r="D386" s="10" t="s">
        <v>171</v>
      </c>
      <c r="E386" s="11" t="str">
        <f>+HYPERLINK("http://trademark.i-assist.jp/data/china/image_1900th/78546426.pdf", "78546426")</f>
        <v>78546426</v>
      </c>
      <c r="F386" s="10" t="s">
        <v>1247</v>
      </c>
      <c r="G386" s="10" t="s">
        <v>1248</v>
      </c>
      <c r="H386" s="10" t="s">
        <v>1249</v>
      </c>
      <c r="I386" s="10" t="s">
        <v>148</v>
      </c>
    </row>
    <row r="387" spans="1:9" x14ac:dyDescent="0.15">
      <c r="A387" s="9">
        <v>386</v>
      </c>
      <c r="B387" s="10" t="s">
        <v>9</v>
      </c>
      <c r="C387" s="10" t="s">
        <v>170</v>
      </c>
      <c r="D387" s="10" t="s">
        <v>171</v>
      </c>
      <c r="E387" s="11" t="str">
        <f>+HYPERLINK("http://trademark.i-assist.jp/data/china/image_1900th/78547305.pdf", "78547305")</f>
        <v>78547305</v>
      </c>
      <c r="F387" s="10" t="s">
        <v>15</v>
      </c>
      <c r="G387" s="10" t="s">
        <v>1250</v>
      </c>
      <c r="H387" s="10" t="s">
        <v>1251</v>
      </c>
      <c r="I387" s="10" t="s">
        <v>148</v>
      </c>
    </row>
    <row r="388" spans="1:9" x14ac:dyDescent="0.15">
      <c r="A388" s="9">
        <v>387</v>
      </c>
      <c r="B388" s="10" t="s">
        <v>9</v>
      </c>
      <c r="C388" s="10" t="s">
        <v>170</v>
      </c>
      <c r="D388" s="10" t="s">
        <v>171</v>
      </c>
      <c r="E388" s="11" t="str">
        <f>+HYPERLINK("http://trademark.i-assist.jp/data/china/image_1900th/78547775.pdf", "78547775")</f>
        <v>78547775</v>
      </c>
      <c r="F388" s="10" t="s">
        <v>1252</v>
      </c>
      <c r="G388" s="10" t="s">
        <v>1253</v>
      </c>
      <c r="H388" s="10" t="s">
        <v>1254</v>
      </c>
      <c r="I388" s="10" t="s">
        <v>148</v>
      </c>
    </row>
    <row r="389" spans="1:9" x14ac:dyDescent="0.15">
      <c r="A389" s="9">
        <v>388</v>
      </c>
      <c r="B389" s="10" t="s">
        <v>9</v>
      </c>
      <c r="C389" s="10" t="s">
        <v>170</v>
      </c>
      <c r="D389" s="10" t="s">
        <v>171</v>
      </c>
      <c r="E389" s="11" t="str">
        <f>+HYPERLINK("http://trademark.i-assist.jp/data/china/image_1900th/78548265.pdf", "78548265")</f>
        <v>78548265</v>
      </c>
      <c r="F389" s="10" t="s">
        <v>15</v>
      </c>
      <c r="G389" s="10" t="s">
        <v>1255</v>
      </c>
      <c r="H389" s="10" t="s">
        <v>1256</v>
      </c>
      <c r="I389" s="10" t="s">
        <v>148</v>
      </c>
    </row>
    <row r="390" spans="1:9" x14ac:dyDescent="0.15">
      <c r="A390" s="9">
        <v>389</v>
      </c>
      <c r="B390" s="10" t="s">
        <v>9</v>
      </c>
      <c r="C390" s="10" t="s">
        <v>170</v>
      </c>
      <c r="D390" s="10" t="s">
        <v>171</v>
      </c>
      <c r="E390" s="11" t="str">
        <f>+HYPERLINK("http://trademark.i-assist.jp/data/china/image_1900th/78548315.pdf", "78548315")</f>
        <v>78548315</v>
      </c>
      <c r="F390" s="10" t="s">
        <v>15</v>
      </c>
      <c r="G390" s="10" t="s">
        <v>1257</v>
      </c>
      <c r="H390" s="10" t="s">
        <v>1258</v>
      </c>
      <c r="I390" s="10" t="s">
        <v>148</v>
      </c>
    </row>
    <row r="391" spans="1:9" x14ac:dyDescent="0.15">
      <c r="A391" s="9">
        <v>390</v>
      </c>
      <c r="B391" s="10" t="s">
        <v>9</v>
      </c>
      <c r="C391" s="10" t="s">
        <v>170</v>
      </c>
      <c r="D391" s="10" t="s">
        <v>171</v>
      </c>
      <c r="E391" s="11" t="str">
        <f>+HYPERLINK("http://trademark.i-assist.jp/data/china/image_1900th/78548404.pdf", "78548404")</f>
        <v>78548404</v>
      </c>
      <c r="F391" s="10" t="s">
        <v>1259</v>
      </c>
      <c r="G391" s="10" t="s">
        <v>1260</v>
      </c>
      <c r="H391" s="10" t="s">
        <v>1261</v>
      </c>
      <c r="I391" s="10" t="s">
        <v>148</v>
      </c>
    </row>
    <row r="392" spans="1:9" x14ac:dyDescent="0.15">
      <c r="A392" s="9">
        <v>391</v>
      </c>
      <c r="B392" s="10" t="s">
        <v>9</v>
      </c>
      <c r="C392" s="10" t="s">
        <v>170</v>
      </c>
      <c r="D392" s="10" t="s">
        <v>171</v>
      </c>
      <c r="E392" s="11" t="str">
        <f>+HYPERLINK("http://trademark.i-assist.jp/data/china/image_1900th/78548608.pdf", "78548608")</f>
        <v>78548608</v>
      </c>
      <c r="F392" s="10" t="s">
        <v>1262</v>
      </c>
      <c r="G392" s="10" t="s">
        <v>154</v>
      </c>
      <c r="H392" s="10" t="s">
        <v>1263</v>
      </c>
      <c r="I392" s="10" t="s">
        <v>148</v>
      </c>
    </row>
    <row r="393" spans="1:9" x14ac:dyDescent="0.15">
      <c r="A393" s="9">
        <v>392</v>
      </c>
      <c r="B393" s="10" t="s">
        <v>9</v>
      </c>
      <c r="C393" s="10" t="s">
        <v>170</v>
      </c>
      <c r="D393" s="10" t="s">
        <v>171</v>
      </c>
      <c r="E393" s="11" t="str">
        <f>+HYPERLINK("http://trademark.i-assist.jp/data/china/image_1900th/78550037.pdf", "78550037")</f>
        <v>78550037</v>
      </c>
      <c r="F393" s="10" t="s">
        <v>1264</v>
      </c>
      <c r="G393" s="10" t="s">
        <v>1255</v>
      </c>
      <c r="H393" s="10" t="s">
        <v>1265</v>
      </c>
      <c r="I393" s="10" t="s">
        <v>148</v>
      </c>
    </row>
    <row r="394" spans="1:9" x14ac:dyDescent="0.15">
      <c r="A394" s="9">
        <v>393</v>
      </c>
      <c r="B394" s="10" t="s">
        <v>9</v>
      </c>
      <c r="C394" s="10" t="s">
        <v>170</v>
      </c>
      <c r="D394" s="10" t="s">
        <v>171</v>
      </c>
      <c r="E394" s="11" t="str">
        <f>+HYPERLINK("http://trademark.i-assist.jp/data/china/image_1900th/78553362.pdf", "78553362")</f>
        <v>78553362</v>
      </c>
      <c r="F394" s="10" t="s">
        <v>1266</v>
      </c>
      <c r="G394" s="10" t="s">
        <v>1248</v>
      </c>
      <c r="H394" s="10" t="s">
        <v>1267</v>
      </c>
      <c r="I394" s="10" t="s">
        <v>148</v>
      </c>
    </row>
    <row r="395" spans="1:9" x14ac:dyDescent="0.15">
      <c r="A395" s="9">
        <v>394</v>
      </c>
      <c r="B395" s="10" t="s">
        <v>9</v>
      </c>
      <c r="C395" s="10" t="s">
        <v>170</v>
      </c>
      <c r="D395" s="10" t="s">
        <v>171</v>
      </c>
      <c r="E395" s="11" t="str">
        <f>+HYPERLINK("http://trademark.i-assist.jp/data/china/image_1900th/78553455.pdf", "78553455")</f>
        <v>78553455</v>
      </c>
      <c r="F395" s="10" t="s">
        <v>1268</v>
      </c>
      <c r="G395" s="10" t="s">
        <v>1269</v>
      </c>
      <c r="H395" s="10" t="s">
        <v>1270</v>
      </c>
      <c r="I395" s="10" t="s">
        <v>148</v>
      </c>
    </row>
    <row r="396" spans="1:9" x14ac:dyDescent="0.15">
      <c r="A396" s="9">
        <v>395</v>
      </c>
      <c r="B396" s="10" t="s">
        <v>9</v>
      </c>
      <c r="C396" s="10" t="s">
        <v>170</v>
      </c>
      <c r="D396" s="10" t="s">
        <v>171</v>
      </c>
      <c r="E396" s="11" t="str">
        <f>+HYPERLINK("http://trademark.i-assist.jp/data/china/image_1900th/78554551.pdf", "78554551")</f>
        <v>78554551</v>
      </c>
      <c r="F396" s="10" t="s">
        <v>1271</v>
      </c>
      <c r="G396" s="10" t="s">
        <v>1272</v>
      </c>
      <c r="H396" s="10" t="s">
        <v>1273</v>
      </c>
      <c r="I396" s="10" t="s">
        <v>148</v>
      </c>
    </row>
    <row r="397" spans="1:9" x14ac:dyDescent="0.15">
      <c r="A397" s="9">
        <v>396</v>
      </c>
      <c r="B397" s="10" t="s">
        <v>9</v>
      </c>
      <c r="C397" s="10" t="s">
        <v>170</v>
      </c>
      <c r="D397" s="10" t="s">
        <v>171</v>
      </c>
      <c r="E397" s="11" t="str">
        <f>+HYPERLINK("http://trademark.i-assist.jp/data/china/image_1900th/78556473.pdf", "78556473")</f>
        <v>78556473</v>
      </c>
      <c r="F397" s="10" t="s">
        <v>1274</v>
      </c>
      <c r="G397" s="10" t="s">
        <v>1275</v>
      </c>
      <c r="H397" s="10" t="s">
        <v>1276</v>
      </c>
      <c r="I397" s="10" t="s">
        <v>148</v>
      </c>
    </row>
    <row r="398" spans="1:9" x14ac:dyDescent="0.15">
      <c r="A398" s="9">
        <v>397</v>
      </c>
      <c r="B398" s="10" t="s">
        <v>9</v>
      </c>
      <c r="C398" s="10" t="s">
        <v>170</v>
      </c>
      <c r="D398" s="10" t="s">
        <v>171</v>
      </c>
      <c r="E398" s="11" t="str">
        <f>+HYPERLINK("http://trademark.i-assist.jp/data/china/image_1900th/78557700.pdf", "78557700")</f>
        <v>78557700</v>
      </c>
      <c r="F398" s="10" t="s">
        <v>1277</v>
      </c>
      <c r="G398" s="10" t="s">
        <v>1278</v>
      </c>
      <c r="H398" s="10" t="s">
        <v>1279</v>
      </c>
      <c r="I398" s="10" t="s">
        <v>148</v>
      </c>
    </row>
    <row r="399" spans="1:9" x14ac:dyDescent="0.15">
      <c r="A399" s="9">
        <v>398</v>
      </c>
      <c r="B399" s="10" t="s">
        <v>9</v>
      </c>
      <c r="C399" s="10" t="s">
        <v>170</v>
      </c>
      <c r="D399" s="10" t="s">
        <v>171</v>
      </c>
      <c r="E399" s="11" t="str">
        <f>+HYPERLINK("http://trademark.i-assist.jp/data/china/image_1900th/78557978.pdf", "78557978")</f>
        <v>78557978</v>
      </c>
      <c r="F399" s="10" t="s">
        <v>1280</v>
      </c>
      <c r="G399" s="10" t="s">
        <v>1281</v>
      </c>
      <c r="H399" s="10" t="s">
        <v>1282</v>
      </c>
      <c r="I399" s="10" t="s">
        <v>148</v>
      </c>
    </row>
    <row r="400" spans="1:9" x14ac:dyDescent="0.15">
      <c r="A400" s="9">
        <v>399</v>
      </c>
      <c r="B400" s="10" t="s">
        <v>9</v>
      </c>
      <c r="C400" s="10" t="s">
        <v>170</v>
      </c>
      <c r="D400" s="10" t="s">
        <v>171</v>
      </c>
      <c r="E400" s="11" t="str">
        <f>+HYPERLINK("http://trademark.i-assist.jp/data/china/image_1900th/78560069.pdf", "78560069")</f>
        <v>78560069</v>
      </c>
      <c r="F400" s="10" t="s">
        <v>1283</v>
      </c>
      <c r="G400" s="10" t="s">
        <v>1284</v>
      </c>
      <c r="H400" s="10" t="s">
        <v>1285</v>
      </c>
      <c r="I400" s="10" t="s">
        <v>148</v>
      </c>
    </row>
    <row r="401" spans="1:9" x14ac:dyDescent="0.15">
      <c r="A401" s="9">
        <v>400</v>
      </c>
      <c r="B401" s="10" t="s">
        <v>9</v>
      </c>
      <c r="C401" s="10" t="s">
        <v>170</v>
      </c>
      <c r="D401" s="10" t="s">
        <v>171</v>
      </c>
      <c r="E401" s="11" t="str">
        <f>+HYPERLINK("http://trademark.i-assist.jp/data/china/image_1900th/78560725.pdf", "78560725")</f>
        <v>78560725</v>
      </c>
      <c r="F401" s="10" t="s">
        <v>1286</v>
      </c>
      <c r="G401" s="10" t="s">
        <v>1287</v>
      </c>
      <c r="H401" s="10" t="s">
        <v>1288</v>
      </c>
      <c r="I401" s="10" t="s">
        <v>148</v>
      </c>
    </row>
    <row r="402" spans="1:9" x14ac:dyDescent="0.15">
      <c r="A402" s="9">
        <v>401</v>
      </c>
      <c r="B402" s="10" t="s">
        <v>9</v>
      </c>
      <c r="C402" s="10" t="s">
        <v>170</v>
      </c>
      <c r="D402" s="10" t="s">
        <v>171</v>
      </c>
      <c r="E402" s="11" t="str">
        <f>+HYPERLINK("http://trademark.i-assist.jp/data/china/image_1900th/78562065.pdf", "78562065")</f>
        <v>78562065</v>
      </c>
      <c r="F402" s="10" t="s">
        <v>1264</v>
      </c>
      <c r="G402" s="10" t="s">
        <v>1255</v>
      </c>
      <c r="H402" s="10" t="s">
        <v>1289</v>
      </c>
      <c r="I402" s="10" t="s">
        <v>148</v>
      </c>
    </row>
    <row r="403" spans="1:9" x14ac:dyDescent="0.15">
      <c r="A403" s="9">
        <v>402</v>
      </c>
      <c r="B403" s="10" t="s">
        <v>9</v>
      </c>
      <c r="C403" s="10" t="s">
        <v>170</v>
      </c>
      <c r="D403" s="10" t="s">
        <v>171</v>
      </c>
      <c r="E403" s="11" t="str">
        <f>+HYPERLINK("http://trademark.i-assist.jp/data/china/image_1900th/78562231.pdf", "78562231")</f>
        <v>78562231</v>
      </c>
      <c r="F403" s="10" t="s">
        <v>15</v>
      </c>
      <c r="G403" s="10" t="s">
        <v>1290</v>
      </c>
      <c r="H403" s="10" t="s">
        <v>1291</v>
      </c>
      <c r="I403" s="10" t="s">
        <v>148</v>
      </c>
    </row>
    <row r="404" spans="1:9" x14ac:dyDescent="0.15">
      <c r="A404" s="9">
        <v>403</v>
      </c>
      <c r="B404" s="10" t="s">
        <v>9</v>
      </c>
      <c r="C404" s="10" t="s">
        <v>170</v>
      </c>
      <c r="D404" s="10" t="s">
        <v>171</v>
      </c>
      <c r="E404" s="11" t="str">
        <f>+HYPERLINK("http://trademark.i-assist.jp/data/china/image_1900th/78562360.pdf", "78562360")</f>
        <v>78562360</v>
      </c>
      <c r="F404" s="10" t="s">
        <v>1292</v>
      </c>
      <c r="G404" s="10" t="s">
        <v>1293</v>
      </c>
      <c r="H404" s="10" t="s">
        <v>1294</v>
      </c>
      <c r="I404" s="10" t="s">
        <v>148</v>
      </c>
    </row>
    <row r="405" spans="1:9" x14ac:dyDescent="0.15">
      <c r="A405" s="9">
        <v>404</v>
      </c>
      <c r="B405" s="10" t="s">
        <v>9</v>
      </c>
      <c r="C405" s="10" t="s">
        <v>170</v>
      </c>
      <c r="D405" s="10" t="s">
        <v>171</v>
      </c>
      <c r="E405" s="11" t="str">
        <f>+HYPERLINK("http://trademark.i-assist.jp/data/china/image_1900th/78562448.pdf", "78562448")</f>
        <v>78562448</v>
      </c>
      <c r="F405" s="10" t="s">
        <v>1295</v>
      </c>
      <c r="G405" s="10" t="s">
        <v>1269</v>
      </c>
      <c r="H405" s="10" t="s">
        <v>1296</v>
      </c>
      <c r="I405" s="10" t="s">
        <v>148</v>
      </c>
    </row>
    <row r="406" spans="1:9" x14ac:dyDescent="0.15">
      <c r="A406" s="9">
        <v>405</v>
      </c>
      <c r="B406" s="10" t="s">
        <v>9</v>
      </c>
      <c r="C406" s="10" t="s">
        <v>170</v>
      </c>
      <c r="D406" s="10" t="s">
        <v>171</v>
      </c>
      <c r="E406" s="11" t="str">
        <f>+HYPERLINK("http://trademark.i-assist.jp/data/china/image_1900th/78562535.pdf", "78562535")</f>
        <v>78562535</v>
      </c>
      <c r="F406" s="10" t="s">
        <v>1297</v>
      </c>
      <c r="G406" s="10" t="s">
        <v>1298</v>
      </c>
      <c r="H406" s="10" t="s">
        <v>1299</v>
      </c>
      <c r="I406" s="10" t="s">
        <v>148</v>
      </c>
    </row>
    <row r="407" spans="1:9" x14ac:dyDescent="0.15">
      <c r="A407" s="9">
        <v>406</v>
      </c>
      <c r="B407" s="10" t="s">
        <v>9</v>
      </c>
      <c r="C407" s="10" t="s">
        <v>170</v>
      </c>
      <c r="D407" s="10" t="s">
        <v>171</v>
      </c>
      <c r="E407" s="11" t="str">
        <f>+HYPERLINK("http://trademark.i-assist.jp/data/china/image_1900th/78564460.pdf", "78564460")</f>
        <v>78564460</v>
      </c>
      <c r="F407" s="10" t="s">
        <v>124</v>
      </c>
      <c r="G407" s="10" t="s">
        <v>125</v>
      </c>
      <c r="H407" s="10" t="s">
        <v>1300</v>
      </c>
      <c r="I407" s="10" t="s">
        <v>148</v>
      </c>
    </row>
    <row r="408" spans="1:9" x14ac:dyDescent="0.15">
      <c r="A408" s="9">
        <v>407</v>
      </c>
      <c r="B408" s="10" t="s">
        <v>9</v>
      </c>
      <c r="C408" s="10" t="s">
        <v>170</v>
      </c>
      <c r="D408" s="10" t="s">
        <v>171</v>
      </c>
      <c r="E408" s="11" t="str">
        <f>+HYPERLINK("http://trademark.i-assist.jp/data/china/image_1900th/78564635.pdf", "78564635")</f>
        <v>78564635</v>
      </c>
      <c r="F408" s="10" t="s">
        <v>1301</v>
      </c>
      <c r="G408" s="10" t="s">
        <v>1302</v>
      </c>
      <c r="H408" s="10" t="s">
        <v>1303</v>
      </c>
      <c r="I408" s="10" t="s">
        <v>148</v>
      </c>
    </row>
    <row r="409" spans="1:9" x14ac:dyDescent="0.15">
      <c r="A409" s="9">
        <v>408</v>
      </c>
      <c r="B409" s="10" t="s">
        <v>9</v>
      </c>
      <c r="C409" s="10" t="s">
        <v>170</v>
      </c>
      <c r="D409" s="10" t="s">
        <v>171</v>
      </c>
      <c r="E409" s="11" t="str">
        <f>+HYPERLINK("http://trademark.i-assist.jp/data/china/image_1900th/78565992.pdf", "78565992")</f>
        <v>78565992</v>
      </c>
      <c r="F409" s="10" t="s">
        <v>1304</v>
      </c>
      <c r="G409" s="10" t="s">
        <v>1287</v>
      </c>
      <c r="H409" s="10" t="s">
        <v>1305</v>
      </c>
      <c r="I409" s="10" t="s">
        <v>148</v>
      </c>
    </row>
    <row r="410" spans="1:9" x14ac:dyDescent="0.15">
      <c r="A410" s="9">
        <v>409</v>
      </c>
      <c r="B410" s="10" t="s">
        <v>9</v>
      </c>
      <c r="C410" s="10" t="s">
        <v>170</v>
      </c>
      <c r="D410" s="10" t="s">
        <v>171</v>
      </c>
      <c r="E410" s="11" t="str">
        <f>+HYPERLINK("http://trademark.i-assist.jp/data/china/image_1900th/78566373.pdf", "78566373")</f>
        <v>78566373</v>
      </c>
      <c r="F410" s="10" t="s">
        <v>1306</v>
      </c>
      <c r="G410" s="10" t="s">
        <v>1307</v>
      </c>
      <c r="H410" s="10" t="s">
        <v>1308</v>
      </c>
      <c r="I410" s="10" t="s">
        <v>148</v>
      </c>
    </row>
    <row r="411" spans="1:9" x14ac:dyDescent="0.15">
      <c r="A411" s="9">
        <v>410</v>
      </c>
      <c r="B411" s="10" t="s">
        <v>9</v>
      </c>
      <c r="C411" s="10" t="s">
        <v>170</v>
      </c>
      <c r="D411" s="10" t="s">
        <v>171</v>
      </c>
      <c r="E411" s="11" t="str">
        <f>+HYPERLINK("http://trademark.i-assist.jp/data/china/image_1900th/78567076.pdf", "78567076")</f>
        <v>78567076</v>
      </c>
      <c r="F411" s="10" t="s">
        <v>1309</v>
      </c>
      <c r="G411" s="10" t="s">
        <v>1310</v>
      </c>
      <c r="H411" s="10" t="s">
        <v>1311</v>
      </c>
      <c r="I411" s="10" t="s">
        <v>148</v>
      </c>
    </row>
    <row r="412" spans="1:9" x14ac:dyDescent="0.15">
      <c r="A412" s="9">
        <v>411</v>
      </c>
      <c r="B412" s="10" t="s">
        <v>9</v>
      </c>
      <c r="C412" s="10" t="s">
        <v>170</v>
      </c>
      <c r="D412" s="10" t="s">
        <v>171</v>
      </c>
      <c r="E412" s="11" t="str">
        <f>+HYPERLINK("http://trademark.i-assist.jp/data/china/image_1900th/78568748.pdf", "78568748")</f>
        <v>78568748</v>
      </c>
      <c r="F412" s="10" t="s">
        <v>15</v>
      </c>
      <c r="G412" s="10" t="s">
        <v>1312</v>
      </c>
      <c r="H412" s="10" t="s">
        <v>1313</v>
      </c>
      <c r="I412" s="10" t="s">
        <v>155</v>
      </c>
    </row>
    <row r="413" spans="1:9" x14ac:dyDescent="0.15">
      <c r="A413" s="9">
        <v>412</v>
      </c>
      <c r="B413" s="10" t="s">
        <v>9</v>
      </c>
      <c r="C413" s="10" t="s">
        <v>170</v>
      </c>
      <c r="D413" s="10" t="s">
        <v>171</v>
      </c>
      <c r="E413" s="11" t="str">
        <f>+HYPERLINK("http://trademark.i-assist.jp/data/china/image_1900th/78570232.pdf", "78570232")</f>
        <v>78570232</v>
      </c>
      <c r="F413" s="10" t="s">
        <v>1314</v>
      </c>
      <c r="G413" s="10" t="s">
        <v>1315</v>
      </c>
      <c r="H413" s="10" t="s">
        <v>1316</v>
      </c>
      <c r="I413" s="10" t="s">
        <v>155</v>
      </c>
    </row>
    <row r="414" spans="1:9" x14ac:dyDescent="0.15">
      <c r="A414" s="9">
        <v>413</v>
      </c>
      <c r="B414" s="10" t="s">
        <v>9</v>
      </c>
      <c r="C414" s="10" t="s">
        <v>170</v>
      </c>
      <c r="D414" s="10" t="s">
        <v>171</v>
      </c>
      <c r="E414" s="11" t="str">
        <f>+HYPERLINK("http://trademark.i-assist.jp/data/china/image_1900th/78571687.pdf", "78571687")</f>
        <v>78571687</v>
      </c>
      <c r="F414" s="10" t="s">
        <v>1317</v>
      </c>
      <c r="G414" s="10" t="s">
        <v>1318</v>
      </c>
      <c r="H414" s="10" t="s">
        <v>1319</v>
      </c>
      <c r="I414" s="10" t="s">
        <v>155</v>
      </c>
    </row>
    <row r="415" spans="1:9" x14ac:dyDescent="0.15">
      <c r="A415" s="9">
        <v>414</v>
      </c>
      <c r="B415" s="10" t="s">
        <v>9</v>
      </c>
      <c r="C415" s="10" t="s">
        <v>170</v>
      </c>
      <c r="D415" s="10" t="s">
        <v>171</v>
      </c>
      <c r="E415" s="11" t="str">
        <f>+HYPERLINK("http://trademark.i-assist.jp/data/china/image_1900th/78572882.pdf", "78572882")</f>
        <v>78572882</v>
      </c>
      <c r="F415" s="10" t="s">
        <v>1320</v>
      </c>
      <c r="G415" s="10" t="s">
        <v>1321</v>
      </c>
      <c r="H415" s="10" t="s">
        <v>1322</v>
      </c>
      <c r="I415" s="10" t="s">
        <v>155</v>
      </c>
    </row>
    <row r="416" spans="1:9" x14ac:dyDescent="0.15">
      <c r="A416" s="9">
        <v>415</v>
      </c>
      <c r="B416" s="10" t="s">
        <v>9</v>
      </c>
      <c r="C416" s="10" t="s">
        <v>170</v>
      </c>
      <c r="D416" s="10" t="s">
        <v>171</v>
      </c>
      <c r="E416" s="11" t="str">
        <f>+HYPERLINK("http://trademark.i-assist.jp/data/china/image_1900th/78572972.pdf", "78572972")</f>
        <v>78572972</v>
      </c>
      <c r="F416" s="10" t="s">
        <v>1323</v>
      </c>
      <c r="G416" s="10" t="s">
        <v>1324</v>
      </c>
      <c r="H416" s="10" t="s">
        <v>1325</v>
      </c>
      <c r="I416" s="10" t="s">
        <v>155</v>
      </c>
    </row>
    <row r="417" spans="1:9" x14ac:dyDescent="0.15">
      <c r="A417" s="9">
        <v>416</v>
      </c>
      <c r="B417" s="10" t="s">
        <v>9</v>
      </c>
      <c r="C417" s="10" t="s">
        <v>170</v>
      </c>
      <c r="D417" s="10" t="s">
        <v>171</v>
      </c>
      <c r="E417" s="11" t="str">
        <f>+HYPERLINK("http://trademark.i-assist.jp/data/china/image_1900th/78573581.pdf", "78573581")</f>
        <v>78573581</v>
      </c>
      <c r="F417" s="10" t="s">
        <v>1326</v>
      </c>
      <c r="G417" s="10" t="s">
        <v>1327</v>
      </c>
      <c r="H417" s="10" t="s">
        <v>1328</v>
      </c>
      <c r="I417" s="10" t="s">
        <v>155</v>
      </c>
    </row>
    <row r="418" spans="1:9" x14ac:dyDescent="0.15">
      <c r="A418" s="9">
        <v>417</v>
      </c>
      <c r="B418" s="10" t="s">
        <v>9</v>
      </c>
      <c r="C418" s="10" t="s">
        <v>170</v>
      </c>
      <c r="D418" s="10" t="s">
        <v>171</v>
      </c>
      <c r="E418" s="11" t="str">
        <f>+HYPERLINK("http://trademark.i-assist.jp/data/china/image_1900th/78573661.pdf", "78573661")</f>
        <v>78573661</v>
      </c>
      <c r="F418" s="10" t="s">
        <v>1329</v>
      </c>
      <c r="G418" s="10" t="s">
        <v>125</v>
      </c>
      <c r="H418" s="10" t="s">
        <v>1330</v>
      </c>
      <c r="I418" s="10" t="s">
        <v>155</v>
      </c>
    </row>
    <row r="419" spans="1:9" x14ac:dyDescent="0.15">
      <c r="A419" s="9">
        <v>418</v>
      </c>
      <c r="B419" s="10" t="s">
        <v>9</v>
      </c>
      <c r="C419" s="10" t="s">
        <v>170</v>
      </c>
      <c r="D419" s="10" t="s">
        <v>171</v>
      </c>
      <c r="E419" s="11" t="str">
        <f>+HYPERLINK("http://trademark.i-assist.jp/data/china/image_1900th/78573805.pdf", "78573805")</f>
        <v>78573805</v>
      </c>
      <c r="F419" s="10" t="s">
        <v>1331</v>
      </c>
      <c r="G419" s="10" t="s">
        <v>1315</v>
      </c>
      <c r="H419" s="10" t="s">
        <v>1332</v>
      </c>
      <c r="I419" s="10" t="s">
        <v>155</v>
      </c>
    </row>
    <row r="420" spans="1:9" x14ac:dyDescent="0.15">
      <c r="A420" s="9">
        <v>419</v>
      </c>
      <c r="B420" s="10" t="s">
        <v>9</v>
      </c>
      <c r="C420" s="10" t="s">
        <v>170</v>
      </c>
      <c r="D420" s="10" t="s">
        <v>171</v>
      </c>
      <c r="E420" s="11" t="str">
        <f>+HYPERLINK("http://trademark.i-assist.jp/data/china/image_1900th/78573890.pdf", "78573890")</f>
        <v>78573890</v>
      </c>
      <c r="F420" s="10" t="s">
        <v>1333</v>
      </c>
      <c r="G420" s="10" t="s">
        <v>1334</v>
      </c>
      <c r="H420" s="10" t="s">
        <v>1335</v>
      </c>
      <c r="I420" s="10" t="s">
        <v>155</v>
      </c>
    </row>
    <row r="421" spans="1:9" x14ac:dyDescent="0.15">
      <c r="A421" s="9">
        <v>420</v>
      </c>
      <c r="B421" s="10" t="s">
        <v>9</v>
      </c>
      <c r="C421" s="10" t="s">
        <v>170</v>
      </c>
      <c r="D421" s="10" t="s">
        <v>171</v>
      </c>
      <c r="E421" s="11" t="str">
        <f>+HYPERLINK("http://trademark.i-assist.jp/data/china/image_1900th/78574082.pdf", "78574082")</f>
        <v>78574082</v>
      </c>
      <c r="F421" s="10" t="s">
        <v>1336</v>
      </c>
      <c r="G421" s="10" t="s">
        <v>1337</v>
      </c>
      <c r="H421" s="10" t="s">
        <v>1338</v>
      </c>
      <c r="I421" s="10" t="s">
        <v>155</v>
      </c>
    </row>
    <row r="422" spans="1:9" x14ac:dyDescent="0.15">
      <c r="A422" s="9">
        <v>421</v>
      </c>
      <c r="B422" s="10" t="s">
        <v>9</v>
      </c>
      <c r="C422" s="10" t="s">
        <v>170</v>
      </c>
      <c r="D422" s="10" t="s">
        <v>171</v>
      </c>
      <c r="E422" s="11" t="str">
        <f>+HYPERLINK("http://trademark.i-assist.jp/data/china/image_1900th/78574184.pdf", "78574184")</f>
        <v>78574184</v>
      </c>
      <c r="F422" s="10" t="s">
        <v>1339</v>
      </c>
      <c r="G422" s="10" t="s">
        <v>1340</v>
      </c>
      <c r="H422" s="10" t="s">
        <v>1341</v>
      </c>
      <c r="I422" s="10" t="s">
        <v>155</v>
      </c>
    </row>
    <row r="423" spans="1:9" x14ac:dyDescent="0.15">
      <c r="A423" s="9">
        <v>422</v>
      </c>
      <c r="B423" s="10" t="s">
        <v>9</v>
      </c>
      <c r="C423" s="10" t="s">
        <v>170</v>
      </c>
      <c r="D423" s="10" t="s">
        <v>171</v>
      </c>
      <c r="E423" s="11" t="str">
        <f>+HYPERLINK("http://trademark.i-assist.jp/data/china/image_1900th/78574312.pdf", "78574312")</f>
        <v>78574312</v>
      </c>
      <c r="F423" s="10" t="s">
        <v>1342</v>
      </c>
      <c r="G423" s="10" t="s">
        <v>1343</v>
      </c>
      <c r="H423" s="10" t="s">
        <v>1344</v>
      </c>
      <c r="I423" s="10" t="s">
        <v>155</v>
      </c>
    </row>
    <row r="424" spans="1:9" x14ac:dyDescent="0.15">
      <c r="A424" s="9">
        <v>423</v>
      </c>
      <c r="B424" s="10" t="s">
        <v>9</v>
      </c>
      <c r="C424" s="10" t="s">
        <v>170</v>
      </c>
      <c r="D424" s="10" t="s">
        <v>171</v>
      </c>
      <c r="E424" s="11" t="str">
        <f>+HYPERLINK("http://trademark.i-assist.jp/data/china/image_1900th/78574349.pdf", "78574349")</f>
        <v>78574349</v>
      </c>
      <c r="F424" s="10" t="s">
        <v>1345</v>
      </c>
      <c r="G424" s="10" t="s">
        <v>1346</v>
      </c>
      <c r="H424" s="10" t="s">
        <v>1347</v>
      </c>
      <c r="I424" s="10" t="s">
        <v>155</v>
      </c>
    </row>
    <row r="425" spans="1:9" x14ac:dyDescent="0.15">
      <c r="A425" s="9">
        <v>424</v>
      </c>
      <c r="B425" s="10" t="s">
        <v>9</v>
      </c>
      <c r="C425" s="10" t="s">
        <v>170</v>
      </c>
      <c r="D425" s="10" t="s">
        <v>171</v>
      </c>
      <c r="E425" s="11" t="str">
        <f>+HYPERLINK("http://trademark.i-assist.jp/data/china/image_1900th/78575607.pdf", "78575607")</f>
        <v>78575607</v>
      </c>
      <c r="F425" s="10" t="s">
        <v>1348</v>
      </c>
      <c r="G425" s="10" t="s">
        <v>1349</v>
      </c>
      <c r="H425" s="10" t="s">
        <v>1350</v>
      </c>
      <c r="I425" s="10" t="s">
        <v>155</v>
      </c>
    </row>
    <row r="426" spans="1:9" x14ac:dyDescent="0.15">
      <c r="A426" s="9">
        <v>425</v>
      </c>
      <c r="B426" s="10" t="s">
        <v>9</v>
      </c>
      <c r="C426" s="10" t="s">
        <v>170</v>
      </c>
      <c r="D426" s="10" t="s">
        <v>171</v>
      </c>
      <c r="E426" s="11" t="str">
        <f>+HYPERLINK("http://trademark.i-assist.jp/data/china/image_1900th/78575930.pdf", "78575930")</f>
        <v>78575930</v>
      </c>
      <c r="F426" s="10" t="s">
        <v>1351</v>
      </c>
      <c r="G426" s="10" t="s">
        <v>1315</v>
      </c>
      <c r="H426" s="10" t="s">
        <v>1352</v>
      </c>
      <c r="I426" s="10" t="s">
        <v>155</v>
      </c>
    </row>
    <row r="427" spans="1:9" x14ac:dyDescent="0.15">
      <c r="A427" s="9">
        <v>426</v>
      </c>
      <c r="B427" s="10" t="s">
        <v>9</v>
      </c>
      <c r="C427" s="10" t="s">
        <v>170</v>
      </c>
      <c r="D427" s="10" t="s">
        <v>171</v>
      </c>
      <c r="E427" s="11" t="str">
        <f>+HYPERLINK("http://trademark.i-assist.jp/data/china/image_1900th/78576096.pdf", "78576096")</f>
        <v>78576096</v>
      </c>
      <c r="F427" s="10" t="s">
        <v>1353</v>
      </c>
      <c r="G427" s="10" t="s">
        <v>1354</v>
      </c>
      <c r="H427" s="10" t="s">
        <v>1355</v>
      </c>
      <c r="I427" s="10" t="s">
        <v>155</v>
      </c>
    </row>
    <row r="428" spans="1:9" x14ac:dyDescent="0.15">
      <c r="A428" s="9">
        <v>427</v>
      </c>
      <c r="B428" s="10" t="s">
        <v>9</v>
      </c>
      <c r="C428" s="10" t="s">
        <v>170</v>
      </c>
      <c r="D428" s="10" t="s">
        <v>171</v>
      </c>
      <c r="E428" s="11" t="str">
        <f>+HYPERLINK("http://trademark.i-assist.jp/data/china/image_1900th/78577550.pdf", "78577550")</f>
        <v>78577550</v>
      </c>
      <c r="F428" s="10" t="s">
        <v>1356</v>
      </c>
      <c r="G428" s="10" t="s">
        <v>1346</v>
      </c>
      <c r="H428" s="10" t="s">
        <v>1357</v>
      </c>
      <c r="I428" s="10" t="s">
        <v>155</v>
      </c>
    </row>
    <row r="429" spans="1:9" x14ac:dyDescent="0.15">
      <c r="A429" s="9">
        <v>428</v>
      </c>
      <c r="B429" s="10" t="s">
        <v>9</v>
      </c>
      <c r="C429" s="10" t="s">
        <v>170</v>
      </c>
      <c r="D429" s="10" t="s">
        <v>171</v>
      </c>
      <c r="E429" s="11" t="str">
        <f>+HYPERLINK("http://trademark.i-assist.jp/data/china/image_1900th/78578425.pdf", "78578425")</f>
        <v>78578425</v>
      </c>
      <c r="F429" s="10" t="s">
        <v>1358</v>
      </c>
      <c r="G429" s="10" t="s">
        <v>1359</v>
      </c>
      <c r="H429" s="10" t="s">
        <v>1360</v>
      </c>
      <c r="I429" s="10" t="s">
        <v>155</v>
      </c>
    </row>
    <row r="430" spans="1:9" x14ac:dyDescent="0.15">
      <c r="A430" s="9">
        <v>429</v>
      </c>
      <c r="B430" s="10" t="s">
        <v>9</v>
      </c>
      <c r="C430" s="10" t="s">
        <v>170</v>
      </c>
      <c r="D430" s="10" t="s">
        <v>171</v>
      </c>
      <c r="E430" s="11" t="str">
        <f>+HYPERLINK("http://trademark.i-assist.jp/data/china/image_1900th/78579341.pdf", "78579341")</f>
        <v>78579341</v>
      </c>
      <c r="F430" s="10" t="s">
        <v>1361</v>
      </c>
      <c r="G430" s="10" t="s">
        <v>1362</v>
      </c>
      <c r="H430" s="10" t="s">
        <v>1363</v>
      </c>
      <c r="I430" s="10" t="s">
        <v>155</v>
      </c>
    </row>
    <row r="431" spans="1:9" x14ac:dyDescent="0.15">
      <c r="A431" s="9">
        <v>430</v>
      </c>
      <c r="B431" s="10" t="s">
        <v>9</v>
      </c>
      <c r="C431" s="10" t="s">
        <v>170</v>
      </c>
      <c r="D431" s="10" t="s">
        <v>171</v>
      </c>
      <c r="E431" s="11" t="str">
        <f>+HYPERLINK("http://trademark.i-assist.jp/data/china/image_1900th/78579393.pdf", "78579393")</f>
        <v>78579393</v>
      </c>
      <c r="F431" s="10" t="s">
        <v>1364</v>
      </c>
      <c r="G431" s="10" t="s">
        <v>566</v>
      </c>
      <c r="H431" s="10" t="s">
        <v>1365</v>
      </c>
      <c r="I431" s="10" t="s">
        <v>155</v>
      </c>
    </row>
    <row r="432" spans="1:9" x14ac:dyDescent="0.15">
      <c r="A432" s="9">
        <v>431</v>
      </c>
      <c r="B432" s="10" t="s">
        <v>9</v>
      </c>
      <c r="C432" s="10" t="s">
        <v>170</v>
      </c>
      <c r="D432" s="10" t="s">
        <v>171</v>
      </c>
      <c r="E432" s="11" t="str">
        <f>+HYPERLINK("http://trademark.i-assist.jp/data/china/image_1900th/78579618.pdf", "78579618")</f>
        <v>78579618</v>
      </c>
      <c r="F432" s="10" t="s">
        <v>1366</v>
      </c>
      <c r="G432" s="10" t="s">
        <v>1367</v>
      </c>
      <c r="H432" s="10" t="s">
        <v>1368</v>
      </c>
      <c r="I432" s="10" t="s">
        <v>155</v>
      </c>
    </row>
    <row r="433" spans="1:9" x14ac:dyDescent="0.15">
      <c r="A433" s="9">
        <v>432</v>
      </c>
      <c r="B433" s="10" t="s">
        <v>9</v>
      </c>
      <c r="C433" s="10" t="s">
        <v>170</v>
      </c>
      <c r="D433" s="10" t="s">
        <v>171</v>
      </c>
      <c r="E433" s="11" t="str">
        <f>+HYPERLINK("http://trademark.i-assist.jp/data/china/image_1900th/78580231.pdf", "78580231")</f>
        <v>78580231</v>
      </c>
      <c r="F433" s="10" t="s">
        <v>1369</v>
      </c>
      <c r="G433" s="10" t="s">
        <v>1370</v>
      </c>
      <c r="H433" s="10" t="s">
        <v>1371</v>
      </c>
      <c r="I433" s="10" t="s">
        <v>155</v>
      </c>
    </row>
    <row r="434" spans="1:9" x14ac:dyDescent="0.15">
      <c r="A434" s="9">
        <v>433</v>
      </c>
      <c r="B434" s="10" t="s">
        <v>9</v>
      </c>
      <c r="C434" s="10" t="s">
        <v>170</v>
      </c>
      <c r="D434" s="10" t="s">
        <v>171</v>
      </c>
      <c r="E434" s="11" t="str">
        <f>+HYPERLINK("http://trademark.i-assist.jp/data/china/image_1900th/78580533.pdf", "78580533")</f>
        <v>78580533</v>
      </c>
      <c r="F434" s="10" t="s">
        <v>1372</v>
      </c>
      <c r="G434" s="10" t="s">
        <v>1373</v>
      </c>
      <c r="H434" s="10" t="s">
        <v>1374</v>
      </c>
      <c r="I434" s="10" t="s">
        <v>155</v>
      </c>
    </row>
    <row r="435" spans="1:9" x14ac:dyDescent="0.15">
      <c r="A435" s="9">
        <v>434</v>
      </c>
      <c r="B435" s="10" t="s">
        <v>9</v>
      </c>
      <c r="C435" s="10" t="s">
        <v>170</v>
      </c>
      <c r="D435" s="10" t="s">
        <v>171</v>
      </c>
      <c r="E435" s="11" t="str">
        <f>+HYPERLINK("http://trademark.i-assist.jp/data/china/image_1900th/78581129.pdf", "78581129")</f>
        <v>78581129</v>
      </c>
      <c r="F435" s="10" t="s">
        <v>1375</v>
      </c>
      <c r="G435" s="10" t="s">
        <v>1376</v>
      </c>
      <c r="H435" s="10" t="s">
        <v>1377</v>
      </c>
      <c r="I435" s="10" t="s">
        <v>155</v>
      </c>
    </row>
    <row r="436" spans="1:9" x14ac:dyDescent="0.15">
      <c r="A436" s="9">
        <v>435</v>
      </c>
      <c r="B436" s="10" t="s">
        <v>9</v>
      </c>
      <c r="C436" s="10" t="s">
        <v>170</v>
      </c>
      <c r="D436" s="10" t="s">
        <v>171</v>
      </c>
      <c r="E436" s="11" t="str">
        <f>+HYPERLINK("http://trademark.i-assist.jp/data/china/image_1900th/78581970.pdf", "78581970")</f>
        <v>78581970</v>
      </c>
      <c r="F436" s="10" t="s">
        <v>1378</v>
      </c>
      <c r="G436" s="10" t="s">
        <v>1379</v>
      </c>
      <c r="H436" s="10" t="s">
        <v>1380</v>
      </c>
      <c r="I436" s="10" t="s">
        <v>155</v>
      </c>
    </row>
    <row r="437" spans="1:9" x14ac:dyDescent="0.15">
      <c r="A437" s="9">
        <v>436</v>
      </c>
      <c r="B437" s="10" t="s">
        <v>9</v>
      </c>
      <c r="C437" s="10" t="s">
        <v>170</v>
      </c>
      <c r="D437" s="10" t="s">
        <v>171</v>
      </c>
      <c r="E437" s="11" t="str">
        <f>+HYPERLINK("http://trademark.i-assist.jp/data/china/image_1900th/78582710.pdf", "78582710")</f>
        <v>78582710</v>
      </c>
      <c r="F437" s="10" t="s">
        <v>1381</v>
      </c>
      <c r="G437" s="10" t="s">
        <v>1382</v>
      </c>
      <c r="H437" s="10" t="s">
        <v>1383</v>
      </c>
      <c r="I437" s="10" t="s">
        <v>155</v>
      </c>
    </row>
    <row r="438" spans="1:9" x14ac:dyDescent="0.15">
      <c r="A438" s="9">
        <v>437</v>
      </c>
      <c r="B438" s="10" t="s">
        <v>9</v>
      </c>
      <c r="C438" s="10" t="s">
        <v>170</v>
      </c>
      <c r="D438" s="10" t="s">
        <v>171</v>
      </c>
      <c r="E438" s="11" t="str">
        <f>+HYPERLINK("http://trademark.i-assist.jp/data/china/image_1900th/78582757.pdf", "78582757")</f>
        <v>78582757</v>
      </c>
      <c r="F438" s="10" t="s">
        <v>1384</v>
      </c>
      <c r="G438" s="10" t="s">
        <v>1385</v>
      </c>
      <c r="H438" s="10" t="s">
        <v>1386</v>
      </c>
      <c r="I438" s="10" t="s">
        <v>155</v>
      </c>
    </row>
    <row r="439" spans="1:9" x14ac:dyDescent="0.15">
      <c r="A439" s="9">
        <v>438</v>
      </c>
      <c r="B439" s="10" t="s">
        <v>9</v>
      </c>
      <c r="C439" s="10" t="s">
        <v>170</v>
      </c>
      <c r="D439" s="10" t="s">
        <v>171</v>
      </c>
      <c r="E439" s="11" t="str">
        <f>+HYPERLINK("http://trademark.i-assist.jp/data/china/image_1900th/78583073.pdf", "78583073")</f>
        <v>78583073</v>
      </c>
      <c r="F439" s="10" t="s">
        <v>1387</v>
      </c>
      <c r="G439" s="10" t="s">
        <v>1388</v>
      </c>
      <c r="H439" s="10" t="s">
        <v>1389</v>
      </c>
      <c r="I439" s="10" t="s">
        <v>155</v>
      </c>
    </row>
    <row r="440" spans="1:9" x14ac:dyDescent="0.15">
      <c r="A440" s="9">
        <v>439</v>
      </c>
      <c r="B440" s="10" t="s">
        <v>9</v>
      </c>
      <c r="C440" s="10" t="s">
        <v>170</v>
      </c>
      <c r="D440" s="10" t="s">
        <v>171</v>
      </c>
      <c r="E440" s="11" t="str">
        <f>+HYPERLINK("http://trademark.i-assist.jp/data/china/image_1900th/78583091.pdf", "78583091")</f>
        <v>78583091</v>
      </c>
      <c r="F440" s="10" t="s">
        <v>1390</v>
      </c>
      <c r="G440" s="10" t="s">
        <v>1315</v>
      </c>
      <c r="H440" s="10" t="s">
        <v>1391</v>
      </c>
      <c r="I440" s="10" t="s">
        <v>155</v>
      </c>
    </row>
    <row r="441" spans="1:9" x14ac:dyDescent="0.15">
      <c r="A441" s="9">
        <v>440</v>
      </c>
      <c r="B441" s="10" t="s">
        <v>9</v>
      </c>
      <c r="C441" s="10" t="s">
        <v>170</v>
      </c>
      <c r="D441" s="10" t="s">
        <v>171</v>
      </c>
      <c r="E441" s="11" t="str">
        <f>+HYPERLINK("http://trademark.i-assist.jp/data/china/image_1900th/78583989.pdf", "78583989")</f>
        <v>78583989</v>
      </c>
      <c r="F441" s="10" t="s">
        <v>1392</v>
      </c>
      <c r="G441" s="10" t="s">
        <v>1393</v>
      </c>
      <c r="H441" s="10" t="s">
        <v>1394</v>
      </c>
      <c r="I441" s="10" t="s">
        <v>155</v>
      </c>
    </row>
    <row r="442" spans="1:9" x14ac:dyDescent="0.15">
      <c r="A442" s="9">
        <v>441</v>
      </c>
      <c r="B442" s="10" t="s">
        <v>9</v>
      </c>
      <c r="C442" s="10" t="s">
        <v>170</v>
      </c>
      <c r="D442" s="10" t="s">
        <v>171</v>
      </c>
      <c r="E442" s="11" t="str">
        <f>+HYPERLINK("http://trademark.i-assist.jp/data/china/image_1900th/78584053.pdf", "78584053")</f>
        <v>78584053</v>
      </c>
      <c r="F442" s="10" t="s">
        <v>1395</v>
      </c>
      <c r="G442" s="10" t="s">
        <v>1315</v>
      </c>
      <c r="H442" s="10" t="s">
        <v>1396</v>
      </c>
      <c r="I442" s="10" t="s">
        <v>155</v>
      </c>
    </row>
    <row r="443" spans="1:9" x14ac:dyDescent="0.15">
      <c r="A443" s="9">
        <v>442</v>
      </c>
      <c r="B443" s="10" t="s">
        <v>9</v>
      </c>
      <c r="C443" s="10" t="s">
        <v>170</v>
      </c>
      <c r="D443" s="10" t="s">
        <v>171</v>
      </c>
      <c r="E443" s="11" t="str">
        <f>+HYPERLINK("http://trademark.i-assist.jp/data/china/image_1900th/78584311.pdf", "78584311")</f>
        <v>78584311</v>
      </c>
      <c r="F443" s="10" t="s">
        <v>1397</v>
      </c>
      <c r="G443" s="10" t="s">
        <v>1398</v>
      </c>
      <c r="H443" s="10" t="s">
        <v>1399</v>
      </c>
      <c r="I443" s="10" t="s">
        <v>155</v>
      </c>
    </row>
    <row r="444" spans="1:9" x14ac:dyDescent="0.15">
      <c r="A444" s="9">
        <v>443</v>
      </c>
      <c r="B444" s="10" t="s">
        <v>9</v>
      </c>
      <c r="C444" s="10" t="s">
        <v>170</v>
      </c>
      <c r="D444" s="10" t="s">
        <v>171</v>
      </c>
      <c r="E444" s="11" t="str">
        <f>+HYPERLINK("http://trademark.i-assist.jp/data/china/image_1900th/78584948.pdf", "78584948")</f>
        <v>78584948</v>
      </c>
      <c r="F444" s="10" t="s">
        <v>1400</v>
      </c>
      <c r="G444" s="10" t="s">
        <v>1401</v>
      </c>
      <c r="H444" s="10" t="s">
        <v>1402</v>
      </c>
      <c r="I444" s="10" t="s">
        <v>155</v>
      </c>
    </row>
    <row r="445" spans="1:9" x14ac:dyDescent="0.15">
      <c r="A445" s="9">
        <v>444</v>
      </c>
      <c r="B445" s="10" t="s">
        <v>9</v>
      </c>
      <c r="C445" s="10" t="s">
        <v>170</v>
      </c>
      <c r="D445" s="10" t="s">
        <v>171</v>
      </c>
      <c r="E445" s="11" t="str">
        <f>+HYPERLINK("http://trademark.i-assist.jp/data/china/image_1900th/78585104.pdf", "78585104")</f>
        <v>78585104</v>
      </c>
      <c r="F445" s="10" t="s">
        <v>1403</v>
      </c>
      <c r="G445" s="10" t="s">
        <v>1340</v>
      </c>
      <c r="H445" s="10" t="s">
        <v>1404</v>
      </c>
      <c r="I445" s="10" t="s">
        <v>155</v>
      </c>
    </row>
    <row r="446" spans="1:9" x14ac:dyDescent="0.15">
      <c r="A446" s="9">
        <v>445</v>
      </c>
      <c r="B446" s="10" t="s">
        <v>9</v>
      </c>
      <c r="C446" s="10" t="s">
        <v>170</v>
      </c>
      <c r="D446" s="10" t="s">
        <v>171</v>
      </c>
      <c r="E446" s="11" t="str">
        <f>+HYPERLINK("http://trademark.i-assist.jp/data/china/image_1900th/78585124.pdf", "78585124")</f>
        <v>78585124</v>
      </c>
      <c r="F446" s="10" t="s">
        <v>1405</v>
      </c>
      <c r="G446" s="10" t="s">
        <v>1406</v>
      </c>
      <c r="H446" s="10" t="s">
        <v>1407</v>
      </c>
      <c r="I446" s="10" t="s">
        <v>155</v>
      </c>
    </row>
    <row r="447" spans="1:9" x14ac:dyDescent="0.15">
      <c r="A447" s="9">
        <v>446</v>
      </c>
      <c r="B447" s="10" t="s">
        <v>9</v>
      </c>
      <c r="C447" s="10" t="s">
        <v>170</v>
      </c>
      <c r="D447" s="10" t="s">
        <v>171</v>
      </c>
      <c r="E447" s="11" t="str">
        <f>+HYPERLINK("http://trademark.i-assist.jp/data/china/image_1900th/78585162.pdf", "78585162")</f>
        <v>78585162</v>
      </c>
      <c r="F447" s="10" t="s">
        <v>1408</v>
      </c>
      <c r="G447" s="10" t="s">
        <v>1409</v>
      </c>
      <c r="H447" s="10" t="s">
        <v>1410</v>
      </c>
      <c r="I447" s="10" t="s">
        <v>155</v>
      </c>
    </row>
    <row r="448" spans="1:9" x14ac:dyDescent="0.15">
      <c r="A448" s="9">
        <v>447</v>
      </c>
      <c r="B448" s="10" t="s">
        <v>9</v>
      </c>
      <c r="C448" s="10" t="s">
        <v>170</v>
      </c>
      <c r="D448" s="10" t="s">
        <v>171</v>
      </c>
      <c r="E448" s="11" t="str">
        <f>+HYPERLINK("http://trademark.i-assist.jp/data/china/image_1900th/78585176.pdf", "78585176")</f>
        <v>78585176</v>
      </c>
      <c r="F448" s="10" t="s">
        <v>1411</v>
      </c>
      <c r="G448" s="10" t="s">
        <v>1412</v>
      </c>
      <c r="H448" s="10" t="s">
        <v>1413</v>
      </c>
      <c r="I448" s="10" t="s">
        <v>155</v>
      </c>
    </row>
    <row r="449" spans="1:9" x14ac:dyDescent="0.15">
      <c r="A449" s="9">
        <v>448</v>
      </c>
      <c r="B449" s="10" t="s">
        <v>9</v>
      </c>
      <c r="C449" s="10" t="s">
        <v>170</v>
      </c>
      <c r="D449" s="10" t="s">
        <v>171</v>
      </c>
      <c r="E449" s="11" t="str">
        <f>+HYPERLINK("http://trademark.i-assist.jp/data/china/image_1900th/78585986.pdf", "78585986")</f>
        <v>78585986</v>
      </c>
      <c r="F449" s="10" t="s">
        <v>1414</v>
      </c>
      <c r="G449" s="10" t="s">
        <v>1415</v>
      </c>
      <c r="H449" s="10" t="s">
        <v>1416</v>
      </c>
      <c r="I449" s="10" t="s">
        <v>155</v>
      </c>
    </row>
    <row r="450" spans="1:9" x14ac:dyDescent="0.15">
      <c r="A450" s="9">
        <v>449</v>
      </c>
      <c r="B450" s="10" t="s">
        <v>9</v>
      </c>
      <c r="C450" s="10" t="s">
        <v>170</v>
      </c>
      <c r="D450" s="10" t="s">
        <v>171</v>
      </c>
      <c r="E450" s="11" t="str">
        <f>+HYPERLINK("http://trademark.i-assist.jp/data/china/image_1900th/78587317.pdf", "78587317")</f>
        <v>78587317</v>
      </c>
      <c r="F450" s="10" t="s">
        <v>1417</v>
      </c>
      <c r="G450" s="10" t="s">
        <v>1418</v>
      </c>
      <c r="H450" s="10" t="s">
        <v>1419</v>
      </c>
      <c r="I450" s="10" t="s">
        <v>155</v>
      </c>
    </row>
    <row r="451" spans="1:9" x14ac:dyDescent="0.15">
      <c r="A451" s="9">
        <v>450</v>
      </c>
      <c r="B451" s="10" t="s">
        <v>9</v>
      </c>
      <c r="C451" s="10" t="s">
        <v>170</v>
      </c>
      <c r="D451" s="10" t="s">
        <v>171</v>
      </c>
      <c r="E451" s="11" t="str">
        <f>+HYPERLINK("http://trademark.i-assist.jp/data/china/image_1900th/78587536.pdf", "78587536")</f>
        <v>78587536</v>
      </c>
      <c r="F451" s="10" t="s">
        <v>1420</v>
      </c>
      <c r="G451" s="10" t="s">
        <v>1421</v>
      </c>
      <c r="H451" s="10" t="s">
        <v>1422</v>
      </c>
      <c r="I451" s="10" t="s">
        <v>155</v>
      </c>
    </row>
    <row r="452" spans="1:9" x14ac:dyDescent="0.15">
      <c r="A452" s="9">
        <v>451</v>
      </c>
      <c r="B452" s="10" t="s">
        <v>9</v>
      </c>
      <c r="C452" s="10" t="s">
        <v>170</v>
      </c>
      <c r="D452" s="10" t="s">
        <v>171</v>
      </c>
      <c r="E452" s="11" t="str">
        <f>+HYPERLINK("http://trademark.i-assist.jp/data/china/image_1900th/78588185.pdf", "78588185")</f>
        <v>78588185</v>
      </c>
      <c r="F452" s="10" t="s">
        <v>1423</v>
      </c>
      <c r="G452" s="10" t="s">
        <v>1424</v>
      </c>
      <c r="H452" s="10" t="s">
        <v>1425</v>
      </c>
      <c r="I452" s="10" t="s">
        <v>155</v>
      </c>
    </row>
    <row r="453" spans="1:9" x14ac:dyDescent="0.15">
      <c r="A453" s="9">
        <v>452</v>
      </c>
      <c r="B453" s="10" t="s">
        <v>9</v>
      </c>
      <c r="C453" s="10" t="s">
        <v>170</v>
      </c>
      <c r="D453" s="10" t="s">
        <v>171</v>
      </c>
      <c r="E453" s="11" t="str">
        <f>+HYPERLINK("http://trademark.i-assist.jp/data/china/image_1900th/78588841.pdf", "78588841")</f>
        <v>78588841</v>
      </c>
      <c r="F453" s="10" t="s">
        <v>1426</v>
      </c>
      <c r="G453" s="10" t="s">
        <v>1315</v>
      </c>
      <c r="H453" s="10" t="s">
        <v>1427</v>
      </c>
      <c r="I453" s="10" t="s">
        <v>155</v>
      </c>
    </row>
    <row r="454" spans="1:9" x14ac:dyDescent="0.15">
      <c r="A454" s="9">
        <v>453</v>
      </c>
      <c r="B454" s="10" t="s">
        <v>9</v>
      </c>
      <c r="C454" s="10" t="s">
        <v>170</v>
      </c>
      <c r="D454" s="10" t="s">
        <v>171</v>
      </c>
      <c r="E454" s="11" t="str">
        <f>+HYPERLINK("http://trademark.i-assist.jp/data/china/image_1900th/78589215.pdf", "78589215")</f>
        <v>78589215</v>
      </c>
      <c r="F454" s="10" t="s">
        <v>1428</v>
      </c>
      <c r="G454" s="10" t="s">
        <v>1429</v>
      </c>
      <c r="H454" s="10" t="s">
        <v>1430</v>
      </c>
      <c r="I454" s="10" t="s">
        <v>155</v>
      </c>
    </row>
    <row r="455" spans="1:9" x14ac:dyDescent="0.15">
      <c r="A455" s="9">
        <v>454</v>
      </c>
      <c r="B455" s="10" t="s">
        <v>9</v>
      </c>
      <c r="C455" s="10" t="s">
        <v>170</v>
      </c>
      <c r="D455" s="10" t="s">
        <v>171</v>
      </c>
      <c r="E455" s="11" t="str">
        <f>+HYPERLINK("http://trademark.i-assist.jp/data/china/image_1900th/78589572.pdf", "78589572")</f>
        <v>78589572</v>
      </c>
      <c r="F455" s="10" t="s">
        <v>1431</v>
      </c>
      <c r="G455" s="10" t="s">
        <v>1432</v>
      </c>
      <c r="H455" s="10" t="s">
        <v>1433</v>
      </c>
      <c r="I455" s="10" t="s">
        <v>155</v>
      </c>
    </row>
    <row r="456" spans="1:9" x14ac:dyDescent="0.15">
      <c r="A456" s="9">
        <v>455</v>
      </c>
      <c r="B456" s="10" t="s">
        <v>9</v>
      </c>
      <c r="C456" s="10" t="s">
        <v>170</v>
      </c>
      <c r="D456" s="10" t="s">
        <v>171</v>
      </c>
      <c r="E456" s="11" t="str">
        <f>+HYPERLINK("http://trademark.i-assist.jp/data/china/image_1900th/78589628.pdf", "78589628")</f>
        <v>78589628</v>
      </c>
      <c r="F456" s="10" t="s">
        <v>1434</v>
      </c>
      <c r="G456" s="10" t="s">
        <v>1435</v>
      </c>
      <c r="H456" s="10" t="s">
        <v>1436</v>
      </c>
      <c r="I456" s="10" t="s">
        <v>155</v>
      </c>
    </row>
    <row r="457" spans="1:9" x14ac:dyDescent="0.15">
      <c r="A457" s="9">
        <v>456</v>
      </c>
      <c r="B457" s="10" t="s">
        <v>9</v>
      </c>
      <c r="C457" s="10" t="s">
        <v>170</v>
      </c>
      <c r="D457" s="10" t="s">
        <v>171</v>
      </c>
      <c r="E457" s="11" t="str">
        <f>+HYPERLINK("http://trademark.i-assist.jp/data/china/image_1900th/78590011.pdf", "78590011")</f>
        <v>78590011</v>
      </c>
      <c r="F457" s="10" t="s">
        <v>1437</v>
      </c>
      <c r="G457" s="10" t="s">
        <v>1438</v>
      </c>
      <c r="H457" s="10" t="s">
        <v>1439</v>
      </c>
      <c r="I457" s="10" t="s">
        <v>155</v>
      </c>
    </row>
    <row r="458" spans="1:9" x14ac:dyDescent="0.15">
      <c r="A458" s="9">
        <v>457</v>
      </c>
      <c r="B458" s="10" t="s">
        <v>9</v>
      </c>
      <c r="C458" s="10" t="s">
        <v>170</v>
      </c>
      <c r="D458" s="10" t="s">
        <v>171</v>
      </c>
      <c r="E458" s="11" t="str">
        <f>+HYPERLINK("http://trademark.i-assist.jp/data/china/image_1900th/78590077.pdf", "78590077")</f>
        <v>78590077</v>
      </c>
      <c r="F458" s="10" t="s">
        <v>1440</v>
      </c>
      <c r="G458" s="10" t="s">
        <v>1441</v>
      </c>
      <c r="H458" s="10" t="s">
        <v>1442</v>
      </c>
      <c r="I458" s="10" t="s">
        <v>155</v>
      </c>
    </row>
    <row r="459" spans="1:9" x14ac:dyDescent="0.15">
      <c r="A459" s="9">
        <v>458</v>
      </c>
      <c r="B459" s="10" t="s">
        <v>9</v>
      </c>
      <c r="C459" s="10" t="s">
        <v>170</v>
      </c>
      <c r="D459" s="10" t="s">
        <v>171</v>
      </c>
      <c r="E459" s="11" t="str">
        <f>+HYPERLINK("http://trademark.i-assist.jp/data/china/image_1900th/78590773.pdf", "78590773")</f>
        <v>78590773</v>
      </c>
      <c r="F459" s="10" t="s">
        <v>1443</v>
      </c>
      <c r="G459" s="10" t="s">
        <v>1444</v>
      </c>
      <c r="H459" s="10" t="s">
        <v>1445</v>
      </c>
      <c r="I459" s="10" t="s">
        <v>155</v>
      </c>
    </row>
    <row r="460" spans="1:9" x14ac:dyDescent="0.15">
      <c r="A460" s="9">
        <v>459</v>
      </c>
      <c r="B460" s="10" t="s">
        <v>9</v>
      </c>
      <c r="C460" s="10" t="s">
        <v>170</v>
      </c>
      <c r="D460" s="10" t="s">
        <v>171</v>
      </c>
      <c r="E460" s="11" t="str">
        <f>+HYPERLINK("http://trademark.i-assist.jp/data/china/image_1900th/78590788.pdf", "78590788")</f>
        <v>78590788</v>
      </c>
      <c r="F460" s="10" t="s">
        <v>1446</v>
      </c>
      <c r="G460" s="10" t="s">
        <v>1447</v>
      </c>
      <c r="H460" s="10" t="s">
        <v>1448</v>
      </c>
      <c r="I460" s="10" t="s">
        <v>155</v>
      </c>
    </row>
    <row r="461" spans="1:9" x14ac:dyDescent="0.15">
      <c r="A461" s="9">
        <v>460</v>
      </c>
      <c r="B461" s="10" t="s">
        <v>9</v>
      </c>
      <c r="C461" s="10" t="s">
        <v>170</v>
      </c>
      <c r="D461" s="10" t="s">
        <v>171</v>
      </c>
      <c r="E461" s="11" t="str">
        <f>+HYPERLINK("http://trademark.i-assist.jp/data/china/image_1900th/78590797.pdf", "78590797")</f>
        <v>78590797</v>
      </c>
      <c r="F461" s="10" t="s">
        <v>1449</v>
      </c>
      <c r="G461" s="10" t="s">
        <v>1447</v>
      </c>
      <c r="H461" s="10" t="s">
        <v>1450</v>
      </c>
      <c r="I461" s="10" t="s">
        <v>155</v>
      </c>
    </row>
    <row r="462" spans="1:9" x14ac:dyDescent="0.15">
      <c r="A462" s="9">
        <v>461</v>
      </c>
      <c r="B462" s="10" t="s">
        <v>9</v>
      </c>
      <c r="C462" s="10" t="s">
        <v>170</v>
      </c>
      <c r="D462" s="10" t="s">
        <v>171</v>
      </c>
      <c r="E462" s="11" t="str">
        <f>+HYPERLINK("http://trademark.i-assist.jp/data/china/image_1900th/78591148.pdf", "78591148")</f>
        <v>78591148</v>
      </c>
      <c r="F462" s="10" t="s">
        <v>1451</v>
      </c>
      <c r="G462" s="10" t="s">
        <v>1452</v>
      </c>
      <c r="H462" s="10" t="s">
        <v>1453</v>
      </c>
      <c r="I462" s="10" t="s">
        <v>155</v>
      </c>
    </row>
    <row r="463" spans="1:9" x14ac:dyDescent="0.15">
      <c r="A463" s="9">
        <v>462</v>
      </c>
      <c r="B463" s="10" t="s">
        <v>9</v>
      </c>
      <c r="C463" s="10" t="s">
        <v>170</v>
      </c>
      <c r="D463" s="10" t="s">
        <v>171</v>
      </c>
      <c r="E463" s="11" t="str">
        <f>+HYPERLINK("http://trademark.i-assist.jp/data/china/image_1900th/78591508.pdf", "78591508")</f>
        <v>78591508</v>
      </c>
      <c r="F463" s="10" t="s">
        <v>1454</v>
      </c>
      <c r="G463" s="10" t="s">
        <v>1455</v>
      </c>
      <c r="H463" s="10" t="s">
        <v>1456</v>
      </c>
      <c r="I463" s="10" t="s">
        <v>155</v>
      </c>
    </row>
    <row r="464" spans="1:9" x14ac:dyDescent="0.15">
      <c r="A464" s="9">
        <v>463</v>
      </c>
      <c r="B464" s="10" t="s">
        <v>9</v>
      </c>
      <c r="C464" s="10" t="s">
        <v>170</v>
      </c>
      <c r="D464" s="10" t="s">
        <v>171</v>
      </c>
      <c r="E464" s="11" t="str">
        <f>+HYPERLINK("http://trademark.i-assist.jp/data/china/image_1900th/78592087.pdf", "78592087")</f>
        <v>78592087</v>
      </c>
      <c r="F464" s="10" t="s">
        <v>1457</v>
      </c>
      <c r="G464" s="10" t="s">
        <v>1458</v>
      </c>
      <c r="H464" s="10" t="s">
        <v>1459</v>
      </c>
      <c r="I464" s="10" t="s">
        <v>155</v>
      </c>
    </row>
    <row r="465" spans="1:9" x14ac:dyDescent="0.15">
      <c r="A465" s="9">
        <v>464</v>
      </c>
      <c r="B465" s="10" t="s">
        <v>9</v>
      </c>
      <c r="C465" s="10" t="s">
        <v>170</v>
      </c>
      <c r="D465" s="10" t="s">
        <v>171</v>
      </c>
      <c r="E465" s="11" t="str">
        <f>+HYPERLINK("http://trademark.i-assist.jp/data/china/image_1900th/78592327.pdf", "78592327")</f>
        <v>78592327</v>
      </c>
      <c r="F465" s="10" t="s">
        <v>1460</v>
      </c>
      <c r="G465" s="10" t="s">
        <v>1461</v>
      </c>
      <c r="H465" s="10" t="s">
        <v>1462</v>
      </c>
      <c r="I465" s="10" t="s">
        <v>155</v>
      </c>
    </row>
    <row r="466" spans="1:9" x14ac:dyDescent="0.15">
      <c r="A466" s="9">
        <v>465</v>
      </c>
      <c r="B466" s="10" t="s">
        <v>9</v>
      </c>
      <c r="C466" s="10" t="s">
        <v>170</v>
      </c>
      <c r="D466" s="10" t="s">
        <v>171</v>
      </c>
      <c r="E466" s="11" t="str">
        <f>+HYPERLINK("http://trademark.i-assist.jp/data/china/image_1900th/78592367.pdf", "78592367")</f>
        <v>78592367</v>
      </c>
      <c r="F466" s="10" t="s">
        <v>1463</v>
      </c>
      <c r="G466" s="10" t="s">
        <v>1464</v>
      </c>
      <c r="H466" s="10" t="s">
        <v>1465</v>
      </c>
      <c r="I466" s="10" t="s">
        <v>155</v>
      </c>
    </row>
    <row r="467" spans="1:9" x14ac:dyDescent="0.15">
      <c r="A467" s="9">
        <v>466</v>
      </c>
      <c r="B467" s="10" t="s">
        <v>9</v>
      </c>
      <c r="C467" s="10" t="s">
        <v>170</v>
      </c>
      <c r="D467" s="10" t="s">
        <v>171</v>
      </c>
      <c r="E467" s="11" t="str">
        <f>+HYPERLINK("http://trademark.i-assist.jp/data/china/image_1900th/78592820.pdf", "78592820")</f>
        <v>78592820</v>
      </c>
      <c r="F467" s="10" t="s">
        <v>1466</v>
      </c>
      <c r="G467" s="10" t="s">
        <v>1467</v>
      </c>
      <c r="H467" s="10" t="s">
        <v>1468</v>
      </c>
      <c r="I467" s="10" t="s">
        <v>155</v>
      </c>
    </row>
    <row r="468" spans="1:9" x14ac:dyDescent="0.15">
      <c r="A468" s="9">
        <v>467</v>
      </c>
      <c r="B468" s="10" t="s">
        <v>9</v>
      </c>
      <c r="C468" s="10" t="s">
        <v>170</v>
      </c>
      <c r="D468" s="10" t="s">
        <v>171</v>
      </c>
      <c r="E468" s="11" t="str">
        <f>+HYPERLINK("http://trademark.i-assist.jp/data/china/image_1900th/78593019.pdf", "78593019")</f>
        <v>78593019</v>
      </c>
      <c r="F468" s="10" t="s">
        <v>1469</v>
      </c>
      <c r="G468" s="10" t="s">
        <v>1406</v>
      </c>
      <c r="H468" s="10" t="s">
        <v>1470</v>
      </c>
      <c r="I468" s="10" t="s">
        <v>155</v>
      </c>
    </row>
    <row r="469" spans="1:9" x14ac:dyDescent="0.15">
      <c r="A469" s="9">
        <v>468</v>
      </c>
      <c r="B469" s="10" t="s">
        <v>9</v>
      </c>
      <c r="C469" s="10" t="s">
        <v>170</v>
      </c>
      <c r="D469" s="10" t="s">
        <v>171</v>
      </c>
      <c r="E469" s="11" t="str">
        <f>+HYPERLINK("http://trademark.i-assist.jp/data/china/image_1900th/78593360.pdf", "78593360")</f>
        <v>78593360</v>
      </c>
      <c r="F469" s="10" t="s">
        <v>15</v>
      </c>
      <c r="G469" s="10" t="s">
        <v>1471</v>
      </c>
      <c r="H469" s="10" t="s">
        <v>1472</v>
      </c>
      <c r="I469" s="10" t="s">
        <v>155</v>
      </c>
    </row>
    <row r="470" spans="1:9" x14ac:dyDescent="0.15">
      <c r="A470" s="9">
        <v>469</v>
      </c>
      <c r="B470" s="10" t="s">
        <v>9</v>
      </c>
      <c r="C470" s="10" t="s">
        <v>170</v>
      </c>
      <c r="D470" s="10" t="s">
        <v>171</v>
      </c>
      <c r="E470" s="11" t="str">
        <f>+HYPERLINK("http://trademark.i-assist.jp/data/china/image_1900th/78593413.pdf", "78593413")</f>
        <v>78593413</v>
      </c>
      <c r="F470" s="10" t="s">
        <v>1473</v>
      </c>
      <c r="G470" s="10" t="s">
        <v>1474</v>
      </c>
      <c r="H470" s="10" t="s">
        <v>1475</v>
      </c>
      <c r="I470" s="10" t="s">
        <v>155</v>
      </c>
    </row>
    <row r="471" spans="1:9" x14ac:dyDescent="0.15">
      <c r="A471" s="9">
        <v>470</v>
      </c>
      <c r="B471" s="10" t="s">
        <v>9</v>
      </c>
      <c r="C471" s="10" t="s">
        <v>170</v>
      </c>
      <c r="D471" s="10" t="s">
        <v>171</v>
      </c>
      <c r="E471" s="11" t="str">
        <f>+HYPERLINK("http://trademark.i-assist.jp/data/china/image_1900th/78594223.pdf", "78594223")</f>
        <v>78594223</v>
      </c>
      <c r="F471" s="10" t="s">
        <v>1476</v>
      </c>
      <c r="G471" s="10" t="s">
        <v>1315</v>
      </c>
      <c r="H471" s="10" t="s">
        <v>1477</v>
      </c>
      <c r="I471" s="10" t="s">
        <v>155</v>
      </c>
    </row>
    <row r="472" spans="1:9" x14ac:dyDescent="0.15">
      <c r="A472" s="9">
        <v>471</v>
      </c>
      <c r="B472" s="10" t="s">
        <v>9</v>
      </c>
      <c r="C472" s="10" t="s">
        <v>170</v>
      </c>
      <c r="D472" s="10" t="s">
        <v>171</v>
      </c>
      <c r="E472" s="11" t="str">
        <f>+HYPERLINK("http://trademark.i-assist.jp/data/china/image_1900th/78594465.pdf", "78594465")</f>
        <v>78594465</v>
      </c>
      <c r="F472" s="10" t="s">
        <v>1478</v>
      </c>
      <c r="G472" s="10" t="s">
        <v>1474</v>
      </c>
      <c r="H472" s="10" t="s">
        <v>1479</v>
      </c>
      <c r="I472" s="10" t="s">
        <v>155</v>
      </c>
    </row>
    <row r="473" spans="1:9" x14ac:dyDescent="0.15">
      <c r="A473" s="9">
        <v>472</v>
      </c>
      <c r="B473" s="10" t="s">
        <v>9</v>
      </c>
      <c r="C473" s="10" t="s">
        <v>170</v>
      </c>
      <c r="D473" s="10" t="s">
        <v>171</v>
      </c>
      <c r="E473" s="11" t="str">
        <f>+HYPERLINK("http://trademark.i-assist.jp/data/china/image_1900th/78594700.pdf", "78594700")</f>
        <v>78594700</v>
      </c>
      <c r="F473" s="10" t="s">
        <v>1480</v>
      </c>
      <c r="G473" s="10" t="s">
        <v>1481</v>
      </c>
      <c r="H473" s="10" t="s">
        <v>1482</v>
      </c>
      <c r="I473" s="10" t="s">
        <v>155</v>
      </c>
    </row>
    <row r="474" spans="1:9" x14ac:dyDescent="0.15">
      <c r="A474" s="9">
        <v>473</v>
      </c>
      <c r="B474" s="10" t="s">
        <v>9</v>
      </c>
      <c r="C474" s="10" t="s">
        <v>170</v>
      </c>
      <c r="D474" s="10" t="s">
        <v>171</v>
      </c>
      <c r="E474" s="11" t="str">
        <f>+HYPERLINK("http://trademark.i-assist.jp/data/china/image_1900th/78594838.pdf", "78594838")</f>
        <v>78594838</v>
      </c>
      <c r="F474" s="10" t="s">
        <v>1483</v>
      </c>
      <c r="G474" s="10" t="s">
        <v>1484</v>
      </c>
      <c r="H474" s="10" t="s">
        <v>1485</v>
      </c>
      <c r="I474" s="10" t="s">
        <v>155</v>
      </c>
    </row>
    <row r="475" spans="1:9" x14ac:dyDescent="0.15">
      <c r="A475" s="9">
        <v>474</v>
      </c>
      <c r="B475" s="10" t="s">
        <v>9</v>
      </c>
      <c r="C475" s="10" t="s">
        <v>170</v>
      </c>
      <c r="D475" s="10" t="s">
        <v>171</v>
      </c>
      <c r="E475" s="11" t="str">
        <f>+HYPERLINK("http://trademark.i-assist.jp/data/china/image_1900th/78598054.pdf", "78598054")</f>
        <v>78598054</v>
      </c>
      <c r="F475" s="10" t="s">
        <v>1486</v>
      </c>
      <c r="G475" s="10" t="s">
        <v>1487</v>
      </c>
      <c r="H475" s="10" t="s">
        <v>1488</v>
      </c>
      <c r="I475" s="10" t="s">
        <v>161</v>
      </c>
    </row>
    <row r="476" spans="1:9" x14ac:dyDescent="0.15">
      <c r="A476" s="9">
        <v>475</v>
      </c>
      <c r="B476" s="10" t="s">
        <v>9</v>
      </c>
      <c r="C476" s="10" t="s">
        <v>170</v>
      </c>
      <c r="D476" s="10" t="s">
        <v>171</v>
      </c>
      <c r="E476" s="11" t="str">
        <f>+HYPERLINK("http://trademark.i-assist.jp/data/china/image_1900th/78598370.pdf", "78598370")</f>
        <v>78598370</v>
      </c>
      <c r="F476" s="10" t="s">
        <v>1489</v>
      </c>
      <c r="G476" s="10" t="s">
        <v>1490</v>
      </c>
      <c r="H476" s="10" t="s">
        <v>1491</v>
      </c>
      <c r="I476" s="10" t="s">
        <v>161</v>
      </c>
    </row>
    <row r="477" spans="1:9" x14ac:dyDescent="0.15">
      <c r="A477" s="9">
        <v>476</v>
      </c>
      <c r="B477" s="10" t="s">
        <v>9</v>
      </c>
      <c r="C477" s="10" t="s">
        <v>170</v>
      </c>
      <c r="D477" s="10" t="s">
        <v>171</v>
      </c>
      <c r="E477" s="11" t="str">
        <f>+HYPERLINK("http://trademark.i-assist.jp/data/china/image_1900th/78598926.pdf", "78598926")</f>
        <v>78598926</v>
      </c>
      <c r="F477" s="10" t="s">
        <v>15</v>
      </c>
      <c r="G477" s="10" t="s">
        <v>1492</v>
      </c>
      <c r="H477" s="10" t="s">
        <v>1493</v>
      </c>
      <c r="I477" s="10" t="s">
        <v>161</v>
      </c>
    </row>
    <row r="478" spans="1:9" x14ac:dyDescent="0.15">
      <c r="A478" s="9">
        <v>477</v>
      </c>
      <c r="B478" s="10" t="s">
        <v>9</v>
      </c>
      <c r="C478" s="10" t="s">
        <v>170</v>
      </c>
      <c r="D478" s="10" t="s">
        <v>171</v>
      </c>
      <c r="E478" s="11" t="str">
        <f>+HYPERLINK("http://trademark.i-assist.jp/data/china/image_1900th/78599348.pdf", "78599348")</f>
        <v>78599348</v>
      </c>
      <c r="F478" s="10" t="s">
        <v>1494</v>
      </c>
      <c r="G478" s="10" t="s">
        <v>163</v>
      </c>
      <c r="H478" s="10" t="s">
        <v>1495</v>
      </c>
      <c r="I478" s="10" t="s">
        <v>161</v>
      </c>
    </row>
    <row r="479" spans="1:9" x14ac:dyDescent="0.15">
      <c r="A479" s="9">
        <v>478</v>
      </c>
      <c r="B479" s="10" t="s">
        <v>9</v>
      </c>
      <c r="C479" s="10" t="s">
        <v>170</v>
      </c>
      <c r="D479" s="10" t="s">
        <v>171</v>
      </c>
      <c r="E479" s="11" t="str">
        <f>+HYPERLINK("http://trademark.i-assist.jp/data/china/image_1900th/78599390.pdf", "78599390")</f>
        <v>78599390</v>
      </c>
      <c r="F479" s="10" t="s">
        <v>1496</v>
      </c>
      <c r="G479" s="10" t="s">
        <v>58</v>
      </c>
      <c r="H479" s="10" t="s">
        <v>1497</v>
      </c>
      <c r="I479" s="10" t="s">
        <v>161</v>
      </c>
    </row>
    <row r="480" spans="1:9" x14ac:dyDescent="0.15">
      <c r="A480" s="9">
        <v>479</v>
      </c>
      <c r="B480" s="10" t="s">
        <v>9</v>
      </c>
      <c r="C480" s="10" t="s">
        <v>170</v>
      </c>
      <c r="D480" s="10" t="s">
        <v>171</v>
      </c>
      <c r="E480" s="11" t="str">
        <f>+HYPERLINK("http://trademark.i-assist.jp/data/china/image_1900th/78600130.pdf", "78600130")</f>
        <v>78600130</v>
      </c>
      <c r="F480" s="10" t="s">
        <v>1498</v>
      </c>
      <c r="G480" s="10" t="s">
        <v>1499</v>
      </c>
      <c r="H480" s="10" t="s">
        <v>1500</v>
      </c>
      <c r="I480" s="10" t="s">
        <v>161</v>
      </c>
    </row>
    <row r="481" spans="1:9" x14ac:dyDescent="0.15">
      <c r="A481" s="9">
        <v>480</v>
      </c>
      <c r="B481" s="10" t="s">
        <v>9</v>
      </c>
      <c r="C481" s="10" t="s">
        <v>170</v>
      </c>
      <c r="D481" s="10" t="s">
        <v>171</v>
      </c>
      <c r="E481" s="11" t="str">
        <f>+HYPERLINK("http://trademark.i-assist.jp/data/china/image_1900th/78600663.pdf", "78600663")</f>
        <v>78600663</v>
      </c>
      <c r="F481" s="10" t="s">
        <v>1501</v>
      </c>
      <c r="G481" s="10" t="s">
        <v>1502</v>
      </c>
      <c r="H481" s="10" t="s">
        <v>1503</v>
      </c>
      <c r="I481" s="10" t="s">
        <v>161</v>
      </c>
    </row>
    <row r="482" spans="1:9" x14ac:dyDescent="0.15">
      <c r="A482" s="9">
        <v>481</v>
      </c>
      <c r="B482" s="10" t="s">
        <v>9</v>
      </c>
      <c r="C482" s="10" t="s">
        <v>170</v>
      </c>
      <c r="D482" s="10" t="s">
        <v>171</v>
      </c>
      <c r="E482" s="11" t="str">
        <f>+HYPERLINK("http://trademark.i-assist.jp/data/china/image_1900th/78601155.pdf", "78601155")</f>
        <v>78601155</v>
      </c>
      <c r="F482" s="10" t="s">
        <v>1504</v>
      </c>
      <c r="G482" s="10" t="s">
        <v>1505</v>
      </c>
      <c r="H482" s="10" t="s">
        <v>1506</v>
      </c>
      <c r="I482" s="10" t="s">
        <v>161</v>
      </c>
    </row>
    <row r="483" spans="1:9" x14ac:dyDescent="0.15">
      <c r="A483" s="9">
        <v>482</v>
      </c>
      <c r="B483" s="10" t="s">
        <v>9</v>
      </c>
      <c r="C483" s="10" t="s">
        <v>170</v>
      </c>
      <c r="D483" s="10" t="s">
        <v>171</v>
      </c>
      <c r="E483" s="11" t="str">
        <f>+HYPERLINK("http://trademark.i-assist.jp/data/china/image_1900th/78601187.pdf", "78601187")</f>
        <v>78601187</v>
      </c>
      <c r="F483" s="10" t="s">
        <v>1507</v>
      </c>
      <c r="G483" s="10" t="s">
        <v>1508</v>
      </c>
      <c r="H483" s="10" t="s">
        <v>1509</v>
      </c>
      <c r="I483" s="10" t="s">
        <v>161</v>
      </c>
    </row>
    <row r="484" spans="1:9" x14ac:dyDescent="0.15">
      <c r="A484" s="9">
        <v>483</v>
      </c>
      <c r="B484" s="10" t="s">
        <v>9</v>
      </c>
      <c r="C484" s="10" t="s">
        <v>170</v>
      </c>
      <c r="D484" s="10" t="s">
        <v>171</v>
      </c>
      <c r="E484" s="11" t="str">
        <f>+HYPERLINK("http://trademark.i-assist.jp/data/china/image_1900th/78601301.pdf", "78601301")</f>
        <v>78601301</v>
      </c>
      <c r="F484" s="10" t="s">
        <v>1510</v>
      </c>
      <c r="G484" s="10" t="s">
        <v>1511</v>
      </c>
      <c r="H484" s="10" t="s">
        <v>1512</v>
      </c>
      <c r="I484" s="10" t="s">
        <v>161</v>
      </c>
    </row>
    <row r="485" spans="1:9" x14ac:dyDescent="0.15">
      <c r="A485" s="9">
        <v>484</v>
      </c>
      <c r="B485" s="10" t="s">
        <v>9</v>
      </c>
      <c r="C485" s="10" t="s">
        <v>170</v>
      </c>
      <c r="D485" s="10" t="s">
        <v>171</v>
      </c>
      <c r="E485" s="11" t="str">
        <f>+HYPERLINK("http://trademark.i-assist.jp/data/china/image_1900th/78601494.pdf", "78601494")</f>
        <v>78601494</v>
      </c>
      <c r="F485" s="10" t="s">
        <v>1513</v>
      </c>
      <c r="G485" s="10" t="s">
        <v>149</v>
      </c>
      <c r="H485" s="10" t="s">
        <v>1514</v>
      </c>
      <c r="I485" s="10" t="s">
        <v>161</v>
      </c>
    </row>
    <row r="486" spans="1:9" x14ac:dyDescent="0.15">
      <c r="A486" s="9">
        <v>485</v>
      </c>
      <c r="B486" s="10" t="s">
        <v>9</v>
      </c>
      <c r="C486" s="10" t="s">
        <v>170</v>
      </c>
      <c r="D486" s="10" t="s">
        <v>171</v>
      </c>
      <c r="E486" s="11" t="str">
        <f>+HYPERLINK("http://trademark.i-assist.jp/data/china/image_1900th/78601591.pdf", "78601591")</f>
        <v>78601591</v>
      </c>
      <c r="F486" s="10" t="s">
        <v>1515</v>
      </c>
      <c r="G486" s="10" t="s">
        <v>1516</v>
      </c>
      <c r="H486" s="10" t="s">
        <v>1517</v>
      </c>
      <c r="I486" s="10" t="s">
        <v>161</v>
      </c>
    </row>
    <row r="487" spans="1:9" x14ac:dyDescent="0.15">
      <c r="A487" s="9">
        <v>486</v>
      </c>
      <c r="B487" s="10" t="s">
        <v>9</v>
      </c>
      <c r="C487" s="10" t="s">
        <v>170</v>
      </c>
      <c r="D487" s="10" t="s">
        <v>171</v>
      </c>
      <c r="E487" s="11" t="str">
        <f>+HYPERLINK("http://trademark.i-assist.jp/data/china/image_1900th/78602188.pdf", "78602188")</f>
        <v>78602188</v>
      </c>
      <c r="F487" s="10" t="s">
        <v>1518</v>
      </c>
      <c r="G487" s="10" t="s">
        <v>1505</v>
      </c>
      <c r="H487" s="10" t="s">
        <v>1519</v>
      </c>
      <c r="I487" s="10" t="s">
        <v>161</v>
      </c>
    </row>
    <row r="488" spans="1:9" x14ac:dyDescent="0.15">
      <c r="A488" s="9">
        <v>487</v>
      </c>
      <c r="B488" s="10" t="s">
        <v>9</v>
      </c>
      <c r="C488" s="10" t="s">
        <v>170</v>
      </c>
      <c r="D488" s="10" t="s">
        <v>171</v>
      </c>
      <c r="E488" s="11" t="str">
        <f>+HYPERLINK("http://trademark.i-assist.jp/data/china/image_1900th/78602499.pdf", "78602499")</f>
        <v>78602499</v>
      </c>
      <c r="F488" s="10" t="s">
        <v>1520</v>
      </c>
      <c r="G488" s="10" t="s">
        <v>58</v>
      </c>
      <c r="H488" s="10" t="s">
        <v>1521</v>
      </c>
      <c r="I488" s="10" t="s">
        <v>161</v>
      </c>
    </row>
    <row r="489" spans="1:9" x14ac:dyDescent="0.15">
      <c r="A489" s="9">
        <v>488</v>
      </c>
      <c r="B489" s="10" t="s">
        <v>9</v>
      </c>
      <c r="C489" s="10" t="s">
        <v>170</v>
      </c>
      <c r="D489" s="10" t="s">
        <v>171</v>
      </c>
      <c r="E489" s="11" t="str">
        <f>+HYPERLINK("http://trademark.i-assist.jp/data/china/image_1900th/78603879.pdf", "78603879")</f>
        <v>78603879</v>
      </c>
      <c r="F489" s="10" t="s">
        <v>1522</v>
      </c>
      <c r="G489" s="10" t="s">
        <v>1523</v>
      </c>
      <c r="H489" s="10" t="s">
        <v>1524</v>
      </c>
      <c r="I489" s="10" t="s">
        <v>161</v>
      </c>
    </row>
    <row r="490" spans="1:9" x14ac:dyDescent="0.15">
      <c r="A490" s="9">
        <v>489</v>
      </c>
      <c r="B490" s="10" t="s">
        <v>9</v>
      </c>
      <c r="C490" s="10" t="s">
        <v>170</v>
      </c>
      <c r="D490" s="10" t="s">
        <v>171</v>
      </c>
      <c r="E490" s="11" t="str">
        <f>+HYPERLINK("http://trademark.i-assist.jp/data/china/image_1900th/78604012.pdf", "78604012")</f>
        <v>78604012</v>
      </c>
      <c r="F490" s="10" t="s">
        <v>1525</v>
      </c>
      <c r="G490" s="10" t="s">
        <v>1526</v>
      </c>
      <c r="H490" s="10" t="s">
        <v>1527</v>
      </c>
      <c r="I490" s="10" t="s">
        <v>161</v>
      </c>
    </row>
    <row r="491" spans="1:9" x14ac:dyDescent="0.15">
      <c r="A491" s="9">
        <v>490</v>
      </c>
      <c r="B491" s="10" t="s">
        <v>9</v>
      </c>
      <c r="C491" s="10" t="s">
        <v>170</v>
      </c>
      <c r="D491" s="10" t="s">
        <v>171</v>
      </c>
      <c r="E491" s="11" t="str">
        <f>+HYPERLINK("http://trademark.i-assist.jp/data/china/image_1900th/78604015.pdf", "78604015")</f>
        <v>78604015</v>
      </c>
      <c r="F491" s="10" t="s">
        <v>1528</v>
      </c>
      <c r="G491" s="10" t="s">
        <v>1526</v>
      </c>
      <c r="H491" s="10" t="s">
        <v>1529</v>
      </c>
      <c r="I491" s="10" t="s">
        <v>161</v>
      </c>
    </row>
    <row r="492" spans="1:9" x14ac:dyDescent="0.15">
      <c r="A492" s="9">
        <v>491</v>
      </c>
      <c r="B492" s="10" t="s">
        <v>9</v>
      </c>
      <c r="C492" s="10" t="s">
        <v>170</v>
      </c>
      <c r="D492" s="10" t="s">
        <v>171</v>
      </c>
      <c r="E492" s="11" t="str">
        <f>+HYPERLINK("http://trademark.i-assist.jp/data/china/image_1900th/78604020.pdf", "78604020")</f>
        <v>78604020</v>
      </c>
      <c r="F492" s="10" t="s">
        <v>1530</v>
      </c>
      <c r="G492" s="10" t="s">
        <v>1526</v>
      </c>
      <c r="H492" s="10" t="s">
        <v>1531</v>
      </c>
      <c r="I492" s="10" t="s">
        <v>161</v>
      </c>
    </row>
    <row r="493" spans="1:9" x14ac:dyDescent="0.15">
      <c r="A493" s="9">
        <v>492</v>
      </c>
      <c r="B493" s="10" t="s">
        <v>9</v>
      </c>
      <c r="C493" s="10" t="s">
        <v>170</v>
      </c>
      <c r="D493" s="10" t="s">
        <v>171</v>
      </c>
      <c r="E493" s="11" t="str">
        <f>+HYPERLINK("http://trademark.i-assist.jp/data/china/image_1900th/78604181.pdf", "78604181")</f>
        <v>78604181</v>
      </c>
      <c r="F493" s="10" t="s">
        <v>1532</v>
      </c>
      <c r="G493" s="10" t="s">
        <v>1533</v>
      </c>
      <c r="H493" s="10" t="s">
        <v>1534</v>
      </c>
      <c r="I493" s="10" t="s">
        <v>161</v>
      </c>
    </row>
    <row r="494" spans="1:9" x14ac:dyDescent="0.15">
      <c r="A494" s="9">
        <v>493</v>
      </c>
      <c r="B494" s="10" t="s">
        <v>9</v>
      </c>
      <c r="C494" s="10" t="s">
        <v>170</v>
      </c>
      <c r="D494" s="10" t="s">
        <v>171</v>
      </c>
      <c r="E494" s="11" t="str">
        <f>+HYPERLINK("http://trademark.i-assist.jp/data/china/image_1900th/78604216.pdf", "78604216")</f>
        <v>78604216</v>
      </c>
      <c r="F494" s="10" t="s">
        <v>1535</v>
      </c>
      <c r="G494" s="10" t="s">
        <v>1536</v>
      </c>
      <c r="H494" s="10" t="s">
        <v>1537</v>
      </c>
      <c r="I494" s="10" t="s">
        <v>161</v>
      </c>
    </row>
    <row r="495" spans="1:9" x14ac:dyDescent="0.15">
      <c r="A495" s="9">
        <v>494</v>
      </c>
      <c r="B495" s="10" t="s">
        <v>9</v>
      </c>
      <c r="C495" s="10" t="s">
        <v>170</v>
      </c>
      <c r="D495" s="10" t="s">
        <v>171</v>
      </c>
      <c r="E495" s="11" t="str">
        <f>+HYPERLINK("http://trademark.i-assist.jp/data/china/image_1900th/78604586.pdf", "78604586")</f>
        <v>78604586</v>
      </c>
      <c r="F495" s="10" t="s">
        <v>1538</v>
      </c>
      <c r="G495" s="10" t="s">
        <v>1539</v>
      </c>
      <c r="H495" s="10" t="s">
        <v>1540</v>
      </c>
      <c r="I495" s="10" t="s">
        <v>161</v>
      </c>
    </row>
    <row r="496" spans="1:9" x14ac:dyDescent="0.15">
      <c r="A496" s="9">
        <v>495</v>
      </c>
      <c r="B496" s="10" t="s">
        <v>9</v>
      </c>
      <c r="C496" s="10" t="s">
        <v>170</v>
      </c>
      <c r="D496" s="10" t="s">
        <v>171</v>
      </c>
      <c r="E496" s="11" t="str">
        <f>+HYPERLINK("http://trademark.i-assist.jp/data/china/image_1900th/78604650.pdf", "78604650")</f>
        <v>78604650</v>
      </c>
      <c r="F496" s="10" t="s">
        <v>1541</v>
      </c>
      <c r="G496" s="10" t="s">
        <v>1542</v>
      </c>
      <c r="H496" s="10" t="s">
        <v>1543</v>
      </c>
      <c r="I496" s="10" t="s">
        <v>161</v>
      </c>
    </row>
    <row r="497" spans="1:9" x14ac:dyDescent="0.15">
      <c r="A497" s="9">
        <v>496</v>
      </c>
      <c r="B497" s="10" t="s">
        <v>9</v>
      </c>
      <c r="C497" s="10" t="s">
        <v>170</v>
      </c>
      <c r="D497" s="10" t="s">
        <v>171</v>
      </c>
      <c r="E497" s="11" t="str">
        <f>+HYPERLINK("http://trademark.i-assist.jp/data/china/image_1900th/78604654.pdf", "78604654")</f>
        <v>78604654</v>
      </c>
      <c r="F497" s="10" t="s">
        <v>1544</v>
      </c>
      <c r="G497" s="10" t="s">
        <v>86</v>
      </c>
      <c r="H497" s="10" t="s">
        <v>1545</v>
      </c>
      <c r="I497" s="10" t="s">
        <v>161</v>
      </c>
    </row>
    <row r="498" spans="1:9" x14ac:dyDescent="0.15">
      <c r="A498" s="9">
        <v>497</v>
      </c>
      <c r="B498" s="10" t="s">
        <v>9</v>
      </c>
      <c r="C498" s="10" t="s">
        <v>170</v>
      </c>
      <c r="D498" s="10" t="s">
        <v>171</v>
      </c>
      <c r="E498" s="11" t="str">
        <f>+HYPERLINK("http://trademark.i-assist.jp/data/china/image_1900th/78604758.pdf", "78604758")</f>
        <v>78604758</v>
      </c>
      <c r="F498" s="10" t="s">
        <v>1546</v>
      </c>
      <c r="G498" s="10" t="s">
        <v>1502</v>
      </c>
      <c r="H498" s="10" t="s">
        <v>1547</v>
      </c>
      <c r="I498" s="10" t="s">
        <v>161</v>
      </c>
    </row>
    <row r="499" spans="1:9" x14ac:dyDescent="0.15">
      <c r="A499" s="9">
        <v>498</v>
      </c>
      <c r="B499" s="10" t="s">
        <v>9</v>
      </c>
      <c r="C499" s="10" t="s">
        <v>170</v>
      </c>
      <c r="D499" s="10" t="s">
        <v>171</v>
      </c>
      <c r="E499" s="11" t="str">
        <f>+HYPERLINK("http://trademark.i-assist.jp/data/china/image_1900th/78605498.pdf", "78605498")</f>
        <v>78605498</v>
      </c>
      <c r="F499" s="10" t="s">
        <v>1548</v>
      </c>
      <c r="G499" s="10" t="s">
        <v>1549</v>
      </c>
      <c r="H499" s="10" t="s">
        <v>1550</v>
      </c>
      <c r="I499" s="10" t="s">
        <v>161</v>
      </c>
    </row>
    <row r="500" spans="1:9" x14ac:dyDescent="0.15">
      <c r="A500" s="9">
        <v>499</v>
      </c>
      <c r="B500" s="10" t="s">
        <v>9</v>
      </c>
      <c r="C500" s="10" t="s">
        <v>170</v>
      </c>
      <c r="D500" s="10" t="s">
        <v>171</v>
      </c>
      <c r="E500" s="11" t="str">
        <f>+HYPERLINK("http://trademark.i-assist.jp/data/china/image_1900th/78605574.pdf", "78605574")</f>
        <v>78605574</v>
      </c>
      <c r="F500" s="10" t="s">
        <v>1551</v>
      </c>
      <c r="G500" s="10" t="s">
        <v>1552</v>
      </c>
      <c r="H500" s="10" t="s">
        <v>1553</v>
      </c>
      <c r="I500" s="10" t="s">
        <v>161</v>
      </c>
    </row>
    <row r="501" spans="1:9" x14ac:dyDescent="0.15">
      <c r="A501" s="9">
        <v>500</v>
      </c>
      <c r="B501" s="10" t="s">
        <v>9</v>
      </c>
      <c r="C501" s="10" t="s">
        <v>170</v>
      </c>
      <c r="D501" s="10" t="s">
        <v>171</v>
      </c>
      <c r="E501" s="11" t="str">
        <f>+HYPERLINK("http://trademark.i-assist.jp/data/china/image_1900th/78605738.pdf", "78605738")</f>
        <v>78605738</v>
      </c>
      <c r="F501" s="10" t="s">
        <v>1554</v>
      </c>
      <c r="G501" s="10" t="s">
        <v>1555</v>
      </c>
      <c r="H501" s="10" t="s">
        <v>1556</v>
      </c>
      <c r="I501" s="10" t="s">
        <v>161</v>
      </c>
    </row>
    <row r="502" spans="1:9" x14ac:dyDescent="0.15">
      <c r="A502" s="9">
        <v>501</v>
      </c>
      <c r="B502" s="10" t="s">
        <v>9</v>
      </c>
      <c r="C502" s="10" t="s">
        <v>170</v>
      </c>
      <c r="D502" s="10" t="s">
        <v>171</v>
      </c>
      <c r="E502" s="11" t="str">
        <f>+HYPERLINK("http://trademark.i-assist.jp/data/china/image_1900th/78606081.pdf", "78606081")</f>
        <v>78606081</v>
      </c>
      <c r="F502" s="10" t="s">
        <v>1557</v>
      </c>
      <c r="G502" s="10" t="s">
        <v>1558</v>
      </c>
      <c r="H502" s="10" t="s">
        <v>1559</v>
      </c>
      <c r="I502" s="10" t="s">
        <v>161</v>
      </c>
    </row>
    <row r="503" spans="1:9" x14ac:dyDescent="0.15">
      <c r="A503" s="9">
        <v>502</v>
      </c>
      <c r="B503" s="10" t="s">
        <v>9</v>
      </c>
      <c r="C503" s="10" t="s">
        <v>170</v>
      </c>
      <c r="D503" s="10" t="s">
        <v>171</v>
      </c>
      <c r="E503" s="11" t="str">
        <f>+HYPERLINK("http://trademark.i-assist.jp/data/china/image_1900th/78606134.pdf", "78606134")</f>
        <v>78606134</v>
      </c>
      <c r="F503" s="10" t="s">
        <v>1560</v>
      </c>
      <c r="G503" s="10" t="s">
        <v>1561</v>
      </c>
      <c r="H503" s="10" t="s">
        <v>1562</v>
      </c>
      <c r="I503" s="10" t="s">
        <v>161</v>
      </c>
    </row>
    <row r="504" spans="1:9" x14ac:dyDescent="0.15">
      <c r="A504" s="9">
        <v>503</v>
      </c>
      <c r="B504" s="10" t="s">
        <v>9</v>
      </c>
      <c r="C504" s="10" t="s">
        <v>170</v>
      </c>
      <c r="D504" s="10" t="s">
        <v>171</v>
      </c>
      <c r="E504" s="11" t="str">
        <f>+HYPERLINK("http://trademark.i-assist.jp/data/china/image_1900th/78606712.pdf", "78606712")</f>
        <v>78606712</v>
      </c>
      <c r="F504" s="10" t="s">
        <v>1563</v>
      </c>
      <c r="G504" s="10" t="s">
        <v>1564</v>
      </c>
      <c r="H504" s="10" t="s">
        <v>1565</v>
      </c>
      <c r="I504" s="10" t="s">
        <v>161</v>
      </c>
    </row>
    <row r="505" spans="1:9" x14ac:dyDescent="0.15">
      <c r="A505" s="9">
        <v>504</v>
      </c>
      <c r="B505" s="10" t="s">
        <v>9</v>
      </c>
      <c r="C505" s="10" t="s">
        <v>170</v>
      </c>
      <c r="D505" s="10" t="s">
        <v>171</v>
      </c>
      <c r="E505" s="11" t="str">
        <f>+HYPERLINK("http://trademark.i-assist.jp/data/china/image_1900th/78607229.pdf", "78607229")</f>
        <v>78607229</v>
      </c>
      <c r="F505" s="10" t="s">
        <v>1566</v>
      </c>
      <c r="G505" s="10" t="s">
        <v>1502</v>
      </c>
      <c r="H505" s="10" t="s">
        <v>1567</v>
      </c>
      <c r="I505" s="10" t="s">
        <v>161</v>
      </c>
    </row>
    <row r="506" spans="1:9" x14ac:dyDescent="0.15">
      <c r="A506" s="9">
        <v>505</v>
      </c>
      <c r="B506" s="10" t="s">
        <v>9</v>
      </c>
      <c r="C506" s="10" t="s">
        <v>170</v>
      </c>
      <c r="D506" s="10" t="s">
        <v>171</v>
      </c>
      <c r="E506" s="11" t="str">
        <f>+HYPERLINK("http://trademark.i-assist.jp/data/china/image_1900th/78607589.pdf", "78607589")</f>
        <v>78607589</v>
      </c>
      <c r="F506" s="10" t="s">
        <v>1568</v>
      </c>
      <c r="G506" s="10" t="s">
        <v>1569</v>
      </c>
      <c r="H506" s="10" t="s">
        <v>1570</v>
      </c>
      <c r="I506" s="10" t="s">
        <v>161</v>
      </c>
    </row>
    <row r="507" spans="1:9" x14ac:dyDescent="0.15">
      <c r="A507" s="9">
        <v>506</v>
      </c>
      <c r="B507" s="10" t="s">
        <v>9</v>
      </c>
      <c r="C507" s="10" t="s">
        <v>170</v>
      </c>
      <c r="D507" s="10" t="s">
        <v>171</v>
      </c>
      <c r="E507" s="11" t="str">
        <f>+HYPERLINK("http://trademark.i-assist.jp/data/china/image_1900th/78608463.pdf", "78608463")</f>
        <v>78608463</v>
      </c>
      <c r="F507" s="10" t="s">
        <v>1571</v>
      </c>
      <c r="G507" s="10" t="s">
        <v>1555</v>
      </c>
      <c r="H507" s="10" t="s">
        <v>1572</v>
      </c>
      <c r="I507" s="10" t="s">
        <v>161</v>
      </c>
    </row>
    <row r="508" spans="1:9" x14ac:dyDescent="0.15">
      <c r="A508" s="9">
        <v>507</v>
      </c>
      <c r="B508" s="10" t="s">
        <v>9</v>
      </c>
      <c r="C508" s="10" t="s">
        <v>170</v>
      </c>
      <c r="D508" s="10" t="s">
        <v>171</v>
      </c>
      <c r="E508" s="11" t="str">
        <f>+HYPERLINK("http://trademark.i-assist.jp/data/china/image_1900th/78608786.pdf", "78608786")</f>
        <v>78608786</v>
      </c>
      <c r="F508" s="10" t="s">
        <v>1573</v>
      </c>
      <c r="G508" s="10" t="s">
        <v>1574</v>
      </c>
      <c r="H508" s="10" t="s">
        <v>1575</v>
      </c>
      <c r="I508" s="10" t="s">
        <v>161</v>
      </c>
    </row>
    <row r="509" spans="1:9" x14ac:dyDescent="0.15">
      <c r="A509" s="9">
        <v>508</v>
      </c>
      <c r="B509" s="10" t="s">
        <v>9</v>
      </c>
      <c r="C509" s="10" t="s">
        <v>170</v>
      </c>
      <c r="D509" s="10" t="s">
        <v>171</v>
      </c>
      <c r="E509" s="11" t="str">
        <f>+HYPERLINK("http://trademark.i-assist.jp/data/china/image_1900th/78609286.pdf", "78609286")</f>
        <v>78609286</v>
      </c>
      <c r="F509" s="10" t="s">
        <v>1576</v>
      </c>
      <c r="G509" s="10" t="s">
        <v>1577</v>
      </c>
      <c r="H509" s="10" t="s">
        <v>1578</v>
      </c>
      <c r="I509" s="10" t="s">
        <v>161</v>
      </c>
    </row>
    <row r="510" spans="1:9" x14ac:dyDescent="0.15">
      <c r="A510" s="9">
        <v>509</v>
      </c>
      <c r="B510" s="10" t="s">
        <v>9</v>
      </c>
      <c r="C510" s="10" t="s">
        <v>170</v>
      </c>
      <c r="D510" s="10" t="s">
        <v>171</v>
      </c>
      <c r="E510" s="11" t="str">
        <f>+HYPERLINK("http://trademark.i-assist.jp/data/china/image_1900th/78609560.pdf", "78609560")</f>
        <v>78609560</v>
      </c>
      <c r="F510" s="10" t="s">
        <v>1579</v>
      </c>
      <c r="G510" s="10" t="s">
        <v>1580</v>
      </c>
      <c r="H510" s="10" t="s">
        <v>1581</v>
      </c>
      <c r="I510" s="10" t="s">
        <v>161</v>
      </c>
    </row>
    <row r="511" spans="1:9" x14ac:dyDescent="0.15">
      <c r="A511" s="9">
        <v>510</v>
      </c>
      <c r="B511" s="10" t="s">
        <v>9</v>
      </c>
      <c r="C511" s="10" t="s">
        <v>170</v>
      </c>
      <c r="D511" s="10" t="s">
        <v>171</v>
      </c>
      <c r="E511" s="11" t="str">
        <f>+HYPERLINK("http://trademark.i-assist.jp/data/china/image_1900th/78609792.pdf", "78609792")</f>
        <v>78609792</v>
      </c>
      <c r="F511" s="10" t="s">
        <v>1582</v>
      </c>
      <c r="G511" s="10" t="s">
        <v>1583</v>
      </c>
      <c r="H511" s="10" t="s">
        <v>1584</v>
      </c>
      <c r="I511" s="10" t="s">
        <v>161</v>
      </c>
    </row>
    <row r="512" spans="1:9" x14ac:dyDescent="0.15">
      <c r="A512" s="9">
        <v>511</v>
      </c>
      <c r="B512" s="10" t="s">
        <v>9</v>
      </c>
      <c r="C512" s="10" t="s">
        <v>170</v>
      </c>
      <c r="D512" s="10" t="s">
        <v>171</v>
      </c>
      <c r="E512" s="11" t="str">
        <f>+HYPERLINK("http://trademark.i-assist.jp/data/china/image_1900th/78609999.pdf", "78609999")</f>
        <v>78609999</v>
      </c>
      <c r="F512" s="10" t="s">
        <v>1585</v>
      </c>
      <c r="G512" s="10" t="s">
        <v>1586</v>
      </c>
      <c r="H512" s="10" t="s">
        <v>1587</v>
      </c>
      <c r="I512" s="10" t="s">
        <v>161</v>
      </c>
    </row>
    <row r="513" spans="1:9" x14ac:dyDescent="0.15">
      <c r="A513" s="9">
        <v>512</v>
      </c>
      <c r="B513" s="10" t="s">
        <v>9</v>
      </c>
      <c r="C513" s="10" t="s">
        <v>170</v>
      </c>
      <c r="D513" s="10" t="s">
        <v>171</v>
      </c>
      <c r="E513" s="11" t="str">
        <f>+HYPERLINK("http://trademark.i-assist.jp/data/china/image_1900th/78610146.pdf", "78610146")</f>
        <v>78610146</v>
      </c>
      <c r="F513" s="10" t="s">
        <v>1588</v>
      </c>
      <c r="G513" s="10" t="s">
        <v>1589</v>
      </c>
      <c r="H513" s="10" t="s">
        <v>1590</v>
      </c>
      <c r="I513" s="10" t="s">
        <v>161</v>
      </c>
    </row>
    <row r="514" spans="1:9" x14ac:dyDescent="0.15">
      <c r="A514" s="9">
        <v>513</v>
      </c>
      <c r="B514" s="10" t="s">
        <v>9</v>
      </c>
      <c r="C514" s="10" t="s">
        <v>170</v>
      </c>
      <c r="D514" s="10" t="s">
        <v>171</v>
      </c>
      <c r="E514" s="11" t="str">
        <f>+HYPERLINK("http://trademark.i-assist.jp/data/china/image_1900th/78610282.pdf", "78610282")</f>
        <v>78610282</v>
      </c>
      <c r="F514" s="10" t="s">
        <v>1591</v>
      </c>
      <c r="G514" s="10" t="s">
        <v>1592</v>
      </c>
      <c r="H514" s="10" t="s">
        <v>1593</v>
      </c>
      <c r="I514" s="10" t="s">
        <v>161</v>
      </c>
    </row>
    <row r="515" spans="1:9" x14ac:dyDescent="0.15">
      <c r="A515" s="9">
        <v>514</v>
      </c>
      <c r="B515" s="10" t="s">
        <v>9</v>
      </c>
      <c r="C515" s="10" t="s">
        <v>170</v>
      </c>
      <c r="D515" s="10" t="s">
        <v>171</v>
      </c>
      <c r="E515" s="11" t="str">
        <f>+HYPERLINK("http://trademark.i-assist.jp/data/china/image_1900th/78610736.pdf", "78610736")</f>
        <v>78610736</v>
      </c>
      <c r="F515" s="10" t="s">
        <v>1594</v>
      </c>
      <c r="G515" s="10" t="s">
        <v>1577</v>
      </c>
      <c r="H515" s="10" t="s">
        <v>1595</v>
      </c>
      <c r="I515" s="10" t="s">
        <v>161</v>
      </c>
    </row>
    <row r="516" spans="1:9" x14ac:dyDescent="0.15">
      <c r="A516" s="9">
        <v>515</v>
      </c>
      <c r="B516" s="10" t="s">
        <v>9</v>
      </c>
      <c r="C516" s="10" t="s">
        <v>170</v>
      </c>
      <c r="D516" s="10" t="s">
        <v>171</v>
      </c>
      <c r="E516" s="11" t="str">
        <f>+HYPERLINK("http://trademark.i-assist.jp/data/china/image_1900th/78611777.pdf", "78611777")</f>
        <v>78611777</v>
      </c>
      <c r="F516" s="10" t="s">
        <v>1596</v>
      </c>
      <c r="G516" s="10" t="s">
        <v>1597</v>
      </c>
      <c r="H516" s="10" t="s">
        <v>1598</v>
      </c>
      <c r="I516" s="10" t="s">
        <v>161</v>
      </c>
    </row>
    <row r="517" spans="1:9" x14ac:dyDescent="0.15">
      <c r="A517" s="9">
        <v>516</v>
      </c>
      <c r="B517" s="10" t="s">
        <v>9</v>
      </c>
      <c r="C517" s="10" t="s">
        <v>170</v>
      </c>
      <c r="D517" s="10" t="s">
        <v>171</v>
      </c>
      <c r="E517" s="11" t="str">
        <f>+HYPERLINK("http://trademark.i-assist.jp/data/china/image_1900th/78612489.pdf", "78612489")</f>
        <v>78612489</v>
      </c>
      <c r="F517" s="10" t="s">
        <v>1599</v>
      </c>
      <c r="G517" s="10" t="s">
        <v>1600</v>
      </c>
      <c r="H517" s="10" t="s">
        <v>1601</v>
      </c>
      <c r="I517" s="10" t="s">
        <v>161</v>
      </c>
    </row>
    <row r="518" spans="1:9" x14ac:dyDescent="0.15">
      <c r="A518" s="9">
        <v>517</v>
      </c>
      <c r="B518" s="10" t="s">
        <v>9</v>
      </c>
      <c r="C518" s="10" t="s">
        <v>170</v>
      </c>
      <c r="D518" s="10" t="s">
        <v>171</v>
      </c>
      <c r="E518" s="11" t="str">
        <f>+HYPERLINK("http://trademark.i-assist.jp/data/china/image_1900th/78612645.pdf", "78612645")</f>
        <v>78612645</v>
      </c>
      <c r="F518" s="10" t="s">
        <v>1602</v>
      </c>
      <c r="G518" s="10" t="s">
        <v>1603</v>
      </c>
      <c r="H518" s="10" t="s">
        <v>1604</v>
      </c>
      <c r="I518" s="10" t="s">
        <v>161</v>
      </c>
    </row>
    <row r="519" spans="1:9" x14ac:dyDescent="0.15">
      <c r="A519" s="9">
        <v>518</v>
      </c>
      <c r="B519" s="10" t="s">
        <v>9</v>
      </c>
      <c r="C519" s="10" t="s">
        <v>170</v>
      </c>
      <c r="D519" s="10" t="s">
        <v>171</v>
      </c>
      <c r="E519" s="11" t="str">
        <f>+HYPERLINK("http://trademark.i-assist.jp/data/china/image_1900th/78612652.pdf", "78612652")</f>
        <v>78612652</v>
      </c>
      <c r="F519" s="10" t="s">
        <v>1605</v>
      </c>
      <c r="G519" s="10" t="s">
        <v>1606</v>
      </c>
      <c r="H519" s="10" t="s">
        <v>1607</v>
      </c>
      <c r="I519" s="10" t="s">
        <v>161</v>
      </c>
    </row>
    <row r="520" spans="1:9" x14ac:dyDescent="0.15">
      <c r="A520" s="9">
        <v>519</v>
      </c>
      <c r="B520" s="10" t="s">
        <v>9</v>
      </c>
      <c r="C520" s="10" t="s">
        <v>170</v>
      </c>
      <c r="D520" s="10" t="s">
        <v>171</v>
      </c>
      <c r="E520" s="11" t="str">
        <f>+HYPERLINK("http://trademark.i-assist.jp/data/china/image_1900th/78612676.pdf", "78612676")</f>
        <v>78612676</v>
      </c>
      <c r="F520" s="10" t="s">
        <v>1608</v>
      </c>
      <c r="G520" s="10" t="s">
        <v>162</v>
      </c>
      <c r="H520" s="10" t="s">
        <v>1609</v>
      </c>
      <c r="I520" s="10" t="s">
        <v>161</v>
      </c>
    </row>
    <row r="521" spans="1:9" x14ac:dyDescent="0.15">
      <c r="A521" s="9">
        <v>520</v>
      </c>
      <c r="B521" s="10" t="s">
        <v>9</v>
      </c>
      <c r="C521" s="10" t="s">
        <v>170</v>
      </c>
      <c r="D521" s="10" t="s">
        <v>171</v>
      </c>
      <c r="E521" s="11" t="str">
        <f>+HYPERLINK("http://trademark.i-assist.jp/data/china/image_1900th/78612723.pdf", "78612723")</f>
        <v>78612723</v>
      </c>
      <c r="F521" s="10" t="s">
        <v>1610</v>
      </c>
      <c r="G521" s="10" t="s">
        <v>1611</v>
      </c>
      <c r="H521" s="10" t="s">
        <v>1612</v>
      </c>
      <c r="I521" s="10" t="s">
        <v>161</v>
      </c>
    </row>
    <row r="522" spans="1:9" x14ac:dyDescent="0.15">
      <c r="A522" s="9">
        <v>521</v>
      </c>
      <c r="B522" s="10" t="s">
        <v>9</v>
      </c>
      <c r="C522" s="10" t="s">
        <v>170</v>
      </c>
      <c r="D522" s="10" t="s">
        <v>171</v>
      </c>
      <c r="E522" s="11" t="str">
        <f>+HYPERLINK("http://trademark.i-assist.jp/data/china/image_1900th/78613043.pdf", "78613043")</f>
        <v>78613043</v>
      </c>
      <c r="F522" s="10" t="s">
        <v>1613</v>
      </c>
      <c r="G522" s="10" t="s">
        <v>101</v>
      </c>
      <c r="H522" s="10" t="s">
        <v>1614</v>
      </c>
      <c r="I522" s="10" t="s">
        <v>161</v>
      </c>
    </row>
    <row r="523" spans="1:9" x14ac:dyDescent="0.15">
      <c r="A523" s="9">
        <v>522</v>
      </c>
      <c r="B523" s="10" t="s">
        <v>9</v>
      </c>
      <c r="C523" s="10" t="s">
        <v>170</v>
      </c>
      <c r="D523" s="10" t="s">
        <v>171</v>
      </c>
      <c r="E523" s="11" t="str">
        <f>+HYPERLINK("http://trademark.i-assist.jp/data/china/image_1900th/78614292.pdf", "78614292")</f>
        <v>78614292</v>
      </c>
      <c r="F523" s="10" t="s">
        <v>1615</v>
      </c>
      <c r="G523" s="10" t="s">
        <v>1616</v>
      </c>
      <c r="H523" s="10" t="s">
        <v>1617</v>
      </c>
      <c r="I523" s="10" t="s">
        <v>161</v>
      </c>
    </row>
    <row r="524" spans="1:9" x14ac:dyDescent="0.15">
      <c r="A524" s="9">
        <v>523</v>
      </c>
      <c r="B524" s="10" t="s">
        <v>9</v>
      </c>
      <c r="C524" s="10" t="s">
        <v>170</v>
      </c>
      <c r="D524" s="10" t="s">
        <v>171</v>
      </c>
      <c r="E524" s="11" t="str">
        <f>+HYPERLINK("http://trademark.i-assist.jp/data/china/image_1900th/78614482.pdf", "78614482")</f>
        <v>78614482</v>
      </c>
      <c r="F524" s="10" t="s">
        <v>1618</v>
      </c>
      <c r="G524" s="10" t="s">
        <v>1619</v>
      </c>
      <c r="H524" s="10" t="s">
        <v>1620</v>
      </c>
      <c r="I524" s="10" t="s">
        <v>161</v>
      </c>
    </row>
    <row r="525" spans="1:9" x14ac:dyDescent="0.15">
      <c r="A525" s="9">
        <v>524</v>
      </c>
      <c r="B525" s="10" t="s">
        <v>9</v>
      </c>
      <c r="C525" s="10" t="s">
        <v>170</v>
      </c>
      <c r="D525" s="10" t="s">
        <v>171</v>
      </c>
      <c r="E525" s="11" t="str">
        <f>+HYPERLINK("http://trademark.i-assist.jp/data/china/image_1900th/78615051.pdf", "78615051")</f>
        <v>78615051</v>
      </c>
      <c r="F525" s="10" t="s">
        <v>1621</v>
      </c>
      <c r="G525" s="10" t="s">
        <v>1622</v>
      </c>
      <c r="H525" s="10" t="s">
        <v>1623</v>
      </c>
      <c r="I525" s="10" t="s">
        <v>161</v>
      </c>
    </row>
    <row r="526" spans="1:9" x14ac:dyDescent="0.15">
      <c r="A526" s="9">
        <v>525</v>
      </c>
      <c r="B526" s="10" t="s">
        <v>9</v>
      </c>
      <c r="C526" s="10" t="s">
        <v>170</v>
      </c>
      <c r="D526" s="10" t="s">
        <v>171</v>
      </c>
      <c r="E526" s="11" t="str">
        <f>+HYPERLINK("http://trademark.i-assist.jp/data/china/image_1900th/78615069.pdf", "78615069")</f>
        <v>78615069</v>
      </c>
      <c r="F526" s="10" t="s">
        <v>1624</v>
      </c>
      <c r="G526" s="10" t="s">
        <v>1625</v>
      </c>
      <c r="H526" s="10" t="s">
        <v>1626</v>
      </c>
      <c r="I526" s="10" t="s">
        <v>161</v>
      </c>
    </row>
    <row r="527" spans="1:9" x14ac:dyDescent="0.15">
      <c r="A527" s="9">
        <v>526</v>
      </c>
      <c r="B527" s="10" t="s">
        <v>9</v>
      </c>
      <c r="C527" s="10" t="s">
        <v>170</v>
      </c>
      <c r="D527" s="10" t="s">
        <v>171</v>
      </c>
      <c r="E527" s="11" t="str">
        <f>+HYPERLINK("http://trademark.i-assist.jp/data/china/image_1900th/78615297.pdf", "78615297")</f>
        <v>78615297</v>
      </c>
      <c r="F527" s="10" t="s">
        <v>1627</v>
      </c>
      <c r="G527" s="10" t="s">
        <v>1628</v>
      </c>
      <c r="H527" s="10" t="s">
        <v>1629</v>
      </c>
      <c r="I527" s="10" t="s">
        <v>161</v>
      </c>
    </row>
    <row r="528" spans="1:9" x14ac:dyDescent="0.15">
      <c r="A528" s="9">
        <v>527</v>
      </c>
      <c r="B528" s="10" t="s">
        <v>9</v>
      </c>
      <c r="C528" s="10" t="s">
        <v>170</v>
      </c>
      <c r="D528" s="10" t="s">
        <v>171</v>
      </c>
      <c r="E528" s="11" t="str">
        <f>+HYPERLINK("http://trademark.i-assist.jp/data/china/image_1900th/78616013.pdf", "78616013")</f>
        <v>78616013</v>
      </c>
      <c r="F528" s="10" t="s">
        <v>1630</v>
      </c>
      <c r="G528" s="10" t="s">
        <v>1631</v>
      </c>
      <c r="H528" s="10" t="s">
        <v>1632</v>
      </c>
      <c r="I528" s="10" t="s">
        <v>161</v>
      </c>
    </row>
    <row r="529" spans="1:9" x14ac:dyDescent="0.15">
      <c r="A529" s="9">
        <v>528</v>
      </c>
      <c r="B529" s="10" t="s">
        <v>9</v>
      </c>
      <c r="C529" s="10" t="s">
        <v>170</v>
      </c>
      <c r="D529" s="10" t="s">
        <v>171</v>
      </c>
      <c r="E529" s="11" t="str">
        <f>+HYPERLINK("http://trademark.i-assist.jp/data/china/image_1900th/78616179.pdf", "78616179")</f>
        <v>78616179</v>
      </c>
      <c r="F529" s="10" t="s">
        <v>1633</v>
      </c>
      <c r="G529" s="10" t="s">
        <v>1634</v>
      </c>
      <c r="H529" s="10" t="s">
        <v>1635</v>
      </c>
      <c r="I529" s="10" t="s">
        <v>161</v>
      </c>
    </row>
    <row r="530" spans="1:9" x14ac:dyDescent="0.15">
      <c r="A530" s="9">
        <v>529</v>
      </c>
      <c r="B530" s="10" t="s">
        <v>9</v>
      </c>
      <c r="C530" s="10" t="s">
        <v>170</v>
      </c>
      <c r="D530" s="10" t="s">
        <v>171</v>
      </c>
      <c r="E530" s="11" t="str">
        <f>+HYPERLINK("http://trademark.i-assist.jp/data/china/image_1900th/78616422.pdf", "78616422")</f>
        <v>78616422</v>
      </c>
      <c r="F530" s="10" t="s">
        <v>1636</v>
      </c>
      <c r="G530" s="10" t="s">
        <v>1502</v>
      </c>
      <c r="H530" s="10" t="s">
        <v>1637</v>
      </c>
      <c r="I530" s="10" t="s">
        <v>161</v>
      </c>
    </row>
    <row r="531" spans="1:9" x14ac:dyDescent="0.15">
      <c r="A531" s="9">
        <v>530</v>
      </c>
      <c r="B531" s="10" t="s">
        <v>9</v>
      </c>
      <c r="C531" s="10" t="s">
        <v>170</v>
      </c>
      <c r="D531" s="10" t="s">
        <v>171</v>
      </c>
      <c r="E531" s="11" t="str">
        <f>+HYPERLINK("http://trademark.i-assist.jp/data/china/image_1900th/78616708.pdf", "78616708")</f>
        <v>78616708</v>
      </c>
      <c r="F531" s="10" t="s">
        <v>15</v>
      </c>
      <c r="G531" s="10" t="s">
        <v>1638</v>
      </c>
      <c r="H531" s="10" t="s">
        <v>1639</v>
      </c>
      <c r="I531" s="10" t="s">
        <v>161</v>
      </c>
    </row>
    <row r="532" spans="1:9" x14ac:dyDescent="0.15">
      <c r="A532" s="9">
        <v>531</v>
      </c>
      <c r="B532" s="10" t="s">
        <v>9</v>
      </c>
      <c r="C532" s="10" t="s">
        <v>170</v>
      </c>
      <c r="D532" s="10" t="s">
        <v>171</v>
      </c>
      <c r="E532" s="11" t="str">
        <f>+HYPERLINK("http://trademark.i-assist.jp/data/china/image_1900th/78616858.pdf", "78616858")</f>
        <v>78616858</v>
      </c>
      <c r="F532" s="10" t="s">
        <v>15</v>
      </c>
      <c r="G532" s="10" t="s">
        <v>1640</v>
      </c>
      <c r="H532" s="10" t="s">
        <v>1641</v>
      </c>
      <c r="I532" s="10" t="s">
        <v>161</v>
      </c>
    </row>
    <row r="533" spans="1:9" x14ac:dyDescent="0.15">
      <c r="A533" s="9">
        <v>532</v>
      </c>
      <c r="B533" s="10" t="s">
        <v>9</v>
      </c>
      <c r="C533" s="10" t="s">
        <v>170</v>
      </c>
      <c r="D533" s="10" t="s">
        <v>171</v>
      </c>
      <c r="E533" s="11" t="str">
        <f>+HYPERLINK("http://trademark.i-assist.jp/data/china/image_1900th/78617106.pdf", "78617106")</f>
        <v>78617106</v>
      </c>
      <c r="F533" s="10" t="s">
        <v>1642</v>
      </c>
      <c r="G533" s="10" t="s">
        <v>1643</v>
      </c>
      <c r="H533" s="10" t="s">
        <v>1644</v>
      </c>
      <c r="I533" s="10" t="s">
        <v>161</v>
      </c>
    </row>
    <row r="534" spans="1:9" x14ac:dyDescent="0.15">
      <c r="A534" s="9">
        <v>533</v>
      </c>
      <c r="B534" s="10" t="s">
        <v>9</v>
      </c>
      <c r="C534" s="10" t="s">
        <v>170</v>
      </c>
      <c r="D534" s="10" t="s">
        <v>171</v>
      </c>
      <c r="E534" s="11" t="str">
        <f>+HYPERLINK("http://trademark.i-assist.jp/data/china/image_1900th/78617409.pdf", "78617409")</f>
        <v>78617409</v>
      </c>
      <c r="F534" s="10" t="s">
        <v>1645</v>
      </c>
      <c r="G534" s="10" t="s">
        <v>1606</v>
      </c>
      <c r="H534" s="10" t="s">
        <v>1646</v>
      </c>
      <c r="I534" s="10" t="s">
        <v>161</v>
      </c>
    </row>
    <row r="535" spans="1:9" x14ac:dyDescent="0.15">
      <c r="A535" s="9">
        <v>534</v>
      </c>
      <c r="B535" s="10" t="s">
        <v>9</v>
      </c>
      <c r="C535" s="10" t="s">
        <v>170</v>
      </c>
      <c r="D535" s="10" t="s">
        <v>171</v>
      </c>
      <c r="E535" s="11" t="str">
        <f>+HYPERLINK("http://trademark.i-assist.jp/data/china/image_1900th/78617694.pdf", "78617694")</f>
        <v>78617694</v>
      </c>
      <c r="F535" s="10" t="s">
        <v>1647</v>
      </c>
      <c r="G535" s="10" t="s">
        <v>1648</v>
      </c>
      <c r="H535" s="10" t="s">
        <v>1649</v>
      </c>
      <c r="I535" s="10" t="s">
        <v>161</v>
      </c>
    </row>
    <row r="536" spans="1:9" x14ac:dyDescent="0.15">
      <c r="A536" s="9">
        <v>535</v>
      </c>
      <c r="B536" s="10" t="s">
        <v>9</v>
      </c>
      <c r="C536" s="10" t="s">
        <v>170</v>
      </c>
      <c r="D536" s="10" t="s">
        <v>171</v>
      </c>
      <c r="E536" s="11" t="str">
        <f>+HYPERLINK("http://trademark.i-assist.jp/data/china/image_1900th/78617870.pdf", "78617870")</f>
        <v>78617870</v>
      </c>
      <c r="F536" s="10" t="s">
        <v>1650</v>
      </c>
      <c r="G536" s="10" t="s">
        <v>1600</v>
      </c>
      <c r="H536" s="10" t="s">
        <v>1651</v>
      </c>
      <c r="I536" s="10" t="s">
        <v>161</v>
      </c>
    </row>
    <row r="537" spans="1:9" x14ac:dyDescent="0.15">
      <c r="A537" s="9">
        <v>536</v>
      </c>
      <c r="B537" s="10" t="s">
        <v>9</v>
      </c>
      <c r="C537" s="10" t="s">
        <v>170</v>
      </c>
      <c r="D537" s="10" t="s">
        <v>171</v>
      </c>
      <c r="E537" s="11" t="str">
        <f>+HYPERLINK("http://trademark.i-assist.jp/data/china/image_1900th/78618236.pdf", "78618236")</f>
        <v>78618236</v>
      </c>
      <c r="F537" s="10" t="s">
        <v>1652</v>
      </c>
      <c r="G537" s="10" t="s">
        <v>1653</v>
      </c>
      <c r="H537" s="10" t="s">
        <v>1654</v>
      </c>
      <c r="I537" s="10" t="s">
        <v>161</v>
      </c>
    </row>
    <row r="538" spans="1:9" x14ac:dyDescent="0.15">
      <c r="A538" s="9">
        <v>537</v>
      </c>
      <c r="B538" s="10" t="s">
        <v>9</v>
      </c>
      <c r="C538" s="10" t="s">
        <v>170</v>
      </c>
      <c r="D538" s="10" t="s">
        <v>171</v>
      </c>
      <c r="E538" s="11" t="str">
        <f>+HYPERLINK("http://trademark.i-assist.jp/data/china/image_1900th/78618492.pdf", "78618492")</f>
        <v>78618492</v>
      </c>
      <c r="F538" s="10" t="s">
        <v>1655</v>
      </c>
      <c r="G538" s="10" t="s">
        <v>1656</v>
      </c>
      <c r="H538" s="10" t="s">
        <v>1657</v>
      </c>
      <c r="I538" s="10" t="s">
        <v>161</v>
      </c>
    </row>
    <row r="539" spans="1:9" x14ac:dyDescent="0.15">
      <c r="A539" s="9">
        <v>538</v>
      </c>
      <c r="B539" s="10" t="s">
        <v>9</v>
      </c>
      <c r="C539" s="10" t="s">
        <v>170</v>
      </c>
      <c r="D539" s="10" t="s">
        <v>171</v>
      </c>
      <c r="E539" s="11" t="str">
        <f>+HYPERLINK("http://trademark.i-assist.jp/data/china/image_1900th/78619679.pdf", "78619679")</f>
        <v>78619679</v>
      </c>
      <c r="F539" s="10" t="s">
        <v>1658</v>
      </c>
      <c r="G539" s="10" t="s">
        <v>1659</v>
      </c>
      <c r="H539" s="10" t="s">
        <v>1660</v>
      </c>
      <c r="I539" s="10" t="s">
        <v>161</v>
      </c>
    </row>
    <row r="540" spans="1:9" x14ac:dyDescent="0.15">
      <c r="A540" s="9">
        <v>539</v>
      </c>
      <c r="B540" s="10" t="s">
        <v>9</v>
      </c>
      <c r="C540" s="10" t="s">
        <v>170</v>
      </c>
      <c r="D540" s="10" t="s">
        <v>171</v>
      </c>
      <c r="E540" s="11" t="str">
        <f>+HYPERLINK("http://trademark.i-assist.jp/data/china/image_1900th/78619941.pdf", "78619941")</f>
        <v>78619941</v>
      </c>
      <c r="F540" s="10" t="s">
        <v>1661</v>
      </c>
      <c r="G540" s="10" t="s">
        <v>1662</v>
      </c>
      <c r="H540" s="10" t="s">
        <v>1663</v>
      </c>
      <c r="I540" s="10" t="s">
        <v>161</v>
      </c>
    </row>
    <row r="541" spans="1:9" x14ac:dyDescent="0.15">
      <c r="A541" s="9">
        <v>540</v>
      </c>
      <c r="B541" s="10" t="s">
        <v>9</v>
      </c>
      <c r="C541" s="10" t="s">
        <v>170</v>
      </c>
      <c r="D541" s="10" t="s">
        <v>171</v>
      </c>
      <c r="E541" s="11" t="str">
        <f>+HYPERLINK("http://trademark.i-assist.jp/data/china/image_1900th/78620044.pdf", "78620044")</f>
        <v>78620044</v>
      </c>
      <c r="F541" s="10" t="s">
        <v>1664</v>
      </c>
      <c r="G541" s="10" t="s">
        <v>1665</v>
      </c>
      <c r="H541" s="10" t="s">
        <v>1666</v>
      </c>
      <c r="I541" s="10" t="s">
        <v>161</v>
      </c>
    </row>
    <row r="542" spans="1:9" x14ac:dyDescent="0.15">
      <c r="A542" s="9">
        <v>541</v>
      </c>
      <c r="B542" s="10" t="s">
        <v>9</v>
      </c>
      <c r="C542" s="10" t="s">
        <v>170</v>
      </c>
      <c r="D542" s="10" t="s">
        <v>171</v>
      </c>
      <c r="E542" s="11" t="str">
        <f>+HYPERLINK("http://trademark.i-assist.jp/data/china/image_1900th/78620184.pdf", "78620184")</f>
        <v>78620184</v>
      </c>
      <c r="F542" s="10" t="s">
        <v>1667</v>
      </c>
      <c r="G542" s="10" t="s">
        <v>1668</v>
      </c>
      <c r="H542" s="10" t="s">
        <v>1669</v>
      </c>
      <c r="I542" s="10" t="s">
        <v>161</v>
      </c>
    </row>
    <row r="543" spans="1:9" x14ac:dyDescent="0.15">
      <c r="A543" s="9">
        <v>542</v>
      </c>
      <c r="B543" s="10" t="s">
        <v>9</v>
      </c>
      <c r="C543" s="10" t="s">
        <v>170</v>
      </c>
      <c r="D543" s="10" t="s">
        <v>171</v>
      </c>
      <c r="E543" s="11" t="str">
        <f>+HYPERLINK("http://trademark.i-assist.jp/data/china/image_1900th/78620248.pdf", "78620248")</f>
        <v>78620248</v>
      </c>
      <c r="F543" s="10" t="s">
        <v>1670</v>
      </c>
      <c r="G543" s="10" t="s">
        <v>1502</v>
      </c>
      <c r="H543" s="10" t="s">
        <v>1671</v>
      </c>
      <c r="I543" s="10" t="s">
        <v>161</v>
      </c>
    </row>
    <row r="544" spans="1:9" x14ac:dyDescent="0.15">
      <c r="A544" s="9">
        <v>543</v>
      </c>
      <c r="B544" s="10" t="s">
        <v>9</v>
      </c>
      <c r="C544" s="10" t="s">
        <v>170</v>
      </c>
      <c r="D544" s="10" t="s">
        <v>171</v>
      </c>
      <c r="E544" s="11" t="str">
        <f>+HYPERLINK("http://trademark.i-assist.jp/data/china/image_1900th/78620869.pdf", "78620869")</f>
        <v>78620869</v>
      </c>
      <c r="F544" s="10" t="s">
        <v>1672</v>
      </c>
      <c r="G544" s="10" t="s">
        <v>1673</v>
      </c>
      <c r="H544" s="10" t="s">
        <v>1674</v>
      </c>
      <c r="I544" s="10" t="s">
        <v>161</v>
      </c>
    </row>
    <row r="545" spans="1:9" x14ac:dyDescent="0.15">
      <c r="A545" s="9">
        <v>544</v>
      </c>
      <c r="B545" s="10" t="s">
        <v>9</v>
      </c>
      <c r="C545" s="10" t="s">
        <v>170</v>
      </c>
      <c r="D545" s="10" t="s">
        <v>171</v>
      </c>
      <c r="E545" s="11" t="str">
        <f>+HYPERLINK("http://trademark.i-assist.jp/data/china/image_1900th/78621170.pdf", "78621170")</f>
        <v>78621170</v>
      </c>
      <c r="F545" s="10" t="s">
        <v>1675</v>
      </c>
      <c r="G545" s="10" t="s">
        <v>101</v>
      </c>
      <c r="H545" s="10" t="s">
        <v>1676</v>
      </c>
      <c r="I545" s="10" t="s">
        <v>161</v>
      </c>
    </row>
    <row r="546" spans="1:9" x14ac:dyDescent="0.15">
      <c r="A546" s="9">
        <v>545</v>
      </c>
      <c r="B546" s="10" t="s">
        <v>9</v>
      </c>
      <c r="C546" s="10" t="s">
        <v>170</v>
      </c>
      <c r="D546" s="10" t="s">
        <v>171</v>
      </c>
      <c r="E546" s="11" t="str">
        <f>+HYPERLINK("http://trademark.i-assist.jp/data/china/image_1900th/78621271.pdf", "78621271")</f>
        <v>78621271</v>
      </c>
      <c r="F546" s="10" t="s">
        <v>1677</v>
      </c>
      <c r="G546" s="10" t="s">
        <v>1678</v>
      </c>
      <c r="H546" s="10" t="s">
        <v>1679</v>
      </c>
      <c r="I546" s="10" t="s">
        <v>161</v>
      </c>
    </row>
    <row r="547" spans="1:9" x14ac:dyDescent="0.15">
      <c r="A547" s="9">
        <v>546</v>
      </c>
      <c r="B547" s="10" t="s">
        <v>9</v>
      </c>
      <c r="C547" s="10" t="s">
        <v>170</v>
      </c>
      <c r="D547" s="10" t="s">
        <v>171</v>
      </c>
      <c r="E547" s="11" t="str">
        <f>+HYPERLINK("http://trademark.i-assist.jp/data/china/image_1900th/78621370.pdf", "78621370")</f>
        <v>78621370</v>
      </c>
      <c r="F547" s="10" t="s">
        <v>1680</v>
      </c>
      <c r="G547" s="10" t="s">
        <v>1681</v>
      </c>
      <c r="H547" s="10" t="s">
        <v>1682</v>
      </c>
      <c r="I547" s="10" t="s">
        <v>161</v>
      </c>
    </row>
    <row r="548" spans="1:9" x14ac:dyDescent="0.15">
      <c r="A548" s="9">
        <v>547</v>
      </c>
      <c r="B548" s="10" t="s">
        <v>9</v>
      </c>
      <c r="C548" s="10" t="s">
        <v>170</v>
      </c>
      <c r="D548" s="10" t="s">
        <v>171</v>
      </c>
      <c r="E548" s="11" t="str">
        <f>+HYPERLINK("http://trademark.i-assist.jp/data/china/image_1900th/78621409.pdf", "78621409")</f>
        <v>78621409</v>
      </c>
      <c r="F548" s="10" t="s">
        <v>1683</v>
      </c>
      <c r="G548" s="10" t="s">
        <v>1684</v>
      </c>
      <c r="H548" s="10" t="s">
        <v>1685</v>
      </c>
      <c r="I548" s="10" t="s">
        <v>161</v>
      </c>
    </row>
    <row r="549" spans="1:9" x14ac:dyDescent="0.15">
      <c r="A549" s="9">
        <v>548</v>
      </c>
      <c r="B549" s="10" t="s">
        <v>9</v>
      </c>
      <c r="C549" s="10" t="s">
        <v>170</v>
      </c>
      <c r="D549" s="10" t="s">
        <v>171</v>
      </c>
      <c r="E549" s="11" t="str">
        <f>+HYPERLINK("http://trademark.i-assist.jp/data/china/image_1900th/78621593.pdf", "78621593")</f>
        <v>78621593</v>
      </c>
      <c r="F549" s="10" t="s">
        <v>1686</v>
      </c>
      <c r="G549" s="10" t="s">
        <v>1687</v>
      </c>
      <c r="H549" s="10" t="s">
        <v>1688</v>
      </c>
      <c r="I549" s="10" t="s">
        <v>161</v>
      </c>
    </row>
    <row r="550" spans="1:9" x14ac:dyDescent="0.15">
      <c r="A550" s="9">
        <v>549</v>
      </c>
      <c r="B550" s="10" t="s">
        <v>9</v>
      </c>
      <c r="C550" s="10" t="s">
        <v>170</v>
      </c>
      <c r="D550" s="10" t="s">
        <v>171</v>
      </c>
      <c r="E550" s="11" t="str">
        <f>+HYPERLINK("http://trademark.i-assist.jp/data/china/image_1900th/78621748.pdf", "78621748")</f>
        <v>78621748</v>
      </c>
      <c r="F550" s="10" t="s">
        <v>1689</v>
      </c>
      <c r="G550" s="10" t="s">
        <v>149</v>
      </c>
      <c r="H550" s="10" t="s">
        <v>1690</v>
      </c>
      <c r="I550" s="10" t="s">
        <v>161</v>
      </c>
    </row>
    <row r="551" spans="1:9" x14ac:dyDescent="0.15">
      <c r="A551" s="9">
        <v>550</v>
      </c>
      <c r="B551" s="10" t="s">
        <v>9</v>
      </c>
      <c r="C551" s="10" t="s">
        <v>170</v>
      </c>
      <c r="D551" s="10" t="s">
        <v>171</v>
      </c>
      <c r="E551" s="11" t="str">
        <f>+HYPERLINK("http://trademark.i-assist.jp/data/china/image_1900th/78621787.pdf", "78621787")</f>
        <v>78621787</v>
      </c>
      <c r="F551" s="10" t="s">
        <v>1691</v>
      </c>
      <c r="G551" s="10" t="s">
        <v>1692</v>
      </c>
      <c r="H551" s="10" t="s">
        <v>1693</v>
      </c>
      <c r="I551" s="10" t="s">
        <v>161</v>
      </c>
    </row>
    <row r="552" spans="1:9" x14ac:dyDescent="0.15">
      <c r="A552" s="9">
        <v>551</v>
      </c>
      <c r="B552" s="10" t="s">
        <v>9</v>
      </c>
      <c r="C552" s="10" t="s">
        <v>170</v>
      </c>
      <c r="D552" s="10" t="s">
        <v>171</v>
      </c>
      <c r="E552" s="11" t="str">
        <f>+HYPERLINK("http://trademark.i-assist.jp/data/china/image_1900th/78622518.pdf", "78622518")</f>
        <v>78622518</v>
      </c>
      <c r="F552" s="10" t="s">
        <v>1694</v>
      </c>
      <c r="G552" s="10" t="s">
        <v>1695</v>
      </c>
      <c r="H552" s="10" t="s">
        <v>1696</v>
      </c>
      <c r="I552" s="10" t="s">
        <v>161</v>
      </c>
    </row>
    <row r="553" spans="1:9" x14ac:dyDescent="0.15">
      <c r="A553" s="9">
        <v>552</v>
      </c>
      <c r="B553" s="10" t="s">
        <v>9</v>
      </c>
      <c r="C553" s="10" t="s">
        <v>170</v>
      </c>
      <c r="D553" s="10" t="s">
        <v>171</v>
      </c>
      <c r="E553" s="11" t="str">
        <f>+HYPERLINK("http://trademark.i-assist.jp/data/china/image_1900th/78622958.pdf", "78622958")</f>
        <v>78622958</v>
      </c>
      <c r="F553" s="10" t="s">
        <v>1697</v>
      </c>
      <c r="G553" s="10" t="s">
        <v>1698</v>
      </c>
      <c r="H553" s="10" t="s">
        <v>1699</v>
      </c>
      <c r="I553" s="10" t="s">
        <v>1700</v>
      </c>
    </row>
    <row r="554" spans="1:9" x14ac:dyDescent="0.15">
      <c r="A554" s="9">
        <v>553</v>
      </c>
      <c r="B554" s="10" t="s">
        <v>9</v>
      </c>
      <c r="C554" s="10" t="s">
        <v>170</v>
      </c>
      <c r="D554" s="10" t="s">
        <v>171</v>
      </c>
      <c r="E554" s="11" t="str">
        <f>+HYPERLINK("http://trademark.i-assist.jp/data/china/image_1900th/78623202.pdf", "78623202")</f>
        <v>78623202</v>
      </c>
      <c r="F554" s="10" t="s">
        <v>1701</v>
      </c>
      <c r="G554" s="10" t="s">
        <v>1702</v>
      </c>
      <c r="H554" s="10" t="s">
        <v>1703</v>
      </c>
      <c r="I554" s="10" t="s">
        <v>1700</v>
      </c>
    </row>
    <row r="555" spans="1:9" x14ac:dyDescent="0.15">
      <c r="A555" s="9">
        <v>554</v>
      </c>
      <c r="B555" s="10" t="s">
        <v>9</v>
      </c>
      <c r="C555" s="10" t="s">
        <v>170</v>
      </c>
      <c r="D555" s="10" t="s">
        <v>171</v>
      </c>
      <c r="E555" s="11" t="str">
        <f>+HYPERLINK("http://trademark.i-assist.jp/data/china/image_1900th/78623316.pdf", "78623316")</f>
        <v>78623316</v>
      </c>
      <c r="F555" s="10" t="s">
        <v>1704</v>
      </c>
      <c r="G555" s="10" t="s">
        <v>1705</v>
      </c>
      <c r="H555" s="10" t="s">
        <v>1706</v>
      </c>
      <c r="I555" s="10" t="s">
        <v>1700</v>
      </c>
    </row>
    <row r="556" spans="1:9" x14ac:dyDescent="0.15">
      <c r="A556" s="9">
        <v>555</v>
      </c>
      <c r="B556" s="10" t="s">
        <v>9</v>
      </c>
      <c r="C556" s="10" t="s">
        <v>170</v>
      </c>
      <c r="D556" s="10" t="s">
        <v>171</v>
      </c>
      <c r="E556" s="11" t="str">
        <f>+HYPERLINK("http://trademark.i-assist.jp/data/china/image_1900th/78623399.pdf", "78623399")</f>
        <v>78623399</v>
      </c>
      <c r="F556" s="10" t="s">
        <v>1707</v>
      </c>
      <c r="G556" s="10" t="s">
        <v>1708</v>
      </c>
      <c r="H556" s="10" t="s">
        <v>1709</v>
      </c>
      <c r="I556" s="10" t="s">
        <v>1700</v>
      </c>
    </row>
    <row r="557" spans="1:9" x14ac:dyDescent="0.15">
      <c r="A557" s="9">
        <v>556</v>
      </c>
      <c r="B557" s="10" t="s">
        <v>9</v>
      </c>
      <c r="C557" s="10" t="s">
        <v>170</v>
      </c>
      <c r="D557" s="10" t="s">
        <v>171</v>
      </c>
      <c r="E557" s="11" t="str">
        <f>+HYPERLINK("http://trademark.i-assist.jp/data/china/image_1900th/78623450.pdf", "78623450")</f>
        <v>78623450</v>
      </c>
      <c r="F557" s="10" t="s">
        <v>1710</v>
      </c>
      <c r="G557" s="10" t="s">
        <v>1711</v>
      </c>
      <c r="H557" s="10" t="s">
        <v>1712</v>
      </c>
      <c r="I557" s="10" t="s">
        <v>1700</v>
      </c>
    </row>
    <row r="558" spans="1:9" x14ac:dyDescent="0.15">
      <c r="A558" s="9">
        <v>557</v>
      </c>
      <c r="B558" s="10" t="s">
        <v>9</v>
      </c>
      <c r="C558" s="10" t="s">
        <v>170</v>
      </c>
      <c r="D558" s="10" t="s">
        <v>171</v>
      </c>
      <c r="E558" s="11" t="str">
        <f>+HYPERLINK("http://trademark.i-assist.jp/data/china/image_1900th/78623607.pdf", "78623607")</f>
        <v>78623607</v>
      </c>
      <c r="F558" s="10" t="s">
        <v>15</v>
      </c>
      <c r="G558" s="10" t="s">
        <v>1713</v>
      </c>
      <c r="H558" s="10" t="s">
        <v>1714</v>
      </c>
      <c r="I558" s="10" t="s">
        <v>1700</v>
      </c>
    </row>
    <row r="559" spans="1:9" x14ac:dyDescent="0.15">
      <c r="A559" s="9">
        <v>558</v>
      </c>
      <c r="B559" s="10" t="s">
        <v>9</v>
      </c>
      <c r="C559" s="10" t="s">
        <v>170</v>
      </c>
      <c r="D559" s="10" t="s">
        <v>171</v>
      </c>
      <c r="E559" s="11" t="str">
        <f>+HYPERLINK("http://trademark.i-assist.jp/data/china/image_1900th/78624041.pdf", "78624041")</f>
        <v>78624041</v>
      </c>
      <c r="F559" s="10" t="s">
        <v>1715</v>
      </c>
      <c r="G559" s="10" t="s">
        <v>1716</v>
      </c>
      <c r="H559" s="10" t="s">
        <v>1717</v>
      </c>
      <c r="I559" s="10" t="s">
        <v>1700</v>
      </c>
    </row>
    <row r="560" spans="1:9" x14ac:dyDescent="0.15">
      <c r="A560" s="9">
        <v>559</v>
      </c>
      <c r="B560" s="10" t="s">
        <v>9</v>
      </c>
      <c r="C560" s="10" t="s">
        <v>170</v>
      </c>
      <c r="D560" s="10" t="s">
        <v>171</v>
      </c>
      <c r="E560" s="11" t="str">
        <f>+HYPERLINK("http://trademark.i-assist.jp/data/china/image_1900th/78624129.pdf", "78624129")</f>
        <v>78624129</v>
      </c>
      <c r="F560" s="10" t="s">
        <v>1718</v>
      </c>
      <c r="G560" s="10" t="s">
        <v>1719</v>
      </c>
      <c r="H560" s="10" t="s">
        <v>1720</v>
      </c>
      <c r="I560" s="10" t="s">
        <v>1700</v>
      </c>
    </row>
    <row r="561" spans="1:9" x14ac:dyDescent="0.15">
      <c r="A561" s="9">
        <v>560</v>
      </c>
      <c r="B561" s="10" t="s">
        <v>9</v>
      </c>
      <c r="C561" s="10" t="s">
        <v>170</v>
      </c>
      <c r="D561" s="10" t="s">
        <v>171</v>
      </c>
      <c r="E561" s="11" t="str">
        <f>+HYPERLINK("http://trademark.i-assist.jp/data/china/image_1900th/78624816.pdf", "78624816")</f>
        <v>78624816</v>
      </c>
      <c r="F561" s="10" t="s">
        <v>1721</v>
      </c>
      <c r="G561" s="10" t="s">
        <v>1722</v>
      </c>
      <c r="H561" s="10" t="s">
        <v>1723</v>
      </c>
      <c r="I561" s="10" t="s">
        <v>1700</v>
      </c>
    </row>
    <row r="562" spans="1:9" x14ac:dyDescent="0.15">
      <c r="A562" s="9">
        <v>561</v>
      </c>
      <c r="B562" s="10" t="s">
        <v>9</v>
      </c>
      <c r="C562" s="10" t="s">
        <v>170</v>
      </c>
      <c r="D562" s="10" t="s">
        <v>171</v>
      </c>
      <c r="E562" s="11" t="str">
        <f>+HYPERLINK("http://trademark.i-assist.jp/data/china/image_1900th/78624848.pdf", "78624848")</f>
        <v>78624848</v>
      </c>
      <c r="F562" s="10" t="s">
        <v>1724</v>
      </c>
      <c r="G562" s="10" t="s">
        <v>1725</v>
      </c>
      <c r="H562" s="10" t="s">
        <v>1726</v>
      </c>
      <c r="I562" s="10" t="s">
        <v>1700</v>
      </c>
    </row>
    <row r="563" spans="1:9" x14ac:dyDescent="0.15">
      <c r="A563" s="9">
        <v>562</v>
      </c>
      <c r="B563" s="10" t="s">
        <v>9</v>
      </c>
      <c r="C563" s="10" t="s">
        <v>170</v>
      </c>
      <c r="D563" s="10" t="s">
        <v>171</v>
      </c>
      <c r="E563" s="11" t="str">
        <f>+HYPERLINK("http://trademark.i-assist.jp/data/china/image_1900th/78624987.pdf", "78624987")</f>
        <v>78624987</v>
      </c>
      <c r="F563" s="10" t="s">
        <v>1727</v>
      </c>
      <c r="G563" s="10" t="s">
        <v>1728</v>
      </c>
      <c r="H563" s="10" t="s">
        <v>1729</v>
      </c>
      <c r="I563" s="10" t="s">
        <v>1700</v>
      </c>
    </row>
    <row r="564" spans="1:9" x14ac:dyDescent="0.15">
      <c r="A564" s="9">
        <v>563</v>
      </c>
      <c r="B564" s="10" t="s">
        <v>9</v>
      </c>
      <c r="C564" s="10" t="s">
        <v>170</v>
      </c>
      <c r="D564" s="10" t="s">
        <v>171</v>
      </c>
      <c r="E564" s="11" t="str">
        <f>+HYPERLINK("http://trademark.i-assist.jp/data/china/image_1900th/78625366.pdf", "78625366")</f>
        <v>78625366</v>
      </c>
      <c r="F564" s="10" t="s">
        <v>1730</v>
      </c>
      <c r="G564" s="10" t="s">
        <v>1731</v>
      </c>
      <c r="H564" s="10" t="s">
        <v>1732</v>
      </c>
      <c r="I564" s="10" t="s">
        <v>1700</v>
      </c>
    </row>
    <row r="565" spans="1:9" x14ac:dyDescent="0.15">
      <c r="A565" s="9">
        <v>564</v>
      </c>
      <c r="B565" s="10" t="s">
        <v>9</v>
      </c>
      <c r="C565" s="10" t="s">
        <v>170</v>
      </c>
      <c r="D565" s="10" t="s">
        <v>171</v>
      </c>
      <c r="E565" s="11" t="str">
        <f>+HYPERLINK("http://trademark.i-assist.jp/data/china/image_1900th/78625999.pdf", "78625999")</f>
        <v>78625999</v>
      </c>
      <c r="F565" s="10" t="s">
        <v>1733</v>
      </c>
      <c r="G565" s="10" t="s">
        <v>1734</v>
      </c>
      <c r="H565" s="10" t="s">
        <v>89</v>
      </c>
      <c r="I565" s="10" t="s">
        <v>1700</v>
      </c>
    </row>
    <row r="566" spans="1:9" x14ac:dyDescent="0.15">
      <c r="A566" s="9">
        <v>565</v>
      </c>
      <c r="B566" s="10" t="s">
        <v>9</v>
      </c>
      <c r="C566" s="10" t="s">
        <v>170</v>
      </c>
      <c r="D566" s="10" t="s">
        <v>171</v>
      </c>
      <c r="E566" s="11" t="str">
        <f>+HYPERLINK("http://trademark.i-assist.jp/data/china/image_1900th/78626299.pdf", "78626299")</f>
        <v>78626299</v>
      </c>
      <c r="F566" s="10" t="s">
        <v>1735</v>
      </c>
      <c r="G566" s="10" t="s">
        <v>98</v>
      </c>
      <c r="H566" s="10" t="s">
        <v>1736</v>
      </c>
      <c r="I566" s="10" t="s">
        <v>1700</v>
      </c>
    </row>
    <row r="567" spans="1:9" x14ac:dyDescent="0.15">
      <c r="A567" s="9">
        <v>566</v>
      </c>
      <c r="B567" s="10" t="s">
        <v>9</v>
      </c>
      <c r="C567" s="10" t="s">
        <v>170</v>
      </c>
      <c r="D567" s="10" t="s">
        <v>171</v>
      </c>
      <c r="E567" s="11" t="str">
        <f>+HYPERLINK("http://trademark.i-assist.jp/data/china/image_1900th/78627027.pdf", "78627027")</f>
        <v>78627027</v>
      </c>
      <c r="F567" s="10" t="s">
        <v>1737</v>
      </c>
      <c r="G567" s="10" t="s">
        <v>1738</v>
      </c>
      <c r="H567" s="10" t="s">
        <v>1739</v>
      </c>
      <c r="I567" s="10" t="s">
        <v>1700</v>
      </c>
    </row>
    <row r="568" spans="1:9" x14ac:dyDescent="0.15">
      <c r="A568" s="9">
        <v>567</v>
      </c>
      <c r="B568" s="10" t="s">
        <v>9</v>
      </c>
      <c r="C568" s="10" t="s">
        <v>170</v>
      </c>
      <c r="D568" s="10" t="s">
        <v>171</v>
      </c>
      <c r="E568" s="11" t="str">
        <f>+HYPERLINK("http://trademark.i-assist.jp/data/china/image_1900th/78627128.pdf", "78627128")</f>
        <v>78627128</v>
      </c>
      <c r="F568" s="10" t="s">
        <v>1740</v>
      </c>
      <c r="G568" s="10" t="s">
        <v>1741</v>
      </c>
      <c r="H568" s="10" t="s">
        <v>1742</v>
      </c>
      <c r="I568" s="10" t="s">
        <v>1700</v>
      </c>
    </row>
    <row r="569" spans="1:9" x14ac:dyDescent="0.15">
      <c r="A569" s="9">
        <v>568</v>
      </c>
      <c r="B569" s="10" t="s">
        <v>9</v>
      </c>
      <c r="C569" s="10" t="s">
        <v>170</v>
      </c>
      <c r="D569" s="10" t="s">
        <v>171</v>
      </c>
      <c r="E569" s="11" t="str">
        <f>+HYPERLINK("http://trademark.i-assist.jp/data/china/image_1900th/78627336.pdf", "78627336")</f>
        <v>78627336</v>
      </c>
      <c r="F569" s="10" t="s">
        <v>1743</v>
      </c>
      <c r="G569" s="10" t="s">
        <v>1744</v>
      </c>
      <c r="H569" s="10" t="s">
        <v>1745</v>
      </c>
      <c r="I569" s="10" t="s">
        <v>1700</v>
      </c>
    </row>
    <row r="570" spans="1:9" x14ac:dyDescent="0.15">
      <c r="A570" s="9">
        <v>569</v>
      </c>
      <c r="B570" s="10" t="s">
        <v>9</v>
      </c>
      <c r="C570" s="10" t="s">
        <v>170</v>
      </c>
      <c r="D570" s="10" t="s">
        <v>171</v>
      </c>
      <c r="E570" s="11" t="str">
        <f>+HYPERLINK("http://trademark.i-assist.jp/data/china/image_1900th/78627448.pdf", "78627448")</f>
        <v>78627448</v>
      </c>
      <c r="F570" s="10" t="s">
        <v>1746</v>
      </c>
      <c r="G570" s="10" t="s">
        <v>1747</v>
      </c>
      <c r="H570" s="10" t="s">
        <v>1748</v>
      </c>
      <c r="I570" s="10" t="s">
        <v>1700</v>
      </c>
    </row>
    <row r="571" spans="1:9" x14ac:dyDescent="0.15">
      <c r="A571" s="9">
        <v>570</v>
      </c>
      <c r="B571" s="10" t="s">
        <v>9</v>
      </c>
      <c r="C571" s="10" t="s">
        <v>170</v>
      </c>
      <c r="D571" s="10" t="s">
        <v>171</v>
      </c>
      <c r="E571" s="11" t="str">
        <f>+HYPERLINK("http://trademark.i-assist.jp/data/china/image_1900th/78627490.pdf", "78627490")</f>
        <v>78627490</v>
      </c>
      <c r="F571" s="10" t="s">
        <v>1749</v>
      </c>
      <c r="G571" s="10" t="s">
        <v>1750</v>
      </c>
      <c r="H571" s="10" t="s">
        <v>1751</v>
      </c>
      <c r="I571" s="10" t="s">
        <v>1700</v>
      </c>
    </row>
    <row r="572" spans="1:9" x14ac:dyDescent="0.15">
      <c r="A572" s="9">
        <v>571</v>
      </c>
      <c r="B572" s="10" t="s">
        <v>9</v>
      </c>
      <c r="C572" s="10" t="s">
        <v>170</v>
      </c>
      <c r="D572" s="10" t="s">
        <v>171</v>
      </c>
      <c r="E572" s="11" t="str">
        <f>+HYPERLINK("http://trademark.i-assist.jp/data/china/image_1900th/78627553.pdf", "78627553")</f>
        <v>78627553</v>
      </c>
      <c r="F572" s="10" t="s">
        <v>1752</v>
      </c>
      <c r="G572" s="10" t="s">
        <v>1753</v>
      </c>
      <c r="H572" s="10" t="s">
        <v>1754</v>
      </c>
      <c r="I572" s="10" t="s">
        <v>1700</v>
      </c>
    </row>
    <row r="573" spans="1:9" x14ac:dyDescent="0.15">
      <c r="A573" s="9">
        <v>572</v>
      </c>
      <c r="B573" s="10" t="s">
        <v>9</v>
      </c>
      <c r="C573" s="10" t="s">
        <v>170</v>
      </c>
      <c r="D573" s="10" t="s">
        <v>171</v>
      </c>
      <c r="E573" s="11" t="str">
        <f>+HYPERLINK("http://trademark.i-assist.jp/data/china/image_1900th/78627632.pdf", "78627632")</f>
        <v>78627632</v>
      </c>
      <c r="F573" s="10" t="s">
        <v>1755</v>
      </c>
      <c r="G573" s="10" t="s">
        <v>1756</v>
      </c>
      <c r="H573" s="10" t="s">
        <v>1757</v>
      </c>
      <c r="I573" s="10" t="s">
        <v>1700</v>
      </c>
    </row>
    <row r="574" spans="1:9" x14ac:dyDescent="0.15">
      <c r="A574" s="9">
        <v>573</v>
      </c>
      <c r="B574" s="10" t="s">
        <v>9</v>
      </c>
      <c r="C574" s="10" t="s">
        <v>170</v>
      </c>
      <c r="D574" s="10" t="s">
        <v>171</v>
      </c>
      <c r="E574" s="11" t="str">
        <f>+HYPERLINK("http://trademark.i-assist.jp/data/china/image_1900th/78627633.pdf", "78627633")</f>
        <v>78627633</v>
      </c>
      <c r="F574" s="10" t="s">
        <v>1758</v>
      </c>
      <c r="G574" s="10" t="s">
        <v>1759</v>
      </c>
      <c r="H574" s="10" t="s">
        <v>1760</v>
      </c>
      <c r="I574" s="10" t="s">
        <v>1700</v>
      </c>
    </row>
    <row r="575" spans="1:9" x14ac:dyDescent="0.15">
      <c r="A575" s="9">
        <v>574</v>
      </c>
      <c r="B575" s="10" t="s">
        <v>9</v>
      </c>
      <c r="C575" s="10" t="s">
        <v>170</v>
      </c>
      <c r="D575" s="10" t="s">
        <v>171</v>
      </c>
      <c r="E575" s="11" t="str">
        <f>+HYPERLINK("http://trademark.i-assist.jp/data/china/image_1900th/78627642.pdf", "78627642")</f>
        <v>78627642</v>
      </c>
      <c r="F575" s="10" t="s">
        <v>1761</v>
      </c>
      <c r="G575" s="10" t="s">
        <v>1759</v>
      </c>
      <c r="H575" s="10" t="s">
        <v>1762</v>
      </c>
      <c r="I575" s="10" t="s">
        <v>1700</v>
      </c>
    </row>
    <row r="576" spans="1:9" x14ac:dyDescent="0.15">
      <c r="A576" s="9">
        <v>575</v>
      </c>
      <c r="B576" s="10" t="s">
        <v>9</v>
      </c>
      <c r="C576" s="10" t="s">
        <v>170</v>
      </c>
      <c r="D576" s="10" t="s">
        <v>171</v>
      </c>
      <c r="E576" s="11" t="str">
        <f>+HYPERLINK("http://trademark.i-assist.jp/data/china/image_1900th/78627658.pdf", "78627658")</f>
        <v>78627658</v>
      </c>
      <c r="F576" s="10" t="s">
        <v>1763</v>
      </c>
      <c r="G576" s="10" t="s">
        <v>1764</v>
      </c>
      <c r="H576" s="10" t="s">
        <v>1765</v>
      </c>
      <c r="I576" s="10" t="s">
        <v>1700</v>
      </c>
    </row>
    <row r="577" spans="1:9" x14ac:dyDescent="0.15">
      <c r="A577" s="9">
        <v>576</v>
      </c>
      <c r="B577" s="10" t="s">
        <v>9</v>
      </c>
      <c r="C577" s="10" t="s">
        <v>170</v>
      </c>
      <c r="D577" s="10" t="s">
        <v>171</v>
      </c>
      <c r="E577" s="11" t="str">
        <f>+HYPERLINK("http://trademark.i-assist.jp/data/china/image_1900th/78627679.pdf", "78627679")</f>
        <v>78627679</v>
      </c>
      <c r="F577" s="10" t="s">
        <v>1766</v>
      </c>
      <c r="G577" s="10" t="s">
        <v>1767</v>
      </c>
      <c r="H577" s="10" t="s">
        <v>1768</v>
      </c>
      <c r="I577" s="10" t="s">
        <v>1700</v>
      </c>
    </row>
    <row r="578" spans="1:9" x14ac:dyDescent="0.15">
      <c r="A578" s="9">
        <v>577</v>
      </c>
      <c r="B578" s="10" t="s">
        <v>9</v>
      </c>
      <c r="C578" s="10" t="s">
        <v>170</v>
      </c>
      <c r="D578" s="10" t="s">
        <v>171</v>
      </c>
      <c r="E578" s="11" t="str">
        <f>+HYPERLINK("http://trademark.i-assist.jp/data/china/image_1900th/78627761.pdf", "78627761")</f>
        <v>78627761</v>
      </c>
      <c r="F578" s="10" t="s">
        <v>1769</v>
      </c>
      <c r="G578" s="10" t="s">
        <v>1770</v>
      </c>
      <c r="H578" s="10" t="s">
        <v>1771</v>
      </c>
      <c r="I578" s="10" t="s">
        <v>1700</v>
      </c>
    </row>
    <row r="579" spans="1:9" x14ac:dyDescent="0.15">
      <c r="A579" s="9">
        <v>578</v>
      </c>
      <c r="B579" s="10" t="s">
        <v>9</v>
      </c>
      <c r="C579" s="10" t="s">
        <v>170</v>
      </c>
      <c r="D579" s="10" t="s">
        <v>171</v>
      </c>
      <c r="E579" s="11" t="str">
        <f>+HYPERLINK("http://trademark.i-assist.jp/data/china/image_1900th/78628136.pdf", "78628136")</f>
        <v>78628136</v>
      </c>
      <c r="F579" s="10" t="s">
        <v>1772</v>
      </c>
      <c r="G579" s="10" t="s">
        <v>1773</v>
      </c>
      <c r="H579" s="10" t="s">
        <v>1774</v>
      </c>
      <c r="I579" s="10" t="s">
        <v>1700</v>
      </c>
    </row>
    <row r="580" spans="1:9" x14ac:dyDescent="0.15">
      <c r="A580" s="9">
        <v>579</v>
      </c>
      <c r="B580" s="10" t="s">
        <v>9</v>
      </c>
      <c r="C580" s="10" t="s">
        <v>170</v>
      </c>
      <c r="D580" s="10" t="s">
        <v>171</v>
      </c>
      <c r="E580" s="11" t="str">
        <f>+HYPERLINK("http://trademark.i-assist.jp/data/china/image_1900th/78628454.pdf", "78628454")</f>
        <v>78628454</v>
      </c>
      <c r="F580" s="10" t="s">
        <v>1775</v>
      </c>
      <c r="G580" s="10" t="s">
        <v>1776</v>
      </c>
      <c r="H580" s="10" t="s">
        <v>1777</v>
      </c>
      <c r="I580" s="10" t="s">
        <v>1700</v>
      </c>
    </row>
    <row r="581" spans="1:9" x14ac:dyDescent="0.15">
      <c r="A581" s="9">
        <v>580</v>
      </c>
      <c r="B581" s="10" t="s">
        <v>9</v>
      </c>
      <c r="C581" s="10" t="s">
        <v>170</v>
      </c>
      <c r="D581" s="10" t="s">
        <v>171</v>
      </c>
      <c r="E581" s="11" t="str">
        <f>+HYPERLINK("http://trademark.i-assist.jp/data/china/image_1900th/78628646.pdf", "78628646")</f>
        <v>78628646</v>
      </c>
      <c r="F581" s="10" t="s">
        <v>1778</v>
      </c>
      <c r="G581" s="10" t="s">
        <v>1779</v>
      </c>
      <c r="H581" s="10" t="s">
        <v>1780</v>
      </c>
      <c r="I581" s="10" t="s">
        <v>1700</v>
      </c>
    </row>
    <row r="582" spans="1:9" x14ac:dyDescent="0.15">
      <c r="A582" s="9">
        <v>581</v>
      </c>
      <c r="B582" s="10" t="s">
        <v>9</v>
      </c>
      <c r="C582" s="10" t="s">
        <v>170</v>
      </c>
      <c r="D582" s="10" t="s">
        <v>171</v>
      </c>
      <c r="E582" s="11" t="str">
        <f>+HYPERLINK("http://trademark.i-assist.jp/data/china/image_1900th/78628651.pdf", "78628651")</f>
        <v>78628651</v>
      </c>
      <c r="F582" s="10" t="s">
        <v>1781</v>
      </c>
      <c r="G582" s="10" t="s">
        <v>1756</v>
      </c>
      <c r="H582" s="10" t="s">
        <v>1782</v>
      </c>
      <c r="I582" s="10" t="s">
        <v>1700</v>
      </c>
    </row>
    <row r="583" spans="1:9" x14ac:dyDescent="0.15">
      <c r="A583" s="9">
        <v>582</v>
      </c>
      <c r="B583" s="10" t="s">
        <v>9</v>
      </c>
      <c r="C583" s="10" t="s">
        <v>170</v>
      </c>
      <c r="D583" s="10" t="s">
        <v>171</v>
      </c>
      <c r="E583" s="11" t="str">
        <f>+HYPERLINK("http://trademark.i-assist.jp/data/china/image_1900th/78628968.pdf", "78628968")</f>
        <v>78628968</v>
      </c>
      <c r="F583" s="10" t="s">
        <v>1783</v>
      </c>
      <c r="G583" s="10" t="s">
        <v>97</v>
      </c>
      <c r="H583" s="10" t="s">
        <v>1784</v>
      </c>
      <c r="I583" s="10" t="s">
        <v>1700</v>
      </c>
    </row>
    <row r="584" spans="1:9" x14ac:dyDescent="0.15">
      <c r="A584" s="9">
        <v>583</v>
      </c>
      <c r="B584" s="10" t="s">
        <v>9</v>
      </c>
      <c r="C584" s="10" t="s">
        <v>170</v>
      </c>
      <c r="D584" s="10" t="s">
        <v>171</v>
      </c>
      <c r="E584" s="11" t="str">
        <f>+HYPERLINK("http://trademark.i-assist.jp/data/china/image_1900th/78629008.pdf", "78629008")</f>
        <v>78629008</v>
      </c>
      <c r="F584" s="10" t="s">
        <v>1785</v>
      </c>
      <c r="G584" s="10" t="s">
        <v>1786</v>
      </c>
      <c r="H584" s="10" t="s">
        <v>1787</v>
      </c>
      <c r="I584" s="10" t="s">
        <v>1700</v>
      </c>
    </row>
    <row r="585" spans="1:9" x14ac:dyDescent="0.15">
      <c r="A585" s="9">
        <v>584</v>
      </c>
      <c r="B585" s="10" t="s">
        <v>9</v>
      </c>
      <c r="C585" s="10" t="s">
        <v>170</v>
      </c>
      <c r="D585" s="10" t="s">
        <v>171</v>
      </c>
      <c r="E585" s="11" t="str">
        <f>+HYPERLINK("http://trademark.i-assist.jp/data/china/image_1900th/78629164.pdf", "78629164")</f>
        <v>78629164</v>
      </c>
      <c r="F585" s="10" t="s">
        <v>1788</v>
      </c>
      <c r="G585" s="10" t="s">
        <v>1789</v>
      </c>
      <c r="H585" s="10" t="s">
        <v>89</v>
      </c>
      <c r="I585" s="10" t="s">
        <v>1700</v>
      </c>
    </row>
    <row r="586" spans="1:9" x14ac:dyDescent="0.15">
      <c r="A586" s="9">
        <v>585</v>
      </c>
      <c r="B586" s="10" t="s">
        <v>9</v>
      </c>
      <c r="C586" s="10" t="s">
        <v>170</v>
      </c>
      <c r="D586" s="10" t="s">
        <v>171</v>
      </c>
      <c r="E586" s="11" t="str">
        <f>+HYPERLINK("http://trademark.i-assist.jp/data/china/image_1900th/78629520.pdf", "78629520")</f>
        <v>78629520</v>
      </c>
      <c r="F586" s="10" t="s">
        <v>1790</v>
      </c>
      <c r="G586" s="10" t="s">
        <v>1791</v>
      </c>
      <c r="H586" s="10" t="s">
        <v>1792</v>
      </c>
      <c r="I586" s="10" t="s">
        <v>1700</v>
      </c>
    </row>
    <row r="587" spans="1:9" x14ac:dyDescent="0.15">
      <c r="A587" s="9">
        <v>586</v>
      </c>
      <c r="B587" s="10" t="s">
        <v>9</v>
      </c>
      <c r="C587" s="10" t="s">
        <v>170</v>
      </c>
      <c r="D587" s="10" t="s">
        <v>171</v>
      </c>
      <c r="E587" s="11" t="str">
        <f>+HYPERLINK("http://trademark.i-assist.jp/data/china/image_1900th/78629548.pdf", "78629548")</f>
        <v>78629548</v>
      </c>
      <c r="F587" s="10" t="s">
        <v>1793</v>
      </c>
      <c r="G587" s="10" t="s">
        <v>1794</v>
      </c>
      <c r="H587" s="10" t="s">
        <v>1795</v>
      </c>
      <c r="I587" s="10" t="s">
        <v>1700</v>
      </c>
    </row>
    <row r="588" spans="1:9" x14ac:dyDescent="0.15">
      <c r="A588" s="9">
        <v>587</v>
      </c>
      <c r="B588" s="10" t="s">
        <v>9</v>
      </c>
      <c r="C588" s="10" t="s">
        <v>170</v>
      </c>
      <c r="D588" s="10" t="s">
        <v>171</v>
      </c>
      <c r="E588" s="11" t="str">
        <f>+HYPERLINK("http://trademark.i-assist.jp/data/china/image_1900th/78629575.pdf", "78629575")</f>
        <v>78629575</v>
      </c>
      <c r="F588" s="10" t="s">
        <v>1796</v>
      </c>
      <c r="G588" s="10" t="s">
        <v>1797</v>
      </c>
      <c r="H588" s="10" t="s">
        <v>1798</v>
      </c>
      <c r="I588" s="10" t="s">
        <v>1700</v>
      </c>
    </row>
    <row r="589" spans="1:9" x14ac:dyDescent="0.15">
      <c r="A589" s="9">
        <v>588</v>
      </c>
      <c r="B589" s="10" t="s">
        <v>9</v>
      </c>
      <c r="C589" s="10" t="s">
        <v>170</v>
      </c>
      <c r="D589" s="10" t="s">
        <v>171</v>
      </c>
      <c r="E589" s="11" t="str">
        <f>+HYPERLINK("http://trademark.i-assist.jp/data/china/image_1900th/78629729.pdf", "78629729")</f>
        <v>78629729</v>
      </c>
      <c r="F589" s="10" t="s">
        <v>1799</v>
      </c>
      <c r="G589" s="10" t="s">
        <v>1800</v>
      </c>
      <c r="H589" s="10" t="s">
        <v>1801</v>
      </c>
      <c r="I589" s="10" t="s">
        <v>1700</v>
      </c>
    </row>
    <row r="590" spans="1:9" x14ac:dyDescent="0.15">
      <c r="A590" s="9">
        <v>589</v>
      </c>
      <c r="B590" s="10" t="s">
        <v>9</v>
      </c>
      <c r="C590" s="10" t="s">
        <v>170</v>
      </c>
      <c r="D590" s="10" t="s">
        <v>171</v>
      </c>
      <c r="E590" s="11" t="str">
        <f>+HYPERLINK("http://trademark.i-assist.jp/data/china/image_1900th/78629965.pdf", "78629965")</f>
        <v>78629965</v>
      </c>
      <c r="F590" s="10" t="s">
        <v>1802</v>
      </c>
      <c r="G590" s="10" t="s">
        <v>1803</v>
      </c>
      <c r="H590" s="10" t="s">
        <v>1804</v>
      </c>
      <c r="I590" s="10" t="s">
        <v>1700</v>
      </c>
    </row>
    <row r="591" spans="1:9" x14ac:dyDescent="0.15">
      <c r="A591" s="9">
        <v>590</v>
      </c>
      <c r="B591" s="10" t="s">
        <v>9</v>
      </c>
      <c r="C591" s="10" t="s">
        <v>170</v>
      </c>
      <c r="D591" s="10" t="s">
        <v>171</v>
      </c>
      <c r="E591" s="11" t="str">
        <f>+HYPERLINK("http://trademark.i-assist.jp/data/china/image_1900th/78630180.pdf", "78630180")</f>
        <v>78630180</v>
      </c>
      <c r="F591" s="10" t="s">
        <v>1805</v>
      </c>
      <c r="G591" s="10" t="s">
        <v>1806</v>
      </c>
      <c r="H591" s="10" t="s">
        <v>1807</v>
      </c>
      <c r="I591" s="10" t="s">
        <v>1700</v>
      </c>
    </row>
    <row r="592" spans="1:9" x14ac:dyDescent="0.15">
      <c r="A592" s="9">
        <v>591</v>
      </c>
      <c r="B592" s="10" t="s">
        <v>9</v>
      </c>
      <c r="C592" s="10" t="s">
        <v>170</v>
      </c>
      <c r="D592" s="10" t="s">
        <v>171</v>
      </c>
      <c r="E592" s="11" t="str">
        <f>+HYPERLINK("http://trademark.i-assist.jp/data/china/image_1900th/78630229.pdf", "78630229")</f>
        <v>78630229</v>
      </c>
      <c r="F592" s="10" t="s">
        <v>1808</v>
      </c>
      <c r="G592" s="10" t="s">
        <v>1809</v>
      </c>
      <c r="H592" s="10" t="s">
        <v>1810</v>
      </c>
      <c r="I592" s="10" t="s">
        <v>1700</v>
      </c>
    </row>
    <row r="593" spans="1:9" x14ac:dyDescent="0.15">
      <c r="A593" s="9">
        <v>592</v>
      </c>
      <c r="B593" s="10" t="s">
        <v>9</v>
      </c>
      <c r="C593" s="10" t="s">
        <v>170</v>
      </c>
      <c r="D593" s="10" t="s">
        <v>171</v>
      </c>
      <c r="E593" s="11" t="str">
        <f>+HYPERLINK("http://trademark.i-assist.jp/data/china/image_1900th/78630980.pdf", "78630980")</f>
        <v>78630980</v>
      </c>
      <c r="F593" s="10" t="s">
        <v>1811</v>
      </c>
      <c r="G593" s="10" t="s">
        <v>1812</v>
      </c>
      <c r="H593" s="10" t="s">
        <v>1813</v>
      </c>
      <c r="I593" s="10" t="s">
        <v>1700</v>
      </c>
    </row>
    <row r="594" spans="1:9" x14ac:dyDescent="0.15">
      <c r="A594" s="9">
        <v>593</v>
      </c>
      <c r="B594" s="10" t="s">
        <v>9</v>
      </c>
      <c r="C594" s="10" t="s">
        <v>170</v>
      </c>
      <c r="D594" s="10" t="s">
        <v>171</v>
      </c>
      <c r="E594" s="11" t="str">
        <f>+HYPERLINK("http://trademark.i-assist.jp/data/china/image_1900th/78631004.pdf", "78631004")</f>
        <v>78631004</v>
      </c>
      <c r="F594" s="10" t="s">
        <v>1814</v>
      </c>
      <c r="G594" s="10" t="s">
        <v>1815</v>
      </c>
      <c r="H594" s="10" t="s">
        <v>1816</v>
      </c>
      <c r="I594" s="10" t="s">
        <v>1700</v>
      </c>
    </row>
    <row r="595" spans="1:9" x14ac:dyDescent="0.15">
      <c r="A595" s="9">
        <v>594</v>
      </c>
      <c r="B595" s="10" t="s">
        <v>9</v>
      </c>
      <c r="C595" s="10" t="s">
        <v>170</v>
      </c>
      <c r="D595" s="10" t="s">
        <v>171</v>
      </c>
      <c r="E595" s="11" t="str">
        <f>+HYPERLINK("http://trademark.i-assist.jp/data/china/image_1900th/78631181.pdf", "78631181")</f>
        <v>78631181</v>
      </c>
      <c r="F595" s="10" t="s">
        <v>1817</v>
      </c>
      <c r="G595" s="10" t="s">
        <v>1818</v>
      </c>
      <c r="H595" s="10" t="s">
        <v>1819</v>
      </c>
      <c r="I595" s="10" t="s">
        <v>1700</v>
      </c>
    </row>
    <row r="596" spans="1:9" x14ac:dyDescent="0.15">
      <c r="A596" s="9">
        <v>595</v>
      </c>
      <c r="B596" s="10" t="s">
        <v>9</v>
      </c>
      <c r="C596" s="10" t="s">
        <v>170</v>
      </c>
      <c r="D596" s="10" t="s">
        <v>171</v>
      </c>
      <c r="E596" s="11" t="str">
        <f>+HYPERLINK("http://trademark.i-assist.jp/data/china/image_1900th/78631561.pdf", "78631561")</f>
        <v>78631561</v>
      </c>
      <c r="F596" s="10" t="s">
        <v>1820</v>
      </c>
      <c r="G596" s="10" t="s">
        <v>1821</v>
      </c>
      <c r="H596" s="10" t="s">
        <v>1822</v>
      </c>
      <c r="I596" s="10" t="s">
        <v>1700</v>
      </c>
    </row>
    <row r="597" spans="1:9" x14ac:dyDescent="0.15">
      <c r="A597" s="9">
        <v>596</v>
      </c>
      <c r="B597" s="10" t="s">
        <v>9</v>
      </c>
      <c r="C597" s="10" t="s">
        <v>170</v>
      </c>
      <c r="D597" s="10" t="s">
        <v>171</v>
      </c>
      <c r="E597" s="11" t="str">
        <f>+HYPERLINK("http://trademark.i-assist.jp/data/china/image_1900th/78631852.pdf", "78631852")</f>
        <v>78631852</v>
      </c>
      <c r="F597" s="10" t="s">
        <v>1823</v>
      </c>
      <c r="G597" s="10" t="s">
        <v>1824</v>
      </c>
      <c r="H597" s="10" t="s">
        <v>1825</v>
      </c>
      <c r="I597" s="10" t="s">
        <v>1700</v>
      </c>
    </row>
    <row r="598" spans="1:9" x14ac:dyDescent="0.15">
      <c r="A598" s="9">
        <v>597</v>
      </c>
      <c r="B598" s="10" t="s">
        <v>9</v>
      </c>
      <c r="C598" s="10" t="s">
        <v>170</v>
      </c>
      <c r="D598" s="10" t="s">
        <v>171</v>
      </c>
      <c r="E598" s="11" t="str">
        <f>+HYPERLINK("http://trademark.i-assist.jp/data/china/image_1900th/78631882.pdf", "78631882")</f>
        <v>78631882</v>
      </c>
      <c r="F598" s="10" t="s">
        <v>1826</v>
      </c>
      <c r="G598" s="10" t="s">
        <v>1827</v>
      </c>
      <c r="H598" s="10" t="s">
        <v>1828</v>
      </c>
      <c r="I598" s="10" t="s">
        <v>1700</v>
      </c>
    </row>
    <row r="599" spans="1:9" x14ac:dyDescent="0.15">
      <c r="A599" s="9">
        <v>598</v>
      </c>
      <c r="B599" s="10" t="s">
        <v>9</v>
      </c>
      <c r="C599" s="10" t="s">
        <v>170</v>
      </c>
      <c r="D599" s="10" t="s">
        <v>171</v>
      </c>
      <c r="E599" s="11" t="str">
        <f>+HYPERLINK("http://trademark.i-assist.jp/data/china/image_1900th/78631928.pdf", "78631928")</f>
        <v>78631928</v>
      </c>
      <c r="F599" s="10" t="s">
        <v>1829</v>
      </c>
      <c r="G599" s="10" t="s">
        <v>1830</v>
      </c>
      <c r="H599" s="10" t="s">
        <v>1831</v>
      </c>
      <c r="I599" s="10" t="s">
        <v>1700</v>
      </c>
    </row>
    <row r="600" spans="1:9" x14ac:dyDescent="0.15">
      <c r="A600" s="9">
        <v>599</v>
      </c>
      <c r="B600" s="10" t="s">
        <v>9</v>
      </c>
      <c r="C600" s="10" t="s">
        <v>170</v>
      </c>
      <c r="D600" s="10" t="s">
        <v>171</v>
      </c>
      <c r="E600" s="11" t="str">
        <f>+HYPERLINK("http://trademark.i-assist.jp/data/china/image_1900th/78631939.pdf", "78631939")</f>
        <v>78631939</v>
      </c>
      <c r="F600" s="10" t="s">
        <v>15</v>
      </c>
      <c r="G600" s="10" t="s">
        <v>1832</v>
      </c>
      <c r="H600" s="10" t="s">
        <v>1833</v>
      </c>
      <c r="I600" s="10" t="s">
        <v>1700</v>
      </c>
    </row>
    <row r="601" spans="1:9" x14ac:dyDescent="0.15">
      <c r="A601" s="9">
        <v>600</v>
      </c>
      <c r="B601" s="10" t="s">
        <v>9</v>
      </c>
      <c r="C601" s="10" t="s">
        <v>170</v>
      </c>
      <c r="D601" s="10" t="s">
        <v>171</v>
      </c>
      <c r="E601" s="11" t="str">
        <f>+HYPERLINK("http://trademark.i-assist.jp/data/china/image_1900th/78632068.pdf", "78632068")</f>
        <v>78632068</v>
      </c>
      <c r="F601" s="10" t="s">
        <v>1834</v>
      </c>
      <c r="G601" s="10" t="s">
        <v>1835</v>
      </c>
      <c r="H601" s="10" t="s">
        <v>1836</v>
      </c>
      <c r="I601" s="10" t="s">
        <v>1700</v>
      </c>
    </row>
    <row r="602" spans="1:9" x14ac:dyDescent="0.15">
      <c r="A602" s="9">
        <v>601</v>
      </c>
      <c r="B602" s="10" t="s">
        <v>9</v>
      </c>
      <c r="C602" s="10" t="s">
        <v>170</v>
      </c>
      <c r="D602" s="10" t="s">
        <v>171</v>
      </c>
      <c r="E602" s="11" t="str">
        <f>+HYPERLINK("http://trademark.i-assist.jp/data/china/image_1900th/78632277.pdf", "78632277")</f>
        <v>78632277</v>
      </c>
      <c r="F602" s="10" t="s">
        <v>1837</v>
      </c>
      <c r="G602" s="10" t="s">
        <v>1838</v>
      </c>
      <c r="H602" s="10" t="s">
        <v>1839</v>
      </c>
      <c r="I602" s="10" t="s">
        <v>1700</v>
      </c>
    </row>
    <row r="603" spans="1:9" x14ac:dyDescent="0.15">
      <c r="A603" s="9">
        <v>602</v>
      </c>
      <c r="B603" s="10" t="s">
        <v>9</v>
      </c>
      <c r="C603" s="10" t="s">
        <v>170</v>
      </c>
      <c r="D603" s="10" t="s">
        <v>171</v>
      </c>
      <c r="E603" s="11" t="str">
        <f>+HYPERLINK("http://trademark.i-assist.jp/data/china/image_1900th/78632361.pdf", "78632361")</f>
        <v>78632361</v>
      </c>
      <c r="F603" s="10" t="s">
        <v>1840</v>
      </c>
      <c r="G603" s="10" t="s">
        <v>1841</v>
      </c>
      <c r="H603" s="10" t="s">
        <v>1842</v>
      </c>
      <c r="I603" s="10" t="s">
        <v>1700</v>
      </c>
    </row>
    <row r="604" spans="1:9" x14ac:dyDescent="0.15">
      <c r="A604" s="9">
        <v>603</v>
      </c>
      <c r="B604" s="10" t="s">
        <v>9</v>
      </c>
      <c r="C604" s="10" t="s">
        <v>170</v>
      </c>
      <c r="D604" s="10" t="s">
        <v>171</v>
      </c>
      <c r="E604" s="11" t="str">
        <f>+HYPERLINK("http://trademark.i-assist.jp/data/china/image_1900th/78632480.pdf", "78632480")</f>
        <v>78632480</v>
      </c>
      <c r="F604" s="10" t="s">
        <v>1843</v>
      </c>
      <c r="G604" s="10" t="s">
        <v>1844</v>
      </c>
      <c r="H604" s="10" t="s">
        <v>1845</v>
      </c>
      <c r="I604" s="10" t="s">
        <v>1700</v>
      </c>
    </row>
    <row r="605" spans="1:9" x14ac:dyDescent="0.15">
      <c r="A605" s="9">
        <v>604</v>
      </c>
      <c r="B605" s="10" t="s">
        <v>9</v>
      </c>
      <c r="C605" s="10" t="s">
        <v>170</v>
      </c>
      <c r="D605" s="10" t="s">
        <v>171</v>
      </c>
      <c r="E605" s="11" t="str">
        <f>+HYPERLINK("http://trademark.i-assist.jp/data/china/image_1900th/78632570.pdf", "78632570")</f>
        <v>78632570</v>
      </c>
      <c r="F605" s="10" t="s">
        <v>1846</v>
      </c>
      <c r="G605" s="10" t="s">
        <v>1847</v>
      </c>
      <c r="H605" s="10" t="s">
        <v>1848</v>
      </c>
      <c r="I605" s="10" t="s">
        <v>1700</v>
      </c>
    </row>
    <row r="606" spans="1:9" x14ac:dyDescent="0.15">
      <c r="A606" s="9">
        <v>605</v>
      </c>
      <c r="B606" s="10" t="s">
        <v>9</v>
      </c>
      <c r="C606" s="10" t="s">
        <v>170</v>
      </c>
      <c r="D606" s="10" t="s">
        <v>171</v>
      </c>
      <c r="E606" s="11" t="str">
        <f>+HYPERLINK("http://trademark.i-assist.jp/data/china/image_1900th/78633072.pdf", "78633072")</f>
        <v>78633072</v>
      </c>
      <c r="F606" s="10" t="s">
        <v>1849</v>
      </c>
      <c r="G606" s="10" t="s">
        <v>1850</v>
      </c>
      <c r="H606" s="10" t="s">
        <v>1851</v>
      </c>
      <c r="I606" s="10" t="s">
        <v>1700</v>
      </c>
    </row>
    <row r="607" spans="1:9" x14ac:dyDescent="0.15">
      <c r="A607" s="9">
        <v>606</v>
      </c>
      <c r="B607" s="10" t="s">
        <v>9</v>
      </c>
      <c r="C607" s="10" t="s">
        <v>170</v>
      </c>
      <c r="D607" s="10" t="s">
        <v>171</v>
      </c>
      <c r="E607" s="11" t="str">
        <f>+HYPERLINK("http://trademark.i-assist.jp/data/china/image_1900th/78633243.pdf", "78633243")</f>
        <v>78633243</v>
      </c>
      <c r="F607" s="10" t="s">
        <v>1852</v>
      </c>
      <c r="G607" s="10" t="s">
        <v>1853</v>
      </c>
      <c r="H607" s="10" t="s">
        <v>1854</v>
      </c>
      <c r="I607" s="10" t="s">
        <v>1700</v>
      </c>
    </row>
    <row r="608" spans="1:9" x14ac:dyDescent="0.15">
      <c r="A608" s="9">
        <v>607</v>
      </c>
      <c r="B608" s="10" t="s">
        <v>9</v>
      </c>
      <c r="C608" s="10" t="s">
        <v>170</v>
      </c>
      <c r="D608" s="10" t="s">
        <v>171</v>
      </c>
      <c r="E608" s="11" t="str">
        <f>+HYPERLINK("http://trademark.i-assist.jp/data/china/image_1900th/78633329.pdf", "78633329")</f>
        <v>78633329</v>
      </c>
      <c r="F608" s="10" t="s">
        <v>1855</v>
      </c>
      <c r="G608" s="10" t="s">
        <v>1856</v>
      </c>
      <c r="H608" s="10" t="s">
        <v>1857</v>
      </c>
      <c r="I608" s="10" t="s">
        <v>1700</v>
      </c>
    </row>
    <row r="609" spans="1:9" x14ac:dyDescent="0.15">
      <c r="A609" s="9">
        <v>608</v>
      </c>
      <c r="B609" s="10" t="s">
        <v>9</v>
      </c>
      <c r="C609" s="10" t="s">
        <v>170</v>
      </c>
      <c r="D609" s="10" t="s">
        <v>171</v>
      </c>
      <c r="E609" s="11" t="str">
        <f>+HYPERLINK("http://trademark.i-assist.jp/data/china/image_1900th/78633374.pdf", "78633374")</f>
        <v>78633374</v>
      </c>
      <c r="F609" s="10" t="s">
        <v>1858</v>
      </c>
      <c r="G609" s="10" t="s">
        <v>1859</v>
      </c>
      <c r="H609" s="10" t="s">
        <v>1860</v>
      </c>
      <c r="I609" s="10" t="s">
        <v>1700</v>
      </c>
    </row>
    <row r="610" spans="1:9" x14ac:dyDescent="0.15">
      <c r="A610" s="9">
        <v>609</v>
      </c>
      <c r="B610" s="10" t="s">
        <v>9</v>
      </c>
      <c r="C610" s="10" t="s">
        <v>170</v>
      </c>
      <c r="D610" s="10" t="s">
        <v>171</v>
      </c>
      <c r="E610" s="11" t="str">
        <f>+HYPERLINK("http://trademark.i-assist.jp/data/china/image_1900th/78633503.pdf", "78633503")</f>
        <v>78633503</v>
      </c>
      <c r="F610" s="10" t="s">
        <v>1861</v>
      </c>
      <c r="G610" s="10" t="s">
        <v>1862</v>
      </c>
      <c r="H610" s="10" t="s">
        <v>1863</v>
      </c>
      <c r="I610" s="10" t="s">
        <v>1700</v>
      </c>
    </row>
    <row r="611" spans="1:9" x14ac:dyDescent="0.15">
      <c r="A611" s="9">
        <v>610</v>
      </c>
      <c r="B611" s="10" t="s">
        <v>9</v>
      </c>
      <c r="C611" s="10" t="s">
        <v>170</v>
      </c>
      <c r="D611" s="10" t="s">
        <v>171</v>
      </c>
      <c r="E611" s="11" t="str">
        <f>+HYPERLINK("http://trademark.i-assist.jp/data/china/image_1900th/78633575.pdf", "78633575")</f>
        <v>78633575</v>
      </c>
      <c r="F611" s="10" t="s">
        <v>1864</v>
      </c>
      <c r="G611" s="10" t="s">
        <v>130</v>
      </c>
      <c r="H611" s="10" t="s">
        <v>1865</v>
      </c>
      <c r="I611" s="10" t="s">
        <v>1700</v>
      </c>
    </row>
    <row r="612" spans="1:9" x14ac:dyDescent="0.15">
      <c r="A612" s="9">
        <v>611</v>
      </c>
      <c r="B612" s="10" t="s">
        <v>9</v>
      </c>
      <c r="C612" s="10" t="s">
        <v>170</v>
      </c>
      <c r="D612" s="10" t="s">
        <v>171</v>
      </c>
      <c r="E612" s="11" t="str">
        <f>+HYPERLINK("http://trademark.i-assist.jp/data/china/image_1900th/78633717.pdf", "78633717")</f>
        <v>78633717</v>
      </c>
      <c r="F612" s="10" t="s">
        <v>1866</v>
      </c>
      <c r="G612" s="10" t="s">
        <v>1867</v>
      </c>
      <c r="H612" s="10" t="s">
        <v>1868</v>
      </c>
      <c r="I612" s="10" t="s">
        <v>1700</v>
      </c>
    </row>
    <row r="613" spans="1:9" x14ac:dyDescent="0.15">
      <c r="A613" s="9">
        <v>612</v>
      </c>
      <c r="B613" s="10" t="s">
        <v>9</v>
      </c>
      <c r="C613" s="10" t="s">
        <v>170</v>
      </c>
      <c r="D613" s="10" t="s">
        <v>171</v>
      </c>
      <c r="E613" s="11" t="str">
        <f>+HYPERLINK("http://trademark.i-assist.jp/data/china/image_1900th/78633921.pdf", "78633921")</f>
        <v>78633921</v>
      </c>
      <c r="F613" s="10" t="s">
        <v>1869</v>
      </c>
      <c r="G613" s="10" t="s">
        <v>1870</v>
      </c>
      <c r="H613" s="10" t="s">
        <v>1871</v>
      </c>
      <c r="I613" s="10" t="s">
        <v>1700</v>
      </c>
    </row>
    <row r="614" spans="1:9" x14ac:dyDescent="0.15">
      <c r="A614" s="9">
        <v>613</v>
      </c>
      <c r="B614" s="10" t="s">
        <v>9</v>
      </c>
      <c r="C614" s="10" t="s">
        <v>170</v>
      </c>
      <c r="D614" s="10" t="s">
        <v>171</v>
      </c>
      <c r="E614" s="11" t="str">
        <f>+HYPERLINK("http://trademark.i-assist.jp/data/china/image_1900th/78634178.pdf", "78634178")</f>
        <v>78634178</v>
      </c>
      <c r="F614" s="10" t="s">
        <v>1872</v>
      </c>
      <c r="G614" s="10" t="s">
        <v>1873</v>
      </c>
      <c r="H614" s="10" t="s">
        <v>1874</v>
      </c>
      <c r="I614" s="10" t="s">
        <v>1700</v>
      </c>
    </row>
    <row r="615" spans="1:9" x14ac:dyDescent="0.15">
      <c r="A615" s="9">
        <v>614</v>
      </c>
      <c r="B615" s="10" t="s">
        <v>9</v>
      </c>
      <c r="C615" s="10" t="s">
        <v>170</v>
      </c>
      <c r="D615" s="10" t="s">
        <v>171</v>
      </c>
      <c r="E615" s="11" t="str">
        <f>+HYPERLINK("http://trademark.i-assist.jp/data/china/image_1900th/78634514.pdf", "78634514")</f>
        <v>78634514</v>
      </c>
      <c r="F615" s="10" t="s">
        <v>1875</v>
      </c>
      <c r="G615" s="10" t="s">
        <v>1876</v>
      </c>
      <c r="H615" s="10" t="s">
        <v>1877</v>
      </c>
      <c r="I615" s="10" t="s">
        <v>1700</v>
      </c>
    </row>
    <row r="616" spans="1:9" x14ac:dyDescent="0.15">
      <c r="A616" s="9">
        <v>615</v>
      </c>
      <c r="B616" s="10" t="s">
        <v>9</v>
      </c>
      <c r="C616" s="10" t="s">
        <v>170</v>
      </c>
      <c r="D616" s="10" t="s">
        <v>171</v>
      </c>
      <c r="E616" s="11" t="str">
        <f>+HYPERLINK("http://trademark.i-assist.jp/data/china/image_1900th/78634523.pdf", "78634523")</f>
        <v>78634523</v>
      </c>
      <c r="F616" s="10" t="s">
        <v>1878</v>
      </c>
      <c r="G616" s="10" t="s">
        <v>1879</v>
      </c>
      <c r="H616" s="10" t="s">
        <v>1880</v>
      </c>
      <c r="I616" s="10" t="s">
        <v>1700</v>
      </c>
    </row>
    <row r="617" spans="1:9" x14ac:dyDescent="0.15">
      <c r="A617" s="9">
        <v>616</v>
      </c>
      <c r="B617" s="10" t="s">
        <v>9</v>
      </c>
      <c r="C617" s="10" t="s">
        <v>170</v>
      </c>
      <c r="D617" s="10" t="s">
        <v>171</v>
      </c>
      <c r="E617" s="11" t="str">
        <f>+HYPERLINK("http://trademark.i-assist.jp/data/china/image_1900th/78634524.pdf", "78634524")</f>
        <v>78634524</v>
      </c>
      <c r="F617" s="10" t="s">
        <v>1881</v>
      </c>
      <c r="G617" s="10" t="s">
        <v>1882</v>
      </c>
      <c r="H617" s="10" t="s">
        <v>1883</v>
      </c>
      <c r="I617" s="10" t="s">
        <v>1700</v>
      </c>
    </row>
    <row r="618" spans="1:9" x14ac:dyDescent="0.15">
      <c r="A618" s="9">
        <v>617</v>
      </c>
      <c r="B618" s="10" t="s">
        <v>9</v>
      </c>
      <c r="C618" s="10" t="s">
        <v>170</v>
      </c>
      <c r="D618" s="10" t="s">
        <v>171</v>
      </c>
      <c r="E618" s="11" t="str">
        <f>+HYPERLINK("http://trademark.i-assist.jp/data/china/image_1900th/78634768.pdf", "78634768")</f>
        <v>78634768</v>
      </c>
      <c r="F618" s="10" t="s">
        <v>1884</v>
      </c>
      <c r="G618" s="10" t="s">
        <v>1797</v>
      </c>
      <c r="H618" s="10" t="s">
        <v>1885</v>
      </c>
      <c r="I618" s="10" t="s">
        <v>1700</v>
      </c>
    </row>
    <row r="619" spans="1:9" x14ac:dyDescent="0.15">
      <c r="A619" s="9">
        <v>618</v>
      </c>
      <c r="B619" s="10" t="s">
        <v>9</v>
      </c>
      <c r="C619" s="10" t="s">
        <v>170</v>
      </c>
      <c r="D619" s="10" t="s">
        <v>171</v>
      </c>
      <c r="E619" s="11" t="str">
        <f>+HYPERLINK("http://trademark.i-assist.jp/data/china/image_1900th/78634814.pdf", "78634814")</f>
        <v>78634814</v>
      </c>
      <c r="F619" s="10" t="s">
        <v>1886</v>
      </c>
      <c r="G619" s="10" t="s">
        <v>1887</v>
      </c>
      <c r="H619" s="10" t="s">
        <v>1888</v>
      </c>
      <c r="I619" s="10" t="s">
        <v>1700</v>
      </c>
    </row>
    <row r="620" spans="1:9" x14ac:dyDescent="0.15">
      <c r="A620" s="9">
        <v>619</v>
      </c>
      <c r="B620" s="10" t="s">
        <v>9</v>
      </c>
      <c r="C620" s="10" t="s">
        <v>170</v>
      </c>
      <c r="D620" s="10" t="s">
        <v>171</v>
      </c>
      <c r="E620" s="11" t="str">
        <f>+HYPERLINK("http://trademark.i-assist.jp/data/china/image_1900th/78635012.pdf", "78635012")</f>
        <v>78635012</v>
      </c>
      <c r="F620" s="10" t="s">
        <v>1889</v>
      </c>
      <c r="G620" s="10" t="s">
        <v>1890</v>
      </c>
      <c r="H620" s="10" t="s">
        <v>1891</v>
      </c>
      <c r="I620" s="10" t="s">
        <v>1700</v>
      </c>
    </row>
    <row r="621" spans="1:9" x14ac:dyDescent="0.15">
      <c r="A621" s="9">
        <v>620</v>
      </c>
      <c r="B621" s="10" t="s">
        <v>9</v>
      </c>
      <c r="C621" s="10" t="s">
        <v>170</v>
      </c>
      <c r="D621" s="10" t="s">
        <v>171</v>
      </c>
      <c r="E621" s="11" t="str">
        <f>+HYPERLINK("http://trademark.i-assist.jp/data/china/image_1900th/78635403.pdf", "78635403")</f>
        <v>78635403</v>
      </c>
      <c r="F621" s="10" t="s">
        <v>1892</v>
      </c>
      <c r="G621" s="10" t="s">
        <v>608</v>
      </c>
      <c r="H621" s="10" t="s">
        <v>1893</v>
      </c>
      <c r="I621" s="10" t="s">
        <v>1700</v>
      </c>
    </row>
    <row r="622" spans="1:9" x14ac:dyDescent="0.15">
      <c r="A622" s="9">
        <v>621</v>
      </c>
      <c r="B622" s="10" t="s">
        <v>9</v>
      </c>
      <c r="C622" s="10" t="s">
        <v>170</v>
      </c>
      <c r="D622" s="10" t="s">
        <v>171</v>
      </c>
      <c r="E622" s="11" t="str">
        <f>+HYPERLINK("http://trademark.i-assist.jp/data/china/image_1900th/78635795.pdf", "78635795")</f>
        <v>78635795</v>
      </c>
      <c r="F622" s="10" t="s">
        <v>1894</v>
      </c>
      <c r="G622" s="10" t="s">
        <v>1895</v>
      </c>
      <c r="H622" s="10" t="s">
        <v>1896</v>
      </c>
      <c r="I622" s="10" t="s">
        <v>1700</v>
      </c>
    </row>
    <row r="623" spans="1:9" x14ac:dyDescent="0.15">
      <c r="A623" s="9">
        <v>622</v>
      </c>
      <c r="B623" s="10" t="s">
        <v>9</v>
      </c>
      <c r="C623" s="10" t="s">
        <v>170</v>
      </c>
      <c r="D623" s="10" t="s">
        <v>171</v>
      </c>
      <c r="E623" s="11" t="str">
        <f>+HYPERLINK("http://trademark.i-assist.jp/data/china/image_1900th/78635844.pdf", "78635844")</f>
        <v>78635844</v>
      </c>
      <c r="F623" s="10" t="s">
        <v>1897</v>
      </c>
      <c r="G623" s="10" t="s">
        <v>1898</v>
      </c>
      <c r="H623" s="10" t="s">
        <v>1899</v>
      </c>
      <c r="I623" s="10" t="s">
        <v>1700</v>
      </c>
    </row>
    <row r="624" spans="1:9" x14ac:dyDescent="0.15">
      <c r="A624" s="9">
        <v>623</v>
      </c>
      <c r="B624" s="10" t="s">
        <v>9</v>
      </c>
      <c r="C624" s="10" t="s">
        <v>170</v>
      </c>
      <c r="D624" s="10" t="s">
        <v>171</v>
      </c>
      <c r="E624" s="11" t="str">
        <f>+HYPERLINK("http://trademark.i-assist.jp/data/china/image_1900th/78635880.pdf", "78635880")</f>
        <v>78635880</v>
      </c>
      <c r="F624" s="10" t="s">
        <v>1900</v>
      </c>
      <c r="G624" s="10" t="s">
        <v>1901</v>
      </c>
      <c r="H624" s="10" t="s">
        <v>1902</v>
      </c>
      <c r="I624" s="10" t="s">
        <v>1700</v>
      </c>
    </row>
    <row r="625" spans="1:9" x14ac:dyDescent="0.15">
      <c r="A625" s="9">
        <v>624</v>
      </c>
      <c r="B625" s="10" t="s">
        <v>9</v>
      </c>
      <c r="C625" s="10" t="s">
        <v>170</v>
      </c>
      <c r="D625" s="10" t="s">
        <v>171</v>
      </c>
      <c r="E625" s="11" t="str">
        <f>+HYPERLINK("http://trademark.i-assist.jp/data/china/image_1900th/78636064.pdf", "78636064")</f>
        <v>78636064</v>
      </c>
      <c r="F625" s="10" t="s">
        <v>1903</v>
      </c>
      <c r="G625" s="10" t="s">
        <v>1904</v>
      </c>
      <c r="H625" s="10" t="s">
        <v>1905</v>
      </c>
      <c r="I625" s="10" t="s">
        <v>1700</v>
      </c>
    </row>
    <row r="626" spans="1:9" x14ac:dyDescent="0.15">
      <c r="A626" s="9">
        <v>625</v>
      </c>
      <c r="B626" s="10" t="s">
        <v>9</v>
      </c>
      <c r="C626" s="10" t="s">
        <v>170</v>
      </c>
      <c r="D626" s="10" t="s">
        <v>171</v>
      </c>
      <c r="E626" s="11" t="str">
        <f>+HYPERLINK("http://trademark.i-assist.jp/data/china/image_1900th/78636102.pdf", "78636102")</f>
        <v>78636102</v>
      </c>
      <c r="F626" s="10" t="s">
        <v>1906</v>
      </c>
      <c r="G626" s="10" t="s">
        <v>1907</v>
      </c>
      <c r="H626" s="10" t="s">
        <v>1908</v>
      </c>
      <c r="I626" s="10" t="s">
        <v>1700</v>
      </c>
    </row>
    <row r="627" spans="1:9" x14ac:dyDescent="0.15">
      <c r="A627" s="9">
        <v>626</v>
      </c>
      <c r="B627" s="10" t="s">
        <v>9</v>
      </c>
      <c r="C627" s="10" t="s">
        <v>170</v>
      </c>
      <c r="D627" s="10" t="s">
        <v>171</v>
      </c>
      <c r="E627" s="11" t="str">
        <f>+HYPERLINK("http://trademark.i-assist.jp/data/china/image_1900th/78636560.pdf", "78636560")</f>
        <v>78636560</v>
      </c>
      <c r="F627" s="10" t="s">
        <v>1909</v>
      </c>
      <c r="G627" s="10" t="s">
        <v>152</v>
      </c>
      <c r="H627" s="10" t="s">
        <v>1910</v>
      </c>
      <c r="I627" s="10" t="s">
        <v>1700</v>
      </c>
    </row>
    <row r="628" spans="1:9" x14ac:dyDescent="0.15">
      <c r="A628" s="9">
        <v>627</v>
      </c>
      <c r="B628" s="10" t="s">
        <v>9</v>
      </c>
      <c r="C628" s="10" t="s">
        <v>170</v>
      </c>
      <c r="D628" s="10" t="s">
        <v>171</v>
      </c>
      <c r="E628" s="11" t="str">
        <f>+HYPERLINK("http://trademark.i-assist.jp/data/china/image_1900th/78636595.pdf", "78636595")</f>
        <v>78636595</v>
      </c>
      <c r="F628" s="10" t="s">
        <v>1911</v>
      </c>
      <c r="G628" s="10" t="s">
        <v>1912</v>
      </c>
      <c r="H628" s="10" t="s">
        <v>1913</v>
      </c>
      <c r="I628" s="10" t="s">
        <v>1700</v>
      </c>
    </row>
    <row r="629" spans="1:9" x14ac:dyDescent="0.15">
      <c r="A629" s="9">
        <v>628</v>
      </c>
      <c r="B629" s="10" t="s">
        <v>9</v>
      </c>
      <c r="C629" s="10" t="s">
        <v>170</v>
      </c>
      <c r="D629" s="10" t="s">
        <v>171</v>
      </c>
      <c r="E629" s="11" t="str">
        <f>+HYPERLINK("http://trademark.i-assist.jp/data/china/image_1900th/78636657.pdf", "78636657")</f>
        <v>78636657</v>
      </c>
      <c r="F629" s="10" t="s">
        <v>1914</v>
      </c>
      <c r="G629" s="10" t="s">
        <v>1915</v>
      </c>
      <c r="H629" s="10" t="s">
        <v>1916</v>
      </c>
      <c r="I629" s="10" t="s">
        <v>1700</v>
      </c>
    </row>
    <row r="630" spans="1:9" x14ac:dyDescent="0.15">
      <c r="A630" s="9">
        <v>629</v>
      </c>
      <c r="B630" s="10" t="s">
        <v>9</v>
      </c>
      <c r="C630" s="10" t="s">
        <v>170</v>
      </c>
      <c r="D630" s="10" t="s">
        <v>171</v>
      </c>
      <c r="E630" s="11" t="str">
        <f>+HYPERLINK("http://trademark.i-assist.jp/data/china/image_1900th/78636691.pdf", "78636691")</f>
        <v>78636691</v>
      </c>
      <c r="F630" s="10" t="s">
        <v>1917</v>
      </c>
      <c r="G630" s="10" t="s">
        <v>1918</v>
      </c>
      <c r="H630" s="10" t="s">
        <v>1919</v>
      </c>
      <c r="I630" s="10" t="s">
        <v>1700</v>
      </c>
    </row>
    <row r="631" spans="1:9" x14ac:dyDescent="0.15">
      <c r="A631" s="9">
        <v>630</v>
      </c>
      <c r="B631" s="10" t="s">
        <v>9</v>
      </c>
      <c r="C631" s="10" t="s">
        <v>170</v>
      </c>
      <c r="D631" s="10" t="s">
        <v>171</v>
      </c>
      <c r="E631" s="11" t="str">
        <f>+HYPERLINK("http://trademark.i-assist.jp/data/china/image_1900th/78636814.pdf", "78636814")</f>
        <v>78636814</v>
      </c>
      <c r="F631" s="10" t="s">
        <v>1920</v>
      </c>
      <c r="G631" s="10" t="s">
        <v>1921</v>
      </c>
      <c r="H631" s="10" t="s">
        <v>1922</v>
      </c>
      <c r="I631" s="10" t="s">
        <v>1700</v>
      </c>
    </row>
    <row r="632" spans="1:9" x14ac:dyDescent="0.15">
      <c r="A632" s="9">
        <v>631</v>
      </c>
      <c r="B632" s="10" t="s">
        <v>9</v>
      </c>
      <c r="C632" s="10" t="s">
        <v>170</v>
      </c>
      <c r="D632" s="10" t="s">
        <v>171</v>
      </c>
      <c r="E632" s="11" t="str">
        <f>+HYPERLINK("http://trademark.i-assist.jp/data/china/image_1900th/78637163.pdf", "78637163")</f>
        <v>78637163</v>
      </c>
      <c r="F632" s="10" t="s">
        <v>1923</v>
      </c>
      <c r="G632" s="10" t="s">
        <v>1924</v>
      </c>
      <c r="H632" s="10" t="s">
        <v>1925</v>
      </c>
      <c r="I632" s="10" t="s">
        <v>1700</v>
      </c>
    </row>
    <row r="633" spans="1:9" x14ac:dyDescent="0.15">
      <c r="A633" s="9">
        <v>632</v>
      </c>
      <c r="B633" s="10" t="s">
        <v>9</v>
      </c>
      <c r="C633" s="10" t="s">
        <v>170</v>
      </c>
      <c r="D633" s="10" t="s">
        <v>171</v>
      </c>
      <c r="E633" s="11" t="str">
        <f>+HYPERLINK("http://trademark.i-assist.jp/data/china/image_1900th/78637167.pdf", "78637167")</f>
        <v>78637167</v>
      </c>
      <c r="F633" s="10" t="s">
        <v>1926</v>
      </c>
      <c r="G633" s="10" t="s">
        <v>1927</v>
      </c>
      <c r="H633" s="10" t="s">
        <v>1928</v>
      </c>
      <c r="I633" s="10" t="s">
        <v>1700</v>
      </c>
    </row>
    <row r="634" spans="1:9" x14ac:dyDescent="0.15">
      <c r="A634" s="9">
        <v>633</v>
      </c>
      <c r="B634" s="10" t="s">
        <v>9</v>
      </c>
      <c r="C634" s="10" t="s">
        <v>170</v>
      </c>
      <c r="D634" s="10" t="s">
        <v>171</v>
      </c>
      <c r="E634" s="11" t="str">
        <f>+HYPERLINK("http://trademark.i-assist.jp/data/china/image_1900th/78637460.pdf", "78637460")</f>
        <v>78637460</v>
      </c>
      <c r="F634" s="10" t="s">
        <v>1929</v>
      </c>
      <c r="G634" s="10" t="s">
        <v>1870</v>
      </c>
      <c r="H634" s="10" t="s">
        <v>1930</v>
      </c>
      <c r="I634" s="10" t="s">
        <v>1700</v>
      </c>
    </row>
    <row r="635" spans="1:9" x14ac:dyDescent="0.15">
      <c r="A635" s="9">
        <v>634</v>
      </c>
      <c r="B635" s="10" t="s">
        <v>9</v>
      </c>
      <c r="C635" s="10" t="s">
        <v>170</v>
      </c>
      <c r="D635" s="10" t="s">
        <v>171</v>
      </c>
      <c r="E635" s="11" t="str">
        <f>+HYPERLINK("http://trademark.i-assist.jp/data/china/image_1900th/78637496.pdf", "78637496")</f>
        <v>78637496</v>
      </c>
      <c r="F635" s="10" t="s">
        <v>1931</v>
      </c>
      <c r="G635" s="10" t="s">
        <v>1932</v>
      </c>
      <c r="H635" s="10" t="s">
        <v>1933</v>
      </c>
      <c r="I635" s="10" t="s">
        <v>1700</v>
      </c>
    </row>
    <row r="636" spans="1:9" x14ac:dyDescent="0.15">
      <c r="A636" s="9">
        <v>635</v>
      </c>
      <c r="B636" s="10" t="s">
        <v>9</v>
      </c>
      <c r="C636" s="10" t="s">
        <v>170</v>
      </c>
      <c r="D636" s="10" t="s">
        <v>171</v>
      </c>
      <c r="E636" s="11" t="str">
        <f>+HYPERLINK("http://trademark.i-assist.jp/data/china/image_1900th/78637741.pdf", "78637741")</f>
        <v>78637741</v>
      </c>
      <c r="F636" s="10" t="s">
        <v>1934</v>
      </c>
      <c r="G636" s="10" t="s">
        <v>1797</v>
      </c>
      <c r="H636" s="10" t="s">
        <v>1935</v>
      </c>
      <c r="I636" s="10" t="s">
        <v>1700</v>
      </c>
    </row>
    <row r="637" spans="1:9" x14ac:dyDescent="0.15">
      <c r="A637" s="9">
        <v>636</v>
      </c>
      <c r="B637" s="10" t="s">
        <v>9</v>
      </c>
      <c r="C637" s="10" t="s">
        <v>170</v>
      </c>
      <c r="D637" s="10" t="s">
        <v>171</v>
      </c>
      <c r="E637" s="11" t="str">
        <f>+HYPERLINK("http://trademark.i-assist.jp/data/china/image_1900th/78637770.pdf", "78637770")</f>
        <v>78637770</v>
      </c>
      <c r="F637" s="10" t="s">
        <v>1936</v>
      </c>
      <c r="G637" s="10" t="s">
        <v>1797</v>
      </c>
      <c r="H637" s="10" t="s">
        <v>1937</v>
      </c>
      <c r="I637" s="10" t="s">
        <v>1700</v>
      </c>
    </row>
    <row r="638" spans="1:9" x14ac:dyDescent="0.15">
      <c r="A638" s="9">
        <v>637</v>
      </c>
      <c r="B638" s="10" t="s">
        <v>9</v>
      </c>
      <c r="C638" s="10" t="s">
        <v>170</v>
      </c>
      <c r="D638" s="10" t="s">
        <v>171</v>
      </c>
      <c r="E638" s="11" t="str">
        <f>+HYPERLINK("http://trademark.i-assist.jp/data/china/image_1900th/78637944.pdf", "78637944")</f>
        <v>78637944</v>
      </c>
      <c r="F638" s="10" t="s">
        <v>1938</v>
      </c>
      <c r="G638" s="10" t="s">
        <v>1809</v>
      </c>
      <c r="H638" s="10" t="s">
        <v>1939</v>
      </c>
      <c r="I638" s="10" t="s">
        <v>1700</v>
      </c>
    </row>
    <row r="639" spans="1:9" x14ac:dyDescent="0.15">
      <c r="A639" s="9">
        <v>638</v>
      </c>
      <c r="B639" s="10" t="s">
        <v>9</v>
      </c>
      <c r="C639" s="10" t="s">
        <v>170</v>
      </c>
      <c r="D639" s="10" t="s">
        <v>171</v>
      </c>
      <c r="E639" s="11" t="str">
        <f>+HYPERLINK("http://trademark.i-assist.jp/data/china/image_1900th/78637995.pdf", "78637995")</f>
        <v>78637995</v>
      </c>
      <c r="F639" s="10" t="s">
        <v>1940</v>
      </c>
      <c r="G639" s="10" t="s">
        <v>1941</v>
      </c>
      <c r="H639" s="10" t="s">
        <v>1942</v>
      </c>
      <c r="I639" s="10" t="s">
        <v>1700</v>
      </c>
    </row>
    <row r="640" spans="1:9" x14ac:dyDescent="0.15">
      <c r="A640" s="9">
        <v>639</v>
      </c>
      <c r="B640" s="10" t="s">
        <v>9</v>
      </c>
      <c r="C640" s="10" t="s">
        <v>170</v>
      </c>
      <c r="D640" s="10" t="s">
        <v>171</v>
      </c>
      <c r="E640" s="11" t="str">
        <f>+HYPERLINK("http://trademark.i-assist.jp/data/china/image_1900th/78638282.pdf", "78638282")</f>
        <v>78638282</v>
      </c>
      <c r="F640" s="10" t="s">
        <v>1943</v>
      </c>
      <c r="G640" s="10" t="s">
        <v>1944</v>
      </c>
      <c r="H640" s="10" t="s">
        <v>1945</v>
      </c>
      <c r="I640" s="10" t="s">
        <v>1700</v>
      </c>
    </row>
    <row r="641" spans="1:9" x14ac:dyDescent="0.15">
      <c r="A641" s="9">
        <v>640</v>
      </c>
      <c r="B641" s="10" t="s">
        <v>9</v>
      </c>
      <c r="C641" s="10" t="s">
        <v>170</v>
      </c>
      <c r="D641" s="10" t="s">
        <v>171</v>
      </c>
      <c r="E641" s="11" t="str">
        <f>+HYPERLINK("http://trademark.i-assist.jp/data/china/image_1900th/78638342.pdf", "78638342")</f>
        <v>78638342</v>
      </c>
      <c r="F641" s="10" t="s">
        <v>1946</v>
      </c>
      <c r="G641" s="10" t="s">
        <v>1947</v>
      </c>
      <c r="H641" s="10" t="s">
        <v>1948</v>
      </c>
      <c r="I641" s="10" t="s">
        <v>1700</v>
      </c>
    </row>
    <row r="642" spans="1:9" x14ac:dyDescent="0.15">
      <c r="A642" s="9">
        <v>641</v>
      </c>
      <c r="B642" s="10" t="s">
        <v>9</v>
      </c>
      <c r="C642" s="10" t="s">
        <v>170</v>
      </c>
      <c r="D642" s="10" t="s">
        <v>171</v>
      </c>
      <c r="E642" s="11" t="str">
        <f>+HYPERLINK("http://trademark.i-assist.jp/data/china/image_1900th/78638369.pdf", "78638369")</f>
        <v>78638369</v>
      </c>
      <c r="F642" s="10" t="s">
        <v>1949</v>
      </c>
      <c r="G642" s="10" t="s">
        <v>1924</v>
      </c>
      <c r="H642" s="10" t="s">
        <v>1950</v>
      </c>
      <c r="I642" s="10" t="s">
        <v>1700</v>
      </c>
    </row>
    <row r="643" spans="1:9" x14ac:dyDescent="0.15">
      <c r="A643" s="9">
        <v>642</v>
      </c>
      <c r="B643" s="10" t="s">
        <v>9</v>
      </c>
      <c r="C643" s="10" t="s">
        <v>170</v>
      </c>
      <c r="D643" s="10" t="s">
        <v>171</v>
      </c>
      <c r="E643" s="11" t="str">
        <f>+HYPERLINK("http://trademark.i-assist.jp/data/china/image_1900th/78638407.pdf", "78638407")</f>
        <v>78638407</v>
      </c>
      <c r="F643" s="10" t="s">
        <v>1951</v>
      </c>
      <c r="G643" s="10" t="s">
        <v>1952</v>
      </c>
      <c r="H643" s="10" t="s">
        <v>1953</v>
      </c>
      <c r="I643" s="10" t="s">
        <v>1700</v>
      </c>
    </row>
    <row r="644" spans="1:9" x14ac:dyDescent="0.15">
      <c r="A644" s="9">
        <v>643</v>
      </c>
      <c r="B644" s="10" t="s">
        <v>9</v>
      </c>
      <c r="C644" s="10" t="s">
        <v>170</v>
      </c>
      <c r="D644" s="10" t="s">
        <v>171</v>
      </c>
      <c r="E644" s="11" t="str">
        <f>+HYPERLINK("http://trademark.i-assist.jp/data/china/image_1900th/78638496.pdf", "78638496")</f>
        <v>78638496</v>
      </c>
      <c r="F644" s="10" t="s">
        <v>15</v>
      </c>
      <c r="G644" s="10" t="s">
        <v>1954</v>
      </c>
      <c r="H644" s="10" t="s">
        <v>1955</v>
      </c>
      <c r="I644" s="10" t="s">
        <v>1700</v>
      </c>
    </row>
    <row r="645" spans="1:9" x14ac:dyDescent="0.15">
      <c r="A645" s="9">
        <v>644</v>
      </c>
      <c r="B645" s="10" t="s">
        <v>9</v>
      </c>
      <c r="C645" s="10" t="s">
        <v>170</v>
      </c>
      <c r="D645" s="10" t="s">
        <v>171</v>
      </c>
      <c r="E645" s="11" t="str">
        <f>+HYPERLINK("http://trademark.i-assist.jp/data/china/image_1900th/78638810.pdf", "78638810")</f>
        <v>78638810</v>
      </c>
      <c r="F645" s="10" t="s">
        <v>1956</v>
      </c>
      <c r="G645" s="10" t="s">
        <v>1957</v>
      </c>
      <c r="H645" s="10" t="s">
        <v>1958</v>
      </c>
      <c r="I645" s="10" t="s">
        <v>1700</v>
      </c>
    </row>
    <row r="646" spans="1:9" x14ac:dyDescent="0.15">
      <c r="A646" s="9">
        <v>645</v>
      </c>
      <c r="B646" s="10" t="s">
        <v>9</v>
      </c>
      <c r="C646" s="10" t="s">
        <v>170</v>
      </c>
      <c r="D646" s="10" t="s">
        <v>171</v>
      </c>
      <c r="E646" s="11" t="str">
        <f>+HYPERLINK("http://trademark.i-assist.jp/data/china/image_1900th/78639902.pdf", "78639902")</f>
        <v>78639902</v>
      </c>
      <c r="F646" s="10" t="s">
        <v>1959</v>
      </c>
      <c r="G646" s="10" t="s">
        <v>107</v>
      </c>
      <c r="H646" s="10" t="s">
        <v>1960</v>
      </c>
      <c r="I646" s="10" t="s">
        <v>1700</v>
      </c>
    </row>
    <row r="647" spans="1:9" x14ac:dyDescent="0.15">
      <c r="A647" s="9">
        <v>646</v>
      </c>
      <c r="B647" s="10" t="s">
        <v>9</v>
      </c>
      <c r="C647" s="10" t="s">
        <v>170</v>
      </c>
      <c r="D647" s="10" t="s">
        <v>171</v>
      </c>
      <c r="E647" s="11" t="str">
        <f>+HYPERLINK("http://trademark.i-assist.jp/data/china/image_1900th/78640033.pdf", "78640033")</f>
        <v>78640033</v>
      </c>
      <c r="F647" s="10" t="s">
        <v>1961</v>
      </c>
      <c r="G647" s="10" t="s">
        <v>150</v>
      </c>
      <c r="H647" s="10" t="s">
        <v>1962</v>
      </c>
      <c r="I647" s="10" t="s">
        <v>1700</v>
      </c>
    </row>
    <row r="648" spans="1:9" x14ac:dyDescent="0.15">
      <c r="A648" s="9">
        <v>647</v>
      </c>
      <c r="B648" s="10" t="s">
        <v>9</v>
      </c>
      <c r="C648" s="10" t="s">
        <v>170</v>
      </c>
      <c r="D648" s="10" t="s">
        <v>171</v>
      </c>
      <c r="E648" s="11" t="str">
        <f>+HYPERLINK("http://trademark.i-assist.jp/data/china/image_1900th/78640860.pdf", "78640860")</f>
        <v>78640860</v>
      </c>
      <c r="F648" s="10" t="s">
        <v>1963</v>
      </c>
      <c r="G648" s="10" t="s">
        <v>101</v>
      </c>
      <c r="H648" s="10" t="s">
        <v>1964</v>
      </c>
      <c r="I648" s="10" t="s">
        <v>1700</v>
      </c>
    </row>
    <row r="649" spans="1:9" x14ac:dyDescent="0.15">
      <c r="A649" s="9">
        <v>648</v>
      </c>
      <c r="B649" s="10" t="s">
        <v>9</v>
      </c>
      <c r="C649" s="10" t="s">
        <v>170</v>
      </c>
      <c r="D649" s="10" t="s">
        <v>171</v>
      </c>
      <c r="E649" s="11" t="str">
        <f>+HYPERLINK("http://trademark.i-assist.jp/data/china/image_1900th/78640970.pdf", "78640970")</f>
        <v>78640970</v>
      </c>
      <c r="F649" s="10" t="s">
        <v>1965</v>
      </c>
      <c r="G649" s="10" t="s">
        <v>1966</v>
      </c>
      <c r="H649" s="10" t="s">
        <v>1967</v>
      </c>
      <c r="I649" s="10" t="s">
        <v>1700</v>
      </c>
    </row>
    <row r="650" spans="1:9" x14ac:dyDescent="0.15">
      <c r="A650" s="9">
        <v>649</v>
      </c>
      <c r="B650" s="10" t="s">
        <v>9</v>
      </c>
      <c r="C650" s="10" t="s">
        <v>170</v>
      </c>
      <c r="D650" s="10" t="s">
        <v>171</v>
      </c>
      <c r="E650" s="11" t="str">
        <f>+HYPERLINK("http://trademark.i-assist.jp/data/china/image_1900th/78640995.pdf", "78640995")</f>
        <v>78640995</v>
      </c>
      <c r="F650" s="10" t="s">
        <v>1968</v>
      </c>
      <c r="G650" s="10" t="s">
        <v>1800</v>
      </c>
      <c r="H650" s="10" t="s">
        <v>1969</v>
      </c>
      <c r="I650" s="10" t="s">
        <v>1700</v>
      </c>
    </row>
    <row r="651" spans="1:9" x14ac:dyDescent="0.15">
      <c r="A651" s="9">
        <v>650</v>
      </c>
      <c r="B651" s="10" t="s">
        <v>9</v>
      </c>
      <c r="C651" s="10" t="s">
        <v>170</v>
      </c>
      <c r="D651" s="10" t="s">
        <v>171</v>
      </c>
      <c r="E651" s="11" t="str">
        <f>+HYPERLINK("http://trademark.i-assist.jp/data/china/image_1900th/78641182.pdf", "78641182")</f>
        <v>78641182</v>
      </c>
      <c r="F651" s="10" t="s">
        <v>1970</v>
      </c>
      <c r="G651" s="10" t="s">
        <v>97</v>
      </c>
      <c r="H651" s="10" t="s">
        <v>1971</v>
      </c>
      <c r="I651" s="10" t="s">
        <v>1700</v>
      </c>
    </row>
    <row r="652" spans="1:9" x14ac:dyDescent="0.15">
      <c r="A652" s="9">
        <v>651</v>
      </c>
      <c r="B652" s="10" t="s">
        <v>9</v>
      </c>
      <c r="C652" s="10" t="s">
        <v>170</v>
      </c>
      <c r="D652" s="10" t="s">
        <v>171</v>
      </c>
      <c r="E652" s="11" t="str">
        <f>+HYPERLINK("http://trademark.i-assist.jp/data/china/image_1900th/78641203.pdf", "78641203")</f>
        <v>78641203</v>
      </c>
      <c r="F652" s="10" t="s">
        <v>1972</v>
      </c>
      <c r="G652" s="10" t="s">
        <v>1797</v>
      </c>
      <c r="H652" s="10" t="s">
        <v>1973</v>
      </c>
      <c r="I652" s="10" t="s">
        <v>1700</v>
      </c>
    </row>
    <row r="653" spans="1:9" x14ac:dyDescent="0.15">
      <c r="A653" s="9">
        <v>652</v>
      </c>
      <c r="B653" s="10" t="s">
        <v>9</v>
      </c>
      <c r="C653" s="10" t="s">
        <v>170</v>
      </c>
      <c r="D653" s="10" t="s">
        <v>171</v>
      </c>
      <c r="E653" s="11" t="str">
        <f>+HYPERLINK("http://trademark.i-assist.jp/data/china/image_1900th/78641484.pdf", "78641484")</f>
        <v>78641484</v>
      </c>
      <c r="F653" s="10" t="s">
        <v>1974</v>
      </c>
      <c r="G653" s="10" t="s">
        <v>150</v>
      </c>
      <c r="H653" s="10" t="s">
        <v>1975</v>
      </c>
      <c r="I653" s="10" t="s">
        <v>1700</v>
      </c>
    </row>
    <row r="654" spans="1:9" x14ac:dyDescent="0.15">
      <c r="A654" s="9">
        <v>653</v>
      </c>
      <c r="B654" s="10" t="s">
        <v>9</v>
      </c>
      <c r="C654" s="10" t="s">
        <v>170</v>
      </c>
      <c r="D654" s="10" t="s">
        <v>171</v>
      </c>
      <c r="E654" s="11" t="str">
        <f>+HYPERLINK("http://trademark.i-assist.jp/data/china/image_1900th/78641720.pdf", "78641720")</f>
        <v>78641720</v>
      </c>
      <c r="F654" s="10" t="s">
        <v>1976</v>
      </c>
      <c r="G654" s="10" t="s">
        <v>16</v>
      </c>
      <c r="H654" s="10" t="s">
        <v>1977</v>
      </c>
      <c r="I654" s="10" t="s">
        <v>1700</v>
      </c>
    </row>
    <row r="655" spans="1:9" x14ac:dyDescent="0.15">
      <c r="A655" s="9">
        <v>654</v>
      </c>
      <c r="B655" s="10" t="s">
        <v>9</v>
      </c>
      <c r="C655" s="10" t="s">
        <v>170</v>
      </c>
      <c r="D655" s="10" t="s">
        <v>171</v>
      </c>
      <c r="E655" s="11" t="str">
        <f>+HYPERLINK("http://trademark.i-assist.jp/data/china/image_1900th/78641822.pdf", "78641822")</f>
        <v>78641822</v>
      </c>
      <c r="F655" s="10" t="s">
        <v>1978</v>
      </c>
      <c r="G655" s="10" t="s">
        <v>1979</v>
      </c>
      <c r="H655" s="10" t="s">
        <v>1980</v>
      </c>
      <c r="I655" s="10" t="s">
        <v>1700</v>
      </c>
    </row>
    <row r="656" spans="1:9" x14ac:dyDescent="0.15">
      <c r="A656" s="9">
        <v>655</v>
      </c>
      <c r="B656" s="10" t="s">
        <v>9</v>
      </c>
      <c r="C656" s="10" t="s">
        <v>170</v>
      </c>
      <c r="D656" s="10" t="s">
        <v>171</v>
      </c>
      <c r="E656" s="11" t="str">
        <f>+HYPERLINK("http://trademark.i-assist.jp/data/china/image_1900th/78641851.pdf", "78641851")</f>
        <v>78641851</v>
      </c>
      <c r="F656" s="10" t="s">
        <v>1981</v>
      </c>
      <c r="G656" s="10" t="s">
        <v>1982</v>
      </c>
      <c r="H656" s="10" t="s">
        <v>1983</v>
      </c>
      <c r="I656" s="10" t="s">
        <v>1700</v>
      </c>
    </row>
    <row r="657" spans="1:9" x14ac:dyDescent="0.15">
      <c r="A657" s="9">
        <v>656</v>
      </c>
      <c r="B657" s="10" t="s">
        <v>9</v>
      </c>
      <c r="C657" s="10" t="s">
        <v>170</v>
      </c>
      <c r="D657" s="10" t="s">
        <v>171</v>
      </c>
      <c r="E657" s="11" t="str">
        <f>+HYPERLINK("http://trademark.i-assist.jp/data/china/image_1900th/78641946.pdf", "78641946")</f>
        <v>78641946</v>
      </c>
      <c r="F657" s="10" t="s">
        <v>1984</v>
      </c>
      <c r="G657" s="10" t="s">
        <v>1985</v>
      </c>
      <c r="H657" s="10" t="s">
        <v>1986</v>
      </c>
      <c r="I657" s="10" t="s">
        <v>1700</v>
      </c>
    </row>
    <row r="658" spans="1:9" x14ac:dyDescent="0.15">
      <c r="A658" s="9">
        <v>657</v>
      </c>
      <c r="B658" s="10" t="s">
        <v>9</v>
      </c>
      <c r="C658" s="10" t="s">
        <v>170</v>
      </c>
      <c r="D658" s="10" t="s">
        <v>171</v>
      </c>
      <c r="E658" s="11" t="str">
        <f>+HYPERLINK("http://trademark.i-assist.jp/data/china/image_1900th/78641971.pdf", "78641971")</f>
        <v>78641971</v>
      </c>
      <c r="F658" s="10" t="s">
        <v>1987</v>
      </c>
      <c r="G658" s="10" t="s">
        <v>1773</v>
      </c>
      <c r="H658" s="10" t="s">
        <v>1988</v>
      </c>
      <c r="I658" s="10" t="s">
        <v>1700</v>
      </c>
    </row>
    <row r="659" spans="1:9" x14ac:dyDescent="0.15">
      <c r="A659" s="9">
        <v>658</v>
      </c>
      <c r="B659" s="10" t="s">
        <v>9</v>
      </c>
      <c r="C659" s="10" t="s">
        <v>170</v>
      </c>
      <c r="D659" s="10" t="s">
        <v>171</v>
      </c>
      <c r="E659" s="11" t="str">
        <f>+HYPERLINK("http://trademark.i-assist.jp/data/china/image_1900th/78641979.pdf", "78641979")</f>
        <v>78641979</v>
      </c>
      <c r="F659" s="10" t="s">
        <v>1989</v>
      </c>
      <c r="G659" s="10" t="s">
        <v>1990</v>
      </c>
      <c r="H659" s="10" t="s">
        <v>1991</v>
      </c>
      <c r="I659" s="10" t="s">
        <v>1700</v>
      </c>
    </row>
    <row r="660" spans="1:9" x14ac:dyDescent="0.15">
      <c r="A660" s="9">
        <v>659</v>
      </c>
      <c r="B660" s="10" t="s">
        <v>9</v>
      </c>
      <c r="C660" s="10" t="s">
        <v>170</v>
      </c>
      <c r="D660" s="10" t="s">
        <v>171</v>
      </c>
      <c r="E660" s="11" t="str">
        <f>+HYPERLINK("http://trademark.i-assist.jp/data/china/image_1900th/78642368.pdf", "78642368")</f>
        <v>78642368</v>
      </c>
      <c r="F660" s="10" t="s">
        <v>1992</v>
      </c>
      <c r="G660" s="10" t="s">
        <v>1993</v>
      </c>
      <c r="H660" s="10" t="s">
        <v>1994</v>
      </c>
      <c r="I660" s="10" t="s">
        <v>1700</v>
      </c>
    </row>
    <row r="661" spans="1:9" x14ac:dyDescent="0.15">
      <c r="A661" s="9">
        <v>660</v>
      </c>
      <c r="B661" s="10" t="s">
        <v>9</v>
      </c>
      <c r="C661" s="10" t="s">
        <v>170</v>
      </c>
      <c r="D661" s="10" t="s">
        <v>171</v>
      </c>
      <c r="E661" s="11" t="str">
        <f>+HYPERLINK("http://trademark.i-assist.jp/data/china/image_1900th/78642849.pdf", "78642849")</f>
        <v>78642849</v>
      </c>
      <c r="F661" s="10" t="s">
        <v>1995</v>
      </c>
      <c r="G661" s="10" t="s">
        <v>1996</v>
      </c>
      <c r="H661" s="10" t="s">
        <v>1997</v>
      </c>
      <c r="I661" s="10" t="s">
        <v>1700</v>
      </c>
    </row>
    <row r="662" spans="1:9" x14ac:dyDescent="0.15">
      <c r="A662" s="9">
        <v>661</v>
      </c>
      <c r="B662" s="10" t="s">
        <v>9</v>
      </c>
      <c r="C662" s="10" t="s">
        <v>170</v>
      </c>
      <c r="D662" s="10" t="s">
        <v>171</v>
      </c>
      <c r="E662" s="11" t="str">
        <f>+HYPERLINK("http://trademark.i-assist.jp/data/china/image_1900th/78643020.pdf", "78643020")</f>
        <v>78643020</v>
      </c>
      <c r="F662" s="10" t="s">
        <v>1998</v>
      </c>
      <c r="G662" s="10" t="s">
        <v>1999</v>
      </c>
      <c r="H662" s="10" t="s">
        <v>2000</v>
      </c>
      <c r="I662" s="10" t="s">
        <v>1700</v>
      </c>
    </row>
    <row r="663" spans="1:9" x14ac:dyDescent="0.15">
      <c r="A663" s="9">
        <v>662</v>
      </c>
      <c r="B663" s="10" t="s">
        <v>9</v>
      </c>
      <c r="C663" s="10" t="s">
        <v>170</v>
      </c>
      <c r="D663" s="10" t="s">
        <v>171</v>
      </c>
      <c r="E663" s="11" t="str">
        <f>+HYPERLINK("http://trademark.i-assist.jp/data/china/image_1900th/78643081.pdf", "78643081")</f>
        <v>78643081</v>
      </c>
      <c r="F663" s="10" t="s">
        <v>2001</v>
      </c>
      <c r="G663" s="10" t="s">
        <v>1756</v>
      </c>
      <c r="H663" s="10" t="s">
        <v>2002</v>
      </c>
      <c r="I663" s="10" t="s">
        <v>1700</v>
      </c>
    </row>
    <row r="664" spans="1:9" x14ac:dyDescent="0.15">
      <c r="A664" s="9">
        <v>663</v>
      </c>
      <c r="B664" s="10" t="s">
        <v>9</v>
      </c>
      <c r="C664" s="10" t="s">
        <v>170</v>
      </c>
      <c r="D664" s="10" t="s">
        <v>171</v>
      </c>
      <c r="E664" s="11" t="str">
        <f>+HYPERLINK("http://trademark.i-assist.jp/data/china/image_1900th/78643100.pdf", "78643100")</f>
        <v>78643100</v>
      </c>
      <c r="F664" s="10" t="s">
        <v>2003</v>
      </c>
      <c r="G664" s="10" t="s">
        <v>1759</v>
      </c>
      <c r="H664" s="10" t="s">
        <v>2004</v>
      </c>
      <c r="I664" s="10" t="s">
        <v>1700</v>
      </c>
    </row>
    <row r="665" spans="1:9" x14ac:dyDescent="0.15">
      <c r="A665" s="9">
        <v>664</v>
      </c>
      <c r="B665" s="10" t="s">
        <v>9</v>
      </c>
      <c r="C665" s="10" t="s">
        <v>170</v>
      </c>
      <c r="D665" s="10" t="s">
        <v>171</v>
      </c>
      <c r="E665" s="11" t="str">
        <f>+HYPERLINK("http://trademark.i-assist.jp/data/china/image_1900th/78643124.pdf", "78643124")</f>
        <v>78643124</v>
      </c>
      <c r="F665" s="10" t="s">
        <v>1763</v>
      </c>
      <c r="G665" s="10" t="s">
        <v>1764</v>
      </c>
      <c r="H665" s="10" t="s">
        <v>2005</v>
      </c>
      <c r="I665" s="10" t="s">
        <v>1700</v>
      </c>
    </row>
    <row r="666" spans="1:9" x14ac:dyDescent="0.15">
      <c r="A666" s="9">
        <v>665</v>
      </c>
      <c r="B666" s="10" t="s">
        <v>9</v>
      </c>
      <c r="C666" s="10" t="s">
        <v>170</v>
      </c>
      <c r="D666" s="10" t="s">
        <v>171</v>
      </c>
      <c r="E666" s="11" t="str">
        <f>+HYPERLINK("http://trademark.i-assist.jp/data/china/image_1900th/78643136.pdf", "78643136")</f>
        <v>78643136</v>
      </c>
      <c r="F666" s="10" t="s">
        <v>2006</v>
      </c>
      <c r="G666" s="10" t="s">
        <v>2007</v>
      </c>
      <c r="H666" s="10" t="s">
        <v>2008</v>
      </c>
      <c r="I666" s="10" t="s">
        <v>1700</v>
      </c>
    </row>
    <row r="667" spans="1:9" x14ac:dyDescent="0.15">
      <c r="A667" s="9">
        <v>666</v>
      </c>
      <c r="B667" s="10" t="s">
        <v>9</v>
      </c>
      <c r="C667" s="10" t="s">
        <v>170</v>
      </c>
      <c r="D667" s="10" t="s">
        <v>171</v>
      </c>
      <c r="E667" s="11" t="str">
        <f>+HYPERLINK("http://trademark.i-assist.jp/data/china/image_1900th/78643141.pdf", "78643141")</f>
        <v>78643141</v>
      </c>
      <c r="F667" s="10" t="s">
        <v>2009</v>
      </c>
      <c r="G667" s="10" t="s">
        <v>1941</v>
      </c>
      <c r="H667" s="10" t="s">
        <v>2010</v>
      </c>
      <c r="I667" s="10" t="s">
        <v>1700</v>
      </c>
    </row>
    <row r="668" spans="1:9" x14ac:dyDescent="0.15">
      <c r="A668" s="9">
        <v>667</v>
      </c>
      <c r="B668" s="10" t="s">
        <v>9</v>
      </c>
      <c r="C668" s="10" t="s">
        <v>170</v>
      </c>
      <c r="D668" s="10" t="s">
        <v>171</v>
      </c>
      <c r="E668" s="11" t="str">
        <f>+HYPERLINK("http://trademark.i-assist.jp/data/china/image_1900th/78643142.pdf", "78643142")</f>
        <v>78643142</v>
      </c>
      <c r="F668" s="10" t="s">
        <v>2011</v>
      </c>
      <c r="G668" s="10" t="s">
        <v>2012</v>
      </c>
      <c r="H668" s="10" t="s">
        <v>2013</v>
      </c>
      <c r="I668" s="10" t="s">
        <v>1700</v>
      </c>
    </row>
    <row r="669" spans="1:9" x14ac:dyDescent="0.15">
      <c r="A669" s="9">
        <v>668</v>
      </c>
      <c r="B669" s="10" t="s">
        <v>9</v>
      </c>
      <c r="C669" s="10" t="s">
        <v>170</v>
      </c>
      <c r="D669" s="10" t="s">
        <v>171</v>
      </c>
      <c r="E669" s="11" t="str">
        <f>+HYPERLINK("http://trademark.i-assist.jp/data/china/image_1900th/78643214.pdf", "78643214")</f>
        <v>78643214</v>
      </c>
      <c r="F669" s="10" t="s">
        <v>2014</v>
      </c>
      <c r="G669" s="10" t="s">
        <v>2015</v>
      </c>
      <c r="H669" s="10" t="s">
        <v>2016</v>
      </c>
      <c r="I669" s="10" t="s">
        <v>1700</v>
      </c>
    </row>
    <row r="670" spans="1:9" x14ac:dyDescent="0.15">
      <c r="A670" s="9">
        <v>669</v>
      </c>
      <c r="B670" s="10" t="s">
        <v>9</v>
      </c>
      <c r="C670" s="10" t="s">
        <v>170</v>
      </c>
      <c r="D670" s="10" t="s">
        <v>171</v>
      </c>
      <c r="E670" s="11" t="str">
        <f>+HYPERLINK("http://trademark.i-assist.jp/data/china/image_1900th/78643445.pdf", "78643445")</f>
        <v>78643445</v>
      </c>
      <c r="F670" s="10" t="s">
        <v>2017</v>
      </c>
      <c r="G670" s="10" t="s">
        <v>2018</v>
      </c>
      <c r="H670" s="10" t="s">
        <v>2019</v>
      </c>
      <c r="I670" s="10" t="s">
        <v>1700</v>
      </c>
    </row>
    <row r="671" spans="1:9" x14ac:dyDescent="0.15">
      <c r="A671" s="9">
        <v>670</v>
      </c>
      <c r="B671" s="10" t="s">
        <v>9</v>
      </c>
      <c r="C671" s="10" t="s">
        <v>170</v>
      </c>
      <c r="D671" s="10" t="s">
        <v>171</v>
      </c>
      <c r="E671" s="11" t="str">
        <f>+HYPERLINK("http://trademark.i-assist.jp/data/china/image_1900th/78643532.pdf", "78643532")</f>
        <v>78643532</v>
      </c>
      <c r="F671" s="10" t="s">
        <v>2020</v>
      </c>
      <c r="G671" s="10" t="s">
        <v>2021</v>
      </c>
      <c r="H671" s="10" t="s">
        <v>2022</v>
      </c>
      <c r="I671" s="10" t="s">
        <v>1700</v>
      </c>
    </row>
    <row r="672" spans="1:9" x14ac:dyDescent="0.15">
      <c r="A672" s="9">
        <v>671</v>
      </c>
      <c r="B672" s="10" t="s">
        <v>9</v>
      </c>
      <c r="C672" s="10" t="s">
        <v>170</v>
      </c>
      <c r="D672" s="10" t="s">
        <v>171</v>
      </c>
      <c r="E672" s="11" t="str">
        <f>+HYPERLINK("http://trademark.i-assist.jp/data/china/image_1900th/78643698.pdf", "78643698")</f>
        <v>78643698</v>
      </c>
      <c r="F672" s="10" t="s">
        <v>2023</v>
      </c>
      <c r="G672" s="10" t="s">
        <v>1797</v>
      </c>
      <c r="H672" s="10" t="s">
        <v>2024</v>
      </c>
      <c r="I672" s="10" t="s">
        <v>1700</v>
      </c>
    </row>
    <row r="673" spans="1:9" x14ac:dyDescent="0.15">
      <c r="A673" s="9">
        <v>672</v>
      </c>
      <c r="B673" s="10" t="s">
        <v>9</v>
      </c>
      <c r="C673" s="10" t="s">
        <v>170</v>
      </c>
      <c r="D673" s="10" t="s">
        <v>171</v>
      </c>
      <c r="E673" s="11" t="str">
        <f>+HYPERLINK("http://trademark.i-assist.jp/data/china/image_1900th/78643804.pdf", "78643804")</f>
        <v>78643804</v>
      </c>
      <c r="F673" s="10" t="s">
        <v>2025</v>
      </c>
      <c r="G673" s="10" t="s">
        <v>1853</v>
      </c>
      <c r="H673" s="10" t="s">
        <v>2026</v>
      </c>
      <c r="I673" s="10" t="s">
        <v>1700</v>
      </c>
    </row>
    <row r="674" spans="1:9" x14ac:dyDescent="0.15">
      <c r="A674" s="9">
        <v>673</v>
      </c>
      <c r="B674" s="10" t="s">
        <v>9</v>
      </c>
      <c r="C674" s="10" t="s">
        <v>170</v>
      </c>
      <c r="D674" s="10" t="s">
        <v>171</v>
      </c>
      <c r="E674" s="11" t="str">
        <f>+HYPERLINK("http://trademark.i-assist.jp/data/china/image_1900th/78643946.pdf", "78643946")</f>
        <v>78643946</v>
      </c>
      <c r="F674" s="10" t="s">
        <v>15</v>
      </c>
      <c r="G674" s="10" t="s">
        <v>2027</v>
      </c>
      <c r="H674" s="10" t="s">
        <v>2028</v>
      </c>
      <c r="I674" s="10" t="s">
        <v>1700</v>
      </c>
    </row>
    <row r="675" spans="1:9" x14ac:dyDescent="0.15">
      <c r="A675" s="9">
        <v>674</v>
      </c>
      <c r="B675" s="10" t="s">
        <v>9</v>
      </c>
      <c r="C675" s="10" t="s">
        <v>170</v>
      </c>
      <c r="D675" s="10" t="s">
        <v>171</v>
      </c>
      <c r="E675" s="11" t="str">
        <f>+HYPERLINK("http://trademark.i-assist.jp/data/china/image_1900th/78644042.pdf", "78644042")</f>
        <v>78644042</v>
      </c>
      <c r="F675" s="10" t="s">
        <v>2029</v>
      </c>
      <c r="G675" s="10" t="s">
        <v>2030</v>
      </c>
      <c r="H675" s="10" t="s">
        <v>2031</v>
      </c>
      <c r="I675" s="10" t="s">
        <v>1700</v>
      </c>
    </row>
    <row r="676" spans="1:9" x14ac:dyDescent="0.15">
      <c r="A676" s="9">
        <v>675</v>
      </c>
      <c r="B676" s="10" t="s">
        <v>9</v>
      </c>
      <c r="C676" s="10" t="s">
        <v>170</v>
      </c>
      <c r="D676" s="10" t="s">
        <v>171</v>
      </c>
      <c r="E676" s="11" t="str">
        <f>+HYPERLINK("http://trademark.i-assist.jp/data/china/image_1900th/78644757.pdf", "78644757")</f>
        <v>78644757</v>
      </c>
      <c r="F676" s="10" t="s">
        <v>2032</v>
      </c>
      <c r="G676" s="10" t="s">
        <v>2033</v>
      </c>
      <c r="H676" s="10" t="s">
        <v>2034</v>
      </c>
      <c r="I676" s="10" t="s">
        <v>1700</v>
      </c>
    </row>
    <row r="677" spans="1:9" x14ac:dyDescent="0.15">
      <c r="A677" s="9">
        <v>676</v>
      </c>
      <c r="B677" s="10" t="s">
        <v>9</v>
      </c>
      <c r="C677" s="10" t="s">
        <v>170</v>
      </c>
      <c r="D677" s="10" t="s">
        <v>171</v>
      </c>
      <c r="E677" s="11" t="str">
        <f>+HYPERLINK("http://trademark.i-assist.jp/data/china/image_1900th/78645650.pdf", "78645650")</f>
        <v>78645650</v>
      </c>
      <c r="F677" s="10" t="s">
        <v>2035</v>
      </c>
      <c r="G677" s="10" t="s">
        <v>2036</v>
      </c>
      <c r="H677" s="10" t="s">
        <v>2037</v>
      </c>
      <c r="I677" s="10" t="s">
        <v>1700</v>
      </c>
    </row>
    <row r="678" spans="1:9" x14ac:dyDescent="0.15">
      <c r="A678" s="9">
        <v>677</v>
      </c>
      <c r="B678" s="10" t="s">
        <v>9</v>
      </c>
      <c r="C678" s="10" t="s">
        <v>170</v>
      </c>
      <c r="D678" s="10" t="s">
        <v>171</v>
      </c>
      <c r="E678" s="11" t="str">
        <f>+HYPERLINK("http://trademark.i-assist.jp/data/china/image_1900th/78645933.pdf", "78645933")</f>
        <v>78645933</v>
      </c>
      <c r="F678" s="10" t="s">
        <v>2038</v>
      </c>
      <c r="G678" s="10" t="s">
        <v>2039</v>
      </c>
      <c r="H678" s="10" t="s">
        <v>2040</v>
      </c>
      <c r="I678" s="10" t="s">
        <v>1700</v>
      </c>
    </row>
    <row r="679" spans="1:9" x14ac:dyDescent="0.15">
      <c r="A679" s="9">
        <v>678</v>
      </c>
      <c r="B679" s="10" t="s">
        <v>9</v>
      </c>
      <c r="C679" s="10" t="s">
        <v>170</v>
      </c>
      <c r="D679" s="10" t="s">
        <v>171</v>
      </c>
      <c r="E679" s="11" t="str">
        <f>+HYPERLINK("http://trademark.i-assist.jp/data/china/image_1900th/78646042.pdf", "78646042")</f>
        <v>78646042</v>
      </c>
      <c r="F679" s="10" t="s">
        <v>2041</v>
      </c>
      <c r="G679" s="10" t="s">
        <v>2042</v>
      </c>
      <c r="H679" s="10" t="s">
        <v>2043</v>
      </c>
      <c r="I679" s="10" t="s">
        <v>1700</v>
      </c>
    </row>
    <row r="680" spans="1:9" x14ac:dyDescent="0.15">
      <c r="A680" s="9">
        <v>679</v>
      </c>
      <c r="B680" s="10" t="s">
        <v>9</v>
      </c>
      <c r="C680" s="10" t="s">
        <v>170</v>
      </c>
      <c r="D680" s="10" t="s">
        <v>171</v>
      </c>
      <c r="E680" s="11" t="str">
        <f>+HYPERLINK("http://trademark.i-assist.jp/data/china/image_1900th/78646420.pdf", "78646420")</f>
        <v>78646420</v>
      </c>
      <c r="F680" s="10" t="s">
        <v>2044</v>
      </c>
      <c r="G680" s="10" t="s">
        <v>2045</v>
      </c>
      <c r="H680" s="10" t="s">
        <v>2046</v>
      </c>
      <c r="I680" s="10" t="s">
        <v>1700</v>
      </c>
    </row>
    <row r="681" spans="1:9" x14ac:dyDescent="0.15">
      <c r="A681" s="9">
        <v>680</v>
      </c>
      <c r="B681" s="10" t="s">
        <v>9</v>
      </c>
      <c r="C681" s="10" t="s">
        <v>170</v>
      </c>
      <c r="D681" s="10" t="s">
        <v>171</v>
      </c>
      <c r="E681" s="11" t="str">
        <f>+HYPERLINK("http://trademark.i-assist.jp/data/china/image_1900th/78646504.pdf", "78646504")</f>
        <v>78646504</v>
      </c>
      <c r="F681" s="10" t="s">
        <v>2047</v>
      </c>
      <c r="G681" s="10" t="s">
        <v>2048</v>
      </c>
      <c r="H681" s="10" t="s">
        <v>2049</v>
      </c>
      <c r="I681" s="10" t="s">
        <v>1700</v>
      </c>
    </row>
    <row r="682" spans="1:9" x14ac:dyDescent="0.15">
      <c r="A682" s="9">
        <v>681</v>
      </c>
      <c r="B682" s="10" t="s">
        <v>9</v>
      </c>
      <c r="C682" s="10" t="s">
        <v>170</v>
      </c>
      <c r="D682" s="10" t="s">
        <v>171</v>
      </c>
      <c r="E682" s="11" t="str">
        <f>+HYPERLINK("http://trademark.i-assist.jp/data/china/image_1900th/78646551.pdf", "78646551")</f>
        <v>78646551</v>
      </c>
      <c r="F682" s="10" t="s">
        <v>2050</v>
      </c>
      <c r="G682" s="10" t="s">
        <v>2051</v>
      </c>
      <c r="H682" s="10" t="s">
        <v>2052</v>
      </c>
      <c r="I682" s="10" t="s">
        <v>1700</v>
      </c>
    </row>
    <row r="683" spans="1:9" x14ac:dyDescent="0.15">
      <c r="A683" s="9">
        <v>682</v>
      </c>
      <c r="B683" s="10" t="s">
        <v>9</v>
      </c>
      <c r="C683" s="10" t="s">
        <v>170</v>
      </c>
      <c r="D683" s="10" t="s">
        <v>171</v>
      </c>
      <c r="E683" s="11" t="str">
        <f>+HYPERLINK("http://trademark.i-assist.jp/data/china/image_1900th/78646554.pdf", "78646554")</f>
        <v>78646554</v>
      </c>
      <c r="F683" s="10" t="s">
        <v>2053</v>
      </c>
      <c r="G683" s="10" t="s">
        <v>2054</v>
      </c>
      <c r="H683" s="10" t="s">
        <v>2055</v>
      </c>
      <c r="I683" s="10" t="s">
        <v>1700</v>
      </c>
    </row>
    <row r="684" spans="1:9" x14ac:dyDescent="0.15">
      <c r="A684" s="9">
        <v>683</v>
      </c>
      <c r="B684" s="10" t="s">
        <v>9</v>
      </c>
      <c r="C684" s="10" t="s">
        <v>170</v>
      </c>
      <c r="D684" s="10" t="s">
        <v>171</v>
      </c>
      <c r="E684" s="11" t="str">
        <f>+HYPERLINK("http://trademark.i-assist.jp/data/china/image_1900th/78647105.pdf", "78647105")</f>
        <v>78647105</v>
      </c>
      <c r="F684" s="10" t="s">
        <v>15</v>
      </c>
      <c r="G684" s="10" t="s">
        <v>2056</v>
      </c>
      <c r="H684" s="10" t="s">
        <v>2057</v>
      </c>
      <c r="I684" s="10" t="s">
        <v>1700</v>
      </c>
    </row>
    <row r="685" spans="1:9" x14ac:dyDescent="0.15">
      <c r="A685" s="9">
        <v>684</v>
      </c>
      <c r="B685" s="10" t="s">
        <v>9</v>
      </c>
      <c r="C685" s="10" t="s">
        <v>170</v>
      </c>
      <c r="D685" s="10" t="s">
        <v>171</v>
      </c>
      <c r="E685" s="11" t="str">
        <f>+HYPERLINK("http://trademark.i-assist.jp/data/china/image_1900th/78647604.pdf", "78647604")</f>
        <v>78647604</v>
      </c>
      <c r="F685" s="10" t="s">
        <v>2058</v>
      </c>
      <c r="G685" s="10" t="s">
        <v>2059</v>
      </c>
      <c r="H685" s="10" t="s">
        <v>2060</v>
      </c>
      <c r="I685" s="10" t="s">
        <v>1700</v>
      </c>
    </row>
    <row r="686" spans="1:9" x14ac:dyDescent="0.15">
      <c r="A686" s="9">
        <v>685</v>
      </c>
      <c r="B686" s="10" t="s">
        <v>9</v>
      </c>
      <c r="C686" s="10" t="s">
        <v>170</v>
      </c>
      <c r="D686" s="10" t="s">
        <v>171</v>
      </c>
      <c r="E686" s="11" t="str">
        <f>+HYPERLINK("http://trademark.i-assist.jp/data/china/image_1900th/78647696.pdf", "78647696")</f>
        <v>78647696</v>
      </c>
      <c r="F686" s="10" t="s">
        <v>2061</v>
      </c>
      <c r="G686" s="10" t="s">
        <v>2062</v>
      </c>
      <c r="H686" s="10" t="s">
        <v>2063</v>
      </c>
      <c r="I686" s="10" t="s">
        <v>1700</v>
      </c>
    </row>
    <row r="687" spans="1:9" x14ac:dyDescent="0.15">
      <c r="A687" s="9">
        <v>686</v>
      </c>
      <c r="B687" s="10" t="s">
        <v>9</v>
      </c>
      <c r="C687" s="10" t="s">
        <v>170</v>
      </c>
      <c r="D687" s="10" t="s">
        <v>171</v>
      </c>
      <c r="E687" s="11" t="str">
        <f>+HYPERLINK("http://trademark.i-assist.jp/data/china/image_1900th/78648179.pdf", "78648179")</f>
        <v>78648179</v>
      </c>
      <c r="F687" s="10" t="s">
        <v>2064</v>
      </c>
      <c r="G687" s="10" t="s">
        <v>2065</v>
      </c>
      <c r="H687" s="10" t="s">
        <v>2066</v>
      </c>
      <c r="I687" s="10" t="s">
        <v>1700</v>
      </c>
    </row>
    <row r="688" spans="1:9" x14ac:dyDescent="0.15">
      <c r="A688" s="9">
        <v>687</v>
      </c>
      <c r="B688" s="10" t="s">
        <v>9</v>
      </c>
      <c r="C688" s="10" t="s">
        <v>170</v>
      </c>
      <c r="D688" s="10" t="s">
        <v>171</v>
      </c>
      <c r="E688" s="11" t="str">
        <f>+HYPERLINK("http://trademark.i-assist.jp/data/china/image_1900th/78648322.pdf", "78648322")</f>
        <v>78648322</v>
      </c>
      <c r="F688" s="10" t="s">
        <v>2067</v>
      </c>
      <c r="G688" s="10" t="s">
        <v>1741</v>
      </c>
      <c r="H688" s="10" t="s">
        <v>2068</v>
      </c>
      <c r="I688" s="10" t="s">
        <v>1700</v>
      </c>
    </row>
    <row r="689" spans="1:9" x14ac:dyDescent="0.15">
      <c r="A689" s="9">
        <v>688</v>
      </c>
      <c r="B689" s="10" t="s">
        <v>9</v>
      </c>
      <c r="C689" s="10" t="s">
        <v>170</v>
      </c>
      <c r="D689" s="10" t="s">
        <v>171</v>
      </c>
      <c r="E689" s="11" t="str">
        <f>+HYPERLINK("http://trademark.i-assist.jp/data/china/image_1900th/78648562.pdf", "78648562")</f>
        <v>78648562</v>
      </c>
      <c r="F689" s="10" t="s">
        <v>2069</v>
      </c>
      <c r="G689" s="10" t="s">
        <v>116</v>
      </c>
      <c r="H689" s="10" t="s">
        <v>2070</v>
      </c>
      <c r="I689" s="10" t="s">
        <v>1700</v>
      </c>
    </row>
    <row r="690" spans="1:9" x14ac:dyDescent="0.15">
      <c r="A690" s="9">
        <v>689</v>
      </c>
      <c r="B690" s="10" t="s">
        <v>9</v>
      </c>
      <c r="C690" s="10" t="s">
        <v>170</v>
      </c>
      <c r="D690" s="10" t="s">
        <v>171</v>
      </c>
      <c r="E690" s="11" t="str">
        <f>+HYPERLINK("http://trademark.i-assist.jp/data/china/image_1900th/78648688.pdf", "78648688")</f>
        <v>78648688</v>
      </c>
      <c r="F690" s="10" t="s">
        <v>2071</v>
      </c>
      <c r="G690" s="10" t="s">
        <v>1773</v>
      </c>
      <c r="H690" s="10" t="s">
        <v>2072</v>
      </c>
      <c r="I690" s="10" t="s">
        <v>1700</v>
      </c>
    </row>
    <row r="691" spans="1:9" x14ac:dyDescent="0.15">
      <c r="A691" s="9">
        <v>690</v>
      </c>
      <c r="B691" s="10" t="s">
        <v>9</v>
      </c>
      <c r="C691" s="10" t="s">
        <v>170</v>
      </c>
      <c r="D691" s="10" t="s">
        <v>171</v>
      </c>
      <c r="E691" s="11" t="str">
        <f>+HYPERLINK("http://trademark.i-assist.jp/data/china/image_1900th/78648719.pdf", "78648719")</f>
        <v>78648719</v>
      </c>
      <c r="F691" s="10" t="s">
        <v>2073</v>
      </c>
      <c r="G691" s="10" t="s">
        <v>2074</v>
      </c>
      <c r="H691" s="10" t="s">
        <v>2075</v>
      </c>
      <c r="I691" s="10" t="s">
        <v>1700</v>
      </c>
    </row>
    <row r="692" spans="1:9" x14ac:dyDescent="0.15">
      <c r="A692" s="9">
        <v>691</v>
      </c>
      <c r="B692" s="10" t="s">
        <v>9</v>
      </c>
      <c r="C692" s="10" t="s">
        <v>170</v>
      </c>
      <c r="D692" s="10" t="s">
        <v>171</v>
      </c>
      <c r="E692" s="11" t="str">
        <f>+HYPERLINK("http://trademark.i-assist.jp/data/china/image_1900th/78649551.pdf", "78649551")</f>
        <v>78649551</v>
      </c>
      <c r="F692" s="10" t="s">
        <v>2076</v>
      </c>
      <c r="G692" s="10" t="s">
        <v>1773</v>
      </c>
      <c r="H692" s="10" t="s">
        <v>2077</v>
      </c>
      <c r="I692" s="10" t="s">
        <v>1700</v>
      </c>
    </row>
    <row r="693" spans="1:9" x14ac:dyDescent="0.15">
      <c r="A693" s="9">
        <v>692</v>
      </c>
      <c r="B693" s="10" t="s">
        <v>9</v>
      </c>
      <c r="C693" s="10" t="s">
        <v>170</v>
      </c>
      <c r="D693" s="10" t="s">
        <v>171</v>
      </c>
      <c r="E693" s="11" t="str">
        <f>+HYPERLINK("http://trademark.i-assist.jp/data/china/image_1900th/78649588.pdf", "78649588")</f>
        <v>78649588</v>
      </c>
      <c r="F693" s="10" t="s">
        <v>2078</v>
      </c>
      <c r="G693" s="10" t="s">
        <v>2079</v>
      </c>
      <c r="H693" s="10" t="s">
        <v>2080</v>
      </c>
      <c r="I693" s="10" t="s">
        <v>1700</v>
      </c>
    </row>
    <row r="694" spans="1:9" x14ac:dyDescent="0.15">
      <c r="A694" s="9">
        <v>693</v>
      </c>
      <c r="B694" s="10" t="s">
        <v>9</v>
      </c>
      <c r="C694" s="10" t="s">
        <v>170</v>
      </c>
      <c r="D694" s="10" t="s">
        <v>171</v>
      </c>
      <c r="E694" s="11" t="str">
        <f>+HYPERLINK("http://trademark.i-assist.jp/data/china/image_1900th/78649855.pdf", "78649855")</f>
        <v>78649855</v>
      </c>
      <c r="F694" s="10" t="s">
        <v>2081</v>
      </c>
      <c r="G694" s="10" t="s">
        <v>2082</v>
      </c>
      <c r="H694" s="10" t="s">
        <v>2083</v>
      </c>
      <c r="I694" s="10" t="s">
        <v>1700</v>
      </c>
    </row>
    <row r="695" spans="1:9" x14ac:dyDescent="0.15">
      <c r="A695" s="9">
        <v>694</v>
      </c>
      <c r="B695" s="10" t="s">
        <v>9</v>
      </c>
      <c r="C695" s="10" t="s">
        <v>170</v>
      </c>
      <c r="D695" s="10" t="s">
        <v>171</v>
      </c>
      <c r="E695" s="11" t="str">
        <f>+HYPERLINK("http://trademark.i-assist.jp/data/china/image_1900th/78650143.pdf", "78650143")</f>
        <v>78650143</v>
      </c>
      <c r="F695" s="10" t="s">
        <v>2084</v>
      </c>
      <c r="G695" s="10" t="s">
        <v>2085</v>
      </c>
      <c r="H695" s="10" t="s">
        <v>2086</v>
      </c>
      <c r="I695" s="10" t="s">
        <v>1700</v>
      </c>
    </row>
    <row r="696" spans="1:9" x14ac:dyDescent="0.15">
      <c r="A696" s="9">
        <v>695</v>
      </c>
      <c r="B696" s="10" t="s">
        <v>9</v>
      </c>
      <c r="C696" s="10" t="s">
        <v>170</v>
      </c>
      <c r="D696" s="10" t="s">
        <v>171</v>
      </c>
      <c r="E696" s="11" t="str">
        <f>+HYPERLINK("http://trademark.i-assist.jp/data/china/image_1900th/78650246.pdf", "78650246")</f>
        <v>78650246</v>
      </c>
      <c r="F696" s="10" t="s">
        <v>2087</v>
      </c>
      <c r="G696" s="10" t="s">
        <v>2088</v>
      </c>
      <c r="H696" s="10" t="s">
        <v>2089</v>
      </c>
      <c r="I696" s="10" t="s">
        <v>1700</v>
      </c>
    </row>
    <row r="697" spans="1:9" x14ac:dyDescent="0.15">
      <c r="A697" s="9">
        <v>696</v>
      </c>
      <c r="B697" s="10" t="s">
        <v>9</v>
      </c>
      <c r="C697" s="10" t="s">
        <v>170</v>
      </c>
      <c r="D697" s="10" t="s">
        <v>171</v>
      </c>
      <c r="E697" s="11" t="str">
        <f>+HYPERLINK("http://trademark.i-assist.jp/data/china/image_1900th/78650395.pdf", "78650395")</f>
        <v>78650395</v>
      </c>
      <c r="F697" s="10" t="s">
        <v>2090</v>
      </c>
      <c r="G697" s="10" t="s">
        <v>2091</v>
      </c>
      <c r="H697" s="10" t="s">
        <v>2092</v>
      </c>
      <c r="I697" s="10" t="s">
        <v>1700</v>
      </c>
    </row>
    <row r="698" spans="1:9" x14ac:dyDescent="0.15">
      <c r="A698" s="9">
        <v>697</v>
      </c>
      <c r="B698" s="10" t="s">
        <v>9</v>
      </c>
      <c r="C698" s="10" t="s">
        <v>170</v>
      </c>
      <c r="D698" s="10" t="s">
        <v>171</v>
      </c>
      <c r="E698" s="11" t="str">
        <f>+HYPERLINK("http://trademark.i-assist.jp/data/china/image_1900th/78651399.pdf", "78651399")</f>
        <v>78651399</v>
      </c>
      <c r="F698" s="10" t="s">
        <v>2093</v>
      </c>
      <c r="G698" s="10" t="s">
        <v>2094</v>
      </c>
      <c r="H698" s="10" t="s">
        <v>2095</v>
      </c>
      <c r="I698" s="10" t="s">
        <v>2096</v>
      </c>
    </row>
    <row r="699" spans="1:9" x14ac:dyDescent="0.15">
      <c r="A699" s="9">
        <v>698</v>
      </c>
      <c r="B699" s="10" t="s">
        <v>9</v>
      </c>
      <c r="C699" s="10" t="s">
        <v>170</v>
      </c>
      <c r="D699" s="10" t="s">
        <v>171</v>
      </c>
      <c r="E699" s="11" t="str">
        <f>+HYPERLINK("http://trademark.i-assist.jp/data/china/image_1900th/78651596.pdf", "78651596")</f>
        <v>78651596</v>
      </c>
      <c r="F699" s="10" t="s">
        <v>2097</v>
      </c>
      <c r="G699" s="10" t="s">
        <v>2098</v>
      </c>
      <c r="H699" s="10" t="s">
        <v>2099</v>
      </c>
      <c r="I699" s="10" t="s">
        <v>2096</v>
      </c>
    </row>
    <row r="700" spans="1:9" x14ac:dyDescent="0.15">
      <c r="A700" s="9">
        <v>699</v>
      </c>
      <c r="B700" s="10" t="s">
        <v>9</v>
      </c>
      <c r="C700" s="10" t="s">
        <v>170</v>
      </c>
      <c r="D700" s="10" t="s">
        <v>171</v>
      </c>
      <c r="E700" s="11" t="str">
        <f>+HYPERLINK("http://trademark.i-assist.jp/data/china/image_1900th/78651760.pdf", "78651760")</f>
        <v>78651760</v>
      </c>
      <c r="F700" s="10" t="s">
        <v>2100</v>
      </c>
      <c r="G700" s="10" t="s">
        <v>2101</v>
      </c>
      <c r="H700" s="10" t="s">
        <v>2102</v>
      </c>
      <c r="I700" s="10" t="s">
        <v>2096</v>
      </c>
    </row>
    <row r="701" spans="1:9" x14ac:dyDescent="0.15">
      <c r="A701" s="9">
        <v>700</v>
      </c>
      <c r="B701" s="10" t="s">
        <v>9</v>
      </c>
      <c r="C701" s="10" t="s">
        <v>170</v>
      </c>
      <c r="D701" s="10" t="s">
        <v>171</v>
      </c>
      <c r="E701" s="11" t="str">
        <f>+HYPERLINK("http://trademark.i-assist.jp/data/china/image_1900th/78652141.pdf", "78652141")</f>
        <v>78652141</v>
      </c>
      <c r="F701" s="10" t="s">
        <v>2103</v>
      </c>
      <c r="G701" s="10" t="s">
        <v>2104</v>
      </c>
      <c r="H701" s="10" t="s">
        <v>2105</v>
      </c>
      <c r="I701" s="10" t="s">
        <v>2096</v>
      </c>
    </row>
    <row r="702" spans="1:9" x14ac:dyDescent="0.15">
      <c r="A702" s="9">
        <v>701</v>
      </c>
      <c r="B702" s="10" t="s">
        <v>9</v>
      </c>
      <c r="C702" s="10" t="s">
        <v>170</v>
      </c>
      <c r="D702" s="10" t="s">
        <v>171</v>
      </c>
      <c r="E702" s="11" t="str">
        <f>+HYPERLINK("http://trademark.i-assist.jp/data/china/image_1900th/78652743.pdf", "78652743")</f>
        <v>78652743</v>
      </c>
      <c r="F702" s="10" t="s">
        <v>2106</v>
      </c>
      <c r="G702" s="10" t="s">
        <v>2107</v>
      </c>
      <c r="H702" s="10" t="s">
        <v>2108</v>
      </c>
      <c r="I702" s="10" t="s">
        <v>2096</v>
      </c>
    </row>
    <row r="703" spans="1:9" x14ac:dyDescent="0.15">
      <c r="A703" s="9">
        <v>702</v>
      </c>
      <c r="B703" s="10" t="s">
        <v>9</v>
      </c>
      <c r="C703" s="10" t="s">
        <v>170</v>
      </c>
      <c r="D703" s="10" t="s">
        <v>171</v>
      </c>
      <c r="E703" s="11" t="str">
        <f>+HYPERLINK("http://trademark.i-assist.jp/data/china/image_1900th/78653218.pdf", "78653218")</f>
        <v>78653218</v>
      </c>
      <c r="F703" s="10" t="s">
        <v>2109</v>
      </c>
      <c r="G703" s="10" t="s">
        <v>2110</v>
      </c>
      <c r="H703" s="10" t="s">
        <v>2111</v>
      </c>
      <c r="I703" s="10" t="s">
        <v>2096</v>
      </c>
    </row>
    <row r="704" spans="1:9" x14ac:dyDescent="0.15">
      <c r="A704" s="9">
        <v>703</v>
      </c>
      <c r="B704" s="10" t="s">
        <v>9</v>
      </c>
      <c r="C704" s="10" t="s">
        <v>170</v>
      </c>
      <c r="D704" s="10" t="s">
        <v>171</v>
      </c>
      <c r="E704" s="11" t="str">
        <f>+HYPERLINK("http://trademark.i-assist.jp/data/china/image_1900th/78653494.pdf", "78653494")</f>
        <v>78653494</v>
      </c>
      <c r="F704" s="10" t="s">
        <v>2112</v>
      </c>
      <c r="G704" s="10" t="s">
        <v>2113</v>
      </c>
      <c r="H704" s="10" t="s">
        <v>2114</v>
      </c>
      <c r="I704" s="10" t="s">
        <v>2096</v>
      </c>
    </row>
    <row r="705" spans="1:9" x14ac:dyDescent="0.15">
      <c r="A705" s="9">
        <v>704</v>
      </c>
      <c r="B705" s="10" t="s">
        <v>9</v>
      </c>
      <c r="C705" s="10" t="s">
        <v>170</v>
      </c>
      <c r="D705" s="10" t="s">
        <v>171</v>
      </c>
      <c r="E705" s="11" t="str">
        <f>+HYPERLINK("http://trademark.i-assist.jp/data/china/image_1900th/78653664.pdf", "78653664")</f>
        <v>78653664</v>
      </c>
      <c r="F705" s="10" t="s">
        <v>2115</v>
      </c>
      <c r="G705" s="10" t="s">
        <v>2116</v>
      </c>
      <c r="H705" s="10" t="s">
        <v>2117</v>
      </c>
      <c r="I705" s="10" t="s">
        <v>2096</v>
      </c>
    </row>
    <row r="706" spans="1:9" x14ac:dyDescent="0.15">
      <c r="A706" s="9">
        <v>705</v>
      </c>
      <c r="B706" s="10" t="s">
        <v>9</v>
      </c>
      <c r="C706" s="10" t="s">
        <v>170</v>
      </c>
      <c r="D706" s="10" t="s">
        <v>171</v>
      </c>
      <c r="E706" s="11" t="str">
        <f>+HYPERLINK("http://trademark.i-assist.jp/data/china/image_1900th/78654140.pdf", "78654140")</f>
        <v>78654140</v>
      </c>
      <c r="F706" s="10" t="s">
        <v>2118</v>
      </c>
      <c r="G706" s="10" t="s">
        <v>2119</v>
      </c>
      <c r="H706" s="10" t="s">
        <v>2120</v>
      </c>
      <c r="I706" s="10" t="s">
        <v>2096</v>
      </c>
    </row>
    <row r="707" spans="1:9" x14ac:dyDescent="0.15">
      <c r="A707" s="9">
        <v>706</v>
      </c>
      <c r="B707" s="10" t="s">
        <v>9</v>
      </c>
      <c r="C707" s="10" t="s">
        <v>170</v>
      </c>
      <c r="D707" s="10" t="s">
        <v>171</v>
      </c>
      <c r="E707" s="11" t="str">
        <f>+HYPERLINK("http://trademark.i-assist.jp/data/china/image_1900th/78654233.pdf", "78654233")</f>
        <v>78654233</v>
      </c>
      <c r="F707" s="10" t="s">
        <v>2121</v>
      </c>
      <c r="G707" s="10" t="s">
        <v>115</v>
      </c>
      <c r="H707" s="10" t="s">
        <v>2122</v>
      </c>
      <c r="I707" s="10" t="s">
        <v>2096</v>
      </c>
    </row>
    <row r="708" spans="1:9" x14ac:dyDescent="0.15">
      <c r="A708" s="9">
        <v>707</v>
      </c>
      <c r="B708" s="10" t="s">
        <v>9</v>
      </c>
      <c r="C708" s="10" t="s">
        <v>170</v>
      </c>
      <c r="D708" s="10" t="s">
        <v>171</v>
      </c>
      <c r="E708" s="11" t="str">
        <f>+HYPERLINK("http://trademark.i-assist.jp/data/china/image_1900th/78655137.pdf", "78655137")</f>
        <v>78655137</v>
      </c>
      <c r="F708" s="10" t="s">
        <v>2123</v>
      </c>
      <c r="G708" s="10" t="s">
        <v>2124</v>
      </c>
      <c r="H708" s="10" t="s">
        <v>2125</v>
      </c>
      <c r="I708" s="10" t="s">
        <v>2096</v>
      </c>
    </row>
    <row r="709" spans="1:9" x14ac:dyDescent="0.15">
      <c r="A709" s="9">
        <v>708</v>
      </c>
      <c r="B709" s="10" t="s">
        <v>9</v>
      </c>
      <c r="C709" s="10" t="s">
        <v>170</v>
      </c>
      <c r="D709" s="10" t="s">
        <v>171</v>
      </c>
      <c r="E709" s="11" t="str">
        <f>+HYPERLINK("http://trademark.i-assist.jp/data/china/image_1900th/78655462.pdf", "78655462")</f>
        <v>78655462</v>
      </c>
      <c r="F709" s="10" t="s">
        <v>2126</v>
      </c>
      <c r="G709" s="10" t="s">
        <v>2127</v>
      </c>
      <c r="H709" s="10" t="s">
        <v>2128</v>
      </c>
      <c r="I709" s="10" t="s">
        <v>2096</v>
      </c>
    </row>
    <row r="710" spans="1:9" x14ac:dyDescent="0.15">
      <c r="A710" s="9">
        <v>709</v>
      </c>
      <c r="B710" s="10" t="s">
        <v>9</v>
      </c>
      <c r="C710" s="10" t="s">
        <v>170</v>
      </c>
      <c r="D710" s="10" t="s">
        <v>171</v>
      </c>
      <c r="E710" s="11" t="str">
        <f>+HYPERLINK("http://trademark.i-assist.jp/data/china/image_1900th/78656251.pdf", "78656251")</f>
        <v>78656251</v>
      </c>
      <c r="F710" s="10" t="s">
        <v>2129</v>
      </c>
      <c r="G710" s="10" t="s">
        <v>2130</v>
      </c>
      <c r="H710" s="10" t="s">
        <v>2131</v>
      </c>
      <c r="I710" s="10" t="s">
        <v>2096</v>
      </c>
    </row>
    <row r="711" spans="1:9" x14ac:dyDescent="0.15">
      <c r="A711" s="9">
        <v>710</v>
      </c>
      <c r="B711" s="10" t="s">
        <v>9</v>
      </c>
      <c r="C711" s="10" t="s">
        <v>170</v>
      </c>
      <c r="D711" s="10" t="s">
        <v>171</v>
      </c>
      <c r="E711" s="11" t="str">
        <f>+HYPERLINK("http://trademark.i-assist.jp/data/china/image_1900th/78657084.pdf", "78657084")</f>
        <v>78657084</v>
      </c>
      <c r="F711" s="10" t="s">
        <v>2132</v>
      </c>
      <c r="G711" s="10" t="s">
        <v>2133</v>
      </c>
      <c r="H711" s="10" t="s">
        <v>2134</v>
      </c>
      <c r="I711" s="10" t="s">
        <v>2096</v>
      </c>
    </row>
    <row r="712" spans="1:9" x14ac:dyDescent="0.15">
      <c r="A712" s="9">
        <v>711</v>
      </c>
      <c r="B712" s="10" t="s">
        <v>9</v>
      </c>
      <c r="C712" s="10" t="s">
        <v>170</v>
      </c>
      <c r="D712" s="10" t="s">
        <v>171</v>
      </c>
      <c r="E712" s="11" t="str">
        <f>+HYPERLINK("http://trademark.i-assist.jp/data/china/image_1900th/78657313.pdf", "78657313")</f>
        <v>78657313</v>
      </c>
      <c r="F712" s="10" t="s">
        <v>2135</v>
      </c>
      <c r="G712" s="10" t="s">
        <v>2136</v>
      </c>
      <c r="H712" s="10" t="s">
        <v>2137</v>
      </c>
      <c r="I712" s="10" t="s">
        <v>2096</v>
      </c>
    </row>
    <row r="713" spans="1:9" x14ac:dyDescent="0.15">
      <c r="A713" s="9">
        <v>712</v>
      </c>
      <c r="B713" s="10" t="s">
        <v>9</v>
      </c>
      <c r="C713" s="10" t="s">
        <v>170</v>
      </c>
      <c r="D713" s="10" t="s">
        <v>171</v>
      </c>
      <c r="E713" s="11" t="str">
        <f>+HYPERLINK("http://trademark.i-assist.jp/data/china/image_1900th/78657995.pdf", "78657995")</f>
        <v>78657995</v>
      </c>
      <c r="F713" s="10" t="s">
        <v>2138</v>
      </c>
      <c r="G713" s="10" t="s">
        <v>2139</v>
      </c>
      <c r="H713" s="10" t="s">
        <v>2140</v>
      </c>
      <c r="I713" s="10" t="s">
        <v>2096</v>
      </c>
    </row>
    <row r="714" spans="1:9" x14ac:dyDescent="0.15">
      <c r="A714" s="9">
        <v>713</v>
      </c>
      <c r="B714" s="10" t="s">
        <v>9</v>
      </c>
      <c r="C714" s="10" t="s">
        <v>170</v>
      </c>
      <c r="D714" s="10" t="s">
        <v>171</v>
      </c>
      <c r="E714" s="11" t="str">
        <f>+HYPERLINK("http://trademark.i-assist.jp/data/china/image_1900th/78658735.pdf", "78658735")</f>
        <v>78658735</v>
      </c>
      <c r="F714" s="10" t="s">
        <v>2141</v>
      </c>
      <c r="G714" s="10" t="s">
        <v>2142</v>
      </c>
      <c r="H714" s="10" t="s">
        <v>2143</v>
      </c>
      <c r="I714" s="10" t="s">
        <v>2096</v>
      </c>
    </row>
    <row r="715" spans="1:9" x14ac:dyDescent="0.15">
      <c r="A715" s="9">
        <v>714</v>
      </c>
      <c r="B715" s="10" t="s">
        <v>9</v>
      </c>
      <c r="C715" s="10" t="s">
        <v>170</v>
      </c>
      <c r="D715" s="10" t="s">
        <v>171</v>
      </c>
      <c r="E715" s="11" t="str">
        <f>+HYPERLINK("http://trademark.i-assist.jp/data/china/image_1900th/78658977.pdf", "78658977")</f>
        <v>78658977</v>
      </c>
      <c r="F715" s="10" t="s">
        <v>2144</v>
      </c>
      <c r="G715" s="10" t="s">
        <v>2145</v>
      </c>
      <c r="H715" s="10" t="s">
        <v>2146</v>
      </c>
      <c r="I715" s="10" t="s">
        <v>2096</v>
      </c>
    </row>
    <row r="716" spans="1:9" x14ac:dyDescent="0.15">
      <c r="A716" s="9">
        <v>715</v>
      </c>
      <c r="B716" s="10" t="s">
        <v>9</v>
      </c>
      <c r="C716" s="10" t="s">
        <v>170</v>
      </c>
      <c r="D716" s="10" t="s">
        <v>171</v>
      </c>
      <c r="E716" s="11" t="str">
        <f>+HYPERLINK("http://trademark.i-assist.jp/data/china/image_1900th/78659029.pdf", "78659029")</f>
        <v>78659029</v>
      </c>
      <c r="F716" s="10" t="s">
        <v>2147</v>
      </c>
      <c r="G716" s="10" t="s">
        <v>2148</v>
      </c>
      <c r="H716" s="10" t="s">
        <v>2149</v>
      </c>
      <c r="I716" s="10" t="s">
        <v>2096</v>
      </c>
    </row>
    <row r="717" spans="1:9" x14ac:dyDescent="0.15">
      <c r="A717" s="9">
        <v>716</v>
      </c>
      <c r="B717" s="10" t="s">
        <v>9</v>
      </c>
      <c r="C717" s="10" t="s">
        <v>170</v>
      </c>
      <c r="D717" s="10" t="s">
        <v>171</v>
      </c>
      <c r="E717" s="11" t="str">
        <f>+HYPERLINK("http://trademark.i-assist.jp/data/china/image_1900th/78659426.pdf", "78659426")</f>
        <v>78659426</v>
      </c>
      <c r="F717" s="10" t="s">
        <v>2150</v>
      </c>
      <c r="G717" s="10" t="s">
        <v>2151</v>
      </c>
      <c r="H717" s="10" t="s">
        <v>2152</v>
      </c>
      <c r="I717" s="10" t="s">
        <v>2096</v>
      </c>
    </row>
    <row r="718" spans="1:9" x14ac:dyDescent="0.15">
      <c r="A718" s="9">
        <v>717</v>
      </c>
      <c r="B718" s="10" t="s">
        <v>9</v>
      </c>
      <c r="C718" s="10" t="s">
        <v>170</v>
      </c>
      <c r="D718" s="10" t="s">
        <v>171</v>
      </c>
      <c r="E718" s="11" t="str">
        <f>+HYPERLINK("http://trademark.i-assist.jp/data/china/image_1900th/78659949.pdf", "78659949")</f>
        <v>78659949</v>
      </c>
      <c r="F718" s="10" t="s">
        <v>2153</v>
      </c>
      <c r="G718" s="10" t="s">
        <v>2154</v>
      </c>
      <c r="H718" s="10" t="s">
        <v>2155</v>
      </c>
      <c r="I718" s="10" t="s">
        <v>2096</v>
      </c>
    </row>
    <row r="719" spans="1:9" x14ac:dyDescent="0.15">
      <c r="A719" s="9">
        <v>718</v>
      </c>
      <c r="B719" s="10" t="s">
        <v>9</v>
      </c>
      <c r="C719" s="10" t="s">
        <v>170</v>
      </c>
      <c r="D719" s="10" t="s">
        <v>171</v>
      </c>
      <c r="E719" s="11" t="str">
        <f>+HYPERLINK("http://trademark.i-assist.jp/data/china/image_1900th/78660837.pdf", "78660837")</f>
        <v>78660837</v>
      </c>
      <c r="F719" s="10" t="s">
        <v>2156</v>
      </c>
      <c r="G719" s="10" t="s">
        <v>2124</v>
      </c>
      <c r="H719" s="10" t="s">
        <v>2157</v>
      </c>
      <c r="I719" s="10" t="s">
        <v>2096</v>
      </c>
    </row>
    <row r="720" spans="1:9" x14ac:dyDescent="0.15">
      <c r="A720" s="9">
        <v>719</v>
      </c>
      <c r="B720" s="10" t="s">
        <v>9</v>
      </c>
      <c r="C720" s="10" t="s">
        <v>170</v>
      </c>
      <c r="D720" s="10" t="s">
        <v>171</v>
      </c>
      <c r="E720" s="11" t="str">
        <f>+HYPERLINK("http://trademark.i-assist.jp/data/china/image_1900th/78660964.pdf", "78660964")</f>
        <v>78660964</v>
      </c>
      <c r="F720" s="10" t="s">
        <v>2158</v>
      </c>
      <c r="G720" s="10" t="s">
        <v>2159</v>
      </c>
      <c r="H720" s="10" t="s">
        <v>2160</v>
      </c>
      <c r="I720" s="10" t="s">
        <v>2096</v>
      </c>
    </row>
    <row r="721" spans="1:9" x14ac:dyDescent="0.15">
      <c r="A721" s="9">
        <v>720</v>
      </c>
      <c r="B721" s="10" t="s">
        <v>9</v>
      </c>
      <c r="C721" s="10" t="s">
        <v>170</v>
      </c>
      <c r="D721" s="10" t="s">
        <v>171</v>
      </c>
      <c r="E721" s="11" t="str">
        <f>+HYPERLINK("http://trademark.i-assist.jp/data/china/image_1900th/78661027.pdf", "78661027")</f>
        <v>78661027</v>
      </c>
      <c r="F721" s="10" t="s">
        <v>2161</v>
      </c>
      <c r="G721" s="10" t="s">
        <v>130</v>
      </c>
      <c r="H721" s="10" t="s">
        <v>2162</v>
      </c>
      <c r="I721" s="10" t="s">
        <v>2096</v>
      </c>
    </row>
    <row r="722" spans="1:9" x14ac:dyDescent="0.15">
      <c r="A722" s="9">
        <v>721</v>
      </c>
      <c r="B722" s="10" t="s">
        <v>9</v>
      </c>
      <c r="C722" s="10" t="s">
        <v>170</v>
      </c>
      <c r="D722" s="10" t="s">
        <v>171</v>
      </c>
      <c r="E722" s="11" t="str">
        <f>+HYPERLINK("http://trademark.i-assist.jp/data/china/image_1900th/78661492.pdf", "78661492")</f>
        <v>78661492</v>
      </c>
      <c r="F722" s="10" t="s">
        <v>2163</v>
      </c>
      <c r="G722" s="10" t="s">
        <v>2164</v>
      </c>
      <c r="H722" s="10" t="s">
        <v>2165</v>
      </c>
      <c r="I722" s="10" t="s">
        <v>2096</v>
      </c>
    </row>
    <row r="723" spans="1:9" x14ac:dyDescent="0.15">
      <c r="A723" s="9">
        <v>722</v>
      </c>
      <c r="B723" s="10" t="s">
        <v>9</v>
      </c>
      <c r="C723" s="10" t="s">
        <v>170</v>
      </c>
      <c r="D723" s="10" t="s">
        <v>171</v>
      </c>
      <c r="E723" s="11" t="str">
        <f>+HYPERLINK("http://trademark.i-assist.jp/data/china/image_1900th/78661708.pdf", "78661708")</f>
        <v>78661708</v>
      </c>
      <c r="F723" s="10" t="s">
        <v>2166</v>
      </c>
      <c r="G723" s="10" t="s">
        <v>2167</v>
      </c>
      <c r="H723" s="10" t="s">
        <v>2168</v>
      </c>
      <c r="I723" s="10" t="s">
        <v>2096</v>
      </c>
    </row>
    <row r="724" spans="1:9" x14ac:dyDescent="0.15">
      <c r="A724" s="9">
        <v>723</v>
      </c>
      <c r="B724" s="10" t="s">
        <v>9</v>
      </c>
      <c r="C724" s="10" t="s">
        <v>170</v>
      </c>
      <c r="D724" s="10" t="s">
        <v>171</v>
      </c>
      <c r="E724" s="11" t="str">
        <f>+HYPERLINK("http://trademark.i-assist.jp/data/china/image_1900th/78661743.pdf", "78661743")</f>
        <v>78661743</v>
      </c>
      <c r="F724" s="10" t="s">
        <v>2169</v>
      </c>
      <c r="G724" s="10" t="s">
        <v>2170</v>
      </c>
      <c r="H724" s="10" t="s">
        <v>2171</v>
      </c>
      <c r="I724" s="10" t="s">
        <v>2096</v>
      </c>
    </row>
    <row r="725" spans="1:9" x14ac:dyDescent="0.15">
      <c r="A725" s="9">
        <v>724</v>
      </c>
      <c r="B725" s="10" t="s">
        <v>9</v>
      </c>
      <c r="C725" s="10" t="s">
        <v>170</v>
      </c>
      <c r="D725" s="10" t="s">
        <v>171</v>
      </c>
      <c r="E725" s="11" t="str">
        <f>+HYPERLINK("http://trademark.i-assist.jp/data/china/image_1900th/78661904.pdf", "78661904")</f>
        <v>78661904</v>
      </c>
      <c r="F725" s="10" t="s">
        <v>2172</v>
      </c>
      <c r="G725" s="10" t="s">
        <v>2173</v>
      </c>
      <c r="H725" s="10" t="s">
        <v>2174</v>
      </c>
      <c r="I725" s="10" t="s">
        <v>2096</v>
      </c>
    </row>
    <row r="726" spans="1:9" x14ac:dyDescent="0.15">
      <c r="A726" s="9">
        <v>725</v>
      </c>
      <c r="B726" s="10" t="s">
        <v>9</v>
      </c>
      <c r="C726" s="10" t="s">
        <v>170</v>
      </c>
      <c r="D726" s="10" t="s">
        <v>171</v>
      </c>
      <c r="E726" s="11" t="str">
        <f>+HYPERLINK("http://trademark.i-assist.jp/data/china/image_1900th/78661922.pdf", "78661922")</f>
        <v>78661922</v>
      </c>
      <c r="F726" s="10" t="s">
        <v>2175</v>
      </c>
      <c r="G726" s="10" t="s">
        <v>2176</v>
      </c>
      <c r="H726" s="10" t="s">
        <v>2177</v>
      </c>
      <c r="I726" s="10" t="s">
        <v>2096</v>
      </c>
    </row>
    <row r="727" spans="1:9" x14ac:dyDescent="0.15">
      <c r="A727" s="9">
        <v>726</v>
      </c>
      <c r="B727" s="10" t="s">
        <v>9</v>
      </c>
      <c r="C727" s="10" t="s">
        <v>170</v>
      </c>
      <c r="D727" s="10" t="s">
        <v>171</v>
      </c>
      <c r="E727" s="11" t="str">
        <f>+HYPERLINK("http://trademark.i-assist.jp/data/china/image_1900th/78662117.pdf", "78662117")</f>
        <v>78662117</v>
      </c>
      <c r="F727" s="10" t="s">
        <v>2178</v>
      </c>
      <c r="G727" s="10" t="s">
        <v>2179</v>
      </c>
      <c r="H727" s="10" t="s">
        <v>2180</v>
      </c>
      <c r="I727" s="10" t="s">
        <v>2096</v>
      </c>
    </row>
    <row r="728" spans="1:9" x14ac:dyDescent="0.15">
      <c r="A728" s="9">
        <v>727</v>
      </c>
      <c r="B728" s="10" t="s">
        <v>9</v>
      </c>
      <c r="C728" s="10" t="s">
        <v>170</v>
      </c>
      <c r="D728" s="10" t="s">
        <v>171</v>
      </c>
      <c r="E728" s="11" t="str">
        <f>+HYPERLINK("http://trademark.i-assist.jp/data/china/image_1900th/78662541.pdf", "78662541")</f>
        <v>78662541</v>
      </c>
      <c r="F728" s="10" t="s">
        <v>2181</v>
      </c>
      <c r="G728" s="10" t="s">
        <v>2098</v>
      </c>
      <c r="H728" s="10" t="s">
        <v>2182</v>
      </c>
      <c r="I728" s="10" t="s">
        <v>2096</v>
      </c>
    </row>
    <row r="729" spans="1:9" x14ac:dyDescent="0.15">
      <c r="A729" s="9">
        <v>728</v>
      </c>
      <c r="B729" s="10" t="s">
        <v>9</v>
      </c>
      <c r="C729" s="10" t="s">
        <v>170</v>
      </c>
      <c r="D729" s="10" t="s">
        <v>171</v>
      </c>
      <c r="E729" s="11" t="str">
        <f>+HYPERLINK("http://trademark.i-assist.jp/data/china/image_1900th/78662549.pdf", "78662549")</f>
        <v>78662549</v>
      </c>
      <c r="F729" s="10" t="s">
        <v>15</v>
      </c>
      <c r="G729" s="10" t="s">
        <v>2183</v>
      </c>
      <c r="H729" s="10" t="s">
        <v>2184</v>
      </c>
      <c r="I729" s="10" t="s">
        <v>2096</v>
      </c>
    </row>
    <row r="730" spans="1:9" x14ac:dyDescent="0.15">
      <c r="A730" s="9">
        <v>729</v>
      </c>
      <c r="B730" s="10" t="s">
        <v>9</v>
      </c>
      <c r="C730" s="10" t="s">
        <v>170</v>
      </c>
      <c r="D730" s="10" t="s">
        <v>171</v>
      </c>
      <c r="E730" s="11" t="str">
        <f>+HYPERLINK("http://trademark.i-assist.jp/data/china/image_1900th/78662824.pdf", "78662824")</f>
        <v>78662824</v>
      </c>
      <c r="F730" s="10" t="s">
        <v>2185</v>
      </c>
      <c r="G730" s="10" t="s">
        <v>2186</v>
      </c>
      <c r="H730" s="10" t="s">
        <v>2187</v>
      </c>
      <c r="I730" s="10" t="s">
        <v>2096</v>
      </c>
    </row>
    <row r="731" spans="1:9" x14ac:dyDescent="0.15">
      <c r="A731" s="9">
        <v>730</v>
      </c>
      <c r="B731" s="10" t="s">
        <v>9</v>
      </c>
      <c r="C731" s="10" t="s">
        <v>170</v>
      </c>
      <c r="D731" s="10" t="s">
        <v>171</v>
      </c>
      <c r="E731" s="11" t="str">
        <f>+HYPERLINK("http://trademark.i-assist.jp/data/china/image_1900th/78663220.pdf", "78663220")</f>
        <v>78663220</v>
      </c>
      <c r="F731" s="10" t="s">
        <v>2188</v>
      </c>
      <c r="G731" s="10" t="s">
        <v>2189</v>
      </c>
      <c r="H731" s="10" t="s">
        <v>89</v>
      </c>
      <c r="I731" s="10" t="s">
        <v>2096</v>
      </c>
    </row>
    <row r="732" spans="1:9" x14ac:dyDescent="0.15">
      <c r="A732" s="9">
        <v>731</v>
      </c>
      <c r="B732" s="10" t="s">
        <v>9</v>
      </c>
      <c r="C732" s="10" t="s">
        <v>170</v>
      </c>
      <c r="D732" s="10" t="s">
        <v>171</v>
      </c>
      <c r="E732" s="11" t="str">
        <f>+HYPERLINK("http://trademark.i-assist.jp/data/china/image_1900th/78663269.pdf", "78663269")</f>
        <v>78663269</v>
      </c>
      <c r="F732" s="10" t="s">
        <v>2190</v>
      </c>
      <c r="G732" s="10" t="s">
        <v>2191</v>
      </c>
      <c r="H732" s="10" t="s">
        <v>2192</v>
      </c>
      <c r="I732" s="10" t="s">
        <v>2096</v>
      </c>
    </row>
    <row r="733" spans="1:9" x14ac:dyDescent="0.15">
      <c r="A733" s="9">
        <v>732</v>
      </c>
      <c r="B733" s="10" t="s">
        <v>9</v>
      </c>
      <c r="C733" s="10" t="s">
        <v>170</v>
      </c>
      <c r="D733" s="10" t="s">
        <v>171</v>
      </c>
      <c r="E733" s="11" t="str">
        <f>+HYPERLINK("http://trademark.i-assist.jp/data/china/image_1900th/78663708.pdf", "78663708")</f>
        <v>78663708</v>
      </c>
      <c r="F733" s="10" t="s">
        <v>2193</v>
      </c>
      <c r="G733" s="10" t="s">
        <v>2194</v>
      </c>
      <c r="H733" s="10" t="s">
        <v>2195</v>
      </c>
      <c r="I733" s="10" t="s">
        <v>2096</v>
      </c>
    </row>
    <row r="734" spans="1:9" x14ac:dyDescent="0.15">
      <c r="A734" s="9">
        <v>733</v>
      </c>
      <c r="B734" s="10" t="s">
        <v>9</v>
      </c>
      <c r="C734" s="10" t="s">
        <v>170</v>
      </c>
      <c r="D734" s="10" t="s">
        <v>171</v>
      </c>
      <c r="E734" s="11" t="str">
        <f>+HYPERLINK("http://trademark.i-assist.jp/data/china/image_1900th/78664603.pdf", "78664603")</f>
        <v>78664603</v>
      </c>
      <c r="F734" s="10" t="s">
        <v>2196</v>
      </c>
      <c r="G734" s="10" t="s">
        <v>2197</v>
      </c>
      <c r="H734" s="10" t="s">
        <v>2198</v>
      </c>
      <c r="I734" s="10" t="s">
        <v>2096</v>
      </c>
    </row>
    <row r="735" spans="1:9" x14ac:dyDescent="0.15">
      <c r="A735" s="9">
        <v>734</v>
      </c>
      <c r="B735" s="10" t="s">
        <v>9</v>
      </c>
      <c r="C735" s="10" t="s">
        <v>170</v>
      </c>
      <c r="D735" s="10" t="s">
        <v>171</v>
      </c>
      <c r="E735" s="11" t="str">
        <f>+HYPERLINK("http://trademark.i-assist.jp/data/china/image_1900th/78664791.pdf", "78664791")</f>
        <v>78664791</v>
      </c>
      <c r="F735" s="10" t="s">
        <v>2199</v>
      </c>
      <c r="G735" s="10" t="s">
        <v>2200</v>
      </c>
      <c r="H735" s="10" t="s">
        <v>2201</v>
      </c>
      <c r="I735" s="10" t="s">
        <v>2096</v>
      </c>
    </row>
    <row r="736" spans="1:9" x14ac:dyDescent="0.15">
      <c r="A736" s="9">
        <v>735</v>
      </c>
      <c r="B736" s="10" t="s">
        <v>9</v>
      </c>
      <c r="C736" s="10" t="s">
        <v>170</v>
      </c>
      <c r="D736" s="10" t="s">
        <v>171</v>
      </c>
      <c r="E736" s="11" t="str">
        <f>+HYPERLINK("http://trademark.i-assist.jp/data/china/image_1900th/78665149.pdf", "78665149")</f>
        <v>78665149</v>
      </c>
      <c r="F736" s="10" t="s">
        <v>2202</v>
      </c>
      <c r="G736" s="10" t="s">
        <v>2203</v>
      </c>
      <c r="H736" s="10" t="s">
        <v>24</v>
      </c>
      <c r="I736" s="10" t="s">
        <v>2096</v>
      </c>
    </row>
    <row r="737" spans="1:9" x14ac:dyDescent="0.15">
      <c r="A737" s="9">
        <v>736</v>
      </c>
      <c r="B737" s="10" t="s">
        <v>9</v>
      </c>
      <c r="C737" s="10" t="s">
        <v>170</v>
      </c>
      <c r="D737" s="10" t="s">
        <v>171</v>
      </c>
      <c r="E737" s="11" t="str">
        <f>+HYPERLINK("http://trademark.i-assist.jp/data/china/image_1900th/78665228.pdf", "78665228")</f>
        <v>78665228</v>
      </c>
      <c r="F737" s="10" t="s">
        <v>2204</v>
      </c>
      <c r="G737" s="10" t="s">
        <v>2205</v>
      </c>
      <c r="H737" s="10" t="s">
        <v>312</v>
      </c>
      <c r="I737" s="10" t="s">
        <v>2096</v>
      </c>
    </row>
    <row r="738" spans="1:9" x14ac:dyDescent="0.15">
      <c r="A738" s="9">
        <v>737</v>
      </c>
      <c r="B738" s="10" t="s">
        <v>9</v>
      </c>
      <c r="C738" s="10" t="s">
        <v>170</v>
      </c>
      <c r="D738" s="10" t="s">
        <v>171</v>
      </c>
      <c r="E738" s="11" t="str">
        <f>+HYPERLINK("http://trademark.i-assist.jp/data/china/image_1900th/78665309.pdf", "78665309")</f>
        <v>78665309</v>
      </c>
      <c r="F738" s="10" t="s">
        <v>2206</v>
      </c>
      <c r="G738" s="10" t="s">
        <v>2110</v>
      </c>
      <c r="H738" s="10" t="s">
        <v>2207</v>
      </c>
      <c r="I738" s="10" t="s">
        <v>2096</v>
      </c>
    </row>
    <row r="739" spans="1:9" x14ac:dyDescent="0.15">
      <c r="A739" s="9">
        <v>738</v>
      </c>
      <c r="B739" s="10" t="s">
        <v>9</v>
      </c>
      <c r="C739" s="10" t="s">
        <v>170</v>
      </c>
      <c r="D739" s="10" t="s">
        <v>171</v>
      </c>
      <c r="E739" s="11" t="str">
        <f>+HYPERLINK("http://trademark.i-assist.jp/data/china/image_1900th/78665418.pdf", "78665418")</f>
        <v>78665418</v>
      </c>
      <c r="F739" s="10" t="s">
        <v>2208</v>
      </c>
      <c r="G739" s="10" t="s">
        <v>2209</v>
      </c>
      <c r="H739" s="10" t="s">
        <v>2210</v>
      </c>
      <c r="I739" s="10" t="s">
        <v>2096</v>
      </c>
    </row>
    <row r="740" spans="1:9" x14ac:dyDescent="0.15">
      <c r="A740" s="9">
        <v>739</v>
      </c>
      <c r="B740" s="10" t="s">
        <v>9</v>
      </c>
      <c r="C740" s="10" t="s">
        <v>170</v>
      </c>
      <c r="D740" s="10" t="s">
        <v>171</v>
      </c>
      <c r="E740" s="11" t="str">
        <f>+HYPERLINK("http://trademark.i-assist.jp/data/china/image_1900th/78665527.pdf", "78665527")</f>
        <v>78665527</v>
      </c>
      <c r="F740" s="10" t="s">
        <v>2211</v>
      </c>
      <c r="G740" s="10" t="s">
        <v>2212</v>
      </c>
      <c r="H740" s="10" t="s">
        <v>2213</v>
      </c>
      <c r="I740" s="10" t="s">
        <v>2096</v>
      </c>
    </row>
    <row r="741" spans="1:9" x14ac:dyDescent="0.15">
      <c r="A741" s="9">
        <v>740</v>
      </c>
      <c r="B741" s="10" t="s">
        <v>9</v>
      </c>
      <c r="C741" s="10" t="s">
        <v>170</v>
      </c>
      <c r="D741" s="10" t="s">
        <v>171</v>
      </c>
      <c r="E741" s="11" t="str">
        <f>+HYPERLINK("http://trademark.i-assist.jp/data/china/image_1900th/78666026.pdf", "78666026")</f>
        <v>78666026</v>
      </c>
      <c r="F741" s="10" t="s">
        <v>2214</v>
      </c>
      <c r="G741" s="10" t="s">
        <v>1248</v>
      </c>
      <c r="H741" s="10" t="s">
        <v>2215</v>
      </c>
      <c r="I741" s="10" t="s">
        <v>2096</v>
      </c>
    </row>
    <row r="742" spans="1:9" x14ac:dyDescent="0.15">
      <c r="A742" s="9">
        <v>741</v>
      </c>
      <c r="B742" s="10" t="s">
        <v>9</v>
      </c>
      <c r="C742" s="10" t="s">
        <v>170</v>
      </c>
      <c r="D742" s="10" t="s">
        <v>171</v>
      </c>
      <c r="E742" s="11" t="str">
        <f>+HYPERLINK("http://trademark.i-assist.jp/data/china/image_1900th/78666238.pdf", "78666238")</f>
        <v>78666238</v>
      </c>
      <c r="F742" s="10" t="s">
        <v>2216</v>
      </c>
      <c r="G742" s="10" t="s">
        <v>2217</v>
      </c>
      <c r="H742" s="10" t="s">
        <v>2218</v>
      </c>
      <c r="I742" s="10" t="s">
        <v>2096</v>
      </c>
    </row>
    <row r="743" spans="1:9" x14ac:dyDescent="0.15">
      <c r="A743" s="9">
        <v>742</v>
      </c>
      <c r="B743" s="10" t="s">
        <v>9</v>
      </c>
      <c r="C743" s="10" t="s">
        <v>170</v>
      </c>
      <c r="D743" s="10" t="s">
        <v>171</v>
      </c>
      <c r="E743" s="11" t="str">
        <f>+HYPERLINK("http://trademark.i-assist.jp/data/china/image_1900th/78666367.pdf", "78666367")</f>
        <v>78666367</v>
      </c>
      <c r="F743" s="10" t="s">
        <v>2219</v>
      </c>
      <c r="G743" s="10" t="s">
        <v>2220</v>
      </c>
      <c r="H743" s="10" t="s">
        <v>2221</v>
      </c>
      <c r="I743" s="10" t="s">
        <v>2096</v>
      </c>
    </row>
    <row r="744" spans="1:9" x14ac:dyDescent="0.15">
      <c r="A744" s="9">
        <v>743</v>
      </c>
      <c r="B744" s="10" t="s">
        <v>9</v>
      </c>
      <c r="C744" s="10" t="s">
        <v>170</v>
      </c>
      <c r="D744" s="10" t="s">
        <v>171</v>
      </c>
      <c r="E744" s="11" t="str">
        <f>+HYPERLINK("http://trademark.i-assist.jp/data/china/image_1900th/78666966.pdf", "78666966")</f>
        <v>78666966</v>
      </c>
      <c r="F744" s="10" t="s">
        <v>2222</v>
      </c>
      <c r="G744" s="10" t="s">
        <v>2200</v>
      </c>
      <c r="H744" s="10" t="s">
        <v>2223</v>
      </c>
      <c r="I744" s="10" t="s">
        <v>2096</v>
      </c>
    </row>
    <row r="745" spans="1:9" x14ac:dyDescent="0.15">
      <c r="A745" s="9">
        <v>744</v>
      </c>
      <c r="B745" s="10" t="s">
        <v>9</v>
      </c>
      <c r="C745" s="10" t="s">
        <v>170</v>
      </c>
      <c r="D745" s="10" t="s">
        <v>171</v>
      </c>
      <c r="E745" s="11" t="str">
        <f>+HYPERLINK("http://trademark.i-assist.jp/data/china/image_1900th/78668330.pdf", "78668330")</f>
        <v>78668330</v>
      </c>
      <c r="F745" s="10" t="s">
        <v>2224</v>
      </c>
      <c r="G745" s="10" t="s">
        <v>2189</v>
      </c>
      <c r="H745" s="10" t="s">
        <v>89</v>
      </c>
      <c r="I745" s="10" t="s">
        <v>2096</v>
      </c>
    </row>
    <row r="746" spans="1:9" x14ac:dyDescent="0.15">
      <c r="A746" s="9">
        <v>745</v>
      </c>
      <c r="B746" s="10" t="s">
        <v>9</v>
      </c>
      <c r="C746" s="10" t="s">
        <v>170</v>
      </c>
      <c r="D746" s="10" t="s">
        <v>171</v>
      </c>
      <c r="E746" s="11" t="str">
        <f>+HYPERLINK("http://trademark.i-assist.jp/data/china/image_1900th/78668338.pdf", "78668338")</f>
        <v>78668338</v>
      </c>
      <c r="F746" s="10" t="s">
        <v>2225</v>
      </c>
      <c r="G746" s="10" t="s">
        <v>2226</v>
      </c>
      <c r="H746" s="10" t="s">
        <v>2227</v>
      </c>
      <c r="I746" s="10" t="s">
        <v>2096</v>
      </c>
    </row>
    <row r="747" spans="1:9" x14ac:dyDescent="0.15">
      <c r="A747" s="9">
        <v>746</v>
      </c>
      <c r="B747" s="10" t="s">
        <v>9</v>
      </c>
      <c r="C747" s="10" t="s">
        <v>170</v>
      </c>
      <c r="D747" s="10" t="s">
        <v>171</v>
      </c>
      <c r="E747" s="11" t="str">
        <f>+HYPERLINK("http://trademark.i-assist.jp/data/china/image_1900th/78668691.pdf", "78668691")</f>
        <v>78668691</v>
      </c>
      <c r="F747" s="10" t="s">
        <v>2228</v>
      </c>
      <c r="G747" s="10" t="s">
        <v>2229</v>
      </c>
      <c r="H747" s="10" t="s">
        <v>2230</v>
      </c>
      <c r="I747" s="10" t="s">
        <v>2096</v>
      </c>
    </row>
    <row r="748" spans="1:9" x14ac:dyDescent="0.15">
      <c r="A748" s="9">
        <v>747</v>
      </c>
      <c r="B748" s="10" t="s">
        <v>9</v>
      </c>
      <c r="C748" s="10" t="s">
        <v>170</v>
      </c>
      <c r="D748" s="10" t="s">
        <v>171</v>
      </c>
      <c r="E748" s="11" t="str">
        <f>+HYPERLINK("http://trademark.i-assist.jp/data/china/image_1900th/78668941.pdf", "78668941")</f>
        <v>78668941</v>
      </c>
      <c r="F748" s="10" t="s">
        <v>2231</v>
      </c>
      <c r="G748" s="10" t="s">
        <v>2232</v>
      </c>
      <c r="H748" s="10" t="s">
        <v>2233</v>
      </c>
      <c r="I748" s="10" t="s">
        <v>2096</v>
      </c>
    </row>
    <row r="749" spans="1:9" x14ac:dyDescent="0.15">
      <c r="A749" s="9">
        <v>748</v>
      </c>
      <c r="B749" s="10" t="s">
        <v>9</v>
      </c>
      <c r="C749" s="10" t="s">
        <v>170</v>
      </c>
      <c r="D749" s="10" t="s">
        <v>171</v>
      </c>
      <c r="E749" s="11" t="str">
        <f>+HYPERLINK("http://trademark.i-assist.jp/data/china/image_1900th/78668993.pdf", "78668993")</f>
        <v>78668993</v>
      </c>
      <c r="F749" s="10" t="s">
        <v>2234</v>
      </c>
      <c r="G749" s="10" t="s">
        <v>2235</v>
      </c>
      <c r="H749" s="10" t="s">
        <v>2236</v>
      </c>
      <c r="I749" s="10" t="s">
        <v>2096</v>
      </c>
    </row>
    <row r="750" spans="1:9" x14ac:dyDescent="0.15">
      <c r="A750" s="9">
        <v>749</v>
      </c>
      <c r="B750" s="10" t="s">
        <v>9</v>
      </c>
      <c r="C750" s="10" t="s">
        <v>170</v>
      </c>
      <c r="D750" s="10" t="s">
        <v>171</v>
      </c>
      <c r="E750" s="11" t="str">
        <f>+HYPERLINK("http://trademark.i-assist.jp/data/china/image_1900th/78669169.pdf", "78669169")</f>
        <v>78669169</v>
      </c>
      <c r="F750" s="10" t="s">
        <v>2237</v>
      </c>
      <c r="G750" s="10" t="s">
        <v>79</v>
      </c>
      <c r="H750" s="10" t="s">
        <v>2238</v>
      </c>
      <c r="I750" s="10" t="s">
        <v>2096</v>
      </c>
    </row>
    <row r="751" spans="1:9" x14ac:dyDescent="0.15">
      <c r="A751" s="9">
        <v>750</v>
      </c>
      <c r="B751" s="10" t="s">
        <v>9</v>
      </c>
      <c r="C751" s="10" t="s">
        <v>170</v>
      </c>
      <c r="D751" s="10" t="s">
        <v>171</v>
      </c>
      <c r="E751" s="11" t="str">
        <f>+HYPERLINK("http://trademark.i-assist.jp/data/china/image_1900th/78669612.pdf", "78669612")</f>
        <v>78669612</v>
      </c>
      <c r="F751" s="10" t="s">
        <v>2239</v>
      </c>
      <c r="G751" s="10" t="s">
        <v>2240</v>
      </c>
      <c r="H751" s="10" t="s">
        <v>2241</v>
      </c>
      <c r="I751" s="10" t="s">
        <v>2096</v>
      </c>
    </row>
    <row r="752" spans="1:9" x14ac:dyDescent="0.15">
      <c r="A752" s="9">
        <v>751</v>
      </c>
      <c r="B752" s="10" t="s">
        <v>9</v>
      </c>
      <c r="C752" s="10" t="s">
        <v>170</v>
      </c>
      <c r="D752" s="10" t="s">
        <v>171</v>
      </c>
      <c r="E752" s="11" t="str">
        <f>+HYPERLINK("http://trademark.i-assist.jp/data/china/image_1900th/78669621.pdf", "78669621")</f>
        <v>78669621</v>
      </c>
      <c r="F752" s="10" t="s">
        <v>2242</v>
      </c>
      <c r="G752" s="10" t="s">
        <v>2243</v>
      </c>
      <c r="H752" s="10" t="s">
        <v>2244</v>
      </c>
      <c r="I752" s="10" t="s">
        <v>2096</v>
      </c>
    </row>
    <row r="753" spans="1:9" x14ac:dyDescent="0.15">
      <c r="A753" s="9">
        <v>752</v>
      </c>
      <c r="B753" s="10" t="s">
        <v>9</v>
      </c>
      <c r="C753" s="10" t="s">
        <v>170</v>
      </c>
      <c r="D753" s="10" t="s">
        <v>171</v>
      </c>
      <c r="E753" s="11" t="str">
        <f>+HYPERLINK("http://trademark.i-assist.jp/data/china/image_1900th/78669743.pdf", "78669743")</f>
        <v>78669743</v>
      </c>
      <c r="F753" s="10" t="s">
        <v>2245</v>
      </c>
      <c r="G753" s="10" t="s">
        <v>2246</v>
      </c>
      <c r="H753" s="10" t="s">
        <v>2247</v>
      </c>
      <c r="I753" s="10" t="s">
        <v>2096</v>
      </c>
    </row>
    <row r="754" spans="1:9" x14ac:dyDescent="0.15">
      <c r="A754" s="9">
        <v>753</v>
      </c>
      <c r="B754" s="10" t="s">
        <v>9</v>
      </c>
      <c r="C754" s="10" t="s">
        <v>170</v>
      </c>
      <c r="D754" s="10" t="s">
        <v>171</v>
      </c>
      <c r="E754" s="11" t="str">
        <f>+HYPERLINK("http://trademark.i-assist.jp/data/china/image_1900th/78669747.pdf", "78669747")</f>
        <v>78669747</v>
      </c>
      <c r="F754" s="10" t="s">
        <v>2121</v>
      </c>
      <c r="G754" s="10" t="s">
        <v>115</v>
      </c>
      <c r="H754" s="10" t="s">
        <v>2248</v>
      </c>
      <c r="I754" s="10" t="s">
        <v>2096</v>
      </c>
    </row>
    <row r="755" spans="1:9" x14ac:dyDescent="0.15">
      <c r="A755" s="9">
        <v>754</v>
      </c>
      <c r="B755" s="10" t="s">
        <v>9</v>
      </c>
      <c r="C755" s="10" t="s">
        <v>170</v>
      </c>
      <c r="D755" s="10" t="s">
        <v>171</v>
      </c>
      <c r="E755" s="11" t="str">
        <f>+HYPERLINK("http://trademark.i-assist.jp/data/china/image_1900th/78669769.pdf", "78669769")</f>
        <v>78669769</v>
      </c>
      <c r="F755" s="10" t="s">
        <v>2249</v>
      </c>
      <c r="G755" s="10" t="s">
        <v>2250</v>
      </c>
      <c r="H755" s="10" t="s">
        <v>2251</v>
      </c>
      <c r="I755" s="10" t="s">
        <v>2096</v>
      </c>
    </row>
    <row r="756" spans="1:9" x14ac:dyDescent="0.15">
      <c r="A756" s="9">
        <v>755</v>
      </c>
      <c r="B756" s="10" t="s">
        <v>9</v>
      </c>
      <c r="C756" s="10" t="s">
        <v>170</v>
      </c>
      <c r="D756" s="10" t="s">
        <v>171</v>
      </c>
      <c r="E756" s="11" t="str">
        <f>+HYPERLINK("http://trademark.i-assist.jp/data/china/image_1900th/78669825.pdf", "78669825")</f>
        <v>78669825</v>
      </c>
      <c r="F756" s="10" t="s">
        <v>2252</v>
      </c>
      <c r="G756" s="10" t="s">
        <v>2253</v>
      </c>
      <c r="H756" s="10" t="s">
        <v>2254</v>
      </c>
      <c r="I756" s="10" t="s">
        <v>2096</v>
      </c>
    </row>
    <row r="757" spans="1:9" x14ac:dyDescent="0.15">
      <c r="A757" s="9">
        <v>756</v>
      </c>
      <c r="B757" s="10" t="s">
        <v>9</v>
      </c>
      <c r="C757" s="10" t="s">
        <v>170</v>
      </c>
      <c r="D757" s="10" t="s">
        <v>171</v>
      </c>
      <c r="E757" s="11" t="str">
        <f>+HYPERLINK("http://trademark.i-assist.jp/data/china/image_1900th/78670223.pdf", "78670223")</f>
        <v>78670223</v>
      </c>
      <c r="F757" s="10" t="s">
        <v>2255</v>
      </c>
      <c r="G757" s="10" t="s">
        <v>2256</v>
      </c>
      <c r="H757" s="10" t="s">
        <v>2257</v>
      </c>
      <c r="I757" s="10" t="s">
        <v>2096</v>
      </c>
    </row>
    <row r="758" spans="1:9" x14ac:dyDescent="0.15">
      <c r="A758" s="9">
        <v>757</v>
      </c>
      <c r="B758" s="10" t="s">
        <v>9</v>
      </c>
      <c r="C758" s="10" t="s">
        <v>170</v>
      </c>
      <c r="D758" s="10" t="s">
        <v>171</v>
      </c>
      <c r="E758" s="11" t="str">
        <f>+HYPERLINK("http://trademark.i-assist.jp/data/china/image_1900th/78670301.pdf", "78670301")</f>
        <v>78670301</v>
      </c>
      <c r="F758" s="10" t="s">
        <v>2258</v>
      </c>
      <c r="G758" s="10" t="s">
        <v>2259</v>
      </c>
      <c r="H758" s="10" t="s">
        <v>2260</v>
      </c>
      <c r="I758" s="10" t="s">
        <v>2096</v>
      </c>
    </row>
    <row r="759" spans="1:9" x14ac:dyDescent="0.15">
      <c r="A759" s="9">
        <v>758</v>
      </c>
      <c r="B759" s="10" t="s">
        <v>9</v>
      </c>
      <c r="C759" s="10" t="s">
        <v>170</v>
      </c>
      <c r="D759" s="10" t="s">
        <v>171</v>
      </c>
      <c r="E759" s="11" t="str">
        <f>+HYPERLINK("http://trademark.i-assist.jp/data/china/image_1900th/78670526.pdf", "78670526")</f>
        <v>78670526</v>
      </c>
      <c r="F759" s="10" t="s">
        <v>2261</v>
      </c>
      <c r="G759" s="10" t="s">
        <v>2262</v>
      </c>
      <c r="H759" s="10" t="s">
        <v>2263</v>
      </c>
      <c r="I759" s="10" t="s">
        <v>2096</v>
      </c>
    </row>
    <row r="760" spans="1:9" x14ac:dyDescent="0.15">
      <c r="A760" s="9">
        <v>759</v>
      </c>
      <c r="B760" s="10" t="s">
        <v>9</v>
      </c>
      <c r="C760" s="10" t="s">
        <v>170</v>
      </c>
      <c r="D760" s="10" t="s">
        <v>171</v>
      </c>
      <c r="E760" s="11" t="str">
        <f>+HYPERLINK("http://trademark.i-assist.jp/data/china/image_1900th/78673310.pdf", "78673310")</f>
        <v>78673310</v>
      </c>
      <c r="F760" s="10" t="s">
        <v>2264</v>
      </c>
      <c r="G760" s="10" t="s">
        <v>2265</v>
      </c>
      <c r="H760" s="10" t="s">
        <v>2266</v>
      </c>
      <c r="I760" s="10" t="s">
        <v>2096</v>
      </c>
    </row>
    <row r="761" spans="1:9" x14ac:dyDescent="0.15">
      <c r="A761" s="9">
        <v>760</v>
      </c>
      <c r="B761" s="10" t="s">
        <v>9</v>
      </c>
      <c r="C761" s="10" t="s">
        <v>170</v>
      </c>
      <c r="D761" s="10" t="s">
        <v>171</v>
      </c>
      <c r="E761" s="11" t="str">
        <f>+HYPERLINK("http://trademark.i-assist.jp/data/china/image_1900th/78673542.pdf", "78673542")</f>
        <v>78673542</v>
      </c>
      <c r="F761" s="10" t="s">
        <v>2267</v>
      </c>
      <c r="G761" s="10" t="s">
        <v>2268</v>
      </c>
      <c r="H761" s="10" t="s">
        <v>2269</v>
      </c>
      <c r="I761" s="10" t="s">
        <v>2096</v>
      </c>
    </row>
    <row r="762" spans="1:9" x14ac:dyDescent="0.15">
      <c r="A762" s="9">
        <v>761</v>
      </c>
      <c r="B762" s="10" t="s">
        <v>9</v>
      </c>
      <c r="C762" s="10" t="s">
        <v>170</v>
      </c>
      <c r="D762" s="10" t="s">
        <v>171</v>
      </c>
      <c r="E762" s="11" t="str">
        <f>+HYPERLINK("http://trademark.i-assist.jp/data/china/image_1900th/78673698.pdf", "78673698")</f>
        <v>78673698</v>
      </c>
      <c r="F762" s="10" t="s">
        <v>2270</v>
      </c>
      <c r="G762" s="10" t="s">
        <v>2271</v>
      </c>
      <c r="H762" s="10" t="s">
        <v>2272</v>
      </c>
      <c r="I762" s="10" t="s">
        <v>2096</v>
      </c>
    </row>
    <row r="763" spans="1:9" x14ac:dyDescent="0.15">
      <c r="A763" s="9">
        <v>762</v>
      </c>
      <c r="B763" s="10" t="s">
        <v>9</v>
      </c>
      <c r="C763" s="10" t="s">
        <v>170</v>
      </c>
      <c r="D763" s="10" t="s">
        <v>171</v>
      </c>
      <c r="E763" s="11" t="str">
        <f>+HYPERLINK("http://trademark.i-assist.jp/data/china/image_1900th/78674036.pdf", "78674036")</f>
        <v>78674036</v>
      </c>
      <c r="F763" s="10" t="s">
        <v>2273</v>
      </c>
      <c r="G763" s="10" t="s">
        <v>2274</v>
      </c>
      <c r="H763" s="10" t="s">
        <v>2275</v>
      </c>
      <c r="I763" s="10" t="s">
        <v>2096</v>
      </c>
    </row>
    <row r="764" spans="1:9" x14ac:dyDescent="0.15">
      <c r="A764" s="9">
        <v>763</v>
      </c>
      <c r="B764" s="10" t="s">
        <v>9</v>
      </c>
      <c r="C764" s="10" t="s">
        <v>170</v>
      </c>
      <c r="D764" s="10" t="s">
        <v>171</v>
      </c>
      <c r="E764" s="11" t="str">
        <f>+HYPERLINK("http://trademark.i-assist.jp/data/china/image_1900th/78674689.pdf", "78674689")</f>
        <v>78674689</v>
      </c>
      <c r="F764" s="10" t="s">
        <v>2276</v>
      </c>
      <c r="G764" s="10" t="s">
        <v>870</v>
      </c>
      <c r="H764" s="10" t="s">
        <v>2277</v>
      </c>
      <c r="I764" s="10" t="s">
        <v>2096</v>
      </c>
    </row>
    <row r="765" spans="1:9" x14ac:dyDescent="0.15">
      <c r="A765" s="9">
        <v>764</v>
      </c>
      <c r="B765" s="10" t="s">
        <v>9</v>
      </c>
      <c r="C765" s="10" t="s">
        <v>170</v>
      </c>
      <c r="D765" s="10" t="s">
        <v>171</v>
      </c>
      <c r="E765" s="11" t="str">
        <f>+HYPERLINK("http://trademark.i-assist.jp/data/china/image_1900th/78675072.pdf", "78675072")</f>
        <v>78675072</v>
      </c>
      <c r="F765" s="10" t="s">
        <v>2278</v>
      </c>
      <c r="G765" s="10" t="s">
        <v>2279</v>
      </c>
      <c r="H765" s="10" t="s">
        <v>2280</v>
      </c>
      <c r="I765" s="10" t="s">
        <v>2096</v>
      </c>
    </row>
    <row r="766" spans="1:9" x14ac:dyDescent="0.15">
      <c r="A766" s="9">
        <v>765</v>
      </c>
      <c r="B766" s="10" t="s">
        <v>9</v>
      </c>
      <c r="C766" s="10" t="s">
        <v>170</v>
      </c>
      <c r="D766" s="10" t="s">
        <v>171</v>
      </c>
      <c r="E766" s="11" t="str">
        <f>+HYPERLINK("http://trademark.i-assist.jp/data/china/image_1900th/78675515.pdf", "78675515")</f>
        <v>78675515</v>
      </c>
      <c r="F766" s="10" t="s">
        <v>2281</v>
      </c>
      <c r="G766" s="10" t="s">
        <v>2282</v>
      </c>
      <c r="H766" s="10" t="s">
        <v>2283</v>
      </c>
      <c r="I766" s="10" t="s">
        <v>2096</v>
      </c>
    </row>
    <row r="767" spans="1:9" x14ac:dyDescent="0.15">
      <c r="A767" s="9">
        <v>766</v>
      </c>
      <c r="B767" s="10" t="s">
        <v>9</v>
      </c>
      <c r="C767" s="10" t="s">
        <v>170</v>
      </c>
      <c r="D767" s="10" t="s">
        <v>171</v>
      </c>
      <c r="E767" s="11" t="str">
        <f>+HYPERLINK("http://trademark.i-assist.jp/data/china/image_1900th/78675798.pdf", "78675798")</f>
        <v>78675798</v>
      </c>
      <c r="F767" s="10" t="s">
        <v>2284</v>
      </c>
      <c r="G767" s="10" t="s">
        <v>2285</v>
      </c>
      <c r="H767" s="10" t="s">
        <v>2286</v>
      </c>
      <c r="I767" s="10" t="s">
        <v>2096</v>
      </c>
    </row>
    <row r="768" spans="1:9" x14ac:dyDescent="0.15">
      <c r="A768" s="9">
        <v>767</v>
      </c>
      <c r="B768" s="10" t="s">
        <v>9</v>
      </c>
      <c r="C768" s="10" t="s">
        <v>170</v>
      </c>
      <c r="D768" s="10" t="s">
        <v>171</v>
      </c>
      <c r="E768" s="11" t="str">
        <f>+HYPERLINK("http://trademark.i-assist.jp/data/china/image_1900th/78676470.pdf", "78676470")</f>
        <v>78676470</v>
      </c>
      <c r="F768" s="10" t="s">
        <v>2287</v>
      </c>
      <c r="G768" s="10" t="s">
        <v>151</v>
      </c>
      <c r="H768" s="10" t="s">
        <v>2288</v>
      </c>
      <c r="I768" s="10" t="s">
        <v>2096</v>
      </c>
    </row>
    <row r="769" spans="1:9" x14ac:dyDescent="0.15">
      <c r="A769" s="9">
        <v>768</v>
      </c>
      <c r="B769" s="10" t="s">
        <v>9</v>
      </c>
      <c r="C769" s="10" t="s">
        <v>170</v>
      </c>
      <c r="D769" s="10" t="s">
        <v>171</v>
      </c>
      <c r="E769" s="11" t="str">
        <f>+HYPERLINK("http://trademark.i-assist.jp/data/china/image_1900th/78676527.pdf", "78676527")</f>
        <v>78676527</v>
      </c>
      <c r="F769" s="10" t="s">
        <v>2289</v>
      </c>
      <c r="G769" s="10" t="s">
        <v>2290</v>
      </c>
      <c r="H769" s="10" t="s">
        <v>2291</v>
      </c>
      <c r="I769" s="10" t="s">
        <v>2096</v>
      </c>
    </row>
    <row r="770" spans="1:9" x14ac:dyDescent="0.15">
      <c r="A770" s="9">
        <v>769</v>
      </c>
      <c r="B770" s="10" t="s">
        <v>9</v>
      </c>
      <c r="C770" s="10" t="s">
        <v>170</v>
      </c>
      <c r="D770" s="10" t="s">
        <v>171</v>
      </c>
      <c r="E770" s="11" t="str">
        <f>+HYPERLINK("http://trademark.i-assist.jp/data/china/image_1900th/78676877.pdf", "78676877")</f>
        <v>78676877</v>
      </c>
      <c r="F770" s="10" t="s">
        <v>2292</v>
      </c>
      <c r="G770" s="10" t="s">
        <v>2293</v>
      </c>
      <c r="H770" s="10" t="s">
        <v>2294</v>
      </c>
      <c r="I770" s="10" t="s">
        <v>2096</v>
      </c>
    </row>
    <row r="771" spans="1:9" x14ac:dyDescent="0.15">
      <c r="A771" s="9">
        <v>770</v>
      </c>
      <c r="B771" s="10" t="s">
        <v>9</v>
      </c>
      <c r="C771" s="10" t="s">
        <v>170</v>
      </c>
      <c r="D771" s="10" t="s">
        <v>171</v>
      </c>
      <c r="E771" s="11" t="str">
        <f>+HYPERLINK("http://trademark.i-assist.jp/data/china/image_1900th/78677037.pdf", "78677037")</f>
        <v>78677037</v>
      </c>
      <c r="F771" s="10" t="s">
        <v>2295</v>
      </c>
      <c r="G771" s="10" t="s">
        <v>2296</v>
      </c>
      <c r="H771" s="10" t="s">
        <v>2297</v>
      </c>
      <c r="I771" s="10" t="s">
        <v>2096</v>
      </c>
    </row>
    <row r="772" spans="1:9" x14ac:dyDescent="0.15">
      <c r="A772" s="9">
        <v>771</v>
      </c>
      <c r="B772" s="10" t="s">
        <v>9</v>
      </c>
      <c r="C772" s="10" t="s">
        <v>170</v>
      </c>
      <c r="D772" s="10" t="s">
        <v>171</v>
      </c>
      <c r="E772" s="11" t="str">
        <f>+HYPERLINK("http://trademark.i-assist.jp/data/china/image_1900th/78677654.pdf", "78677654")</f>
        <v>78677654</v>
      </c>
      <c r="F772" s="10" t="s">
        <v>2298</v>
      </c>
      <c r="G772" s="10" t="s">
        <v>2299</v>
      </c>
      <c r="H772" s="10" t="s">
        <v>2300</v>
      </c>
      <c r="I772" s="10" t="s">
        <v>2096</v>
      </c>
    </row>
    <row r="773" spans="1:9" x14ac:dyDescent="0.15">
      <c r="A773" s="9">
        <v>772</v>
      </c>
      <c r="B773" s="10" t="s">
        <v>9</v>
      </c>
      <c r="C773" s="10" t="s">
        <v>170</v>
      </c>
      <c r="D773" s="10" t="s">
        <v>171</v>
      </c>
      <c r="E773" s="11" t="str">
        <f>+HYPERLINK("http://trademark.i-assist.jp/data/china/image_1900th/78677713.pdf", "78677713")</f>
        <v>78677713</v>
      </c>
      <c r="F773" s="10" t="s">
        <v>2301</v>
      </c>
      <c r="G773" s="10" t="s">
        <v>2302</v>
      </c>
      <c r="H773" s="10" t="s">
        <v>2303</v>
      </c>
      <c r="I773" s="10" t="s">
        <v>2096</v>
      </c>
    </row>
    <row r="774" spans="1:9" x14ac:dyDescent="0.15">
      <c r="A774" s="9">
        <v>773</v>
      </c>
      <c r="B774" s="10" t="s">
        <v>9</v>
      </c>
      <c r="C774" s="10" t="s">
        <v>170</v>
      </c>
      <c r="D774" s="10" t="s">
        <v>171</v>
      </c>
      <c r="E774" s="11" t="str">
        <f>+HYPERLINK("http://trademark.i-assist.jp/data/china/image_1900th/78677968.pdf", "78677968")</f>
        <v>78677968</v>
      </c>
      <c r="F774" s="10" t="s">
        <v>2304</v>
      </c>
      <c r="G774" s="10" t="s">
        <v>2305</v>
      </c>
      <c r="H774" s="10" t="s">
        <v>2306</v>
      </c>
      <c r="I774" s="10" t="s">
        <v>2096</v>
      </c>
    </row>
    <row r="775" spans="1:9" x14ac:dyDescent="0.15">
      <c r="A775" s="9">
        <v>774</v>
      </c>
      <c r="B775" s="10" t="s">
        <v>9</v>
      </c>
      <c r="C775" s="10" t="s">
        <v>170</v>
      </c>
      <c r="D775" s="10" t="s">
        <v>171</v>
      </c>
      <c r="E775" s="11" t="str">
        <f>+HYPERLINK("http://trademark.i-assist.jp/data/china/image_1900th/78678203.pdf", "78678203")</f>
        <v>78678203</v>
      </c>
      <c r="F775" s="10" t="s">
        <v>2307</v>
      </c>
      <c r="G775" s="10" t="s">
        <v>137</v>
      </c>
      <c r="H775" s="10" t="s">
        <v>2308</v>
      </c>
      <c r="I775" s="10" t="s">
        <v>2096</v>
      </c>
    </row>
    <row r="776" spans="1:9" x14ac:dyDescent="0.15">
      <c r="A776" s="9">
        <v>775</v>
      </c>
      <c r="B776" s="10" t="s">
        <v>9</v>
      </c>
      <c r="C776" s="10" t="s">
        <v>170</v>
      </c>
      <c r="D776" s="10" t="s">
        <v>171</v>
      </c>
      <c r="E776" s="11" t="str">
        <f>+HYPERLINK("http://trademark.i-assist.jp/data/china/image_1900th/78678288.pdf", "78678288")</f>
        <v>78678288</v>
      </c>
      <c r="F776" s="10" t="s">
        <v>2309</v>
      </c>
      <c r="G776" s="10" t="s">
        <v>2310</v>
      </c>
      <c r="H776" s="10" t="s">
        <v>2311</v>
      </c>
      <c r="I776" s="10" t="s">
        <v>2096</v>
      </c>
    </row>
    <row r="777" spans="1:9" x14ac:dyDescent="0.15">
      <c r="A777" s="9">
        <v>776</v>
      </c>
      <c r="B777" s="10" t="s">
        <v>9</v>
      </c>
      <c r="C777" s="10" t="s">
        <v>170</v>
      </c>
      <c r="D777" s="10" t="s">
        <v>171</v>
      </c>
      <c r="E777" s="11" t="str">
        <f>+HYPERLINK("http://trademark.i-assist.jp/data/china/image_1900th/78678707.pdf", "78678707")</f>
        <v>78678707</v>
      </c>
      <c r="F777" s="10" t="s">
        <v>2312</v>
      </c>
      <c r="G777" s="10" t="s">
        <v>2313</v>
      </c>
      <c r="H777" s="10" t="s">
        <v>2314</v>
      </c>
      <c r="I777" s="10" t="s">
        <v>2096</v>
      </c>
    </row>
    <row r="778" spans="1:9" x14ac:dyDescent="0.15">
      <c r="A778" s="9">
        <v>777</v>
      </c>
      <c r="B778" s="10" t="s">
        <v>9</v>
      </c>
      <c r="C778" s="10" t="s">
        <v>170</v>
      </c>
      <c r="D778" s="10" t="s">
        <v>171</v>
      </c>
      <c r="E778" s="11" t="str">
        <f>+HYPERLINK("http://trademark.i-assist.jp/data/china/image_1900th/78678740.pdf", "78678740")</f>
        <v>78678740</v>
      </c>
      <c r="F778" s="10" t="s">
        <v>2315</v>
      </c>
      <c r="G778" s="10" t="s">
        <v>2316</v>
      </c>
      <c r="H778" s="10" t="s">
        <v>2317</v>
      </c>
      <c r="I778" s="10" t="s">
        <v>2096</v>
      </c>
    </row>
    <row r="779" spans="1:9" x14ac:dyDescent="0.15">
      <c r="A779" s="9">
        <v>778</v>
      </c>
      <c r="B779" s="10" t="s">
        <v>9</v>
      </c>
      <c r="C779" s="10" t="s">
        <v>170</v>
      </c>
      <c r="D779" s="10" t="s">
        <v>171</v>
      </c>
      <c r="E779" s="11" t="str">
        <f>+HYPERLINK("http://trademark.i-assist.jp/data/china/image_1900th/78678896.pdf", "78678896")</f>
        <v>78678896</v>
      </c>
      <c r="F779" s="10" t="s">
        <v>15</v>
      </c>
      <c r="G779" s="10" t="s">
        <v>2116</v>
      </c>
      <c r="H779" s="10" t="s">
        <v>2318</v>
      </c>
      <c r="I779" s="10" t="s">
        <v>2096</v>
      </c>
    </row>
    <row r="780" spans="1:9" x14ac:dyDescent="0.15">
      <c r="A780" s="9">
        <v>779</v>
      </c>
      <c r="B780" s="10" t="s">
        <v>9</v>
      </c>
      <c r="C780" s="10" t="s">
        <v>170</v>
      </c>
      <c r="D780" s="10" t="s">
        <v>171</v>
      </c>
      <c r="E780" s="11" t="str">
        <f>+HYPERLINK("http://trademark.i-assist.jp/data/china/image_1900th/78679018.pdf", "78679018")</f>
        <v>78679018</v>
      </c>
      <c r="F780" s="10" t="s">
        <v>2319</v>
      </c>
      <c r="G780" s="10" t="s">
        <v>2320</v>
      </c>
      <c r="H780" s="10" t="s">
        <v>2321</v>
      </c>
      <c r="I780" s="10" t="s">
        <v>2096</v>
      </c>
    </row>
    <row r="781" spans="1:9" x14ac:dyDescent="0.15">
      <c r="A781" s="9">
        <v>780</v>
      </c>
      <c r="B781" s="10" t="s">
        <v>9</v>
      </c>
      <c r="C781" s="10" t="s">
        <v>170</v>
      </c>
      <c r="D781" s="10" t="s">
        <v>171</v>
      </c>
      <c r="E781" s="11" t="str">
        <f>+HYPERLINK("http://trademark.i-assist.jp/data/china/image_1900th/78679188.pdf", "78679188")</f>
        <v>78679188</v>
      </c>
      <c r="F781" s="10" t="s">
        <v>2322</v>
      </c>
      <c r="G781" s="10" t="s">
        <v>2323</v>
      </c>
      <c r="H781" s="10" t="s">
        <v>2324</v>
      </c>
      <c r="I781" s="10" t="s">
        <v>2096</v>
      </c>
    </row>
    <row r="782" spans="1:9" x14ac:dyDescent="0.15">
      <c r="A782" s="9">
        <v>781</v>
      </c>
      <c r="B782" s="10" t="s">
        <v>9</v>
      </c>
      <c r="C782" s="10" t="s">
        <v>170</v>
      </c>
      <c r="D782" s="10" t="s">
        <v>171</v>
      </c>
      <c r="E782" s="11" t="str">
        <f>+HYPERLINK("http://trademark.i-assist.jp/data/china/image_1900th/78679211.pdf", "78679211")</f>
        <v>78679211</v>
      </c>
      <c r="F782" s="10" t="s">
        <v>2325</v>
      </c>
      <c r="G782" s="10" t="s">
        <v>870</v>
      </c>
      <c r="H782" s="10" t="s">
        <v>2326</v>
      </c>
      <c r="I782" s="10" t="s">
        <v>2096</v>
      </c>
    </row>
    <row r="783" spans="1:9" x14ac:dyDescent="0.15">
      <c r="A783" s="9">
        <v>782</v>
      </c>
      <c r="B783" s="10" t="s">
        <v>9</v>
      </c>
      <c r="C783" s="10" t="s">
        <v>170</v>
      </c>
      <c r="D783" s="10" t="s">
        <v>171</v>
      </c>
      <c r="E783" s="11" t="str">
        <f>+HYPERLINK("http://trademark.i-assist.jp/data/china/image_1900th/78679637.pdf", "78679637")</f>
        <v>78679637</v>
      </c>
      <c r="F783" s="10" t="s">
        <v>2327</v>
      </c>
      <c r="G783" s="10" t="s">
        <v>2328</v>
      </c>
      <c r="H783" s="10" t="s">
        <v>2329</v>
      </c>
      <c r="I783" s="10" t="s">
        <v>2330</v>
      </c>
    </row>
    <row r="784" spans="1:9" x14ac:dyDescent="0.15">
      <c r="A784" s="9">
        <v>783</v>
      </c>
      <c r="B784" s="10" t="s">
        <v>9</v>
      </c>
      <c r="C784" s="10" t="s">
        <v>170</v>
      </c>
      <c r="D784" s="10" t="s">
        <v>171</v>
      </c>
      <c r="E784" s="11" t="str">
        <f>+HYPERLINK("http://trademark.i-assist.jp/data/china/image_1900th/78680155.pdf", "78680155")</f>
        <v>78680155</v>
      </c>
      <c r="F784" s="10" t="s">
        <v>2331</v>
      </c>
      <c r="G784" s="10" t="s">
        <v>2332</v>
      </c>
      <c r="H784" s="10" t="s">
        <v>2333</v>
      </c>
      <c r="I784" s="10" t="s">
        <v>2330</v>
      </c>
    </row>
    <row r="785" spans="1:9" x14ac:dyDescent="0.15">
      <c r="A785" s="9">
        <v>784</v>
      </c>
      <c r="B785" s="10" t="s">
        <v>9</v>
      </c>
      <c r="C785" s="10" t="s">
        <v>170</v>
      </c>
      <c r="D785" s="10" t="s">
        <v>171</v>
      </c>
      <c r="E785" s="11" t="str">
        <f>+HYPERLINK("http://trademark.i-assist.jp/data/china/image_1900th/78680161.pdf", "78680161")</f>
        <v>78680161</v>
      </c>
      <c r="F785" s="10" t="s">
        <v>2334</v>
      </c>
      <c r="G785" s="10" t="s">
        <v>2335</v>
      </c>
      <c r="H785" s="10" t="s">
        <v>2336</v>
      </c>
      <c r="I785" s="10" t="s">
        <v>2330</v>
      </c>
    </row>
    <row r="786" spans="1:9" x14ac:dyDescent="0.15">
      <c r="A786" s="9">
        <v>785</v>
      </c>
      <c r="B786" s="10" t="s">
        <v>9</v>
      </c>
      <c r="C786" s="10" t="s">
        <v>170</v>
      </c>
      <c r="D786" s="10" t="s">
        <v>171</v>
      </c>
      <c r="E786" s="11" t="str">
        <f>+HYPERLINK("http://trademark.i-assist.jp/data/china/image_1900th/78680282.pdf", "78680282")</f>
        <v>78680282</v>
      </c>
      <c r="F786" s="10" t="s">
        <v>2337</v>
      </c>
      <c r="G786" s="10" t="s">
        <v>2338</v>
      </c>
      <c r="H786" s="10" t="s">
        <v>2339</v>
      </c>
      <c r="I786" s="10" t="s">
        <v>2330</v>
      </c>
    </row>
    <row r="787" spans="1:9" x14ac:dyDescent="0.15">
      <c r="A787" s="9">
        <v>786</v>
      </c>
      <c r="B787" s="10" t="s">
        <v>9</v>
      </c>
      <c r="C787" s="10" t="s">
        <v>170</v>
      </c>
      <c r="D787" s="10" t="s">
        <v>171</v>
      </c>
      <c r="E787" s="11" t="str">
        <f>+HYPERLINK("http://trademark.i-assist.jp/data/china/image_1900th/78680454.pdf", "78680454")</f>
        <v>78680454</v>
      </c>
      <c r="F787" s="10" t="s">
        <v>2340</v>
      </c>
      <c r="G787" s="10" t="s">
        <v>2328</v>
      </c>
      <c r="H787" s="10" t="s">
        <v>2341</v>
      </c>
      <c r="I787" s="10" t="s">
        <v>2330</v>
      </c>
    </row>
    <row r="788" spans="1:9" x14ac:dyDescent="0.15">
      <c r="A788" s="9">
        <v>787</v>
      </c>
      <c r="B788" s="10" t="s">
        <v>9</v>
      </c>
      <c r="C788" s="10" t="s">
        <v>170</v>
      </c>
      <c r="D788" s="10" t="s">
        <v>171</v>
      </c>
      <c r="E788" s="11" t="str">
        <f>+HYPERLINK("http://trademark.i-assist.jp/data/china/image_1900th/78680752.pdf", "78680752")</f>
        <v>78680752</v>
      </c>
      <c r="F788" s="10" t="s">
        <v>2342</v>
      </c>
      <c r="G788" s="10" t="s">
        <v>2343</v>
      </c>
      <c r="H788" s="10" t="s">
        <v>2344</v>
      </c>
      <c r="I788" s="10" t="s">
        <v>2330</v>
      </c>
    </row>
    <row r="789" spans="1:9" x14ac:dyDescent="0.15">
      <c r="A789" s="9">
        <v>788</v>
      </c>
      <c r="B789" s="10" t="s">
        <v>9</v>
      </c>
      <c r="C789" s="10" t="s">
        <v>170</v>
      </c>
      <c r="D789" s="10" t="s">
        <v>171</v>
      </c>
      <c r="E789" s="11" t="str">
        <f>+HYPERLINK("http://trademark.i-assist.jp/data/china/image_1900th/78680861.pdf", "78680861")</f>
        <v>78680861</v>
      </c>
      <c r="F789" s="10" t="s">
        <v>2345</v>
      </c>
      <c r="G789" s="10" t="s">
        <v>2346</v>
      </c>
      <c r="H789" s="10" t="s">
        <v>2347</v>
      </c>
      <c r="I789" s="10" t="s">
        <v>2330</v>
      </c>
    </row>
    <row r="790" spans="1:9" x14ac:dyDescent="0.15">
      <c r="A790" s="9">
        <v>789</v>
      </c>
      <c r="B790" s="10" t="s">
        <v>9</v>
      </c>
      <c r="C790" s="10" t="s">
        <v>170</v>
      </c>
      <c r="D790" s="10" t="s">
        <v>171</v>
      </c>
      <c r="E790" s="11" t="str">
        <f>+HYPERLINK("http://trademark.i-assist.jp/data/china/image_1900th/78681086.pdf", "78681086")</f>
        <v>78681086</v>
      </c>
      <c r="F790" s="10" t="s">
        <v>2348</v>
      </c>
      <c r="G790" s="10" t="s">
        <v>2349</v>
      </c>
      <c r="H790" s="10" t="s">
        <v>2350</v>
      </c>
      <c r="I790" s="10" t="s">
        <v>2330</v>
      </c>
    </row>
    <row r="791" spans="1:9" x14ac:dyDescent="0.15">
      <c r="A791" s="9">
        <v>790</v>
      </c>
      <c r="B791" s="10" t="s">
        <v>9</v>
      </c>
      <c r="C791" s="10" t="s">
        <v>170</v>
      </c>
      <c r="D791" s="10" t="s">
        <v>171</v>
      </c>
      <c r="E791" s="11" t="str">
        <f>+HYPERLINK("http://trademark.i-assist.jp/data/china/image_1900th/78681444.pdf", "78681444")</f>
        <v>78681444</v>
      </c>
      <c r="F791" s="10" t="s">
        <v>2351</v>
      </c>
      <c r="G791" s="10" t="s">
        <v>2352</v>
      </c>
      <c r="H791" s="10" t="s">
        <v>2353</v>
      </c>
      <c r="I791" s="10" t="s">
        <v>2330</v>
      </c>
    </row>
    <row r="792" spans="1:9" x14ac:dyDescent="0.15">
      <c r="A792" s="9">
        <v>791</v>
      </c>
      <c r="B792" s="10" t="s">
        <v>9</v>
      </c>
      <c r="C792" s="10" t="s">
        <v>170</v>
      </c>
      <c r="D792" s="10" t="s">
        <v>171</v>
      </c>
      <c r="E792" s="11" t="str">
        <f>+HYPERLINK("http://trademark.i-assist.jp/data/china/image_1900th/78681513.pdf", "78681513")</f>
        <v>78681513</v>
      </c>
      <c r="F792" s="10" t="s">
        <v>2354</v>
      </c>
      <c r="G792" s="10" t="s">
        <v>2355</v>
      </c>
      <c r="H792" s="10" t="s">
        <v>2356</v>
      </c>
      <c r="I792" s="10" t="s">
        <v>2330</v>
      </c>
    </row>
    <row r="793" spans="1:9" x14ac:dyDescent="0.15">
      <c r="A793" s="9">
        <v>792</v>
      </c>
      <c r="B793" s="10" t="s">
        <v>9</v>
      </c>
      <c r="C793" s="10" t="s">
        <v>170</v>
      </c>
      <c r="D793" s="10" t="s">
        <v>171</v>
      </c>
      <c r="E793" s="11" t="str">
        <f>+HYPERLINK("http://trademark.i-assist.jp/data/china/image_1900th/78681562.pdf", "78681562")</f>
        <v>78681562</v>
      </c>
      <c r="F793" s="10" t="s">
        <v>2357</v>
      </c>
      <c r="G793" s="10" t="s">
        <v>2358</v>
      </c>
      <c r="H793" s="10" t="s">
        <v>2359</v>
      </c>
      <c r="I793" s="10" t="s">
        <v>2330</v>
      </c>
    </row>
    <row r="794" spans="1:9" x14ac:dyDescent="0.15">
      <c r="A794" s="9">
        <v>793</v>
      </c>
      <c r="B794" s="10" t="s">
        <v>9</v>
      </c>
      <c r="C794" s="10" t="s">
        <v>170</v>
      </c>
      <c r="D794" s="10" t="s">
        <v>171</v>
      </c>
      <c r="E794" s="11" t="str">
        <f>+HYPERLINK("http://trademark.i-assist.jp/data/china/image_1900th/78681773.pdf", "78681773")</f>
        <v>78681773</v>
      </c>
      <c r="F794" s="10" t="s">
        <v>2360</v>
      </c>
      <c r="G794" s="10" t="s">
        <v>2361</v>
      </c>
      <c r="H794" s="10" t="s">
        <v>2362</v>
      </c>
      <c r="I794" s="10" t="s">
        <v>2330</v>
      </c>
    </row>
    <row r="795" spans="1:9" x14ac:dyDescent="0.15">
      <c r="A795" s="9">
        <v>794</v>
      </c>
      <c r="B795" s="10" t="s">
        <v>9</v>
      </c>
      <c r="C795" s="10" t="s">
        <v>170</v>
      </c>
      <c r="D795" s="10" t="s">
        <v>171</v>
      </c>
      <c r="E795" s="11" t="str">
        <f>+HYPERLINK("http://trademark.i-assist.jp/data/china/image_1900th/78681789.pdf", "78681789")</f>
        <v>78681789</v>
      </c>
      <c r="F795" s="10" t="s">
        <v>2363</v>
      </c>
      <c r="G795" s="10" t="s">
        <v>2328</v>
      </c>
      <c r="H795" s="10" t="s">
        <v>2364</v>
      </c>
      <c r="I795" s="10" t="s">
        <v>2330</v>
      </c>
    </row>
    <row r="796" spans="1:9" x14ac:dyDescent="0.15">
      <c r="A796" s="9">
        <v>795</v>
      </c>
      <c r="B796" s="10" t="s">
        <v>9</v>
      </c>
      <c r="C796" s="10" t="s">
        <v>170</v>
      </c>
      <c r="D796" s="10" t="s">
        <v>171</v>
      </c>
      <c r="E796" s="11" t="str">
        <f>+HYPERLINK("http://trademark.i-assist.jp/data/china/image_1900th/78682164.pdf", "78682164")</f>
        <v>78682164</v>
      </c>
      <c r="F796" s="10" t="s">
        <v>2365</v>
      </c>
      <c r="G796" s="10" t="s">
        <v>1879</v>
      </c>
      <c r="H796" s="10" t="s">
        <v>2366</v>
      </c>
      <c r="I796" s="10" t="s">
        <v>2330</v>
      </c>
    </row>
    <row r="797" spans="1:9" x14ac:dyDescent="0.15">
      <c r="A797" s="9">
        <v>796</v>
      </c>
      <c r="B797" s="10" t="s">
        <v>9</v>
      </c>
      <c r="C797" s="10" t="s">
        <v>170</v>
      </c>
      <c r="D797" s="10" t="s">
        <v>171</v>
      </c>
      <c r="E797" s="11" t="str">
        <f>+HYPERLINK("http://trademark.i-assist.jp/data/china/image_1900th/78682312.pdf", "78682312")</f>
        <v>78682312</v>
      </c>
      <c r="F797" s="10" t="s">
        <v>2367</v>
      </c>
      <c r="G797" s="10" t="s">
        <v>2368</v>
      </c>
      <c r="H797" s="10" t="s">
        <v>2369</v>
      </c>
      <c r="I797" s="10" t="s">
        <v>2330</v>
      </c>
    </row>
    <row r="798" spans="1:9" x14ac:dyDescent="0.15">
      <c r="A798" s="9">
        <v>797</v>
      </c>
      <c r="B798" s="10" t="s">
        <v>9</v>
      </c>
      <c r="C798" s="10" t="s">
        <v>170</v>
      </c>
      <c r="D798" s="10" t="s">
        <v>171</v>
      </c>
      <c r="E798" s="11" t="str">
        <f>+HYPERLINK("http://trademark.i-assist.jp/data/china/image_1900th/78682406.pdf", "78682406")</f>
        <v>78682406</v>
      </c>
      <c r="F798" s="10" t="s">
        <v>2370</v>
      </c>
      <c r="G798" s="10" t="s">
        <v>2371</v>
      </c>
      <c r="H798" s="10" t="s">
        <v>2372</v>
      </c>
      <c r="I798" s="10" t="s">
        <v>2330</v>
      </c>
    </row>
    <row r="799" spans="1:9" x14ac:dyDescent="0.15">
      <c r="A799" s="9">
        <v>798</v>
      </c>
      <c r="B799" s="10" t="s">
        <v>9</v>
      </c>
      <c r="C799" s="10" t="s">
        <v>170</v>
      </c>
      <c r="D799" s="10" t="s">
        <v>171</v>
      </c>
      <c r="E799" s="11" t="str">
        <f>+HYPERLINK("http://trademark.i-assist.jp/data/china/image_1900th/78682431.pdf", "78682431")</f>
        <v>78682431</v>
      </c>
      <c r="F799" s="10" t="s">
        <v>2373</v>
      </c>
      <c r="G799" s="10" t="s">
        <v>2374</v>
      </c>
      <c r="H799" s="10" t="s">
        <v>2375</v>
      </c>
      <c r="I799" s="10" t="s">
        <v>2330</v>
      </c>
    </row>
    <row r="800" spans="1:9" x14ac:dyDescent="0.15">
      <c r="A800" s="9">
        <v>799</v>
      </c>
      <c r="B800" s="10" t="s">
        <v>9</v>
      </c>
      <c r="C800" s="10" t="s">
        <v>170</v>
      </c>
      <c r="D800" s="10" t="s">
        <v>171</v>
      </c>
      <c r="E800" s="11" t="str">
        <f>+HYPERLINK("http://trademark.i-assist.jp/data/china/image_1900th/78682722.pdf", "78682722")</f>
        <v>78682722</v>
      </c>
      <c r="F800" s="10" t="s">
        <v>2376</v>
      </c>
      <c r="G800" s="10" t="s">
        <v>2358</v>
      </c>
      <c r="H800" s="10" t="s">
        <v>2377</v>
      </c>
      <c r="I800" s="10" t="s">
        <v>2330</v>
      </c>
    </row>
    <row r="801" spans="1:9" x14ac:dyDescent="0.15">
      <c r="A801" s="9">
        <v>800</v>
      </c>
      <c r="B801" s="10" t="s">
        <v>9</v>
      </c>
      <c r="C801" s="10" t="s">
        <v>170</v>
      </c>
      <c r="D801" s="10" t="s">
        <v>171</v>
      </c>
      <c r="E801" s="11" t="str">
        <f>+HYPERLINK("http://trademark.i-assist.jp/data/china/image_1900th/78682945.pdf", "78682945")</f>
        <v>78682945</v>
      </c>
      <c r="F801" s="10" t="s">
        <v>2378</v>
      </c>
      <c r="G801" s="10" t="s">
        <v>2379</v>
      </c>
      <c r="H801" s="10" t="s">
        <v>2380</v>
      </c>
      <c r="I801" s="10" t="s">
        <v>2330</v>
      </c>
    </row>
    <row r="802" spans="1:9" x14ac:dyDescent="0.15">
      <c r="A802" s="9">
        <v>801</v>
      </c>
      <c r="B802" s="10" t="s">
        <v>9</v>
      </c>
      <c r="C802" s="10" t="s">
        <v>170</v>
      </c>
      <c r="D802" s="10" t="s">
        <v>171</v>
      </c>
      <c r="E802" s="11" t="str">
        <f>+HYPERLINK("http://trademark.i-assist.jp/data/china/image_1900th/78683319.pdf", "78683319")</f>
        <v>78683319</v>
      </c>
      <c r="F802" s="10" t="s">
        <v>2381</v>
      </c>
      <c r="G802" s="10" t="s">
        <v>2382</v>
      </c>
      <c r="H802" s="10" t="s">
        <v>2383</v>
      </c>
      <c r="I802" s="10" t="s">
        <v>2330</v>
      </c>
    </row>
    <row r="803" spans="1:9" x14ac:dyDescent="0.15">
      <c r="A803" s="9">
        <v>802</v>
      </c>
      <c r="B803" s="10" t="s">
        <v>9</v>
      </c>
      <c r="C803" s="10" t="s">
        <v>170</v>
      </c>
      <c r="D803" s="10" t="s">
        <v>171</v>
      </c>
      <c r="E803" s="11" t="str">
        <f>+HYPERLINK("http://trademark.i-assist.jp/data/china/image_1900th/78683426.pdf", "78683426")</f>
        <v>78683426</v>
      </c>
      <c r="F803" s="10" t="s">
        <v>2384</v>
      </c>
      <c r="G803" s="10" t="s">
        <v>2385</v>
      </c>
      <c r="H803" s="10" t="s">
        <v>2386</v>
      </c>
      <c r="I803" s="10" t="s">
        <v>2330</v>
      </c>
    </row>
    <row r="804" spans="1:9" x14ac:dyDescent="0.15">
      <c r="A804" s="9">
        <v>803</v>
      </c>
      <c r="B804" s="10" t="s">
        <v>9</v>
      </c>
      <c r="C804" s="10" t="s">
        <v>170</v>
      </c>
      <c r="D804" s="10" t="s">
        <v>171</v>
      </c>
      <c r="E804" s="11" t="str">
        <f>+HYPERLINK("http://trademark.i-assist.jp/data/china/image_1900th/78683509.pdf", "78683509")</f>
        <v>78683509</v>
      </c>
      <c r="F804" s="10" t="s">
        <v>2387</v>
      </c>
      <c r="G804" s="10" t="s">
        <v>2388</v>
      </c>
      <c r="H804" s="10" t="s">
        <v>2389</v>
      </c>
      <c r="I804" s="10" t="s">
        <v>2330</v>
      </c>
    </row>
    <row r="805" spans="1:9" x14ac:dyDescent="0.15">
      <c r="A805" s="9">
        <v>804</v>
      </c>
      <c r="B805" s="10" t="s">
        <v>9</v>
      </c>
      <c r="C805" s="10" t="s">
        <v>170</v>
      </c>
      <c r="D805" s="10" t="s">
        <v>171</v>
      </c>
      <c r="E805" s="11" t="str">
        <f>+HYPERLINK("http://trademark.i-assist.jp/data/china/image_1900th/78683628.pdf", "78683628")</f>
        <v>78683628</v>
      </c>
      <c r="F805" s="10" t="s">
        <v>2390</v>
      </c>
      <c r="G805" s="10" t="s">
        <v>2343</v>
      </c>
      <c r="H805" s="10" t="s">
        <v>2391</v>
      </c>
      <c r="I805" s="10" t="s">
        <v>2330</v>
      </c>
    </row>
    <row r="806" spans="1:9" x14ac:dyDescent="0.15">
      <c r="A806" s="9">
        <v>805</v>
      </c>
      <c r="B806" s="10" t="s">
        <v>9</v>
      </c>
      <c r="C806" s="10" t="s">
        <v>170</v>
      </c>
      <c r="D806" s="10" t="s">
        <v>171</v>
      </c>
      <c r="E806" s="11" t="str">
        <f>+HYPERLINK("http://trademark.i-assist.jp/data/china/image_1900th/78684017.pdf", "78684017")</f>
        <v>78684017</v>
      </c>
      <c r="F806" s="10" t="s">
        <v>2392</v>
      </c>
      <c r="G806" s="10" t="s">
        <v>2358</v>
      </c>
      <c r="H806" s="10" t="s">
        <v>2393</v>
      </c>
      <c r="I806" s="10" t="s">
        <v>2330</v>
      </c>
    </row>
    <row r="807" spans="1:9" x14ac:dyDescent="0.15">
      <c r="A807" s="9">
        <v>806</v>
      </c>
      <c r="B807" s="10" t="s">
        <v>9</v>
      </c>
      <c r="C807" s="10" t="s">
        <v>170</v>
      </c>
      <c r="D807" s="10" t="s">
        <v>171</v>
      </c>
      <c r="E807" s="11" t="str">
        <f>+HYPERLINK("http://trademark.i-assist.jp/data/china/image_1900th/78685164.pdf", "78685164")</f>
        <v>78685164</v>
      </c>
      <c r="F807" s="10" t="s">
        <v>2394</v>
      </c>
      <c r="G807" s="10" t="s">
        <v>2358</v>
      </c>
      <c r="H807" s="10" t="s">
        <v>2395</v>
      </c>
      <c r="I807" s="10" t="s">
        <v>2330</v>
      </c>
    </row>
    <row r="808" spans="1:9" x14ac:dyDescent="0.15">
      <c r="A808" s="9">
        <v>807</v>
      </c>
      <c r="B808" s="10" t="s">
        <v>9</v>
      </c>
      <c r="C808" s="10" t="s">
        <v>170</v>
      </c>
      <c r="D808" s="10" t="s">
        <v>171</v>
      </c>
      <c r="E808" s="11" t="str">
        <f>+HYPERLINK("http://trademark.i-assist.jp/data/china/image_1900th/78685367.pdf", "78685367")</f>
        <v>78685367</v>
      </c>
      <c r="F808" s="10" t="s">
        <v>2396</v>
      </c>
      <c r="G808" s="10" t="s">
        <v>145</v>
      </c>
      <c r="H808" s="10" t="s">
        <v>2397</v>
      </c>
      <c r="I808" s="10" t="s">
        <v>168</v>
      </c>
    </row>
    <row r="809" spans="1:9" x14ac:dyDescent="0.15">
      <c r="A809" s="9">
        <v>808</v>
      </c>
      <c r="B809" s="10" t="s">
        <v>9</v>
      </c>
      <c r="C809" s="10" t="s">
        <v>170</v>
      </c>
      <c r="D809" s="10" t="s">
        <v>171</v>
      </c>
      <c r="E809" s="11" t="str">
        <f>+HYPERLINK("http://trademark.i-assist.jp/data/china/image_1900th/78685618.pdf", "78685618")</f>
        <v>78685618</v>
      </c>
      <c r="F809" s="10" t="s">
        <v>2398</v>
      </c>
      <c r="G809" s="10" t="s">
        <v>2399</v>
      </c>
      <c r="H809" s="10" t="s">
        <v>2400</v>
      </c>
      <c r="I809" s="10" t="s">
        <v>168</v>
      </c>
    </row>
    <row r="810" spans="1:9" x14ac:dyDescent="0.15">
      <c r="A810" s="9">
        <v>809</v>
      </c>
      <c r="B810" s="10" t="s">
        <v>9</v>
      </c>
      <c r="C810" s="10" t="s">
        <v>170</v>
      </c>
      <c r="D810" s="10" t="s">
        <v>171</v>
      </c>
      <c r="E810" s="11" t="str">
        <f>+HYPERLINK("http://trademark.i-assist.jp/data/china/image_1900th/78685620.pdf", "78685620")</f>
        <v>78685620</v>
      </c>
      <c r="F810" s="10" t="s">
        <v>2401</v>
      </c>
      <c r="G810" s="10" t="s">
        <v>2399</v>
      </c>
      <c r="H810" s="10" t="s">
        <v>2402</v>
      </c>
      <c r="I810" s="10" t="s">
        <v>168</v>
      </c>
    </row>
    <row r="811" spans="1:9" x14ac:dyDescent="0.15">
      <c r="A811" s="9">
        <v>810</v>
      </c>
      <c r="B811" s="10" t="s">
        <v>9</v>
      </c>
      <c r="C811" s="10" t="s">
        <v>170</v>
      </c>
      <c r="D811" s="10" t="s">
        <v>171</v>
      </c>
      <c r="E811" s="11" t="str">
        <f>+HYPERLINK("http://trademark.i-assist.jp/data/china/image_1900th/78685661.pdf", "78685661")</f>
        <v>78685661</v>
      </c>
      <c r="F811" s="10" t="s">
        <v>2403</v>
      </c>
      <c r="G811" s="10" t="s">
        <v>2404</v>
      </c>
      <c r="H811" s="10" t="s">
        <v>2405</v>
      </c>
      <c r="I811" s="10" t="s">
        <v>168</v>
      </c>
    </row>
    <row r="812" spans="1:9" x14ac:dyDescent="0.15">
      <c r="A812" s="9">
        <v>811</v>
      </c>
      <c r="B812" s="10" t="s">
        <v>9</v>
      </c>
      <c r="C812" s="10" t="s">
        <v>170</v>
      </c>
      <c r="D812" s="10" t="s">
        <v>171</v>
      </c>
      <c r="E812" s="11" t="str">
        <f>+HYPERLINK("http://trademark.i-assist.jp/data/china/image_1900th/78685762.pdf", "78685762")</f>
        <v>78685762</v>
      </c>
      <c r="F812" s="10" t="s">
        <v>2406</v>
      </c>
      <c r="G812" s="10" t="s">
        <v>2407</v>
      </c>
      <c r="H812" s="10" t="s">
        <v>2408</v>
      </c>
      <c r="I812" s="10" t="s">
        <v>168</v>
      </c>
    </row>
    <row r="813" spans="1:9" x14ac:dyDescent="0.15">
      <c r="A813" s="9">
        <v>812</v>
      </c>
      <c r="B813" s="10" t="s">
        <v>9</v>
      </c>
      <c r="C813" s="10" t="s">
        <v>170</v>
      </c>
      <c r="D813" s="10" t="s">
        <v>171</v>
      </c>
      <c r="E813" s="11" t="str">
        <f>+HYPERLINK("http://trademark.i-assist.jp/data/china/image_1900th/78685778.pdf", "78685778")</f>
        <v>78685778</v>
      </c>
      <c r="F813" s="10" t="s">
        <v>2409</v>
      </c>
      <c r="G813" s="10" t="s">
        <v>2410</v>
      </c>
      <c r="H813" s="10" t="s">
        <v>2411</v>
      </c>
      <c r="I813" s="10" t="s">
        <v>168</v>
      </c>
    </row>
    <row r="814" spans="1:9" x14ac:dyDescent="0.15">
      <c r="A814" s="9">
        <v>813</v>
      </c>
      <c r="B814" s="10" t="s">
        <v>9</v>
      </c>
      <c r="C814" s="10" t="s">
        <v>170</v>
      </c>
      <c r="D814" s="10" t="s">
        <v>171</v>
      </c>
      <c r="E814" s="11" t="str">
        <f>+HYPERLINK("http://trademark.i-assist.jp/data/china/image_1900th/78686008.pdf", "78686008")</f>
        <v>78686008</v>
      </c>
      <c r="F814" s="10" t="s">
        <v>2412</v>
      </c>
      <c r="G814" s="10" t="s">
        <v>2399</v>
      </c>
      <c r="H814" s="10" t="s">
        <v>2413</v>
      </c>
      <c r="I814" s="10" t="s">
        <v>168</v>
      </c>
    </row>
    <row r="815" spans="1:9" x14ac:dyDescent="0.15">
      <c r="A815" s="9">
        <v>814</v>
      </c>
      <c r="B815" s="10" t="s">
        <v>9</v>
      </c>
      <c r="C815" s="10" t="s">
        <v>170</v>
      </c>
      <c r="D815" s="10" t="s">
        <v>171</v>
      </c>
      <c r="E815" s="11" t="str">
        <f>+HYPERLINK("http://trademark.i-assist.jp/data/china/image_1900th/78686010.pdf", "78686010")</f>
        <v>78686010</v>
      </c>
      <c r="F815" s="10" t="s">
        <v>2414</v>
      </c>
      <c r="G815" s="10" t="s">
        <v>2399</v>
      </c>
      <c r="H815" s="10" t="s">
        <v>2415</v>
      </c>
      <c r="I815" s="10" t="s">
        <v>168</v>
      </c>
    </row>
    <row r="816" spans="1:9" x14ac:dyDescent="0.15">
      <c r="A816" s="9">
        <v>815</v>
      </c>
      <c r="B816" s="10" t="s">
        <v>9</v>
      </c>
      <c r="C816" s="10" t="s">
        <v>170</v>
      </c>
      <c r="D816" s="10" t="s">
        <v>171</v>
      </c>
      <c r="E816" s="11" t="str">
        <f>+HYPERLINK("http://trademark.i-assist.jp/data/china/image_1900th/78686488.pdf", "78686488")</f>
        <v>78686488</v>
      </c>
      <c r="F816" s="10" t="s">
        <v>15</v>
      </c>
      <c r="G816" s="10" t="s">
        <v>2416</v>
      </c>
      <c r="H816" s="10" t="s">
        <v>2417</v>
      </c>
      <c r="I816" s="10" t="s">
        <v>168</v>
      </c>
    </row>
    <row r="817" spans="1:9" x14ac:dyDescent="0.15">
      <c r="A817" s="9">
        <v>816</v>
      </c>
      <c r="B817" s="10" t="s">
        <v>9</v>
      </c>
      <c r="C817" s="10" t="s">
        <v>170</v>
      </c>
      <c r="D817" s="10" t="s">
        <v>171</v>
      </c>
      <c r="E817" s="11" t="str">
        <f>+HYPERLINK("http://trademark.i-assist.jp/data/china/image_1900th/78686491.pdf", "78686491")</f>
        <v>78686491</v>
      </c>
      <c r="F817" s="10" t="s">
        <v>2418</v>
      </c>
      <c r="G817" s="10" t="s">
        <v>2399</v>
      </c>
      <c r="H817" s="10" t="s">
        <v>2419</v>
      </c>
      <c r="I817" s="10" t="s">
        <v>168</v>
      </c>
    </row>
    <row r="818" spans="1:9" x14ac:dyDescent="0.15">
      <c r="A818" s="9">
        <v>817</v>
      </c>
      <c r="B818" s="10" t="s">
        <v>9</v>
      </c>
      <c r="C818" s="10" t="s">
        <v>170</v>
      </c>
      <c r="D818" s="10" t="s">
        <v>171</v>
      </c>
      <c r="E818" s="11" t="str">
        <f>+HYPERLINK("http://trademark.i-assist.jp/data/china/image_1900th/78686530.pdf", "78686530")</f>
        <v>78686530</v>
      </c>
      <c r="F818" s="10" t="s">
        <v>2420</v>
      </c>
      <c r="G818" s="10" t="s">
        <v>2421</v>
      </c>
      <c r="H818" s="10" t="s">
        <v>2422</v>
      </c>
      <c r="I818" s="10" t="s">
        <v>168</v>
      </c>
    </row>
    <row r="819" spans="1:9" x14ac:dyDescent="0.15">
      <c r="A819" s="9">
        <v>818</v>
      </c>
      <c r="B819" s="10" t="s">
        <v>9</v>
      </c>
      <c r="C819" s="10" t="s">
        <v>170</v>
      </c>
      <c r="D819" s="10" t="s">
        <v>171</v>
      </c>
      <c r="E819" s="11" t="str">
        <f>+HYPERLINK("http://trademark.i-assist.jp/data/china/image_1900th/78687006.pdf", "78687006")</f>
        <v>78687006</v>
      </c>
      <c r="F819" s="10" t="s">
        <v>2423</v>
      </c>
      <c r="G819" s="10" t="s">
        <v>2424</v>
      </c>
      <c r="H819" s="10" t="s">
        <v>2425</v>
      </c>
      <c r="I819" s="10" t="s">
        <v>168</v>
      </c>
    </row>
    <row r="820" spans="1:9" x14ac:dyDescent="0.15">
      <c r="A820" s="9">
        <v>819</v>
      </c>
      <c r="B820" s="10" t="s">
        <v>9</v>
      </c>
      <c r="C820" s="10" t="s">
        <v>170</v>
      </c>
      <c r="D820" s="10" t="s">
        <v>171</v>
      </c>
      <c r="E820" s="11" t="str">
        <f>+HYPERLINK("http://trademark.i-assist.jp/data/china/image_1900th/78687247.pdf", "78687247")</f>
        <v>78687247</v>
      </c>
      <c r="F820" s="10" t="s">
        <v>2426</v>
      </c>
      <c r="G820" s="10" t="s">
        <v>2427</v>
      </c>
      <c r="H820" s="10" t="s">
        <v>2428</v>
      </c>
      <c r="I820" s="10" t="s">
        <v>168</v>
      </c>
    </row>
    <row r="821" spans="1:9" x14ac:dyDescent="0.15">
      <c r="A821" s="9">
        <v>820</v>
      </c>
      <c r="B821" s="10" t="s">
        <v>9</v>
      </c>
      <c r="C821" s="10" t="s">
        <v>170</v>
      </c>
      <c r="D821" s="10" t="s">
        <v>171</v>
      </c>
      <c r="E821" s="11" t="str">
        <f>+HYPERLINK("http://trademark.i-assist.jp/data/china/image_1900th/78687292.pdf", "78687292")</f>
        <v>78687292</v>
      </c>
      <c r="F821" s="10" t="s">
        <v>2429</v>
      </c>
      <c r="G821" s="10" t="s">
        <v>2430</v>
      </c>
      <c r="H821" s="10" t="s">
        <v>2431</v>
      </c>
      <c r="I821" s="10" t="s">
        <v>168</v>
      </c>
    </row>
    <row r="822" spans="1:9" x14ac:dyDescent="0.15">
      <c r="A822" s="9">
        <v>821</v>
      </c>
      <c r="B822" s="10" t="s">
        <v>9</v>
      </c>
      <c r="C822" s="10" t="s">
        <v>170</v>
      </c>
      <c r="D822" s="10" t="s">
        <v>171</v>
      </c>
      <c r="E822" s="11" t="str">
        <f>+HYPERLINK("http://trademark.i-assist.jp/data/china/image_1900th/78687361.pdf", "78687361")</f>
        <v>78687361</v>
      </c>
      <c r="F822" s="10" t="s">
        <v>2432</v>
      </c>
      <c r="G822" s="10" t="s">
        <v>2424</v>
      </c>
      <c r="H822" s="10" t="s">
        <v>2433</v>
      </c>
      <c r="I822" s="10" t="s">
        <v>168</v>
      </c>
    </row>
    <row r="823" spans="1:9" x14ac:dyDescent="0.15">
      <c r="A823" s="9">
        <v>822</v>
      </c>
      <c r="B823" s="10" t="s">
        <v>9</v>
      </c>
      <c r="C823" s="10" t="s">
        <v>170</v>
      </c>
      <c r="D823" s="10" t="s">
        <v>171</v>
      </c>
      <c r="E823" s="11" t="str">
        <f>+HYPERLINK("http://trademark.i-assist.jp/data/china/image_1900th/78687610.pdf", "78687610")</f>
        <v>78687610</v>
      </c>
      <c r="F823" s="10" t="s">
        <v>2434</v>
      </c>
      <c r="G823" s="10" t="s">
        <v>2427</v>
      </c>
      <c r="H823" s="10" t="s">
        <v>2435</v>
      </c>
      <c r="I823" s="10" t="s">
        <v>168</v>
      </c>
    </row>
    <row r="824" spans="1:9" x14ac:dyDescent="0.15">
      <c r="A824" s="9">
        <v>823</v>
      </c>
      <c r="B824" s="10" t="s">
        <v>9</v>
      </c>
      <c r="C824" s="10" t="s">
        <v>170</v>
      </c>
      <c r="D824" s="10" t="s">
        <v>171</v>
      </c>
      <c r="E824" s="11" t="str">
        <f>+HYPERLINK("http://trademark.i-assist.jp/data/china/image_1900th/78687792.pdf", "78687792")</f>
        <v>78687792</v>
      </c>
      <c r="F824" s="10" t="s">
        <v>2436</v>
      </c>
      <c r="G824" s="10" t="s">
        <v>2437</v>
      </c>
      <c r="H824" s="10" t="s">
        <v>2438</v>
      </c>
      <c r="I824" s="10" t="s">
        <v>168</v>
      </c>
    </row>
    <row r="825" spans="1:9" x14ac:dyDescent="0.15">
      <c r="A825" s="9">
        <v>824</v>
      </c>
      <c r="B825" s="10" t="s">
        <v>9</v>
      </c>
      <c r="C825" s="10" t="s">
        <v>170</v>
      </c>
      <c r="D825" s="10" t="s">
        <v>171</v>
      </c>
      <c r="E825" s="11" t="str">
        <f>+HYPERLINK("http://trademark.i-assist.jp/data/china/image_1900th/78688065.pdf", "78688065")</f>
        <v>78688065</v>
      </c>
      <c r="F825" s="10" t="s">
        <v>2439</v>
      </c>
      <c r="G825" s="10" t="s">
        <v>2440</v>
      </c>
      <c r="H825" s="10" t="s">
        <v>2441</v>
      </c>
      <c r="I825" s="10" t="s">
        <v>168</v>
      </c>
    </row>
    <row r="826" spans="1:9" x14ac:dyDescent="0.15">
      <c r="A826" s="9">
        <v>825</v>
      </c>
      <c r="B826" s="10" t="s">
        <v>9</v>
      </c>
      <c r="C826" s="10" t="s">
        <v>170</v>
      </c>
      <c r="D826" s="10" t="s">
        <v>171</v>
      </c>
      <c r="E826" s="11" t="str">
        <f>+HYPERLINK("http://trademark.i-assist.jp/data/china/image_1900th/78688120.pdf", "78688120")</f>
        <v>78688120</v>
      </c>
      <c r="F826" s="10" t="s">
        <v>2442</v>
      </c>
      <c r="G826" s="10" t="s">
        <v>2427</v>
      </c>
      <c r="H826" s="10" t="s">
        <v>2443</v>
      </c>
      <c r="I826" s="10" t="s">
        <v>168</v>
      </c>
    </row>
    <row r="827" spans="1:9" x14ac:dyDescent="0.15">
      <c r="A827" s="9">
        <v>826</v>
      </c>
      <c r="B827" s="10" t="s">
        <v>9</v>
      </c>
      <c r="C827" s="10" t="s">
        <v>170</v>
      </c>
      <c r="D827" s="10" t="s">
        <v>171</v>
      </c>
      <c r="E827" s="11" t="str">
        <f>+HYPERLINK("http://trademark.i-assist.jp/data/china/image_1900th/78688123.pdf", "78688123")</f>
        <v>78688123</v>
      </c>
      <c r="F827" s="10" t="s">
        <v>2444</v>
      </c>
      <c r="G827" s="10" t="s">
        <v>2427</v>
      </c>
      <c r="H827" s="10" t="s">
        <v>2445</v>
      </c>
      <c r="I827" s="10" t="s">
        <v>168</v>
      </c>
    </row>
    <row r="828" spans="1:9" x14ac:dyDescent="0.15">
      <c r="A828" s="9">
        <v>827</v>
      </c>
      <c r="B828" s="10" t="s">
        <v>9</v>
      </c>
      <c r="C828" s="10" t="s">
        <v>170</v>
      </c>
      <c r="D828" s="10" t="s">
        <v>171</v>
      </c>
      <c r="E828" s="11" t="str">
        <f>+HYPERLINK("http://trademark.i-assist.jp/data/china/image_1900th/78688161.pdf", "78688161")</f>
        <v>78688161</v>
      </c>
      <c r="F828" s="10" t="s">
        <v>2446</v>
      </c>
      <c r="G828" s="10" t="s">
        <v>2424</v>
      </c>
      <c r="H828" s="10" t="s">
        <v>2447</v>
      </c>
      <c r="I828" s="10" t="s">
        <v>168</v>
      </c>
    </row>
    <row r="829" spans="1:9" x14ac:dyDescent="0.15">
      <c r="A829" s="9">
        <v>828</v>
      </c>
      <c r="B829" s="10" t="s">
        <v>9</v>
      </c>
      <c r="C829" s="10" t="s">
        <v>170</v>
      </c>
      <c r="D829" s="10" t="s">
        <v>171</v>
      </c>
      <c r="E829" s="11" t="str">
        <f>+HYPERLINK("http://trademark.i-assist.jp/data/china/image_1900th/78688676.pdf", "78688676")</f>
        <v>78688676</v>
      </c>
      <c r="F829" s="10" t="s">
        <v>2448</v>
      </c>
      <c r="G829" s="10" t="s">
        <v>2449</v>
      </c>
      <c r="H829" s="10" t="s">
        <v>2450</v>
      </c>
      <c r="I829" s="10" t="s">
        <v>2451</v>
      </c>
    </row>
    <row r="830" spans="1:9" x14ac:dyDescent="0.15">
      <c r="A830" s="9">
        <v>829</v>
      </c>
      <c r="B830" s="10" t="s">
        <v>9</v>
      </c>
      <c r="C830" s="10" t="s">
        <v>170</v>
      </c>
      <c r="D830" s="10" t="s">
        <v>171</v>
      </c>
      <c r="E830" s="11" t="str">
        <f>+HYPERLINK("http://trademark.i-assist.jp/data/china/image_1900th/78688829.pdf", "78688829")</f>
        <v>78688829</v>
      </c>
      <c r="F830" s="10" t="s">
        <v>2452</v>
      </c>
      <c r="G830" s="10" t="s">
        <v>132</v>
      </c>
      <c r="H830" s="10" t="s">
        <v>2453</v>
      </c>
      <c r="I830" s="10" t="s">
        <v>2451</v>
      </c>
    </row>
    <row r="831" spans="1:9" x14ac:dyDescent="0.15">
      <c r="A831" s="9">
        <v>830</v>
      </c>
      <c r="B831" s="10" t="s">
        <v>9</v>
      </c>
      <c r="C831" s="10" t="s">
        <v>170</v>
      </c>
      <c r="D831" s="10" t="s">
        <v>171</v>
      </c>
      <c r="E831" s="11" t="str">
        <f>+HYPERLINK("http://trademark.i-assist.jp/data/china/image_1900th/78688946.pdf", "78688946")</f>
        <v>78688946</v>
      </c>
      <c r="F831" s="10" t="s">
        <v>2454</v>
      </c>
      <c r="G831" s="10" t="s">
        <v>2455</v>
      </c>
      <c r="H831" s="10" t="s">
        <v>2456</v>
      </c>
      <c r="I831" s="10" t="s">
        <v>2451</v>
      </c>
    </row>
    <row r="832" spans="1:9" x14ac:dyDescent="0.15">
      <c r="A832" s="9">
        <v>831</v>
      </c>
      <c r="B832" s="10" t="s">
        <v>9</v>
      </c>
      <c r="C832" s="10" t="s">
        <v>170</v>
      </c>
      <c r="D832" s="10" t="s">
        <v>171</v>
      </c>
      <c r="E832" s="11" t="str">
        <f>+HYPERLINK("http://trademark.i-assist.jp/data/china/image_1900th/78689215.pdf", "78689215")</f>
        <v>78689215</v>
      </c>
      <c r="F832" s="10" t="s">
        <v>2457</v>
      </c>
      <c r="G832" s="10" t="s">
        <v>2458</v>
      </c>
      <c r="H832" s="10" t="s">
        <v>2459</v>
      </c>
      <c r="I832" s="10" t="s">
        <v>2451</v>
      </c>
    </row>
    <row r="833" spans="1:9" x14ac:dyDescent="0.15">
      <c r="A833" s="9">
        <v>832</v>
      </c>
      <c r="B833" s="10" t="s">
        <v>9</v>
      </c>
      <c r="C833" s="10" t="s">
        <v>170</v>
      </c>
      <c r="D833" s="10" t="s">
        <v>171</v>
      </c>
      <c r="E833" s="11" t="str">
        <f>+HYPERLINK("http://trademark.i-assist.jp/data/china/image_1900th/78689512.pdf", "78689512")</f>
        <v>78689512</v>
      </c>
      <c r="F833" s="10" t="s">
        <v>2460</v>
      </c>
      <c r="G833" s="10" t="s">
        <v>2461</v>
      </c>
      <c r="H833" s="10" t="s">
        <v>2462</v>
      </c>
      <c r="I833" s="10" t="s">
        <v>2451</v>
      </c>
    </row>
    <row r="834" spans="1:9" x14ac:dyDescent="0.15">
      <c r="A834" s="9">
        <v>833</v>
      </c>
      <c r="B834" s="10" t="s">
        <v>9</v>
      </c>
      <c r="C834" s="10" t="s">
        <v>170</v>
      </c>
      <c r="D834" s="10" t="s">
        <v>171</v>
      </c>
      <c r="E834" s="11" t="str">
        <f>+HYPERLINK("http://trademark.i-assist.jp/data/china/image_1900th/78689904.pdf", "78689904")</f>
        <v>78689904</v>
      </c>
      <c r="F834" s="10" t="s">
        <v>2463</v>
      </c>
      <c r="G834" s="10" t="s">
        <v>2464</v>
      </c>
      <c r="H834" s="10" t="s">
        <v>2465</v>
      </c>
      <c r="I834" s="10" t="s">
        <v>2451</v>
      </c>
    </row>
    <row r="835" spans="1:9" x14ac:dyDescent="0.15">
      <c r="A835" s="9">
        <v>834</v>
      </c>
      <c r="B835" s="10" t="s">
        <v>9</v>
      </c>
      <c r="C835" s="10" t="s">
        <v>170</v>
      </c>
      <c r="D835" s="10" t="s">
        <v>171</v>
      </c>
      <c r="E835" s="11" t="str">
        <f>+HYPERLINK("http://trademark.i-assist.jp/data/china/image_1900th/78690107.pdf", "78690107")</f>
        <v>78690107</v>
      </c>
      <c r="F835" s="10" t="s">
        <v>2466</v>
      </c>
      <c r="G835" s="10" t="s">
        <v>2467</v>
      </c>
      <c r="H835" s="10" t="s">
        <v>2468</v>
      </c>
      <c r="I835" s="10" t="s">
        <v>2451</v>
      </c>
    </row>
    <row r="836" spans="1:9" x14ac:dyDescent="0.15">
      <c r="A836" s="9">
        <v>835</v>
      </c>
      <c r="B836" s="10" t="s">
        <v>9</v>
      </c>
      <c r="C836" s="10" t="s">
        <v>170</v>
      </c>
      <c r="D836" s="10" t="s">
        <v>171</v>
      </c>
      <c r="E836" s="11" t="str">
        <f>+HYPERLINK("http://trademark.i-assist.jp/data/china/image_1900th/78691251.pdf", "78691251")</f>
        <v>78691251</v>
      </c>
      <c r="F836" s="10" t="s">
        <v>2469</v>
      </c>
      <c r="G836" s="10" t="s">
        <v>2470</v>
      </c>
      <c r="H836" s="10" t="s">
        <v>2471</v>
      </c>
      <c r="I836" s="10" t="s">
        <v>2451</v>
      </c>
    </row>
    <row r="837" spans="1:9" x14ac:dyDescent="0.15">
      <c r="A837" s="9">
        <v>836</v>
      </c>
      <c r="B837" s="10" t="s">
        <v>9</v>
      </c>
      <c r="C837" s="10" t="s">
        <v>170</v>
      </c>
      <c r="D837" s="10" t="s">
        <v>171</v>
      </c>
      <c r="E837" s="11" t="str">
        <f>+HYPERLINK("http://trademark.i-assist.jp/data/china/image_1900th/78692566.pdf", "78692566")</f>
        <v>78692566</v>
      </c>
      <c r="F837" s="10" t="s">
        <v>2472</v>
      </c>
      <c r="G837" s="10" t="s">
        <v>2473</v>
      </c>
      <c r="H837" s="10" t="s">
        <v>2474</v>
      </c>
      <c r="I837" s="10" t="s">
        <v>2451</v>
      </c>
    </row>
    <row r="838" spans="1:9" x14ac:dyDescent="0.15">
      <c r="A838" s="9">
        <v>837</v>
      </c>
      <c r="B838" s="10" t="s">
        <v>9</v>
      </c>
      <c r="C838" s="10" t="s">
        <v>170</v>
      </c>
      <c r="D838" s="10" t="s">
        <v>171</v>
      </c>
      <c r="E838" s="11" t="str">
        <f>+HYPERLINK("http://trademark.i-assist.jp/data/china/image_1900th/78692569.pdf", "78692569")</f>
        <v>78692569</v>
      </c>
      <c r="F838" s="10" t="s">
        <v>2475</v>
      </c>
      <c r="G838" s="10" t="s">
        <v>2476</v>
      </c>
      <c r="H838" s="10" t="s">
        <v>2477</v>
      </c>
      <c r="I838" s="10" t="s">
        <v>2451</v>
      </c>
    </row>
    <row r="839" spans="1:9" x14ac:dyDescent="0.15">
      <c r="A839" s="9">
        <v>838</v>
      </c>
      <c r="B839" s="10" t="s">
        <v>9</v>
      </c>
      <c r="C839" s="10" t="s">
        <v>170</v>
      </c>
      <c r="D839" s="10" t="s">
        <v>171</v>
      </c>
      <c r="E839" s="11" t="str">
        <f>+HYPERLINK("http://trademark.i-assist.jp/data/china/image_1900th/78692759.pdf", "78692759")</f>
        <v>78692759</v>
      </c>
      <c r="F839" s="10" t="s">
        <v>2478</v>
      </c>
      <c r="G839" s="10" t="s">
        <v>2479</v>
      </c>
      <c r="H839" s="10" t="s">
        <v>2480</v>
      </c>
      <c r="I839" s="10" t="s">
        <v>2451</v>
      </c>
    </row>
    <row r="840" spans="1:9" x14ac:dyDescent="0.15">
      <c r="A840" s="9">
        <v>839</v>
      </c>
      <c r="B840" s="10" t="s">
        <v>9</v>
      </c>
      <c r="C840" s="10" t="s">
        <v>170</v>
      </c>
      <c r="D840" s="10" t="s">
        <v>171</v>
      </c>
      <c r="E840" s="11" t="str">
        <f>+HYPERLINK("http://trademark.i-assist.jp/data/china/image_1900th/78694237.pdf", "78694237")</f>
        <v>78694237</v>
      </c>
      <c r="F840" s="10" t="s">
        <v>2481</v>
      </c>
      <c r="G840" s="10" t="s">
        <v>2482</v>
      </c>
      <c r="H840" s="10" t="s">
        <v>2483</v>
      </c>
      <c r="I840" s="10" t="s">
        <v>2451</v>
      </c>
    </row>
    <row r="841" spans="1:9" x14ac:dyDescent="0.15">
      <c r="A841" s="9">
        <v>840</v>
      </c>
      <c r="B841" s="10" t="s">
        <v>9</v>
      </c>
      <c r="C841" s="10" t="s">
        <v>170</v>
      </c>
      <c r="D841" s="10" t="s">
        <v>171</v>
      </c>
      <c r="E841" s="11" t="str">
        <f>+HYPERLINK("http://trademark.i-assist.jp/data/china/image_1900th/78694321.pdf", "78694321")</f>
        <v>78694321</v>
      </c>
      <c r="F841" s="10" t="s">
        <v>2484</v>
      </c>
      <c r="G841" s="10" t="s">
        <v>2485</v>
      </c>
      <c r="H841" s="10" t="s">
        <v>2486</v>
      </c>
      <c r="I841" s="10" t="s">
        <v>2451</v>
      </c>
    </row>
    <row r="842" spans="1:9" x14ac:dyDescent="0.15">
      <c r="A842" s="9">
        <v>841</v>
      </c>
      <c r="B842" s="10" t="s">
        <v>9</v>
      </c>
      <c r="C842" s="10" t="s">
        <v>170</v>
      </c>
      <c r="D842" s="10" t="s">
        <v>171</v>
      </c>
      <c r="E842" s="11" t="str">
        <f>+HYPERLINK("http://trademark.i-assist.jp/data/china/image_1900th/78694980.pdf", "78694980")</f>
        <v>78694980</v>
      </c>
      <c r="F842" s="10" t="s">
        <v>2487</v>
      </c>
      <c r="G842" s="10" t="s">
        <v>82</v>
      </c>
      <c r="H842" s="10" t="s">
        <v>2488</v>
      </c>
      <c r="I842" s="10" t="s">
        <v>2451</v>
      </c>
    </row>
    <row r="843" spans="1:9" x14ac:dyDescent="0.15">
      <c r="A843" s="9">
        <v>842</v>
      </c>
      <c r="B843" s="10" t="s">
        <v>9</v>
      </c>
      <c r="C843" s="10" t="s">
        <v>170</v>
      </c>
      <c r="D843" s="10" t="s">
        <v>171</v>
      </c>
      <c r="E843" s="11" t="str">
        <f>+HYPERLINK("http://trademark.i-assist.jp/data/china/image_1900th/78695603.pdf", "78695603")</f>
        <v>78695603</v>
      </c>
      <c r="F843" s="10" t="s">
        <v>2489</v>
      </c>
      <c r="G843" s="10" t="s">
        <v>2490</v>
      </c>
      <c r="H843" s="10" t="s">
        <v>2491</v>
      </c>
      <c r="I843" s="10" t="s">
        <v>2451</v>
      </c>
    </row>
    <row r="844" spans="1:9" x14ac:dyDescent="0.15">
      <c r="A844" s="9">
        <v>843</v>
      </c>
      <c r="B844" s="10" t="s">
        <v>9</v>
      </c>
      <c r="C844" s="10" t="s">
        <v>170</v>
      </c>
      <c r="D844" s="10" t="s">
        <v>171</v>
      </c>
      <c r="E844" s="11" t="str">
        <f>+HYPERLINK("http://trademark.i-assist.jp/data/china/image_1900th/78695735.pdf", "78695735")</f>
        <v>78695735</v>
      </c>
      <c r="F844" s="10" t="s">
        <v>2492</v>
      </c>
      <c r="G844" s="10" t="s">
        <v>986</v>
      </c>
      <c r="H844" s="10" t="s">
        <v>2493</v>
      </c>
      <c r="I844" s="10" t="s">
        <v>2451</v>
      </c>
    </row>
    <row r="845" spans="1:9" x14ac:dyDescent="0.15">
      <c r="A845" s="9">
        <v>844</v>
      </c>
      <c r="B845" s="10" t="s">
        <v>9</v>
      </c>
      <c r="C845" s="10" t="s">
        <v>170</v>
      </c>
      <c r="D845" s="10" t="s">
        <v>171</v>
      </c>
      <c r="E845" s="11" t="str">
        <f>+HYPERLINK("http://trademark.i-assist.jp/data/china/image_1900th/78696052.pdf", "78696052")</f>
        <v>78696052</v>
      </c>
      <c r="F845" s="10" t="s">
        <v>2494</v>
      </c>
      <c r="G845" s="10" t="s">
        <v>2495</v>
      </c>
      <c r="H845" s="10" t="s">
        <v>2496</v>
      </c>
      <c r="I845" s="10" t="s">
        <v>2451</v>
      </c>
    </row>
    <row r="846" spans="1:9" x14ac:dyDescent="0.15">
      <c r="A846" s="9">
        <v>845</v>
      </c>
      <c r="B846" s="10" t="s">
        <v>9</v>
      </c>
      <c r="C846" s="10" t="s">
        <v>170</v>
      </c>
      <c r="D846" s="10" t="s">
        <v>171</v>
      </c>
      <c r="E846" s="11" t="str">
        <f>+HYPERLINK("http://trademark.i-assist.jp/data/china/image_1900th/78696080.pdf", "78696080")</f>
        <v>78696080</v>
      </c>
      <c r="F846" s="10" t="s">
        <v>2497</v>
      </c>
      <c r="G846" s="10" t="s">
        <v>2498</v>
      </c>
      <c r="H846" s="10" t="s">
        <v>2499</v>
      </c>
      <c r="I846" s="10" t="s">
        <v>2451</v>
      </c>
    </row>
    <row r="847" spans="1:9" x14ac:dyDescent="0.15">
      <c r="A847" s="9">
        <v>846</v>
      </c>
      <c r="B847" s="10" t="s">
        <v>9</v>
      </c>
      <c r="C847" s="10" t="s">
        <v>170</v>
      </c>
      <c r="D847" s="10" t="s">
        <v>171</v>
      </c>
      <c r="E847" s="11" t="str">
        <f>+HYPERLINK("http://trademark.i-assist.jp/data/china/image_1900th/78696127.pdf", "78696127")</f>
        <v>78696127</v>
      </c>
      <c r="F847" s="10" t="s">
        <v>2500</v>
      </c>
      <c r="G847" s="10" t="s">
        <v>2501</v>
      </c>
      <c r="H847" s="10" t="s">
        <v>2502</v>
      </c>
      <c r="I847" s="10" t="s">
        <v>2451</v>
      </c>
    </row>
    <row r="848" spans="1:9" x14ac:dyDescent="0.15">
      <c r="A848" s="9">
        <v>847</v>
      </c>
      <c r="B848" s="10" t="s">
        <v>9</v>
      </c>
      <c r="C848" s="10" t="s">
        <v>170</v>
      </c>
      <c r="D848" s="10" t="s">
        <v>171</v>
      </c>
      <c r="E848" s="11" t="str">
        <f>+HYPERLINK("http://trademark.i-assist.jp/data/china/image_1900th/78696396.pdf", "78696396")</f>
        <v>78696396</v>
      </c>
      <c r="F848" s="10" t="s">
        <v>2503</v>
      </c>
      <c r="G848" s="10" t="s">
        <v>2504</v>
      </c>
      <c r="H848" s="10" t="s">
        <v>2505</v>
      </c>
      <c r="I848" s="10" t="s">
        <v>2451</v>
      </c>
    </row>
    <row r="849" spans="1:9" x14ac:dyDescent="0.15">
      <c r="A849" s="9">
        <v>848</v>
      </c>
      <c r="B849" s="10" t="s">
        <v>9</v>
      </c>
      <c r="C849" s="10" t="s">
        <v>170</v>
      </c>
      <c r="D849" s="10" t="s">
        <v>171</v>
      </c>
      <c r="E849" s="11" t="str">
        <f>+HYPERLINK("http://trademark.i-assist.jp/data/china/image_1900th/78696896.pdf", "78696896")</f>
        <v>78696896</v>
      </c>
      <c r="F849" s="10" t="s">
        <v>2506</v>
      </c>
      <c r="G849" s="10" t="s">
        <v>2507</v>
      </c>
      <c r="H849" s="10" t="s">
        <v>2508</v>
      </c>
      <c r="I849" s="10" t="s">
        <v>2451</v>
      </c>
    </row>
    <row r="850" spans="1:9" x14ac:dyDescent="0.15">
      <c r="A850" s="9">
        <v>849</v>
      </c>
      <c r="B850" s="10" t="s">
        <v>9</v>
      </c>
      <c r="C850" s="10" t="s">
        <v>170</v>
      </c>
      <c r="D850" s="10" t="s">
        <v>171</v>
      </c>
      <c r="E850" s="11" t="str">
        <f>+HYPERLINK("http://trademark.i-assist.jp/data/china/image_1900th/78697018.pdf", "78697018")</f>
        <v>78697018</v>
      </c>
      <c r="F850" s="10" t="s">
        <v>2509</v>
      </c>
      <c r="G850" s="10" t="s">
        <v>2510</v>
      </c>
      <c r="H850" s="10" t="s">
        <v>2511</v>
      </c>
      <c r="I850" s="10" t="s">
        <v>2451</v>
      </c>
    </row>
    <row r="851" spans="1:9" x14ac:dyDescent="0.15">
      <c r="A851" s="9">
        <v>850</v>
      </c>
      <c r="B851" s="10" t="s">
        <v>9</v>
      </c>
      <c r="C851" s="10" t="s">
        <v>170</v>
      </c>
      <c r="D851" s="10" t="s">
        <v>171</v>
      </c>
      <c r="E851" s="11" t="str">
        <f>+HYPERLINK("http://trademark.i-assist.jp/data/china/image_1900th/78697074.pdf", "78697074")</f>
        <v>78697074</v>
      </c>
      <c r="F851" s="10" t="s">
        <v>2512</v>
      </c>
      <c r="G851" s="10" t="s">
        <v>2513</v>
      </c>
      <c r="H851" s="10" t="s">
        <v>2514</v>
      </c>
      <c r="I851" s="10" t="s">
        <v>2451</v>
      </c>
    </row>
    <row r="852" spans="1:9" x14ac:dyDescent="0.15">
      <c r="A852" s="9">
        <v>851</v>
      </c>
      <c r="B852" s="10" t="s">
        <v>9</v>
      </c>
      <c r="C852" s="10" t="s">
        <v>170</v>
      </c>
      <c r="D852" s="10" t="s">
        <v>171</v>
      </c>
      <c r="E852" s="11" t="str">
        <f>+HYPERLINK("http://trademark.i-assist.jp/data/china/image_1900th/78697121.pdf", "78697121")</f>
        <v>78697121</v>
      </c>
      <c r="F852" s="10" t="s">
        <v>2515</v>
      </c>
      <c r="G852" s="10" t="s">
        <v>2490</v>
      </c>
      <c r="H852" s="10" t="s">
        <v>2516</v>
      </c>
      <c r="I852" s="10" t="s">
        <v>2451</v>
      </c>
    </row>
    <row r="853" spans="1:9" x14ac:dyDescent="0.15">
      <c r="A853" s="9">
        <v>852</v>
      </c>
      <c r="B853" s="10" t="s">
        <v>9</v>
      </c>
      <c r="C853" s="10" t="s">
        <v>170</v>
      </c>
      <c r="D853" s="10" t="s">
        <v>171</v>
      </c>
      <c r="E853" s="11" t="str">
        <f>+HYPERLINK("http://trademark.i-assist.jp/data/china/image_1900th/78697181.pdf", "78697181")</f>
        <v>78697181</v>
      </c>
      <c r="F853" s="10" t="s">
        <v>2517</v>
      </c>
      <c r="G853" s="10" t="s">
        <v>2518</v>
      </c>
      <c r="H853" s="10" t="s">
        <v>2519</v>
      </c>
      <c r="I853" s="10" t="s">
        <v>2451</v>
      </c>
    </row>
    <row r="854" spans="1:9" x14ac:dyDescent="0.15">
      <c r="A854" s="9">
        <v>853</v>
      </c>
      <c r="B854" s="10" t="s">
        <v>9</v>
      </c>
      <c r="C854" s="10" t="s">
        <v>170</v>
      </c>
      <c r="D854" s="10" t="s">
        <v>171</v>
      </c>
      <c r="E854" s="11" t="str">
        <f>+HYPERLINK("http://trademark.i-assist.jp/data/china/image_1900th/78697818.pdf", "78697818")</f>
        <v>78697818</v>
      </c>
      <c r="F854" s="10" t="s">
        <v>2520</v>
      </c>
      <c r="G854" s="10" t="s">
        <v>2521</v>
      </c>
      <c r="H854" s="10" t="s">
        <v>2522</v>
      </c>
      <c r="I854" s="10" t="s">
        <v>2451</v>
      </c>
    </row>
    <row r="855" spans="1:9" x14ac:dyDescent="0.15">
      <c r="A855" s="9">
        <v>854</v>
      </c>
      <c r="B855" s="10" t="s">
        <v>9</v>
      </c>
      <c r="C855" s="10" t="s">
        <v>170</v>
      </c>
      <c r="D855" s="10" t="s">
        <v>171</v>
      </c>
      <c r="E855" s="11" t="str">
        <f>+HYPERLINK("http://trademark.i-assist.jp/data/china/image_1900th/78697850.pdf", "78697850")</f>
        <v>78697850</v>
      </c>
      <c r="F855" s="10" t="s">
        <v>2523</v>
      </c>
      <c r="G855" s="10" t="s">
        <v>2524</v>
      </c>
      <c r="H855" s="10" t="s">
        <v>2525</v>
      </c>
      <c r="I855" s="10" t="s">
        <v>2451</v>
      </c>
    </row>
    <row r="856" spans="1:9" x14ac:dyDescent="0.15">
      <c r="A856" s="9">
        <v>855</v>
      </c>
      <c r="B856" s="10" t="s">
        <v>9</v>
      </c>
      <c r="C856" s="10" t="s">
        <v>170</v>
      </c>
      <c r="D856" s="10" t="s">
        <v>171</v>
      </c>
      <c r="E856" s="11" t="str">
        <f>+HYPERLINK("http://trademark.i-assist.jp/data/china/image_1900th/78697871.pdf", "78697871")</f>
        <v>78697871</v>
      </c>
      <c r="F856" s="10" t="s">
        <v>2526</v>
      </c>
      <c r="G856" s="10" t="s">
        <v>986</v>
      </c>
      <c r="H856" s="10" t="s">
        <v>2527</v>
      </c>
      <c r="I856" s="10" t="s">
        <v>2451</v>
      </c>
    </row>
    <row r="857" spans="1:9" x14ac:dyDescent="0.15">
      <c r="A857" s="9">
        <v>856</v>
      </c>
      <c r="B857" s="10" t="s">
        <v>9</v>
      </c>
      <c r="C857" s="10" t="s">
        <v>170</v>
      </c>
      <c r="D857" s="10" t="s">
        <v>171</v>
      </c>
      <c r="E857" s="11" t="str">
        <f>+HYPERLINK("http://trademark.i-assist.jp/data/china/image_1900th/78698020.pdf", "78698020")</f>
        <v>78698020</v>
      </c>
      <c r="F857" s="10" t="s">
        <v>2528</v>
      </c>
      <c r="G857" s="10" t="s">
        <v>2529</v>
      </c>
      <c r="H857" s="10" t="s">
        <v>2530</v>
      </c>
      <c r="I857" s="10" t="s">
        <v>2451</v>
      </c>
    </row>
    <row r="858" spans="1:9" x14ac:dyDescent="0.15">
      <c r="A858" s="9">
        <v>857</v>
      </c>
      <c r="B858" s="10" t="s">
        <v>9</v>
      </c>
      <c r="C858" s="10" t="s">
        <v>170</v>
      </c>
      <c r="D858" s="10" t="s">
        <v>171</v>
      </c>
      <c r="E858" s="11" t="str">
        <f>+HYPERLINK("http://trademark.i-assist.jp/data/china/image_1900th/78698116.pdf", "78698116")</f>
        <v>78698116</v>
      </c>
      <c r="F858" s="10" t="s">
        <v>2531</v>
      </c>
      <c r="G858" s="10" t="s">
        <v>2532</v>
      </c>
      <c r="H858" s="10" t="s">
        <v>2533</v>
      </c>
      <c r="I858" s="10" t="s">
        <v>2451</v>
      </c>
    </row>
    <row r="859" spans="1:9" x14ac:dyDescent="0.15">
      <c r="A859" s="9">
        <v>858</v>
      </c>
      <c r="B859" s="10" t="s">
        <v>9</v>
      </c>
      <c r="C859" s="10" t="s">
        <v>170</v>
      </c>
      <c r="D859" s="10" t="s">
        <v>171</v>
      </c>
      <c r="E859" s="11" t="str">
        <f>+HYPERLINK("http://trademark.i-assist.jp/data/china/image_1900th/78698224.pdf", "78698224")</f>
        <v>78698224</v>
      </c>
      <c r="F859" s="10" t="s">
        <v>2534</v>
      </c>
      <c r="G859" s="10" t="s">
        <v>2535</v>
      </c>
      <c r="H859" s="10" t="s">
        <v>2536</v>
      </c>
      <c r="I859" s="10" t="s">
        <v>2451</v>
      </c>
    </row>
    <row r="860" spans="1:9" x14ac:dyDescent="0.15">
      <c r="A860" s="9">
        <v>859</v>
      </c>
      <c r="B860" s="10" t="s">
        <v>9</v>
      </c>
      <c r="C860" s="10" t="s">
        <v>170</v>
      </c>
      <c r="D860" s="10" t="s">
        <v>171</v>
      </c>
      <c r="E860" s="11" t="str">
        <f>+HYPERLINK("http://trademark.i-assist.jp/data/china/image_1900th/78698371.pdf", "78698371")</f>
        <v>78698371</v>
      </c>
      <c r="F860" s="10" t="s">
        <v>2537</v>
      </c>
      <c r="G860" s="10" t="s">
        <v>2538</v>
      </c>
      <c r="H860" s="10" t="s">
        <v>2539</v>
      </c>
      <c r="I860" s="10" t="s">
        <v>2451</v>
      </c>
    </row>
    <row r="861" spans="1:9" x14ac:dyDescent="0.15">
      <c r="A861" s="9">
        <v>860</v>
      </c>
      <c r="B861" s="10" t="s">
        <v>9</v>
      </c>
      <c r="C861" s="10" t="s">
        <v>170</v>
      </c>
      <c r="D861" s="10" t="s">
        <v>171</v>
      </c>
      <c r="E861" s="11" t="str">
        <f>+HYPERLINK("http://trademark.i-assist.jp/data/china/image_1900th/78698403.pdf", "78698403")</f>
        <v>78698403</v>
      </c>
      <c r="F861" s="10" t="s">
        <v>2540</v>
      </c>
      <c r="G861" s="10" t="s">
        <v>2197</v>
      </c>
      <c r="H861" s="10" t="s">
        <v>2541</v>
      </c>
      <c r="I861" s="10" t="s">
        <v>2451</v>
      </c>
    </row>
    <row r="862" spans="1:9" x14ac:dyDescent="0.15">
      <c r="A862" s="9">
        <v>861</v>
      </c>
      <c r="B862" s="10" t="s">
        <v>9</v>
      </c>
      <c r="C862" s="10" t="s">
        <v>170</v>
      </c>
      <c r="D862" s="10" t="s">
        <v>171</v>
      </c>
      <c r="E862" s="11" t="str">
        <f>+HYPERLINK("http://trademark.i-assist.jp/data/china/image_1900th/78698546.pdf", "78698546")</f>
        <v>78698546</v>
      </c>
      <c r="F862" s="10" t="s">
        <v>2542</v>
      </c>
      <c r="G862" s="10" t="s">
        <v>2543</v>
      </c>
      <c r="H862" s="10" t="s">
        <v>2544</v>
      </c>
      <c r="I862" s="10" t="s">
        <v>2451</v>
      </c>
    </row>
    <row r="863" spans="1:9" x14ac:dyDescent="0.15">
      <c r="A863" s="9">
        <v>862</v>
      </c>
      <c r="B863" s="10" t="s">
        <v>9</v>
      </c>
      <c r="C863" s="10" t="s">
        <v>170</v>
      </c>
      <c r="D863" s="10" t="s">
        <v>171</v>
      </c>
      <c r="E863" s="11" t="str">
        <f>+HYPERLINK("http://trademark.i-assist.jp/data/china/image_1900th/78698838.pdf", "78698838")</f>
        <v>78698838</v>
      </c>
      <c r="F863" s="10" t="s">
        <v>2545</v>
      </c>
      <c r="G863" s="10" t="s">
        <v>2546</v>
      </c>
      <c r="H863" s="10" t="s">
        <v>2547</v>
      </c>
      <c r="I863" s="10" t="s">
        <v>2451</v>
      </c>
    </row>
    <row r="864" spans="1:9" x14ac:dyDescent="0.15">
      <c r="A864" s="9">
        <v>863</v>
      </c>
      <c r="B864" s="10" t="s">
        <v>9</v>
      </c>
      <c r="C864" s="10" t="s">
        <v>170</v>
      </c>
      <c r="D864" s="10" t="s">
        <v>171</v>
      </c>
      <c r="E864" s="11" t="str">
        <f>+HYPERLINK("http://trademark.i-assist.jp/data/china/image_1900th/78699311.pdf", "78699311")</f>
        <v>78699311</v>
      </c>
      <c r="F864" s="10" t="s">
        <v>2548</v>
      </c>
      <c r="G864" s="10" t="s">
        <v>2549</v>
      </c>
      <c r="H864" s="10" t="s">
        <v>2550</v>
      </c>
      <c r="I864" s="10" t="s">
        <v>2451</v>
      </c>
    </row>
    <row r="865" spans="1:9" x14ac:dyDescent="0.15">
      <c r="A865" s="9">
        <v>864</v>
      </c>
      <c r="B865" s="10" t="s">
        <v>9</v>
      </c>
      <c r="C865" s="10" t="s">
        <v>170</v>
      </c>
      <c r="D865" s="10" t="s">
        <v>171</v>
      </c>
      <c r="E865" s="11" t="str">
        <f>+HYPERLINK("http://trademark.i-assist.jp/data/china/image_1900th/78699320.pdf", "78699320")</f>
        <v>78699320</v>
      </c>
      <c r="F865" s="10" t="s">
        <v>2551</v>
      </c>
      <c r="G865" s="10" t="s">
        <v>2513</v>
      </c>
      <c r="H865" s="10" t="s">
        <v>2552</v>
      </c>
      <c r="I865" s="10" t="s">
        <v>2451</v>
      </c>
    </row>
    <row r="866" spans="1:9" x14ac:dyDescent="0.15">
      <c r="A866" s="9">
        <v>865</v>
      </c>
      <c r="B866" s="10" t="s">
        <v>9</v>
      </c>
      <c r="C866" s="10" t="s">
        <v>170</v>
      </c>
      <c r="D866" s="10" t="s">
        <v>171</v>
      </c>
      <c r="E866" s="11" t="str">
        <f>+HYPERLINK("http://trademark.i-assist.jp/data/china/image_1900th/78699782.pdf", "78699782")</f>
        <v>78699782</v>
      </c>
      <c r="F866" s="10" t="s">
        <v>2553</v>
      </c>
      <c r="G866" s="10" t="s">
        <v>2554</v>
      </c>
      <c r="H866" s="10" t="s">
        <v>2555</v>
      </c>
      <c r="I866" s="10" t="s">
        <v>2451</v>
      </c>
    </row>
    <row r="867" spans="1:9" x14ac:dyDescent="0.15">
      <c r="A867" s="9">
        <v>866</v>
      </c>
      <c r="B867" s="10" t="s">
        <v>9</v>
      </c>
      <c r="C867" s="10" t="s">
        <v>170</v>
      </c>
      <c r="D867" s="10" t="s">
        <v>171</v>
      </c>
      <c r="E867" s="11" t="str">
        <f>+HYPERLINK("http://trademark.i-assist.jp/data/china/image_1900th/78699888.pdf", "78699888")</f>
        <v>78699888</v>
      </c>
      <c r="F867" s="10" t="s">
        <v>2556</v>
      </c>
      <c r="G867" s="10" t="s">
        <v>2557</v>
      </c>
      <c r="H867" s="10" t="s">
        <v>2558</v>
      </c>
      <c r="I867" s="10" t="s">
        <v>2451</v>
      </c>
    </row>
    <row r="868" spans="1:9" x14ac:dyDescent="0.15">
      <c r="A868" s="9">
        <v>867</v>
      </c>
      <c r="B868" s="10" t="s">
        <v>9</v>
      </c>
      <c r="C868" s="10" t="s">
        <v>170</v>
      </c>
      <c r="D868" s="10" t="s">
        <v>171</v>
      </c>
      <c r="E868" s="11" t="str">
        <f>+HYPERLINK("http://trademark.i-assist.jp/data/china/image_1900th/78700066.pdf", "78700066")</f>
        <v>78700066</v>
      </c>
      <c r="F868" s="10" t="s">
        <v>2559</v>
      </c>
      <c r="G868" s="10" t="s">
        <v>2560</v>
      </c>
      <c r="H868" s="10" t="s">
        <v>2561</v>
      </c>
      <c r="I868" s="10" t="s">
        <v>2451</v>
      </c>
    </row>
    <row r="869" spans="1:9" x14ac:dyDescent="0.15">
      <c r="A869" s="9">
        <v>868</v>
      </c>
      <c r="B869" s="10" t="s">
        <v>9</v>
      </c>
      <c r="C869" s="10" t="s">
        <v>170</v>
      </c>
      <c r="D869" s="10" t="s">
        <v>171</v>
      </c>
      <c r="E869" s="11" t="str">
        <f>+HYPERLINK("http://trademark.i-assist.jp/data/china/image_1900th/78700098.pdf", "78700098")</f>
        <v>78700098</v>
      </c>
      <c r="F869" s="10" t="s">
        <v>2562</v>
      </c>
      <c r="G869" s="10" t="s">
        <v>2563</v>
      </c>
      <c r="H869" s="10" t="s">
        <v>2564</v>
      </c>
      <c r="I869" s="10" t="s">
        <v>2451</v>
      </c>
    </row>
    <row r="870" spans="1:9" x14ac:dyDescent="0.15">
      <c r="A870" s="9">
        <v>869</v>
      </c>
      <c r="B870" s="10" t="s">
        <v>9</v>
      </c>
      <c r="C870" s="10" t="s">
        <v>170</v>
      </c>
      <c r="D870" s="10" t="s">
        <v>171</v>
      </c>
      <c r="E870" s="11" t="str">
        <f>+HYPERLINK("http://trademark.i-assist.jp/data/china/image_1900th/78700168.pdf", "78700168")</f>
        <v>78700168</v>
      </c>
      <c r="F870" s="10" t="s">
        <v>2565</v>
      </c>
      <c r="G870" s="10" t="s">
        <v>2566</v>
      </c>
      <c r="H870" s="10" t="s">
        <v>2567</v>
      </c>
      <c r="I870" s="10" t="s">
        <v>2451</v>
      </c>
    </row>
    <row r="871" spans="1:9" x14ac:dyDescent="0.15">
      <c r="A871" s="9">
        <v>870</v>
      </c>
      <c r="B871" s="10" t="s">
        <v>9</v>
      </c>
      <c r="C871" s="10" t="s">
        <v>170</v>
      </c>
      <c r="D871" s="10" t="s">
        <v>171</v>
      </c>
      <c r="E871" s="11" t="str">
        <f>+HYPERLINK("http://trademark.i-assist.jp/data/china/image_1900th/78700179.pdf", "78700179")</f>
        <v>78700179</v>
      </c>
      <c r="F871" s="10" t="s">
        <v>2568</v>
      </c>
      <c r="G871" s="10" t="s">
        <v>2569</v>
      </c>
      <c r="H871" s="10" t="s">
        <v>2570</v>
      </c>
      <c r="I871" s="10" t="s">
        <v>2451</v>
      </c>
    </row>
    <row r="872" spans="1:9" x14ac:dyDescent="0.15">
      <c r="A872" s="9">
        <v>871</v>
      </c>
      <c r="B872" s="10" t="s">
        <v>9</v>
      </c>
      <c r="C872" s="10" t="s">
        <v>170</v>
      </c>
      <c r="D872" s="10" t="s">
        <v>171</v>
      </c>
      <c r="E872" s="11" t="str">
        <f>+HYPERLINK("http://trademark.i-assist.jp/data/china/image_1900th/78700642.pdf", "78700642")</f>
        <v>78700642</v>
      </c>
      <c r="F872" s="10" t="s">
        <v>2571</v>
      </c>
      <c r="G872" s="10" t="s">
        <v>2572</v>
      </c>
      <c r="H872" s="10" t="s">
        <v>2573</v>
      </c>
      <c r="I872" s="10" t="s">
        <v>2451</v>
      </c>
    </row>
    <row r="873" spans="1:9" x14ac:dyDescent="0.15">
      <c r="A873" s="9">
        <v>872</v>
      </c>
      <c r="B873" s="10" t="s">
        <v>9</v>
      </c>
      <c r="C873" s="10" t="s">
        <v>170</v>
      </c>
      <c r="D873" s="10" t="s">
        <v>171</v>
      </c>
      <c r="E873" s="11" t="str">
        <f>+HYPERLINK("http://trademark.i-assist.jp/data/china/image_1900th/78700826.pdf", "78700826")</f>
        <v>78700826</v>
      </c>
      <c r="F873" s="10" t="s">
        <v>2574</v>
      </c>
      <c r="G873" s="10" t="s">
        <v>2575</v>
      </c>
      <c r="H873" s="10" t="s">
        <v>24</v>
      </c>
      <c r="I873" s="10" t="s">
        <v>2451</v>
      </c>
    </row>
    <row r="874" spans="1:9" x14ac:dyDescent="0.15">
      <c r="A874" s="9">
        <v>873</v>
      </c>
      <c r="B874" s="10" t="s">
        <v>9</v>
      </c>
      <c r="C874" s="10" t="s">
        <v>170</v>
      </c>
      <c r="D874" s="10" t="s">
        <v>171</v>
      </c>
      <c r="E874" s="11" t="str">
        <f>+HYPERLINK("http://trademark.i-assist.jp/data/china/image_1900th/78700902.pdf", "78700902")</f>
        <v>78700902</v>
      </c>
      <c r="F874" s="10" t="s">
        <v>2576</v>
      </c>
      <c r="G874" s="10" t="s">
        <v>2577</v>
      </c>
      <c r="H874" s="10" t="s">
        <v>2578</v>
      </c>
      <c r="I874" s="10" t="s">
        <v>2451</v>
      </c>
    </row>
    <row r="875" spans="1:9" x14ac:dyDescent="0.15">
      <c r="A875" s="9">
        <v>874</v>
      </c>
      <c r="B875" s="10" t="s">
        <v>9</v>
      </c>
      <c r="C875" s="10" t="s">
        <v>170</v>
      </c>
      <c r="D875" s="10" t="s">
        <v>171</v>
      </c>
      <c r="E875" s="11" t="str">
        <f>+HYPERLINK("http://trademark.i-assist.jp/data/china/image_1900th/78701013.pdf", "78701013")</f>
        <v>78701013</v>
      </c>
      <c r="F875" s="10" t="s">
        <v>2579</v>
      </c>
      <c r="G875" s="10" t="s">
        <v>2580</v>
      </c>
      <c r="H875" s="10" t="s">
        <v>2581</v>
      </c>
      <c r="I875" s="10" t="s">
        <v>2451</v>
      </c>
    </row>
    <row r="876" spans="1:9" x14ac:dyDescent="0.15">
      <c r="A876" s="9">
        <v>875</v>
      </c>
      <c r="B876" s="10" t="s">
        <v>9</v>
      </c>
      <c r="C876" s="10" t="s">
        <v>170</v>
      </c>
      <c r="D876" s="10" t="s">
        <v>171</v>
      </c>
      <c r="E876" s="11" t="str">
        <f>+HYPERLINK("http://trademark.i-assist.jp/data/china/image_1900th/78701207.pdf", "78701207")</f>
        <v>78701207</v>
      </c>
      <c r="F876" s="10" t="s">
        <v>2582</v>
      </c>
      <c r="G876" s="10" t="s">
        <v>2583</v>
      </c>
      <c r="H876" s="10" t="s">
        <v>2584</v>
      </c>
      <c r="I876" s="10" t="s">
        <v>2451</v>
      </c>
    </row>
    <row r="877" spans="1:9" x14ac:dyDescent="0.15">
      <c r="A877" s="9">
        <v>876</v>
      </c>
      <c r="B877" s="10" t="s">
        <v>9</v>
      </c>
      <c r="C877" s="10" t="s">
        <v>170</v>
      </c>
      <c r="D877" s="10" t="s">
        <v>171</v>
      </c>
      <c r="E877" s="11" t="str">
        <f>+HYPERLINK("http://trademark.i-assist.jp/data/china/image_1900th/78701291.pdf", "78701291")</f>
        <v>78701291</v>
      </c>
      <c r="F877" s="10" t="s">
        <v>2585</v>
      </c>
      <c r="G877" s="10" t="s">
        <v>2586</v>
      </c>
      <c r="H877" s="10" t="s">
        <v>2587</v>
      </c>
      <c r="I877" s="10" t="s">
        <v>2451</v>
      </c>
    </row>
    <row r="878" spans="1:9" x14ac:dyDescent="0.15">
      <c r="A878" s="9">
        <v>877</v>
      </c>
      <c r="B878" s="10" t="s">
        <v>9</v>
      </c>
      <c r="C878" s="10" t="s">
        <v>170</v>
      </c>
      <c r="D878" s="10" t="s">
        <v>171</v>
      </c>
      <c r="E878" s="11" t="str">
        <f>+HYPERLINK("http://trademark.i-assist.jp/data/china/image_1900th/78701468.pdf", "78701468")</f>
        <v>78701468</v>
      </c>
      <c r="F878" s="10" t="s">
        <v>2588</v>
      </c>
      <c r="G878" s="10" t="s">
        <v>159</v>
      </c>
      <c r="H878" s="10" t="s">
        <v>2589</v>
      </c>
      <c r="I878" s="10" t="s">
        <v>2451</v>
      </c>
    </row>
    <row r="879" spans="1:9" x14ac:dyDescent="0.15">
      <c r="A879" s="9">
        <v>878</v>
      </c>
      <c r="B879" s="10" t="s">
        <v>9</v>
      </c>
      <c r="C879" s="10" t="s">
        <v>170</v>
      </c>
      <c r="D879" s="10" t="s">
        <v>171</v>
      </c>
      <c r="E879" s="11" t="str">
        <f>+HYPERLINK("http://trademark.i-assist.jp/data/china/image_1900th/78701571.pdf", "78701571")</f>
        <v>78701571</v>
      </c>
      <c r="F879" s="10" t="s">
        <v>2590</v>
      </c>
      <c r="G879" s="10" t="s">
        <v>2591</v>
      </c>
      <c r="H879" s="10" t="s">
        <v>2592</v>
      </c>
      <c r="I879" s="10" t="s">
        <v>2451</v>
      </c>
    </row>
    <row r="880" spans="1:9" x14ac:dyDescent="0.15">
      <c r="A880" s="9">
        <v>879</v>
      </c>
      <c r="B880" s="10" t="s">
        <v>9</v>
      </c>
      <c r="C880" s="10" t="s">
        <v>170</v>
      </c>
      <c r="D880" s="10" t="s">
        <v>171</v>
      </c>
      <c r="E880" s="11" t="str">
        <f>+HYPERLINK("http://trademark.i-assist.jp/data/china/image_1900th/78701649.pdf", "78701649")</f>
        <v>78701649</v>
      </c>
      <c r="F880" s="10" t="s">
        <v>2593</v>
      </c>
      <c r="G880" s="10" t="s">
        <v>2594</v>
      </c>
      <c r="H880" s="10" t="s">
        <v>2595</v>
      </c>
      <c r="I880" s="10" t="s">
        <v>2451</v>
      </c>
    </row>
    <row r="881" spans="1:9" x14ac:dyDescent="0.15">
      <c r="A881" s="9">
        <v>880</v>
      </c>
      <c r="B881" s="10" t="s">
        <v>9</v>
      </c>
      <c r="C881" s="10" t="s">
        <v>170</v>
      </c>
      <c r="D881" s="10" t="s">
        <v>171</v>
      </c>
      <c r="E881" s="11" t="str">
        <f>+HYPERLINK("http://trademark.i-assist.jp/data/china/image_1900th/78701915.pdf", "78701915")</f>
        <v>78701915</v>
      </c>
      <c r="F881" s="10" t="s">
        <v>2596</v>
      </c>
      <c r="G881" s="10" t="s">
        <v>2597</v>
      </c>
      <c r="H881" s="10" t="s">
        <v>2598</v>
      </c>
      <c r="I881" s="10" t="s">
        <v>2451</v>
      </c>
    </row>
    <row r="882" spans="1:9" x14ac:dyDescent="0.15">
      <c r="A882" s="9">
        <v>881</v>
      </c>
      <c r="B882" s="10" t="s">
        <v>9</v>
      </c>
      <c r="C882" s="10" t="s">
        <v>170</v>
      </c>
      <c r="D882" s="10" t="s">
        <v>171</v>
      </c>
      <c r="E882" s="11" t="str">
        <f>+HYPERLINK("http://trademark.i-assist.jp/data/china/image_1900th/78701980.pdf", "78701980")</f>
        <v>78701980</v>
      </c>
      <c r="F882" s="10" t="s">
        <v>2599</v>
      </c>
      <c r="G882" s="10" t="s">
        <v>2600</v>
      </c>
      <c r="H882" s="10" t="s">
        <v>2601</v>
      </c>
      <c r="I882" s="10" t="s">
        <v>2451</v>
      </c>
    </row>
    <row r="883" spans="1:9" x14ac:dyDescent="0.15">
      <c r="A883" s="9">
        <v>882</v>
      </c>
      <c r="B883" s="10" t="s">
        <v>9</v>
      </c>
      <c r="C883" s="10" t="s">
        <v>170</v>
      </c>
      <c r="D883" s="10" t="s">
        <v>171</v>
      </c>
      <c r="E883" s="11" t="str">
        <f>+HYPERLINK("http://trademark.i-assist.jp/data/china/image_1900th/78702178.pdf", "78702178")</f>
        <v>78702178</v>
      </c>
      <c r="F883" s="10" t="s">
        <v>2602</v>
      </c>
      <c r="G883" s="10" t="s">
        <v>2461</v>
      </c>
      <c r="H883" s="10" t="s">
        <v>2603</v>
      </c>
      <c r="I883" s="10" t="s">
        <v>2451</v>
      </c>
    </row>
    <row r="884" spans="1:9" x14ac:dyDescent="0.15">
      <c r="A884" s="9">
        <v>883</v>
      </c>
      <c r="B884" s="10" t="s">
        <v>9</v>
      </c>
      <c r="C884" s="10" t="s">
        <v>170</v>
      </c>
      <c r="D884" s="10" t="s">
        <v>171</v>
      </c>
      <c r="E884" s="11" t="str">
        <f>+HYPERLINK("http://trademark.i-assist.jp/data/china/image_1900th/78702213.pdf", "78702213")</f>
        <v>78702213</v>
      </c>
      <c r="F884" s="10" t="s">
        <v>2604</v>
      </c>
      <c r="G884" s="10" t="s">
        <v>2605</v>
      </c>
      <c r="H884" s="10" t="s">
        <v>2606</v>
      </c>
      <c r="I884" s="10" t="s">
        <v>2451</v>
      </c>
    </row>
    <row r="885" spans="1:9" x14ac:dyDescent="0.15">
      <c r="A885" s="9">
        <v>884</v>
      </c>
      <c r="B885" s="10" t="s">
        <v>9</v>
      </c>
      <c r="C885" s="10" t="s">
        <v>170</v>
      </c>
      <c r="D885" s="10" t="s">
        <v>171</v>
      </c>
      <c r="E885" s="11" t="str">
        <f>+HYPERLINK("http://trademark.i-assist.jp/data/china/image_1900th/78702849.pdf", "78702849")</f>
        <v>78702849</v>
      </c>
      <c r="F885" s="10" t="s">
        <v>2607</v>
      </c>
      <c r="G885" s="10" t="s">
        <v>128</v>
      </c>
      <c r="H885" s="10" t="s">
        <v>2608</v>
      </c>
      <c r="I885" s="10" t="s">
        <v>2451</v>
      </c>
    </row>
    <row r="886" spans="1:9" x14ac:dyDescent="0.15">
      <c r="A886" s="9">
        <v>885</v>
      </c>
      <c r="B886" s="10" t="s">
        <v>9</v>
      </c>
      <c r="C886" s="10" t="s">
        <v>170</v>
      </c>
      <c r="D886" s="10" t="s">
        <v>171</v>
      </c>
      <c r="E886" s="11" t="str">
        <f>+HYPERLINK("http://trademark.i-assist.jp/data/china/image_1900th/78702912.pdf", "78702912")</f>
        <v>78702912</v>
      </c>
      <c r="F886" s="10" t="s">
        <v>2609</v>
      </c>
      <c r="G886" s="10" t="s">
        <v>2610</v>
      </c>
      <c r="H886" s="10" t="s">
        <v>2611</v>
      </c>
      <c r="I886" s="10" t="s">
        <v>2451</v>
      </c>
    </row>
    <row r="887" spans="1:9" x14ac:dyDescent="0.15">
      <c r="A887" s="9">
        <v>886</v>
      </c>
      <c r="B887" s="10" t="s">
        <v>9</v>
      </c>
      <c r="C887" s="10" t="s">
        <v>170</v>
      </c>
      <c r="D887" s="10" t="s">
        <v>171</v>
      </c>
      <c r="E887" s="11" t="str">
        <f>+HYPERLINK("http://trademark.i-assist.jp/data/china/image_1900th/78702917.pdf", "78702917")</f>
        <v>78702917</v>
      </c>
      <c r="F887" s="10" t="s">
        <v>2612</v>
      </c>
      <c r="G887" s="10" t="s">
        <v>2613</v>
      </c>
      <c r="H887" s="10" t="s">
        <v>2614</v>
      </c>
      <c r="I887" s="10" t="s">
        <v>2451</v>
      </c>
    </row>
    <row r="888" spans="1:9" x14ac:dyDescent="0.15">
      <c r="A888" s="9">
        <v>887</v>
      </c>
      <c r="B888" s="10" t="s">
        <v>9</v>
      </c>
      <c r="C888" s="10" t="s">
        <v>170</v>
      </c>
      <c r="D888" s="10" t="s">
        <v>171</v>
      </c>
      <c r="E888" s="11" t="str">
        <f>+HYPERLINK("http://trademark.i-assist.jp/data/china/image_1900th/78702967.pdf", "78702967")</f>
        <v>78702967</v>
      </c>
      <c r="F888" s="10" t="s">
        <v>2615</v>
      </c>
      <c r="G888" s="10" t="s">
        <v>2616</v>
      </c>
      <c r="H888" s="10" t="s">
        <v>2617</v>
      </c>
      <c r="I888" s="10" t="s">
        <v>2451</v>
      </c>
    </row>
    <row r="889" spans="1:9" x14ac:dyDescent="0.15">
      <c r="A889" s="9">
        <v>888</v>
      </c>
      <c r="B889" s="10" t="s">
        <v>9</v>
      </c>
      <c r="C889" s="10" t="s">
        <v>170</v>
      </c>
      <c r="D889" s="10" t="s">
        <v>171</v>
      </c>
      <c r="E889" s="11" t="str">
        <f>+HYPERLINK("http://trademark.i-assist.jp/data/china/image_1900th/78703150.pdf", "78703150")</f>
        <v>78703150</v>
      </c>
      <c r="F889" s="10" t="s">
        <v>2618</v>
      </c>
      <c r="G889" s="10" t="s">
        <v>1812</v>
      </c>
      <c r="H889" s="10" t="s">
        <v>2619</v>
      </c>
      <c r="I889" s="10" t="s">
        <v>2451</v>
      </c>
    </row>
    <row r="890" spans="1:9" x14ac:dyDescent="0.15">
      <c r="A890" s="9">
        <v>889</v>
      </c>
      <c r="B890" s="10" t="s">
        <v>9</v>
      </c>
      <c r="C890" s="10" t="s">
        <v>170</v>
      </c>
      <c r="D890" s="10" t="s">
        <v>171</v>
      </c>
      <c r="E890" s="11" t="str">
        <f>+HYPERLINK("http://trademark.i-assist.jp/data/china/image_1900th/78703203.pdf", "78703203")</f>
        <v>78703203</v>
      </c>
      <c r="F890" s="10" t="s">
        <v>2620</v>
      </c>
      <c r="G890" s="10" t="s">
        <v>152</v>
      </c>
      <c r="H890" s="10" t="s">
        <v>2621</v>
      </c>
      <c r="I890" s="10" t="s">
        <v>2451</v>
      </c>
    </row>
    <row r="891" spans="1:9" x14ac:dyDescent="0.15">
      <c r="A891" s="9">
        <v>890</v>
      </c>
      <c r="B891" s="10" t="s">
        <v>9</v>
      </c>
      <c r="C891" s="10" t="s">
        <v>170</v>
      </c>
      <c r="D891" s="10" t="s">
        <v>171</v>
      </c>
      <c r="E891" s="11" t="str">
        <f>+HYPERLINK("http://trademark.i-assist.jp/data/china/image_1900th/78703371.pdf", "78703371")</f>
        <v>78703371</v>
      </c>
      <c r="F891" s="10" t="s">
        <v>2622</v>
      </c>
      <c r="G891" s="10" t="s">
        <v>2623</v>
      </c>
      <c r="H891" s="10" t="s">
        <v>2624</v>
      </c>
      <c r="I891" s="10" t="s">
        <v>2451</v>
      </c>
    </row>
    <row r="892" spans="1:9" x14ac:dyDescent="0.15">
      <c r="A892" s="9">
        <v>891</v>
      </c>
      <c r="B892" s="10" t="s">
        <v>9</v>
      </c>
      <c r="C892" s="10" t="s">
        <v>170</v>
      </c>
      <c r="D892" s="10" t="s">
        <v>171</v>
      </c>
      <c r="E892" s="11" t="str">
        <f>+HYPERLINK("http://trademark.i-assist.jp/data/china/image_1900th/78703758.pdf", "78703758")</f>
        <v>78703758</v>
      </c>
      <c r="F892" s="10" t="s">
        <v>2625</v>
      </c>
      <c r="G892" s="10" t="s">
        <v>2626</v>
      </c>
      <c r="H892" s="10" t="s">
        <v>2627</v>
      </c>
      <c r="I892" s="10" t="s">
        <v>2451</v>
      </c>
    </row>
    <row r="893" spans="1:9" x14ac:dyDescent="0.15">
      <c r="A893" s="9">
        <v>892</v>
      </c>
      <c r="B893" s="10" t="s">
        <v>9</v>
      </c>
      <c r="C893" s="10" t="s">
        <v>170</v>
      </c>
      <c r="D893" s="10" t="s">
        <v>171</v>
      </c>
      <c r="E893" s="11" t="str">
        <f>+HYPERLINK("http://trademark.i-assist.jp/data/china/image_1900th/78703817.pdf", "78703817")</f>
        <v>78703817</v>
      </c>
      <c r="F893" s="10" t="s">
        <v>2628</v>
      </c>
      <c r="G893" s="10" t="s">
        <v>2629</v>
      </c>
      <c r="H893" s="10" t="s">
        <v>2630</v>
      </c>
      <c r="I893" s="10" t="s">
        <v>2451</v>
      </c>
    </row>
    <row r="894" spans="1:9" x14ac:dyDescent="0.15">
      <c r="A894" s="9">
        <v>893</v>
      </c>
      <c r="B894" s="10" t="s">
        <v>9</v>
      </c>
      <c r="C894" s="10" t="s">
        <v>170</v>
      </c>
      <c r="D894" s="10" t="s">
        <v>171</v>
      </c>
      <c r="E894" s="11" t="str">
        <f>+HYPERLINK("http://trademark.i-assist.jp/data/china/image_1900th/78704344.pdf", "78704344")</f>
        <v>78704344</v>
      </c>
      <c r="F894" s="10" t="s">
        <v>2631</v>
      </c>
      <c r="G894" s="10" t="s">
        <v>986</v>
      </c>
      <c r="H894" s="10" t="s">
        <v>2632</v>
      </c>
      <c r="I894" s="10" t="s">
        <v>2451</v>
      </c>
    </row>
    <row r="895" spans="1:9" x14ac:dyDescent="0.15">
      <c r="A895" s="9">
        <v>894</v>
      </c>
      <c r="B895" s="10" t="s">
        <v>9</v>
      </c>
      <c r="C895" s="10" t="s">
        <v>170</v>
      </c>
      <c r="D895" s="10" t="s">
        <v>171</v>
      </c>
      <c r="E895" s="11" t="str">
        <f>+HYPERLINK("http://trademark.i-assist.jp/data/china/image_1900th/78704357.pdf", "78704357")</f>
        <v>78704357</v>
      </c>
      <c r="F895" s="10" t="s">
        <v>2633</v>
      </c>
      <c r="G895" s="10" t="s">
        <v>2634</v>
      </c>
      <c r="H895" s="10" t="s">
        <v>2635</v>
      </c>
      <c r="I895" s="10" t="s">
        <v>2451</v>
      </c>
    </row>
    <row r="896" spans="1:9" x14ac:dyDescent="0.15">
      <c r="A896" s="9">
        <v>895</v>
      </c>
      <c r="B896" s="10" t="s">
        <v>9</v>
      </c>
      <c r="C896" s="10" t="s">
        <v>170</v>
      </c>
      <c r="D896" s="10" t="s">
        <v>171</v>
      </c>
      <c r="E896" s="11" t="str">
        <f>+HYPERLINK("http://trademark.i-assist.jp/data/china/image_1900th/78704462.pdf", "78704462")</f>
        <v>78704462</v>
      </c>
      <c r="F896" s="10" t="s">
        <v>2636</v>
      </c>
      <c r="G896" s="10" t="s">
        <v>2637</v>
      </c>
      <c r="H896" s="10" t="s">
        <v>2638</v>
      </c>
      <c r="I896" s="10" t="s">
        <v>2451</v>
      </c>
    </row>
    <row r="897" spans="1:9" x14ac:dyDescent="0.15">
      <c r="A897" s="9">
        <v>896</v>
      </c>
      <c r="B897" s="10" t="s">
        <v>9</v>
      </c>
      <c r="C897" s="10" t="s">
        <v>170</v>
      </c>
      <c r="D897" s="10" t="s">
        <v>171</v>
      </c>
      <c r="E897" s="11" t="str">
        <f>+HYPERLINK("http://trademark.i-assist.jp/data/china/image_1900th/78704671.pdf", "78704671")</f>
        <v>78704671</v>
      </c>
      <c r="F897" s="10" t="s">
        <v>2639</v>
      </c>
      <c r="G897" s="10" t="s">
        <v>2640</v>
      </c>
      <c r="H897" s="10" t="s">
        <v>2641</v>
      </c>
      <c r="I897" s="10" t="s">
        <v>2451</v>
      </c>
    </row>
    <row r="898" spans="1:9" x14ac:dyDescent="0.15">
      <c r="A898" s="9">
        <v>897</v>
      </c>
      <c r="B898" s="10" t="s">
        <v>9</v>
      </c>
      <c r="C898" s="10" t="s">
        <v>170</v>
      </c>
      <c r="D898" s="10" t="s">
        <v>171</v>
      </c>
      <c r="E898" s="11" t="str">
        <f>+HYPERLINK("http://trademark.i-assist.jp/data/china/image_1900th/78704718.pdf", "78704718")</f>
        <v>78704718</v>
      </c>
      <c r="F898" s="10" t="s">
        <v>2642</v>
      </c>
      <c r="G898" s="10" t="s">
        <v>2643</v>
      </c>
      <c r="H898" s="10" t="s">
        <v>2644</v>
      </c>
      <c r="I898" s="10" t="s">
        <v>2451</v>
      </c>
    </row>
    <row r="899" spans="1:9" x14ac:dyDescent="0.15">
      <c r="A899" s="9">
        <v>898</v>
      </c>
      <c r="B899" s="10" t="s">
        <v>9</v>
      </c>
      <c r="C899" s="10" t="s">
        <v>170</v>
      </c>
      <c r="D899" s="10" t="s">
        <v>171</v>
      </c>
      <c r="E899" s="11" t="str">
        <f>+HYPERLINK("http://trademark.i-assist.jp/data/china/image_1900th/78705417.pdf", "78705417")</f>
        <v>78705417</v>
      </c>
      <c r="F899" s="10" t="s">
        <v>2645</v>
      </c>
      <c r="G899" s="10" t="s">
        <v>2646</v>
      </c>
      <c r="H899" s="10" t="s">
        <v>2647</v>
      </c>
      <c r="I899" s="10" t="s">
        <v>2451</v>
      </c>
    </row>
    <row r="900" spans="1:9" x14ac:dyDescent="0.15">
      <c r="A900" s="9">
        <v>899</v>
      </c>
      <c r="B900" s="10" t="s">
        <v>9</v>
      </c>
      <c r="C900" s="10" t="s">
        <v>170</v>
      </c>
      <c r="D900" s="10" t="s">
        <v>171</v>
      </c>
      <c r="E900" s="11" t="str">
        <f>+HYPERLINK("http://trademark.i-assist.jp/data/china/image_1900th/78705426.pdf", "78705426")</f>
        <v>78705426</v>
      </c>
      <c r="F900" s="10" t="s">
        <v>2648</v>
      </c>
      <c r="G900" s="10" t="s">
        <v>2649</v>
      </c>
      <c r="H900" s="10" t="s">
        <v>2650</v>
      </c>
      <c r="I900" s="10" t="s">
        <v>2451</v>
      </c>
    </row>
    <row r="901" spans="1:9" x14ac:dyDescent="0.15">
      <c r="A901" s="9">
        <v>900</v>
      </c>
      <c r="B901" s="10" t="s">
        <v>9</v>
      </c>
      <c r="C901" s="10" t="s">
        <v>170</v>
      </c>
      <c r="D901" s="10" t="s">
        <v>171</v>
      </c>
      <c r="E901" s="11" t="str">
        <f>+HYPERLINK("http://trademark.i-assist.jp/data/china/image_1900th/78705862.pdf", "78705862")</f>
        <v>78705862</v>
      </c>
      <c r="F901" s="10" t="s">
        <v>2651</v>
      </c>
      <c r="G901" s="10" t="s">
        <v>2652</v>
      </c>
      <c r="H901" s="10" t="s">
        <v>2653</v>
      </c>
      <c r="I901" s="10" t="s">
        <v>2451</v>
      </c>
    </row>
    <row r="902" spans="1:9" x14ac:dyDescent="0.15">
      <c r="A902" s="9">
        <v>901</v>
      </c>
      <c r="B902" s="10" t="s">
        <v>9</v>
      </c>
      <c r="C902" s="10" t="s">
        <v>170</v>
      </c>
      <c r="D902" s="10" t="s">
        <v>171</v>
      </c>
      <c r="E902" s="11" t="str">
        <f>+HYPERLINK("http://trademark.i-assist.jp/data/china/image_1900th/78705910.pdf", "78705910")</f>
        <v>78705910</v>
      </c>
      <c r="F902" s="10" t="s">
        <v>2654</v>
      </c>
      <c r="G902" s="10" t="s">
        <v>2655</v>
      </c>
      <c r="H902" s="10" t="s">
        <v>2656</v>
      </c>
      <c r="I902" s="10" t="s">
        <v>2451</v>
      </c>
    </row>
    <row r="903" spans="1:9" x14ac:dyDescent="0.15">
      <c r="A903" s="9">
        <v>902</v>
      </c>
      <c r="B903" s="10" t="s">
        <v>9</v>
      </c>
      <c r="C903" s="10" t="s">
        <v>170</v>
      </c>
      <c r="D903" s="10" t="s">
        <v>171</v>
      </c>
      <c r="E903" s="11" t="str">
        <f>+HYPERLINK("http://trademark.i-assist.jp/data/china/image_1900th/78705975.pdf", "78705975")</f>
        <v>78705975</v>
      </c>
      <c r="F903" s="10" t="s">
        <v>2657</v>
      </c>
      <c r="G903" s="10" t="s">
        <v>159</v>
      </c>
      <c r="H903" s="10" t="s">
        <v>2658</v>
      </c>
      <c r="I903" s="10" t="s">
        <v>2451</v>
      </c>
    </row>
    <row r="904" spans="1:9" x14ac:dyDescent="0.15">
      <c r="A904" s="9">
        <v>903</v>
      </c>
      <c r="B904" s="10" t="s">
        <v>9</v>
      </c>
      <c r="C904" s="10" t="s">
        <v>170</v>
      </c>
      <c r="D904" s="10" t="s">
        <v>171</v>
      </c>
      <c r="E904" s="11" t="str">
        <f>+HYPERLINK("http://trademark.i-assist.jp/data/china/image_1900th/78706367.pdf", "78706367")</f>
        <v>78706367</v>
      </c>
      <c r="F904" s="10" t="s">
        <v>2659</v>
      </c>
      <c r="G904" s="10" t="s">
        <v>2660</v>
      </c>
      <c r="H904" s="10" t="s">
        <v>2661</v>
      </c>
      <c r="I904" s="10" t="s">
        <v>2451</v>
      </c>
    </row>
    <row r="905" spans="1:9" x14ac:dyDescent="0.15">
      <c r="A905" s="9">
        <v>904</v>
      </c>
      <c r="B905" s="10" t="s">
        <v>9</v>
      </c>
      <c r="C905" s="10" t="s">
        <v>170</v>
      </c>
      <c r="D905" s="10" t="s">
        <v>171</v>
      </c>
      <c r="E905" s="11" t="str">
        <f>+HYPERLINK("http://trademark.i-assist.jp/data/china/image_1900th/78706619.pdf", "78706619")</f>
        <v>78706619</v>
      </c>
      <c r="F905" s="10" t="s">
        <v>2662</v>
      </c>
      <c r="G905" s="10" t="s">
        <v>2663</v>
      </c>
      <c r="H905" s="10" t="s">
        <v>2664</v>
      </c>
      <c r="I905" s="10" t="s">
        <v>2451</v>
      </c>
    </row>
    <row r="906" spans="1:9" x14ac:dyDescent="0.15">
      <c r="A906" s="9">
        <v>905</v>
      </c>
      <c r="B906" s="10" t="s">
        <v>9</v>
      </c>
      <c r="C906" s="10" t="s">
        <v>170</v>
      </c>
      <c r="D906" s="10" t="s">
        <v>171</v>
      </c>
      <c r="E906" s="11" t="str">
        <f>+HYPERLINK("http://trademark.i-assist.jp/data/china/image_1900th/78706924.pdf", "78706924")</f>
        <v>78706924</v>
      </c>
      <c r="F906" s="10" t="s">
        <v>2665</v>
      </c>
      <c r="G906" s="10" t="s">
        <v>2583</v>
      </c>
      <c r="H906" s="10" t="s">
        <v>2666</v>
      </c>
      <c r="I906" s="10" t="s">
        <v>2451</v>
      </c>
    </row>
    <row r="907" spans="1:9" x14ac:dyDescent="0.15">
      <c r="A907" s="9">
        <v>906</v>
      </c>
      <c r="B907" s="10" t="s">
        <v>9</v>
      </c>
      <c r="C907" s="10" t="s">
        <v>170</v>
      </c>
      <c r="D907" s="10" t="s">
        <v>171</v>
      </c>
      <c r="E907" s="11" t="str">
        <f>+HYPERLINK("http://trademark.i-assist.jp/data/china/image_1900th/78706993.pdf", "78706993")</f>
        <v>78706993</v>
      </c>
      <c r="F907" s="10" t="s">
        <v>2667</v>
      </c>
      <c r="G907" s="10" t="s">
        <v>2668</v>
      </c>
      <c r="H907" s="10" t="s">
        <v>2669</v>
      </c>
      <c r="I907" s="10" t="s">
        <v>2451</v>
      </c>
    </row>
    <row r="908" spans="1:9" x14ac:dyDescent="0.15">
      <c r="A908" s="9">
        <v>907</v>
      </c>
      <c r="B908" s="10" t="s">
        <v>9</v>
      </c>
      <c r="C908" s="10" t="s">
        <v>170</v>
      </c>
      <c r="D908" s="10" t="s">
        <v>171</v>
      </c>
      <c r="E908" s="11" t="str">
        <f>+HYPERLINK("http://trademark.i-assist.jp/data/china/image_1900th/78706995.pdf", "78706995")</f>
        <v>78706995</v>
      </c>
      <c r="F908" s="10" t="s">
        <v>2670</v>
      </c>
      <c r="G908" s="10" t="s">
        <v>2671</v>
      </c>
      <c r="H908" s="10" t="s">
        <v>2672</v>
      </c>
      <c r="I908" s="10" t="s">
        <v>2451</v>
      </c>
    </row>
    <row r="909" spans="1:9" x14ac:dyDescent="0.15">
      <c r="A909" s="9">
        <v>908</v>
      </c>
      <c r="B909" s="10" t="s">
        <v>9</v>
      </c>
      <c r="C909" s="10" t="s">
        <v>170</v>
      </c>
      <c r="D909" s="10" t="s">
        <v>171</v>
      </c>
      <c r="E909" s="11" t="str">
        <f>+HYPERLINK("http://trademark.i-assist.jp/data/china/image_1900th/78707084.pdf", "78707084")</f>
        <v>78707084</v>
      </c>
      <c r="F909" s="10" t="s">
        <v>2673</v>
      </c>
      <c r="G909" s="10" t="s">
        <v>2674</v>
      </c>
      <c r="H909" s="10" t="s">
        <v>2675</v>
      </c>
      <c r="I909" s="10" t="s">
        <v>2451</v>
      </c>
    </row>
    <row r="910" spans="1:9" x14ac:dyDescent="0.15">
      <c r="A910" s="9">
        <v>909</v>
      </c>
      <c r="B910" s="10" t="s">
        <v>9</v>
      </c>
      <c r="C910" s="10" t="s">
        <v>170</v>
      </c>
      <c r="D910" s="10" t="s">
        <v>171</v>
      </c>
      <c r="E910" s="11" t="str">
        <f>+HYPERLINK("http://trademark.i-assist.jp/data/china/image_1900th/78707279.pdf", "78707279")</f>
        <v>78707279</v>
      </c>
      <c r="F910" s="10" t="s">
        <v>2676</v>
      </c>
      <c r="G910" s="10" t="s">
        <v>2677</v>
      </c>
      <c r="H910" s="10" t="s">
        <v>2678</v>
      </c>
      <c r="I910" s="10" t="s">
        <v>2451</v>
      </c>
    </row>
    <row r="911" spans="1:9" x14ac:dyDescent="0.15">
      <c r="A911" s="9">
        <v>910</v>
      </c>
      <c r="B911" s="10" t="s">
        <v>9</v>
      </c>
      <c r="C911" s="10" t="s">
        <v>170</v>
      </c>
      <c r="D911" s="10" t="s">
        <v>171</v>
      </c>
      <c r="E911" s="11" t="str">
        <f>+HYPERLINK("http://trademark.i-assist.jp/data/china/image_1900th/78707429.pdf", "78707429")</f>
        <v>78707429</v>
      </c>
      <c r="F911" s="10" t="s">
        <v>2679</v>
      </c>
      <c r="G911" s="10" t="s">
        <v>2680</v>
      </c>
      <c r="H911" s="10" t="s">
        <v>2681</v>
      </c>
      <c r="I911" s="10" t="s">
        <v>2451</v>
      </c>
    </row>
    <row r="912" spans="1:9" x14ac:dyDescent="0.15">
      <c r="A912" s="9">
        <v>911</v>
      </c>
      <c r="B912" s="10" t="s">
        <v>9</v>
      </c>
      <c r="C912" s="10" t="s">
        <v>170</v>
      </c>
      <c r="D912" s="10" t="s">
        <v>171</v>
      </c>
      <c r="E912" s="11" t="str">
        <f>+HYPERLINK("http://trademark.i-assist.jp/data/china/image_1900th/78707628.pdf", "78707628")</f>
        <v>78707628</v>
      </c>
      <c r="F912" s="10" t="s">
        <v>2682</v>
      </c>
      <c r="G912" s="10" t="s">
        <v>2683</v>
      </c>
      <c r="H912" s="10" t="s">
        <v>2684</v>
      </c>
      <c r="I912" s="10" t="s">
        <v>2451</v>
      </c>
    </row>
    <row r="913" spans="1:9" x14ac:dyDescent="0.15">
      <c r="A913" s="9">
        <v>912</v>
      </c>
      <c r="B913" s="10" t="s">
        <v>9</v>
      </c>
      <c r="C913" s="10" t="s">
        <v>170</v>
      </c>
      <c r="D913" s="10" t="s">
        <v>171</v>
      </c>
      <c r="E913" s="11" t="str">
        <f>+HYPERLINK("http://trademark.i-assist.jp/data/china/image_1900th/78707804.pdf", "78707804")</f>
        <v>78707804</v>
      </c>
      <c r="F913" s="10" t="s">
        <v>2685</v>
      </c>
      <c r="G913" s="10" t="s">
        <v>2021</v>
      </c>
      <c r="H913" s="10" t="s">
        <v>2686</v>
      </c>
      <c r="I913" s="10" t="s">
        <v>2451</v>
      </c>
    </row>
    <row r="914" spans="1:9" x14ac:dyDescent="0.15">
      <c r="A914" s="9">
        <v>913</v>
      </c>
      <c r="B914" s="10" t="s">
        <v>9</v>
      </c>
      <c r="C914" s="10" t="s">
        <v>170</v>
      </c>
      <c r="D914" s="10" t="s">
        <v>171</v>
      </c>
      <c r="E914" s="11" t="str">
        <f>+HYPERLINK("http://trademark.i-assist.jp/data/china/image_1900th/78707808.pdf", "78707808")</f>
        <v>78707808</v>
      </c>
      <c r="F914" s="10" t="s">
        <v>2687</v>
      </c>
      <c r="G914" s="10" t="s">
        <v>2688</v>
      </c>
      <c r="H914" s="10" t="s">
        <v>2689</v>
      </c>
      <c r="I914" s="10" t="s">
        <v>2451</v>
      </c>
    </row>
    <row r="915" spans="1:9" x14ac:dyDescent="0.15">
      <c r="A915" s="9">
        <v>914</v>
      </c>
      <c r="B915" s="10" t="s">
        <v>9</v>
      </c>
      <c r="C915" s="10" t="s">
        <v>170</v>
      </c>
      <c r="D915" s="10" t="s">
        <v>171</v>
      </c>
      <c r="E915" s="11" t="str">
        <f>+HYPERLINK("http://trademark.i-assist.jp/data/china/image_1900th/78707816.pdf", "78707816")</f>
        <v>78707816</v>
      </c>
      <c r="F915" s="10" t="s">
        <v>2690</v>
      </c>
      <c r="G915" s="10" t="s">
        <v>2563</v>
      </c>
      <c r="H915" s="10" t="s">
        <v>2691</v>
      </c>
      <c r="I915" s="10" t="s">
        <v>2451</v>
      </c>
    </row>
    <row r="916" spans="1:9" x14ac:dyDescent="0.15">
      <c r="A916" s="9">
        <v>915</v>
      </c>
      <c r="B916" s="10" t="s">
        <v>9</v>
      </c>
      <c r="C916" s="10" t="s">
        <v>170</v>
      </c>
      <c r="D916" s="10" t="s">
        <v>171</v>
      </c>
      <c r="E916" s="11" t="str">
        <f>+HYPERLINK("http://trademark.i-assist.jp/data/china/image_1900th/78707908.pdf", "78707908")</f>
        <v>78707908</v>
      </c>
      <c r="F916" s="10" t="s">
        <v>2692</v>
      </c>
      <c r="G916" s="10" t="s">
        <v>2693</v>
      </c>
      <c r="H916" s="10" t="s">
        <v>2694</v>
      </c>
      <c r="I916" s="10" t="s">
        <v>2451</v>
      </c>
    </row>
    <row r="917" spans="1:9" x14ac:dyDescent="0.15">
      <c r="A917" s="9">
        <v>916</v>
      </c>
      <c r="B917" s="10" t="s">
        <v>9</v>
      </c>
      <c r="C917" s="10" t="s">
        <v>170</v>
      </c>
      <c r="D917" s="10" t="s">
        <v>171</v>
      </c>
      <c r="E917" s="11" t="str">
        <f>+HYPERLINK("http://trademark.i-assist.jp/data/china/image_1900th/78708239.pdf", "78708239")</f>
        <v>78708239</v>
      </c>
      <c r="F917" s="10" t="s">
        <v>2695</v>
      </c>
      <c r="G917" s="10" t="s">
        <v>91</v>
      </c>
      <c r="H917" s="10" t="s">
        <v>2696</v>
      </c>
      <c r="I917" s="10" t="s">
        <v>2451</v>
      </c>
    </row>
    <row r="918" spans="1:9" x14ac:dyDescent="0.15">
      <c r="A918" s="9">
        <v>917</v>
      </c>
      <c r="B918" s="10" t="s">
        <v>9</v>
      </c>
      <c r="C918" s="10" t="s">
        <v>170</v>
      </c>
      <c r="D918" s="10" t="s">
        <v>171</v>
      </c>
      <c r="E918" s="11" t="str">
        <f>+HYPERLINK("http://trademark.i-assist.jp/data/china/image_1900th/78708410.pdf", "78708410")</f>
        <v>78708410</v>
      </c>
      <c r="F918" s="10" t="s">
        <v>2697</v>
      </c>
      <c r="G918" s="10" t="s">
        <v>2698</v>
      </c>
      <c r="H918" s="10" t="s">
        <v>2699</v>
      </c>
      <c r="I918" s="10" t="s">
        <v>2451</v>
      </c>
    </row>
    <row r="919" spans="1:9" x14ac:dyDescent="0.15">
      <c r="A919" s="9">
        <v>918</v>
      </c>
      <c r="B919" s="10" t="s">
        <v>9</v>
      </c>
      <c r="C919" s="10" t="s">
        <v>170</v>
      </c>
      <c r="D919" s="10" t="s">
        <v>171</v>
      </c>
      <c r="E919" s="11" t="str">
        <f>+HYPERLINK("http://trademark.i-assist.jp/data/china/image_1900th/78708426.pdf", "78708426")</f>
        <v>78708426</v>
      </c>
      <c r="F919" s="10" t="s">
        <v>2700</v>
      </c>
      <c r="G919" s="10" t="s">
        <v>2701</v>
      </c>
      <c r="H919" s="10" t="s">
        <v>2702</v>
      </c>
      <c r="I919" s="10" t="s">
        <v>2451</v>
      </c>
    </row>
    <row r="920" spans="1:9" x14ac:dyDescent="0.15">
      <c r="A920" s="9">
        <v>919</v>
      </c>
      <c r="B920" s="10" t="s">
        <v>9</v>
      </c>
      <c r="C920" s="10" t="s">
        <v>170</v>
      </c>
      <c r="D920" s="10" t="s">
        <v>171</v>
      </c>
      <c r="E920" s="11" t="str">
        <f>+HYPERLINK("http://trademark.i-assist.jp/data/china/image_1900th/78708957.pdf", "78708957")</f>
        <v>78708957</v>
      </c>
      <c r="F920" s="10" t="s">
        <v>2703</v>
      </c>
      <c r="G920" s="10" t="s">
        <v>2704</v>
      </c>
      <c r="H920" s="10" t="s">
        <v>2705</v>
      </c>
      <c r="I920" s="10" t="s">
        <v>2451</v>
      </c>
    </row>
    <row r="921" spans="1:9" x14ac:dyDescent="0.15">
      <c r="A921" s="9">
        <v>920</v>
      </c>
      <c r="B921" s="10" t="s">
        <v>9</v>
      </c>
      <c r="C921" s="10" t="s">
        <v>170</v>
      </c>
      <c r="D921" s="10" t="s">
        <v>171</v>
      </c>
      <c r="E921" s="11" t="str">
        <f>+HYPERLINK("http://trademark.i-assist.jp/data/china/image_1900th/78709155.pdf", "78709155")</f>
        <v>78709155</v>
      </c>
      <c r="F921" s="10" t="s">
        <v>2706</v>
      </c>
      <c r="G921" s="10" t="s">
        <v>1821</v>
      </c>
      <c r="H921" s="10" t="s">
        <v>2707</v>
      </c>
      <c r="I921" s="10" t="s">
        <v>2451</v>
      </c>
    </row>
    <row r="922" spans="1:9" x14ac:dyDescent="0.15">
      <c r="A922" s="9">
        <v>921</v>
      </c>
      <c r="B922" s="10" t="s">
        <v>9</v>
      </c>
      <c r="C922" s="10" t="s">
        <v>170</v>
      </c>
      <c r="D922" s="10" t="s">
        <v>171</v>
      </c>
      <c r="E922" s="11" t="str">
        <f>+HYPERLINK("http://trademark.i-assist.jp/data/china/image_1900th/78709351.pdf", "78709351")</f>
        <v>78709351</v>
      </c>
      <c r="F922" s="10" t="s">
        <v>2708</v>
      </c>
      <c r="G922" s="10" t="s">
        <v>2709</v>
      </c>
      <c r="H922" s="10" t="s">
        <v>2710</v>
      </c>
      <c r="I922" s="10" t="s">
        <v>2451</v>
      </c>
    </row>
    <row r="923" spans="1:9" x14ac:dyDescent="0.15">
      <c r="A923" s="9">
        <v>922</v>
      </c>
      <c r="B923" s="10" t="s">
        <v>9</v>
      </c>
      <c r="C923" s="10" t="s">
        <v>170</v>
      </c>
      <c r="D923" s="10" t="s">
        <v>171</v>
      </c>
      <c r="E923" s="11" t="str">
        <f>+HYPERLINK("http://trademark.i-assist.jp/data/china/image_1900th/78709499.pdf", "78709499")</f>
        <v>78709499</v>
      </c>
      <c r="F923" s="10" t="s">
        <v>2711</v>
      </c>
      <c r="G923" s="10" t="s">
        <v>2712</v>
      </c>
      <c r="H923" s="10" t="s">
        <v>2713</v>
      </c>
      <c r="I923" s="10" t="s">
        <v>2451</v>
      </c>
    </row>
    <row r="924" spans="1:9" x14ac:dyDescent="0.15">
      <c r="A924" s="9">
        <v>923</v>
      </c>
      <c r="B924" s="10" t="s">
        <v>9</v>
      </c>
      <c r="C924" s="10" t="s">
        <v>170</v>
      </c>
      <c r="D924" s="10" t="s">
        <v>171</v>
      </c>
      <c r="E924" s="11" t="str">
        <f>+HYPERLINK("http://trademark.i-assist.jp/data/china/image_1900th/78709837.pdf", "78709837")</f>
        <v>78709837</v>
      </c>
      <c r="F924" s="10" t="s">
        <v>2714</v>
      </c>
      <c r="G924" s="10" t="s">
        <v>2715</v>
      </c>
      <c r="H924" s="10" t="s">
        <v>2716</v>
      </c>
      <c r="I924" s="10" t="s">
        <v>2451</v>
      </c>
    </row>
    <row r="925" spans="1:9" x14ac:dyDescent="0.15">
      <c r="A925" s="9">
        <v>924</v>
      </c>
      <c r="B925" s="10" t="s">
        <v>9</v>
      </c>
      <c r="C925" s="10" t="s">
        <v>170</v>
      </c>
      <c r="D925" s="10" t="s">
        <v>171</v>
      </c>
      <c r="E925" s="11" t="str">
        <f>+HYPERLINK("http://trademark.i-assist.jp/data/china/image_1900th/78710123.pdf", "78710123")</f>
        <v>78710123</v>
      </c>
      <c r="F925" s="10" t="s">
        <v>2717</v>
      </c>
      <c r="G925" s="10" t="s">
        <v>2718</v>
      </c>
      <c r="H925" s="10" t="s">
        <v>2719</v>
      </c>
      <c r="I925" s="10" t="s">
        <v>2451</v>
      </c>
    </row>
    <row r="926" spans="1:9" x14ac:dyDescent="0.15">
      <c r="A926" s="9">
        <v>925</v>
      </c>
      <c r="B926" s="10" t="s">
        <v>9</v>
      </c>
      <c r="C926" s="10" t="s">
        <v>170</v>
      </c>
      <c r="D926" s="10" t="s">
        <v>171</v>
      </c>
      <c r="E926" s="11" t="str">
        <f>+HYPERLINK("http://trademark.i-assist.jp/data/china/image_1900th/78711473.pdf", "78711473")</f>
        <v>78711473</v>
      </c>
      <c r="F926" s="10" t="s">
        <v>2720</v>
      </c>
      <c r="G926" s="10" t="s">
        <v>2721</v>
      </c>
      <c r="H926" s="10" t="s">
        <v>2722</v>
      </c>
      <c r="I926" s="10" t="s">
        <v>2451</v>
      </c>
    </row>
    <row r="927" spans="1:9" x14ac:dyDescent="0.15">
      <c r="A927" s="9">
        <v>926</v>
      </c>
      <c r="B927" s="10" t="s">
        <v>9</v>
      </c>
      <c r="C927" s="10" t="s">
        <v>170</v>
      </c>
      <c r="D927" s="10" t="s">
        <v>171</v>
      </c>
      <c r="E927" s="11" t="str">
        <f>+HYPERLINK("http://trademark.i-assist.jp/data/china/image_1900th/78711746.pdf", "78711746")</f>
        <v>78711746</v>
      </c>
      <c r="F927" s="10" t="s">
        <v>2723</v>
      </c>
      <c r="G927" s="10" t="s">
        <v>2724</v>
      </c>
      <c r="H927" s="10" t="s">
        <v>2725</v>
      </c>
      <c r="I927" s="10" t="s">
        <v>2451</v>
      </c>
    </row>
    <row r="928" spans="1:9" x14ac:dyDescent="0.15">
      <c r="A928" s="9">
        <v>927</v>
      </c>
      <c r="B928" s="10" t="s">
        <v>9</v>
      </c>
      <c r="C928" s="10" t="s">
        <v>170</v>
      </c>
      <c r="D928" s="10" t="s">
        <v>171</v>
      </c>
      <c r="E928" s="11" t="str">
        <f>+HYPERLINK("http://trademark.i-assist.jp/data/china/image_1900th/78711788.pdf", "78711788")</f>
        <v>78711788</v>
      </c>
      <c r="F928" s="10" t="s">
        <v>2726</v>
      </c>
      <c r="G928" s="10" t="s">
        <v>2727</v>
      </c>
      <c r="H928" s="10" t="s">
        <v>2728</v>
      </c>
      <c r="I928" s="10" t="s">
        <v>2451</v>
      </c>
    </row>
    <row r="929" spans="1:9" x14ac:dyDescent="0.15">
      <c r="A929" s="9">
        <v>928</v>
      </c>
      <c r="B929" s="10" t="s">
        <v>9</v>
      </c>
      <c r="C929" s="10" t="s">
        <v>170</v>
      </c>
      <c r="D929" s="10" t="s">
        <v>171</v>
      </c>
      <c r="E929" s="11" t="str">
        <f>+HYPERLINK("http://trademark.i-assist.jp/data/china/image_1900th/78711967.pdf", "78711967")</f>
        <v>78711967</v>
      </c>
      <c r="F929" s="10" t="s">
        <v>2729</v>
      </c>
      <c r="G929" s="10" t="s">
        <v>2021</v>
      </c>
      <c r="H929" s="10" t="s">
        <v>2730</v>
      </c>
      <c r="I929" s="10" t="s">
        <v>2451</v>
      </c>
    </row>
    <row r="930" spans="1:9" x14ac:dyDescent="0.15">
      <c r="A930" s="9">
        <v>929</v>
      </c>
      <c r="B930" s="10" t="s">
        <v>9</v>
      </c>
      <c r="C930" s="10" t="s">
        <v>170</v>
      </c>
      <c r="D930" s="10" t="s">
        <v>171</v>
      </c>
      <c r="E930" s="11" t="str">
        <f>+HYPERLINK("http://trademark.i-assist.jp/data/china/image_1900th/78712475.pdf", "78712475")</f>
        <v>78712475</v>
      </c>
      <c r="F930" s="10" t="s">
        <v>2731</v>
      </c>
      <c r="G930" s="10" t="s">
        <v>2732</v>
      </c>
      <c r="H930" s="10" t="s">
        <v>2733</v>
      </c>
      <c r="I930" s="10" t="s">
        <v>2451</v>
      </c>
    </row>
    <row r="931" spans="1:9" x14ac:dyDescent="0.15">
      <c r="A931" s="9">
        <v>930</v>
      </c>
      <c r="B931" s="10" t="s">
        <v>9</v>
      </c>
      <c r="C931" s="10" t="s">
        <v>170</v>
      </c>
      <c r="D931" s="10" t="s">
        <v>171</v>
      </c>
      <c r="E931" s="11" t="str">
        <f>+HYPERLINK("http://trademark.i-assist.jp/data/china/image_1900th/78712489.pdf", "78712489")</f>
        <v>78712489</v>
      </c>
      <c r="F931" s="10" t="s">
        <v>2734</v>
      </c>
      <c r="G931" s="10" t="s">
        <v>2735</v>
      </c>
      <c r="H931" s="10" t="s">
        <v>2736</v>
      </c>
      <c r="I931" s="10" t="s">
        <v>2451</v>
      </c>
    </row>
    <row r="932" spans="1:9" x14ac:dyDescent="0.15">
      <c r="A932" s="9">
        <v>931</v>
      </c>
      <c r="B932" s="10" t="s">
        <v>9</v>
      </c>
      <c r="C932" s="10" t="s">
        <v>170</v>
      </c>
      <c r="D932" s="10" t="s">
        <v>171</v>
      </c>
      <c r="E932" s="11" t="str">
        <f>+HYPERLINK("http://trademark.i-assist.jp/data/china/image_1900th/78713169.pdf", "78713169")</f>
        <v>78713169</v>
      </c>
      <c r="F932" s="10" t="s">
        <v>2737</v>
      </c>
      <c r="G932" s="10" t="s">
        <v>2738</v>
      </c>
      <c r="H932" s="10" t="s">
        <v>2739</v>
      </c>
      <c r="I932" s="10" t="s">
        <v>2451</v>
      </c>
    </row>
    <row r="933" spans="1:9" x14ac:dyDescent="0.15">
      <c r="A933" s="9">
        <v>932</v>
      </c>
      <c r="B933" s="10" t="s">
        <v>9</v>
      </c>
      <c r="C933" s="10" t="s">
        <v>170</v>
      </c>
      <c r="D933" s="10" t="s">
        <v>171</v>
      </c>
      <c r="E933" s="11" t="str">
        <f>+HYPERLINK("http://trademark.i-assist.jp/data/china/image_1900th/78713223.pdf", "78713223")</f>
        <v>78713223</v>
      </c>
      <c r="F933" s="10" t="s">
        <v>2740</v>
      </c>
      <c r="G933" s="10" t="s">
        <v>2741</v>
      </c>
      <c r="H933" s="10" t="s">
        <v>2742</v>
      </c>
      <c r="I933" s="10" t="s">
        <v>2451</v>
      </c>
    </row>
    <row r="934" spans="1:9" x14ac:dyDescent="0.15">
      <c r="A934" s="9">
        <v>933</v>
      </c>
      <c r="B934" s="10" t="s">
        <v>9</v>
      </c>
      <c r="C934" s="10" t="s">
        <v>170</v>
      </c>
      <c r="D934" s="10" t="s">
        <v>171</v>
      </c>
      <c r="E934" s="11" t="str">
        <f>+HYPERLINK("http://trademark.i-assist.jp/data/china/image_1900th/78713515.pdf", "78713515")</f>
        <v>78713515</v>
      </c>
      <c r="F934" s="10" t="s">
        <v>2743</v>
      </c>
      <c r="G934" s="10" t="s">
        <v>2677</v>
      </c>
      <c r="H934" s="10" t="s">
        <v>2744</v>
      </c>
      <c r="I934" s="10" t="s">
        <v>2451</v>
      </c>
    </row>
    <row r="935" spans="1:9" x14ac:dyDescent="0.15">
      <c r="A935" s="9">
        <v>934</v>
      </c>
      <c r="B935" s="10" t="s">
        <v>9</v>
      </c>
      <c r="C935" s="10" t="s">
        <v>170</v>
      </c>
      <c r="D935" s="10" t="s">
        <v>171</v>
      </c>
      <c r="E935" s="11" t="str">
        <f>+HYPERLINK("http://trademark.i-assist.jp/data/china/image_1900th/78713686.pdf", "78713686")</f>
        <v>78713686</v>
      </c>
      <c r="F935" s="10" t="s">
        <v>2745</v>
      </c>
      <c r="G935" s="10" t="s">
        <v>2476</v>
      </c>
      <c r="H935" s="10" t="s">
        <v>2746</v>
      </c>
      <c r="I935" s="10" t="s">
        <v>2451</v>
      </c>
    </row>
    <row r="936" spans="1:9" x14ac:dyDescent="0.15">
      <c r="A936" s="9">
        <v>935</v>
      </c>
      <c r="B936" s="10" t="s">
        <v>9</v>
      </c>
      <c r="C936" s="10" t="s">
        <v>170</v>
      </c>
      <c r="D936" s="10" t="s">
        <v>171</v>
      </c>
      <c r="E936" s="11" t="str">
        <f>+HYPERLINK("http://trademark.i-assist.jp/data/china/image_1900th/78713970.pdf", "78713970")</f>
        <v>78713970</v>
      </c>
      <c r="F936" s="10" t="s">
        <v>15</v>
      </c>
      <c r="G936" s="10" t="s">
        <v>2747</v>
      </c>
      <c r="H936" s="10" t="s">
        <v>2748</v>
      </c>
      <c r="I936" s="10" t="s">
        <v>2451</v>
      </c>
    </row>
    <row r="937" spans="1:9" x14ac:dyDescent="0.15">
      <c r="A937" s="9">
        <v>936</v>
      </c>
      <c r="B937" s="10" t="s">
        <v>9</v>
      </c>
      <c r="C937" s="10" t="s">
        <v>170</v>
      </c>
      <c r="D937" s="10" t="s">
        <v>171</v>
      </c>
      <c r="E937" s="11" t="str">
        <f>+HYPERLINK("http://trademark.i-assist.jp/data/china/image_1900th/78714000.pdf", "78714000")</f>
        <v>78714000</v>
      </c>
      <c r="F937" s="10" t="s">
        <v>15</v>
      </c>
      <c r="G937" s="10" t="s">
        <v>2749</v>
      </c>
      <c r="H937" s="10" t="s">
        <v>2750</v>
      </c>
      <c r="I937" s="10" t="s">
        <v>2451</v>
      </c>
    </row>
    <row r="938" spans="1:9" x14ac:dyDescent="0.15">
      <c r="A938" s="9">
        <v>937</v>
      </c>
      <c r="B938" s="10" t="s">
        <v>9</v>
      </c>
      <c r="C938" s="10" t="s">
        <v>170</v>
      </c>
      <c r="D938" s="10" t="s">
        <v>171</v>
      </c>
      <c r="E938" s="11" t="str">
        <f>+HYPERLINK("http://trademark.i-assist.jp/data/china/image_1900th/78714073.pdf", "78714073")</f>
        <v>78714073</v>
      </c>
      <c r="F938" s="10" t="s">
        <v>2751</v>
      </c>
      <c r="G938" s="10" t="s">
        <v>2752</v>
      </c>
      <c r="H938" s="10" t="s">
        <v>2753</v>
      </c>
      <c r="I938" s="10" t="s">
        <v>2451</v>
      </c>
    </row>
    <row r="939" spans="1:9" x14ac:dyDescent="0.15">
      <c r="A939" s="9">
        <v>938</v>
      </c>
      <c r="B939" s="10" t="s">
        <v>9</v>
      </c>
      <c r="C939" s="10" t="s">
        <v>170</v>
      </c>
      <c r="D939" s="10" t="s">
        <v>171</v>
      </c>
      <c r="E939" s="11" t="str">
        <f>+HYPERLINK("http://trademark.i-assist.jp/data/china/image_1900th/78714580.pdf", "78714580")</f>
        <v>78714580</v>
      </c>
      <c r="F939" s="10" t="s">
        <v>2754</v>
      </c>
      <c r="G939" s="10" t="s">
        <v>2755</v>
      </c>
      <c r="H939" s="10" t="s">
        <v>2756</v>
      </c>
      <c r="I939" s="10" t="s">
        <v>2451</v>
      </c>
    </row>
    <row r="940" spans="1:9" x14ac:dyDescent="0.15">
      <c r="A940" s="9">
        <v>939</v>
      </c>
      <c r="B940" s="10" t="s">
        <v>9</v>
      </c>
      <c r="C940" s="10" t="s">
        <v>170</v>
      </c>
      <c r="D940" s="10" t="s">
        <v>171</v>
      </c>
      <c r="E940" s="11" t="str">
        <f>+HYPERLINK("http://trademark.i-assist.jp/data/china/image_1900th/78715119.pdf", "78715119")</f>
        <v>78715119</v>
      </c>
      <c r="F940" s="10" t="s">
        <v>2757</v>
      </c>
      <c r="G940" s="10" t="s">
        <v>2758</v>
      </c>
      <c r="H940" s="10" t="s">
        <v>2759</v>
      </c>
      <c r="I940" s="10" t="s">
        <v>2451</v>
      </c>
    </row>
    <row r="941" spans="1:9" x14ac:dyDescent="0.15">
      <c r="A941" s="9">
        <v>940</v>
      </c>
      <c r="B941" s="10" t="s">
        <v>9</v>
      </c>
      <c r="C941" s="10" t="s">
        <v>170</v>
      </c>
      <c r="D941" s="10" t="s">
        <v>171</v>
      </c>
      <c r="E941" s="11" t="str">
        <f>+HYPERLINK("http://trademark.i-assist.jp/data/china/image_1900th/78716164.pdf", "78716164")</f>
        <v>78716164</v>
      </c>
      <c r="F941" s="10" t="s">
        <v>2760</v>
      </c>
      <c r="G941" s="10" t="s">
        <v>2761</v>
      </c>
      <c r="H941" s="10" t="s">
        <v>2762</v>
      </c>
      <c r="I941" s="10" t="s">
        <v>2451</v>
      </c>
    </row>
    <row r="942" spans="1:9" x14ac:dyDescent="0.15">
      <c r="A942" s="9">
        <v>941</v>
      </c>
      <c r="B942" s="10" t="s">
        <v>9</v>
      </c>
      <c r="C942" s="10" t="s">
        <v>170</v>
      </c>
      <c r="D942" s="10" t="s">
        <v>171</v>
      </c>
      <c r="E942" s="11" t="str">
        <f>+HYPERLINK("http://trademark.i-assist.jp/data/china/image_1900th/78716562.pdf", "78716562")</f>
        <v>78716562</v>
      </c>
      <c r="F942" s="10" t="s">
        <v>2763</v>
      </c>
      <c r="G942" s="10" t="s">
        <v>1915</v>
      </c>
      <c r="H942" s="10" t="s">
        <v>2764</v>
      </c>
      <c r="I942" s="10" t="s">
        <v>2451</v>
      </c>
    </row>
    <row r="943" spans="1:9" x14ac:dyDescent="0.15">
      <c r="A943" s="9">
        <v>942</v>
      </c>
      <c r="B943" s="10" t="s">
        <v>9</v>
      </c>
      <c r="C943" s="10" t="s">
        <v>170</v>
      </c>
      <c r="D943" s="10" t="s">
        <v>171</v>
      </c>
      <c r="E943" s="11" t="str">
        <f>+HYPERLINK("http://trademark.i-assist.jp/data/china/image_1900th/78717030.pdf", "78717030")</f>
        <v>78717030</v>
      </c>
      <c r="F943" s="10" t="s">
        <v>2765</v>
      </c>
      <c r="G943" s="10" t="s">
        <v>2766</v>
      </c>
      <c r="H943" s="10" t="s">
        <v>2767</v>
      </c>
      <c r="I943" s="10" t="s">
        <v>2768</v>
      </c>
    </row>
    <row r="944" spans="1:9" x14ac:dyDescent="0.15">
      <c r="A944" s="9">
        <v>943</v>
      </c>
      <c r="B944" s="10" t="s">
        <v>9</v>
      </c>
      <c r="C944" s="10" t="s">
        <v>170</v>
      </c>
      <c r="D944" s="10" t="s">
        <v>171</v>
      </c>
      <c r="E944" s="11" t="str">
        <f>+HYPERLINK("http://trademark.i-assist.jp/data/china/image_1900th/78717041.pdf", "78717041")</f>
        <v>78717041</v>
      </c>
      <c r="F944" s="10" t="s">
        <v>2769</v>
      </c>
      <c r="G944" s="10" t="s">
        <v>2770</v>
      </c>
      <c r="H944" s="10" t="s">
        <v>2771</v>
      </c>
      <c r="I944" s="10" t="s">
        <v>2768</v>
      </c>
    </row>
    <row r="945" spans="1:9" x14ac:dyDescent="0.15">
      <c r="A945" s="9">
        <v>944</v>
      </c>
      <c r="B945" s="10" t="s">
        <v>9</v>
      </c>
      <c r="C945" s="10" t="s">
        <v>170</v>
      </c>
      <c r="D945" s="10" t="s">
        <v>171</v>
      </c>
      <c r="E945" s="11" t="str">
        <f>+HYPERLINK("http://trademark.i-assist.jp/data/china/image_1900th/78717796.pdf", "78717796")</f>
        <v>78717796</v>
      </c>
      <c r="F945" s="10" t="s">
        <v>2772</v>
      </c>
      <c r="G945" s="10" t="s">
        <v>2773</v>
      </c>
      <c r="H945" s="10" t="s">
        <v>2774</v>
      </c>
      <c r="I945" s="10" t="s">
        <v>2768</v>
      </c>
    </row>
    <row r="946" spans="1:9" x14ac:dyDescent="0.15">
      <c r="A946" s="9">
        <v>945</v>
      </c>
      <c r="B946" s="10" t="s">
        <v>9</v>
      </c>
      <c r="C946" s="10" t="s">
        <v>170</v>
      </c>
      <c r="D946" s="10" t="s">
        <v>171</v>
      </c>
      <c r="E946" s="11" t="str">
        <f>+HYPERLINK("http://trademark.i-assist.jp/data/china/image_1900th/78717964.pdf", "78717964")</f>
        <v>78717964</v>
      </c>
      <c r="F946" s="10" t="s">
        <v>2775</v>
      </c>
      <c r="G946" s="10" t="s">
        <v>2776</v>
      </c>
      <c r="H946" s="10" t="s">
        <v>2777</v>
      </c>
      <c r="I946" s="10" t="s">
        <v>2768</v>
      </c>
    </row>
    <row r="947" spans="1:9" x14ac:dyDescent="0.15">
      <c r="A947" s="9">
        <v>946</v>
      </c>
      <c r="B947" s="10" t="s">
        <v>9</v>
      </c>
      <c r="C947" s="10" t="s">
        <v>170</v>
      </c>
      <c r="D947" s="10" t="s">
        <v>171</v>
      </c>
      <c r="E947" s="11" t="str">
        <f>+HYPERLINK("http://trademark.i-assist.jp/data/china/image_1900th/78718339.pdf", "78718339")</f>
        <v>78718339</v>
      </c>
      <c r="F947" s="10" t="s">
        <v>2778</v>
      </c>
      <c r="G947" s="10" t="s">
        <v>2779</v>
      </c>
      <c r="H947" s="10" t="s">
        <v>2780</v>
      </c>
      <c r="I947" s="10" t="s">
        <v>2768</v>
      </c>
    </row>
    <row r="948" spans="1:9" x14ac:dyDescent="0.15">
      <c r="A948" s="9">
        <v>947</v>
      </c>
      <c r="B948" s="10" t="s">
        <v>9</v>
      </c>
      <c r="C948" s="10" t="s">
        <v>170</v>
      </c>
      <c r="D948" s="10" t="s">
        <v>171</v>
      </c>
      <c r="E948" s="11" t="str">
        <f>+HYPERLINK("http://trademark.i-assist.jp/data/china/image_1900th/78718583.pdf", "78718583")</f>
        <v>78718583</v>
      </c>
      <c r="F948" s="10" t="s">
        <v>2781</v>
      </c>
      <c r="G948" s="10" t="s">
        <v>1337</v>
      </c>
      <c r="H948" s="10" t="s">
        <v>2782</v>
      </c>
      <c r="I948" s="10" t="s">
        <v>2768</v>
      </c>
    </row>
    <row r="949" spans="1:9" x14ac:dyDescent="0.15">
      <c r="A949" s="9">
        <v>948</v>
      </c>
      <c r="B949" s="10" t="s">
        <v>9</v>
      </c>
      <c r="C949" s="10" t="s">
        <v>170</v>
      </c>
      <c r="D949" s="10" t="s">
        <v>171</v>
      </c>
      <c r="E949" s="11" t="str">
        <f>+HYPERLINK("http://trademark.i-assist.jp/data/china/image_1900th/78719039.pdf", "78719039")</f>
        <v>78719039</v>
      </c>
      <c r="F949" s="10" t="s">
        <v>2783</v>
      </c>
      <c r="G949" s="10" t="s">
        <v>2784</v>
      </c>
      <c r="H949" s="10" t="s">
        <v>2785</v>
      </c>
      <c r="I949" s="10" t="s">
        <v>2768</v>
      </c>
    </row>
    <row r="950" spans="1:9" x14ac:dyDescent="0.15">
      <c r="A950" s="9">
        <v>949</v>
      </c>
      <c r="B950" s="10" t="s">
        <v>9</v>
      </c>
      <c r="C950" s="10" t="s">
        <v>170</v>
      </c>
      <c r="D950" s="10" t="s">
        <v>171</v>
      </c>
      <c r="E950" s="11" t="str">
        <f>+HYPERLINK("http://trademark.i-assist.jp/data/china/image_1900th/78719053.pdf", "78719053")</f>
        <v>78719053</v>
      </c>
      <c r="F950" s="10" t="s">
        <v>2786</v>
      </c>
      <c r="G950" s="10" t="s">
        <v>2787</v>
      </c>
      <c r="H950" s="10" t="s">
        <v>2788</v>
      </c>
      <c r="I950" s="10" t="s">
        <v>2768</v>
      </c>
    </row>
    <row r="951" spans="1:9" x14ac:dyDescent="0.15">
      <c r="A951" s="9">
        <v>950</v>
      </c>
      <c r="B951" s="10" t="s">
        <v>9</v>
      </c>
      <c r="C951" s="10" t="s">
        <v>170</v>
      </c>
      <c r="D951" s="10" t="s">
        <v>171</v>
      </c>
      <c r="E951" s="11" t="str">
        <f>+HYPERLINK("http://trademark.i-assist.jp/data/china/image_1900th/78719105.pdf", "78719105")</f>
        <v>78719105</v>
      </c>
      <c r="F951" s="10" t="s">
        <v>2789</v>
      </c>
      <c r="G951" s="10" t="s">
        <v>2790</v>
      </c>
      <c r="H951" s="10" t="s">
        <v>2791</v>
      </c>
      <c r="I951" s="10" t="s">
        <v>2768</v>
      </c>
    </row>
    <row r="952" spans="1:9" x14ac:dyDescent="0.15">
      <c r="A952" s="9">
        <v>951</v>
      </c>
      <c r="B952" s="10" t="s">
        <v>9</v>
      </c>
      <c r="C952" s="10" t="s">
        <v>170</v>
      </c>
      <c r="D952" s="10" t="s">
        <v>171</v>
      </c>
      <c r="E952" s="11" t="str">
        <f>+HYPERLINK("http://trademark.i-assist.jp/data/china/image_1900th/78719204.pdf", "78719204")</f>
        <v>78719204</v>
      </c>
      <c r="F952" s="10" t="s">
        <v>2792</v>
      </c>
      <c r="G952" s="10" t="s">
        <v>2793</v>
      </c>
      <c r="H952" s="10" t="s">
        <v>2794</v>
      </c>
      <c r="I952" s="10" t="s">
        <v>2768</v>
      </c>
    </row>
    <row r="953" spans="1:9" x14ac:dyDescent="0.15">
      <c r="A953" s="9">
        <v>952</v>
      </c>
      <c r="B953" s="10" t="s">
        <v>9</v>
      </c>
      <c r="C953" s="10" t="s">
        <v>170</v>
      </c>
      <c r="D953" s="10" t="s">
        <v>171</v>
      </c>
      <c r="E953" s="11" t="str">
        <f>+HYPERLINK("http://trademark.i-assist.jp/data/china/image_1900th/78719531.pdf", "78719531")</f>
        <v>78719531</v>
      </c>
      <c r="F953" s="10" t="s">
        <v>2795</v>
      </c>
      <c r="G953" s="10" t="s">
        <v>2796</v>
      </c>
      <c r="H953" s="10" t="s">
        <v>2797</v>
      </c>
      <c r="I953" s="10" t="s">
        <v>2768</v>
      </c>
    </row>
    <row r="954" spans="1:9" x14ac:dyDescent="0.15">
      <c r="A954" s="9">
        <v>953</v>
      </c>
      <c r="B954" s="10" t="s">
        <v>9</v>
      </c>
      <c r="C954" s="10" t="s">
        <v>170</v>
      </c>
      <c r="D954" s="10" t="s">
        <v>171</v>
      </c>
      <c r="E954" s="11" t="str">
        <f>+HYPERLINK("http://trademark.i-assist.jp/data/china/image_1900th/78719632.pdf", "78719632")</f>
        <v>78719632</v>
      </c>
      <c r="F954" s="10" t="s">
        <v>2798</v>
      </c>
      <c r="G954" s="10" t="s">
        <v>2799</v>
      </c>
      <c r="H954" s="10" t="s">
        <v>2800</v>
      </c>
      <c r="I954" s="10" t="s">
        <v>2768</v>
      </c>
    </row>
    <row r="955" spans="1:9" x14ac:dyDescent="0.15">
      <c r="A955" s="9">
        <v>954</v>
      </c>
      <c r="B955" s="10" t="s">
        <v>9</v>
      </c>
      <c r="C955" s="10" t="s">
        <v>170</v>
      </c>
      <c r="D955" s="10" t="s">
        <v>171</v>
      </c>
      <c r="E955" s="11" t="str">
        <f>+HYPERLINK("http://trademark.i-assist.jp/data/china/image_1900th/78719974.pdf", "78719974")</f>
        <v>78719974</v>
      </c>
      <c r="F955" s="10" t="s">
        <v>2801</v>
      </c>
      <c r="G955" s="10" t="s">
        <v>2802</v>
      </c>
      <c r="H955" s="10" t="s">
        <v>2803</v>
      </c>
      <c r="I955" s="10" t="s">
        <v>2768</v>
      </c>
    </row>
    <row r="956" spans="1:9" x14ac:dyDescent="0.15">
      <c r="A956" s="9">
        <v>955</v>
      </c>
      <c r="B956" s="10" t="s">
        <v>9</v>
      </c>
      <c r="C956" s="10" t="s">
        <v>170</v>
      </c>
      <c r="D956" s="10" t="s">
        <v>171</v>
      </c>
      <c r="E956" s="11" t="str">
        <f>+HYPERLINK("http://trademark.i-assist.jp/data/china/image_1900th/78720004.pdf", "78720004")</f>
        <v>78720004</v>
      </c>
      <c r="F956" s="10" t="s">
        <v>2804</v>
      </c>
      <c r="G956" s="10" t="s">
        <v>2802</v>
      </c>
      <c r="H956" s="10" t="s">
        <v>2805</v>
      </c>
      <c r="I956" s="10" t="s">
        <v>2768</v>
      </c>
    </row>
    <row r="957" spans="1:9" x14ac:dyDescent="0.15">
      <c r="A957" s="9">
        <v>956</v>
      </c>
      <c r="B957" s="10" t="s">
        <v>9</v>
      </c>
      <c r="C957" s="10" t="s">
        <v>170</v>
      </c>
      <c r="D957" s="10" t="s">
        <v>171</v>
      </c>
      <c r="E957" s="11" t="str">
        <f>+HYPERLINK("http://trademark.i-assist.jp/data/china/image_1900th/78720010.pdf", "78720010")</f>
        <v>78720010</v>
      </c>
      <c r="F957" s="10" t="s">
        <v>2806</v>
      </c>
      <c r="G957" s="10" t="s">
        <v>2807</v>
      </c>
      <c r="H957" s="10" t="s">
        <v>2808</v>
      </c>
      <c r="I957" s="10" t="s">
        <v>2768</v>
      </c>
    </row>
    <row r="958" spans="1:9" x14ac:dyDescent="0.15">
      <c r="A958" s="9">
        <v>957</v>
      </c>
      <c r="B958" s="10" t="s">
        <v>9</v>
      </c>
      <c r="C958" s="10" t="s">
        <v>170</v>
      </c>
      <c r="D958" s="10" t="s">
        <v>171</v>
      </c>
      <c r="E958" s="11" t="str">
        <f>+HYPERLINK("http://trademark.i-assist.jp/data/china/image_1900th/78720038.pdf", "78720038")</f>
        <v>78720038</v>
      </c>
      <c r="F958" s="10" t="s">
        <v>2809</v>
      </c>
      <c r="G958" s="10" t="s">
        <v>2810</v>
      </c>
      <c r="H958" s="10" t="s">
        <v>2811</v>
      </c>
      <c r="I958" s="10" t="s">
        <v>2768</v>
      </c>
    </row>
    <row r="959" spans="1:9" x14ac:dyDescent="0.15">
      <c r="A959" s="9">
        <v>958</v>
      </c>
      <c r="B959" s="10" t="s">
        <v>9</v>
      </c>
      <c r="C959" s="10" t="s">
        <v>170</v>
      </c>
      <c r="D959" s="10" t="s">
        <v>171</v>
      </c>
      <c r="E959" s="11" t="str">
        <f>+HYPERLINK("http://trademark.i-assist.jp/data/china/image_1900th/78720047.pdf", "78720047")</f>
        <v>78720047</v>
      </c>
      <c r="F959" s="10" t="s">
        <v>2812</v>
      </c>
      <c r="G959" s="10" t="s">
        <v>2813</v>
      </c>
      <c r="H959" s="10" t="s">
        <v>2814</v>
      </c>
      <c r="I959" s="10" t="s">
        <v>2768</v>
      </c>
    </row>
    <row r="960" spans="1:9" x14ac:dyDescent="0.15">
      <c r="A960" s="9">
        <v>959</v>
      </c>
      <c r="B960" s="10" t="s">
        <v>9</v>
      </c>
      <c r="C960" s="10" t="s">
        <v>170</v>
      </c>
      <c r="D960" s="10" t="s">
        <v>171</v>
      </c>
      <c r="E960" s="11" t="str">
        <f>+HYPERLINK("http://trademark.i-assist.jp/data/china/image_1900th/78720098.pdf", "78720098")</f>
        <v>78720098</v>
      </c>
      <c r="F960" s="10" t="s">
        <v>2815</v>
      </c>
      <c r="G960" s="10" t="s">
        <v>2816</v>
      </c>
      <c r="H960" s="10" t="s">
        <v>2817</v>
      </c>
      <c r="I960" s="10" t="s">
        <v>2768</v>
      </c>
    </row>
    <row r="961" spans="1:9" x14ac:dyDescent="0.15">
      <c r="A961" s="9">
        <v>960</v>
      </c>
      <c r="B961" s="10" t="s">
        <v>9</v>
      </c>
      <c r="C961" s="10" t="s">
        <v>170</v>
      </c>
      <c r="D961" s="10" t="s">
        <v>171</v>
      </c>
      <c r="E961" s="11" t="str">
        <f>+HYPERLINK("http://trademark.i-assist.jp/data/china/image_1900th/78720205.pdf", "78720205")</f>
        <v>78720205</v>
      </c>
      <c r="F961" s="10" t="s">
        <v>2818</v>
      </c>
      <c r="G961" s="10" t="s">
        <v>47</v>
      </c>
      <c r="H961" s="10" t="s">
        <v>2819</v>
      </c>
      <c r="I961" s="10" t="s">
        <v>2768</v>
      </c>
    </row>
    <row r="962" spans="1:9" x14ac:dyDescent="0.15">
      <c r="A962" s="9">
        <v>961</v>
      </c>
      <c r="B962" s="10" t="s">
        <v>9</v>
      </c>
      <c r="C962" s="10" t="s">
        <v>170</v>
      </c>
      <c r="D962" s="10" t="s">
        <v>171</v>
      </c>
      <c r="E962" s="11" t="str">
        <f>+HYPERLINK("http://trademark.i-assist.jp/data/china/image_1900th/78720459.pdf", "78720459")</f>
        <v>78720459</v>
      </c>
      <c r="F962" s="10" t="s">
        <v>2820</v>
      </c>
      <c r="G962" s="10" t="s">
        <v>2821</v>
      </c>
      <c r="H962" s="10" t="s">
        <v>2822</v>
      </c>
      <c r="I962" s="10" t="s">
        <v>2768</v>
      </c>
    </row>
    <row r="963" spans="1:9" x14ac:dyDescent="0.15">
      <c r="A963" s="9">
        <v>962</v>
      </c>
      <c r="B963" s="10" t="s">
        <v>9</v>
      </c>
      <c r="C963" s="10" t="s">
        <v>170</v>
      </c>
      <c r="D963" s="10" t="s">
        <v>171</v>
      </c>
      <c r="E963" s="11" t="str">
        <f>+HYPERLINK("http://trademark.i-assist.jp/data/china/image_1900th/78721480.pdf", "78721480")</f>
        <v>78721480</v>
      </c>
      <c r="F963" s="10" t="s">
        <v>2823</v>
      </c>
      <c r="G963" s="10" t="s">
        <v>2824</v>
      </c>
      <c r="H963" s="10" t="s">
        <v>2825</v>
      </c>
      <c r="I963" s="10" t="s">
        <v>2768</v>
      </c>
    </row>
    <row r="964" spans="1:9" x14ac:dyDescent="0.15">
      <c r="A964" s="9">
        <v>963</v>
      </c>
      <c r="B964" s="10" t="s">
        <v>9</v>
      </c>
      <c r="C964" s="10" t="s">
        <v>170</v>
      </c>
      <c r="D964" s="10" t="s">
        <v>171</v>
      </c>
      <c r="E964" s="11" t="str">
        <f>+HYPERLINK("http://trademark.i-assist.jp/data/china/image_1900th/78721800.pdf", "78721800")</f>
        <v>78721800</v>
      </c>
      <c r="F964" s="10" t="s">
        <v>2826</v>
      </c>
      <c r="G964" s="10" t="s">
        <v>2827</v>
      </c>
      <c r="H964" s="10" t="s">
        <v>2828</v>
      </c>
      <c r="I964" s="10" t="s">
        <v>2768</v>
      </c>
    </row>
    <row r="965" spans="1:9" x14ac:dyDescent="0.15">
      <c r="A965" s="9">
        <v>964</v>
      </c>
      <c r="B965" s="10" t="s">
        <v>9</v>
      </c>
      <c r="C965" s="10" t="s">
        <v>170</v>
      </c>
      <c r="D965" s="10" t="s">
        <v>171</v>
      </c>
      <c r="E965" s="11" t="str">
        <f>+HYPERLINK("http://trademark.i-assist.jp/data/china/image_1900th/78722228.pdf", "78722228")</f>
        <v>78722228</v>
      </c>
      <c r="F965" s="10" t="s">
        <v>2829</v>
      </c>
      <c r="G965" s="10" t="s">
        <v>2830</v>
      </c>
      <c r="H965" s="10" t="s">
        <v>2831</v>
      </c>
      <c r="I965" s="10" t="s">
        <v>2768</v>
      </c>
    </row>
    <row r="966" spans="1:9" x14ac:dyDescent="0.15">
      <c r="A966" s="9">
        <v>965</v>
      </c>
      <c r="B966" s="10" t="s">
        <v>9</v>
      </c>
      <c r="C966" s="10" t="s">
        <v>170</v>
      </c>
      <c r="D966" s="10" t="s">
        <v>171</v>
      </c>
      <c r="E966" s="11" t="str">
        <f>+HYPERLINK("http://trademark.i-assist.jp/data/china/image_1900th/78722431.pdf", "78722431")</f>
        <v>78722431</v>
      </c>
      <c r="F966" s="10" t="s">
        <v>2832</v>
      </c>
      <c r="G966" s="10" t="s">
        <v>2833</v>
      </c>
      <c r="H966" s="10" t="s">
        <v>2834</v>
      </c>
      <c r="I966" s="10" t="s">
        <v>2768</v>
      </c>
    </row>
    <row r="967" spans="1:9" x14ac:dyDescent="0.15">
      <c r="A967" s="9">
        <v>966</v>
      </c>
      <c r="B967" s="10" t="s">
        <v>9</v>
      </c>
      <c r="C967" s="10" t="s">
        <v>170</v>
      </c>
      <c r="D967" s="10" t="s">
        <v>171</v>
      </c>
      <c r="E967" s="11" t="str">
        <f>+HYPERLINK("http://trademark.i-assist.jp/data/china/image_1900th/78722795.pdf", "78722795")</f>
        <v>78722795</v>
      </c>
      <c r="F967" s="10" t="s">
        <v>15</v>
      </c>
      <c r="G967" s="10" t="s">
        <v>2835</v>
      </c>
      <c r="H967" s="10" t="s">
        <v>2836</v>
      </c>
      <c r="I967" s="10" t="s">
        <v>2768</v>
      </c>
    </row>
    <row r="968" spans="1:9" x14ac:dyDescent="0.15">
      <c r="A968" s="9">
        <v>967</v>
      </c>
      <c r="B968" s="10" t="s">
        <v>9</v>
      </c>
      <c r="C968" s="10" t="s">
        <v>170</v>
      </c>
      <c r="D968" s="10" t="s">
        <v>171</v>
      </c>
      <c r="E968" s="11" t="str">
        <f>+HYPERLINK("http://trademark.i-assist.jp/data/china/image_1900th/78722850.pdf", "78722850")</f>
        <v>78722850</v>
      </c>
      <c r="F968" s="10" t="s">
        <v>2837</v>
      </c>
      <c r="G968" s="10" t="s">
        <v>2838</v>
      </c>
      <c r="H968" s="10" t="s">
        <v>2839</v>
      </c>
      <c r="I968" s="10" t="s">
        <v>2768</v>
      </c>
    </row>
    <row r="969" spans="1:9" x14ac:dyDescent="0.15">
      <c r="A969" s="9">
        <v>968</v>
      </c>
      <c r="B969" s="10" t="s">
        <v>9</v>
      </c>
      <c r="C969" s="10" t="s">
        <v>170</v>
      </c>
      <c r="D969" s="10" t="s">
        <v>171</v>
      </c>
      <c r="E969" s="11" t="str">
        <f>+HYPERLINK("http://trademark.i-assist.jp/data/china/image_1900th/78722972.pdf", "78722972")</f>
        <v>78722972</v>
      </c>
      <c r="F969" s="10" t="s">
        <v>2840</v>
      </c>
      <c r="G969" s="10" t="s">
        <v>2841</v>
      </c>
      <c r="H969" s="10" t="s">
        <v>2842</v>
      </c>
      <c r="I969" s="10" t="s">
        <v>2768</v>
      </c>
    </row>
    <row r="970" spans="1:9" x14ac:dyDescent="0.15">
      <c r="A970" s="9">
        <v>969</v>
      </c>
      <c r="B970" s="10" t="s">
        <v>9</v>
      </c>
      <c r="C970" s="10" t="s">
        <v>170</v>
      </c>
      <c r="D970" s="10" t="s">
        <v>171</v>
      </c>
      <c r="E970" s="11" t="str">
        <f>+HYPERLINK("http://trademark.i-assist.jp/data/china/image_1900th/78723011.pdf", "78723011")</f>
        <v>78723011</v>
      </c>
      <c r="F970" s="10" t="s">
        <v>2843</v>
      </c>
      <c r="G970" s="10" t="s">
        <v>2513</v>
      </c>
      <c r="H970" s="10" t="s">
        <v>2844</v>
      </c>
      <c r="I970" s="10" t="s">
        <v>2768</v>
      </c>
    </row>
    <row r="971" spans="1:9" x14ac:dyDescent="0.15">
      <c r="A971" s="9">
        <v>970</v>
      </c>
      <c r="B971" s="10" t="s">
        <v>9</v>
      </c>
      <c r="C971" s="10" t="s">
        <v>170</v>
      </c>
      <c r="D971" s="10" t="s">
        <v>171</v>
      </c>
      <c r="E971" s="11" t="str">
        <f>+HYPERLINK("http://trademark.i-assist.jp/data/china/image_1900th/78723502.pdf", "78723502")</f>
        <v>78723502</v>
      </c>
      <c r="F971" s="10" t="s">
        <v>2845</v>
      </c>
      <c r="G971" s="10" t="s">
        <v>99</v>
      </c>
      <c r="H971" s="10" t="s">
        <v>2846</v>
      </c>
      <c r="I971" s="10" t="s">
        <v>2768</v>
      </c>
    </row>
    <row r="972" spans="1:9" x14ac:dyDescent="0.15">
      <c r="A972" s="9">
        <v>971</v>
      </c>
      <c r="B972" s="10" t="s">
        <v>9</v>
      </c>
      <c r="C972" s="10" t="s">
        <v>170</v>
      </c>
      <c r="D972" s="10" t="s">
        <v>171</v>
      </c>
      <c r="E972" s="11" t="str">
        <f>+HYPERLINK("http://trademark.i-assist.jp/data/china/image_1900th/78723934.pdf", "78723934")</f>
        <v>78723934</v>
      </c>
      <c r="F972" s="10" t="s">
        <v>2847</v>
      </c>
      <c r="G972" s="10" t="s">
        <v>2787</v>
      </c>
      <c r="H972" s="10" t="s">
        <v>2848</v>
      </c>
      <c r="I972" s="10" t="s">
        <v>2768</v>
      </c>
    </row>
    <row r="973" spans="1:9" x14ac:dyDescent="0.15">
      <c r="A973" s="9">
        <v>972</v>
      </c>
      <c r="B973" s="10" t="s">
        <v>9</v>
      </c>
      <c r="C973" s="10" t="s">
        <v>170</v>
      </c>
      <c r="D973" s="10" t="s">
        <v>171</v>
      </c>
      <c r="E973" s="11" t="str">
        <f>+HYPERLINK("http://trademark.i-assist.jp/data/china/image_1900th/78724001.pdf", "78724001")</f>
        <v>78724001</v>
      </c>
      <c r="F973" s="10" t="s">
        <v>2849</v>
      </c>
      <c r="G973" s="10" t="s">
        <v>2850</v>
      </c>
      <c r="H973" s="10" t="s">
        <v>2851</v>
      </c>
      <c r="I973" s="10" t="s">
        <v>2768</v>
      </c>
    </row>
    <row r="974" spans="1:9" x14ac:dyDescent="0.15">
      <c r="A974" s="9">
        <v>973</v>
      </c>
      <c r="B974" s="10" t="s">
        <v>9</v>
      </c>
      <c r="C974" s="10" t="s">
        <v>170</v>
      </c>
      <c r="D974" s="10" t="s">
        <v>171</v>
      </c>
      <c r="E974" s="11" t="str">
        <f>+HYPERLINK("http://trademark.i-assist.jp/data/china/image_1900th/78724087.pdf", "78724087")</f>
        <v>78724087</v>
      </c>
      <c r="F974" s="10" t="s">
        <v>2852</v>
      </c>
      <c r="G974" s="10" t="s">
        <v>2853</v>
      </c>
      <c r="H974" s="10" t="s">
        <v>2854</v>
      </c>
      <c r="I974" s="10" t="s">
        <v>2768</v>
      </c>
    </row>
    <row r="975" spans="1:9" x14ac:dyDescent="0.15">
      <c r="A975" s="9">
        <v>974</v>
      </c>
      <c r="B975" s="10" t="s">
        <v>9</v>
      </c>
      <c r="C975" s="10" t="s">
        <v>170</v>
      </c>
      <c r="D975" s="10" t="s">
        <v>171</v>
      </c>
      <c r="E975" s="11" t="str">
        <f>+HYPERLINK("http://trademark.i-assist.jp/data/china/image_1900th/78724091.pdf", "78724091")</f>
        <v>78724091</v>
      </c>
      <c r="F975" s="10" t="s">
        <v>2855</v>
      </c>
      <c r="G975" s="10" t="s">
        <v>2856</v>
      </c>
      <c r="H975" s="10" t="s">
        <v>2857</v>
      </c>
      <c r="I975" s="10" t="s">
        <v>2768</v>
      </c>
    </row>
    <row r="976" spans="1:9" x14ac:dyDescent="0.15">
      <c r="A976" s="9">
        <v>975</v>
      </c>
      <c r="B976" s="10" t="s">
        <v>9</v>
      </c>
      <c r="C976" s="10" t="s">
        <v>170</v>
      </c>
      <c r="D976" s="10" t="s">
        <v>171</v>
      </c>
      <c r="E976" s="11" t="str">
        <f>+HYPERLINK("http://trademark.i-assist.jp/data/china/image_1900th/78724485.pdf", "78724485")</f>
        <v>78724485</v>
      </c>
      <c r="F976" s="10" t="s">
        <v>2858</v>
      </c>
      <c r="G976" s="10" t="s">
        <v>2802</v>
      </c>
      <c r="H976" s="10" t="s">
        <v>2859</v>
      </c>
      <c r="I976" s="10" t="s">
        <v>2768</v>
      </c>
    </row>
    <row r="977" spans="1:9" x14ac:dyDescent="0.15">
      <c r="A977" s="9">
        <v>976</v>
      </c>
      <c r="B977" s="10" t="s">
        <v>9</v>
      </c>
      <c r="C977" s="10" t="s">
        <v>170</v>
      </c>
      <c r="D977" s="10" t="s">
        <v>171</v>
      </c>
      <c r="E977" s="11" t="str">
        <f>+HYPERLINK("http://trademark.i-assist.jp/data/china/image_1900th/78724550.pdf", "78724550")</f>
        <v>78724550</v>
      </c>
      <c r="F977" s="10" t="s">
        <v>2860</v>
      </c>
      <c r="G977" s="10" t="s">
        <v>93</v>
      </c>
      <c r="H977" s="10" t="s">
        <v>2861</v>
      </c>
      <c r="I977" s="10" t="s">
        <v>2768</v>
      </c>
    </row>
    <row r="978" spans="1:9" x14ac:dyDescent="0.15">
      <c r="A978" s="9">
        <v>977</v>
      </c>
      <c r="B978" s="10" t="s">
        <v>9</v>
      </c>
      <c r="C978" s="10" t="s">
        <v>170</v>
      </c>
      <c r="D978" s="10" t="s">
        <v>171</v>
      </c>
      <c r="E978" s="11" t="str">
        <f>+HYPERLINK("http://trademark.i-assist.jp/data/china/image_1900th/78724794.pdf", "78724794")</f>
        <v>78724794</v>
      </c>
      <c r="F978" s="10" t="s">
        <v>2862</v>
      </c>
      <c r="G978" s="10" t="s">
        <v>2863</v>
      </c>
      <c r="H978" s="10" t="s">
        <v>2864</v>
      </c>
      <c r="I978" s="10" t="s">
        <v>2768</v>
      </c>
    </row>
    <row r="979" spans="1:9" x14ac:dyDescent="0.15">
      <c r="A979" s="9">
        <v>978</v>
      </c>
      <c r="B979" s="10" t="s">
        <v>9</v>
      </c>
      <c r="C979" s="10" t="s">
        <v>170</v>
      </c>
      <c r="D979" s="10" t="s">
        <v>171</v>
      </c>
      <c r="E979" s="11" t="str">
        <f>+HYPERLINK("http://trademark.i-assist.jp/data/china/image_1900th/78725467.pdf", "78725467")</f>
        <v>78725467</v>
      </c>
      <c r="F979" s="10" t="s">
        <v>2865</v>
      </c>
      <c r="G979" s="10" t="s">
        <v>2866</v>
      </c>
      <c r="H979" s="10" t="s">
        <v>2867</v>
      </c>
      <c r="I979" s="10" t="s">
        <v>2768</v>
      </c>
    </row>
    <row r="980" spans="1:9" x14ac:dyDescent="0.15">
      <c r="A980" s="9">
        <v>979</v>
      </c>
      <c r="B980" s="10" t="s">
        <v>9</v>
      </c>
      <c r="C980" s="10" t="s">
        <v>170</v>
      </c>
      <c r="D980" s="10" t="s">
        <v>171</v>
      </c>
      <c r="E980" s="11" t="str">
        <f>+HYPERLINK("http://trademark.i-assist.jp/data/china/image_1900th/78725887.pdf", "78725887")</f>
        <v>78725887</v>
      </c>
      <c r="F980" s="10" t="s">
        <v>2837</v>
      </c>
      <c r="G980" s="10" t="s">
        <v>2838</v>
      </c>
      <c r="H980" s="10" t="s">
        <v>2868</v>
      </c>
      <c r="I980" s="10" t="s">
        <v>2768</v>
      </c>
    </row>
    <row r="981" spans="1:9" x14ac:dyDescent="0.15">
      <c r="A981" s="9">
        <v>980</v>
      </c>
      <c r="B981" s="10" t="s">
        <v>9</v>
      </c>
      <c r="C981" s="10" t="s">
        <v>170</v>
      </c>
      <c r="D981" s="10" t="s">
        <v>171</v>
      </c>
      <c r="E981" s="11" t="str">
        <f>+HYPERLINK("http://trademark.i-assist.jp/data/china/image_1900th/78725981.pdf", "78725981")</f>
        <v>78725981</v>
      </c>
      <c r="F981" s="10" t="s">
        <v>2869</v>
      </c>
      <c r="G981" s="10" t="s">
        <v>2870</v>
      </c>
      <c r="H981" s="10" t="s">
        <v>2871</v>
      </c>
      <c r="I981" s="10" t="s">
        <v>2768</v>
      </c>
    </row>
    <row r="982" spans="1:9" x14ac:dyDescent="0.15">
      <c r="A982" s="9">
        <v>981</v>
      </c>
      <c r="B982" s="10" t="s">
        <v>9</v>
      </c>
      <c r="C982" s="10" t="s">
        <v>170</v>
      </c>
      <c r="D982" s="10" t="s">
        <v>171</v>
      </c>
      <c r="E982" s="11" t="str">
        <f>+HYPERLINK("http://trademark.i-assist.jp/data/china/image_1900th/78726204.pdf", "78726204")</f>
        <v>78726204</v>
      </c>
      <c r="F982" s="10" t="s">
        <v>2872</v>
      </c>
      <c r="G982" s="10" t="s">
        <v>2513</v>
      </c>
      <c r="H982" s="10" t="s">
        <v>2873</v>
      </c>
      <c r="I982" s="10" t="s">
        <v>2768</v>
      </c>
    </row>
    <row r="983" spans="1:9" x14ac:dyDescent="0.15">
      <c r="A983" s="9">
        <v>982</v>
      </c>
      <c r="B983" s="10" t="s">
        <v>9</v>
      </c>
      <c r="C983" s="10" t="s">
        <v>170</v>
      </c>
      <c r="D983" s="10" t="s">
        <v>171</v>
      </c>
      <c r="E983" s="11" t="str">
        <f>+HYPERLINK("http://trademark.i-assist.jp/data/china/image_1900th/78726469.pdf", "78726469")</f>
        <v>78726469</v>
      </c>
      <c r="F983" s="10" t="s">
        <v>2874</v>
      </c>
      <c r="G983" s="10" t="s">
        <v>2875</v>
      </c>
      <c r="H983" s="10" t="s">
        <v>2876</v>
      </c>
      <c r="I983" s="10" t="s">
        <v>2768</v>
      </c>
    </row>
    <row r="984" spans="1:9" x14ac:dyDescent="0.15">
      <c r="A984" s="9">
        <v>983</v>
      </c>
      <c r="B984" s="10" t="s">
        <v>9</v>
      </c>
      <c r="C984" s="10" t="s">
        <v>170</v>
      </c>
      <c r="D984" s="10" t="s">
        <v>171</v>
      </c>
      <c r="E984" s="11" t="str">
        <f>+HYPERLINK("http://trademark.i-assist.jp/data/china/image_1900th/78726517.pdf", "78726517")</f>
        <v>78726517</v>
      </c>
      <c r="F984" s="10" t="s">
        <v>2877</v>
      </c>
      <c r="G984" s="10" t="s">
        <v>2878</v>
      </c>
      <c r="H984" s="10" t="s">
        <v>2879</v>
      </c>
      <c r="I984" s="10" t="s">
        <v>2768</v>
      </c>
    </row>
    <row r="985" spans="1:9" x14ac:dyDescent="0.15">
      <c r="A985" s="9">
        <v>984</v>
      </c>
      <c r="B985" s="10" t="s">
        <v>9</v>
      </c>
      <c r="C985" s="10" t="s">
        <v>170</v>
      </c>
      <c r="D985" s="10" t="s">
        <v>171</v>
      </c>
      <c r="E985" s="11" t="str">
        <f>+HYPERLINK("http://trademark.i-assist.jp/data/china/image_1900th/78726530.pdf", "78726530")</f>
        <v>78726530</v>
      </c>
      <c r="F985" s="10" t="s">
        <v>2880</v>
      </c>
      <c r="G985" s="10" t="s">
        <v>2881</v>
      </c>
      <c r="H985" s="10" t="s">
        <v>2882</v>
      </c>
      <c r="I985" s="10" t="s">
        <v>2768</v>
      </c>
    </row>
    <row r="986" spans="1:9" x14ac:dyDescent="0.15">
      <c r="A986" s="9">
        <v>985</v>
      </c>
      <c r="B986" s="10" t="s">
        <v>9</v>
      </c>
      <c r="C986" s="10" t="s">
        <v>170</v>
      </c>
      <c r="D986" s="10" t="s">
        <v>171</v>
      </c>
      <c r="E986" s="11" t="str">
        <f>+HYPERLINK("http://trademark.i-assist.jp/data/china/image_1900th/78726904.pdf", "78726904")</f>
        <v>78726904</v>
      </c>
      <c r="F986" s="10" t="s">
        <v>2883</v>
      </c>
      <c r="G986" s="10" t="s">
        <v>2884</v>
      </c>
      <c r="H986" s="10" t="s">
        <v>2885</v>
      </c>
      <c r="I986" s="10" t="s">
        <v>2768</v>
      </c>
    </row>
    <row r="987" spans="1:9" x14ac:dyDescent="0.15">
      <c r="A987" s="9">
        <v>986</v>
      </c>
      <c r="B987" s="10" t="s">
        <v>9</v>
      </c>
      <c r="C987" s="10" t="s">
        <v>170</v>
      </c>
      <c r="D987" s="10" t="s">
        <v>171</v>
      </c>
      <c r="E987" s="11" t="str">
        <f>+HYPERLINK("http://trademark.i-assist.jp/data/china/image_1900th/78727028.pdf", "78727028")</f>
        <v>78727028</v>
      </c>
      <c r="F987" s="10" t="s">
        <v>2886</v>
      </c>
      <c r="G987" s="10" t="s">
        <v>2887</v>
      </c>
      <c r="H987" s="10" t="s">
        <v>2888</v>
      </c>
      <c r="I987" s="10" t="s">
        <v>2768</v>
      </c>
    </row>
    <row r="988" spans="1:9" x14ac:dyDescent="0.15">
      <c r="A988" s="9">
        <v>987</v>
      </c>
      <c r="B988" s="10" t="s">
        <v>9</v>
      </c>
      <c r="C988" s="10" t="s">
        <v>170</v>
      </c>
      <c r="D988" s="10" t="s">
        <v>171</v>
      </c>
      <c r="E988" s="11" t="str">
        <f>+HYPERLINK("http://trademark.i-assist.jp/data/china/image_1900th/78727049.pdf", "78727049")</f>
        <v>78727049</v>
      </c>
      <c r="F988" s="10" t="s">
        <v>2889</v>
      </c>
      <c r="G988" s="10" t="s">
        <v>2890</v>
      </c>
      <c r="H988" s="10" t="s">
        <v>2891</v>
      </c>
      <c r="I988" s="10" t="s">
        <v>2768</v>
      </c>
    </row>
    <row r="989" spans="1:9" x14ac:dyDescent="0.15">
      <c r="A989" s="9">
        <v>988</v>
      </c>
      <c r="B989" s="10" t="s">
        <v>9</v>
      </c>
      <c r="C989" s="10" t="s">
        <v>170</v>
      </c>
      <c r="D989" s="10" t="s">
        <v>171</v>
      </c>
      <c r="E989" s="11" t="str">
        <f>+HYPERLINK("http://trademark.i-assist.jp/data/china/image_1900th/78727120.pdf", "78727120")</f>
        <v>78727120</v>
      </c>
      <c r="F989" s="10" t="s">
        <v>2892</v>
      </c>
      <c r="G989" s="10" t="s">
        <v>2824</v>
      </c>
      <c r="H989" s="10" t="s">
        <v>2893</v>
      </c>
      <c r="I989" s="10" t="s">
        <v>2768</v>
      </c>
    </row>
    <row r="990" spans="1:9" x14ac:dyDescent="0.15">
      <c r="A990" s="9">
        <v>989</v>
      </c>
      <c r="B990" s="10" t="s">
        <v>9</v>
      </c>
      <c r="C990" s="10" t="s">
        <v>170</v>
      </c>
      <c r="D990" s="10" t="s">
        <v>171</v>
      </c>
      <c r="E990" s="11" t="str">
        <f>+HYPERLINK("http://trademark.i-assist.jp/data/china/image_1900th/78727350.pdf", "78727350")</f>
        <v>78727350</v>
      </c>
      <c r="F990" s="10" t="s">
        <v>2894</v>
      </c>
      <c r="G990" s="10" t="s">
        <v>2895</v>
      </c>
      <c r="H990" s="10" t="s">
        <v>2896</v>
      </c>
      <c r="I990" s="10" t="s">
        <v>2768</v>
      </c>
    </row>
    <row r="991" spans="1:9" x14ac:dyDescent="0.15">
      <c r="A991" s="9">
        <v>990</v>
      </c>
      <c r="B991" s="10" t="s">
        <v>9</v>
      </c>
      <c r="C991" s="10" t="s">
        <v>170</v>
      </c>
      <c r="D991" s="10" t="s">
        <v>171</v>
      </c>
      <c r="E991" s="11" t="str">
        <f>+HYPERLINK("http://trademark.i-assist.jp/data/china/image_1900th/78727671.pdf", "78727671")</f>
        <v>78727671</v>
      </c>
      <c r="F991" s="10" t="s">
        <v>2897</v>
      </c>
      <c r="G991" s="10" t="s">
        <v>2898</v>
      </c>
      <c r="H991" s="10" t="s">
        <v>2899</v>
      </c>
      <c r="I991" s="10" t="s">
        <v>2768</v>
      </c>
    </row>
    <row r="992" spans="1:9" x14ac:dyDescent="0.15">
      <c r="A992" s="9">
        <v>991</v>
      </c>
      <c r="B992" s="10" t="s">
        <v>9</v>
      </c>
      <c r="C992" s="10" t="s">
        <v>170</v>
      </c>
      <c r="D992" s="10" t="s">
        <v>171</v>
      </c>
      <c r="E992" s="11" t="str">
        <f>+HYPERLINK("http://trademark.i-assist.jp/data/china/image_1900th/78727693.pdf", "78727693")</f>
        <v>78727693</v>
      </c>
      <c r="F992" s="10" t="s">
        <v>2900</v>
      </c>
      <c r="G992" s="10" t="s">
        <v>2901</v>
      </c>
      <c r="H992" s="10" t="s">
        <v>2902</v>
      </c>
      <c r="I992" s="10" t="s">
        <v>2768</v>
      </c>
    </row>
    <row r="993" spans="1:9" x14ac:dyDescent="0.15">
      <c r="A993" s="9">
        <v>992</v>
      </c>
      <c r="B993" s="10" t="s">
        <v>9</v>
      </c>
      <c r="C993" s="10" t="s">
        <v>170</v>
      </c>
      <c r="D993" s="10" t="s">
        <v>171</v>
      </c>
      <c r="E993" s="11" t="str">
        <f>+HYPERLINK("http://trademark.i-assist.jp/data/china/image_1900th/78727817.pdf", "78727817")</f>
        <v>78727817</v>
      </c>
      <c r="F993" s="10" t="s">
        <v>2903</v>
      </c>
      <c r="G993" s="10" t="s">
        <v>156</v>
      </c>
      <c r="H993" s="10" t="s">
        <v>2904</v>
      </c>
      <c r="I993" s="10" t="s">
        <v>2768</v>
      </c>
    </row>
    <row r="994" spans="1:9" x14ac:dyDescent="0.15">
      <c r="A994" s="9">
        <v>993</v>
      </c>
      <c r="B994" s="10" t="s">
        <v>9</v>
      </c>
      <c r="C994" s="10" t="s">
        <v>170</v>
      </c>
      <c r="D994" s="10" t="s">
        <v>171</v>
      </c>
      <c r="E994" s="11" t="str">
        <f>+HYPERLINK("http://trademark.i-assist.jp/data/china/image_1900th/78728501.pdf", "78728501")</f>
        <v>78728501</v>
      </c>
      <c r="F994" s="10" t="s">
        <v>2905</v>
      </c>
      <c r="G994" s="10" t="s">
        <v>2906</v>
      </c>
      <c r="H994" s="10" t="s">
        <v>2907</v>
      </c>
      <c r="I994" s="10" t="s">
        <v>2768</v>
      </c>
    </row>
    <row r="995" spans="1:9" x14ac:dyDescent="0.15">
      <c r="A995" s="9">
        <v>994</v>
      </c>
      <c r="B995" s="10" t="s">
        <v>9</v>
      </c>
      <c r="C995" s="10" t="s">
        <v>170</v>
      </c>
      <c r="D995" s="10" t="s">
        <v>171</v>
      </c>
      <c r="E995" s="11" t="str">
        <f>+HYPERLINK("http://trademark.i-assist.jp/data/china/image_1900th/78728532.pdf", "78728532")</f>
        <v>78728532</v>
      </c>
      <c r="F995" s="10" t="s">
        <v>15</v>
      </c>
      <c r="G995" s="10" t="s">
        <v>2790</v>
      </c>
      <c r="H995" s="10" t="s">
        <v>2908</v>
      </c>
      <c r="I995" s="10" t="s">
        <v>2768</v>
      </c>
    </row>
    <row r="996" spans="1:9" x14ac:dyDescent="0.15">
      <c r="A996" s="9">
        <v>995</v>
      </c>
      <c r="B996" s="10" t="s">
        <v>9</v>
      </c>
      <c r="C996" s="10" t="s">
        <v>170</v>
      </c>
      <c r="D996" s="10" t="s">
        <v>171</v>
      </c>
      <c r="E996" s="11" t="str">
        <f>+HYPERLINK("http://trademark.i-assist.jp/data/china/image_1900th/78728766.pdf", "78728766")</f>
        <v>78728766</v>
      </c>
      <c r="F996" s="10" t="s">
        <v>2909</v>
      </c>
      <c r="G996" s="10" t="s">
        <v>2910</v>
      </c>
      <c r="H996" s="10" t="s">
        <v>2911</v>
      </c>
      <c r="I996" s="10" t="s">
        <v>2768</v>
      </c>
    </row>
    <row r="997" spans="1:9" x14ac:dyDescent="0.15">
      <c r="A997" s="9">
        <v>996</v>
      </c>
      <c r="B997" s="10" t="s">
        <v>9</v>
      </c>
      <c r="C997" s="10" t="s">
        <v>170</v>
      </c>
      <c r="D997" s="10" t="s">
        <v>171</v>
      </c>
      <c r="E997" s="11" t="str">
        <f>+HYPERLINK("http://trademark.i-assist.jp/data/china/image_1900th/78728775.pdf", "78728775")</f>
        <v>78728775</v>
      </c>
      <c r="F997" s="10" t="s">
        <v>15</v>
      </c>
      <c r="G997" s="10" t="s">
        <v>2912</v>
      </c>
      <c r="H997" s="10" t="s">
        <v>2913</v>
      </c>
      <c r="I997" s="10" t="s">
        <v>2768</v>
      </c>
    </row>
    <row r="998" spans="1:9" x14ac:dyDescent="0.15">
      <c r="A998" s="9">
        <v>997</v>
      </c>
      <c r="B998" s="10" t="s">
        <v>9</v>
      </c>
      <c r="C998" s="10" t="s">
        <v>170</v>
      </c>
      <c r="D998" s="10" t="s">
        <v>171</v>
      </c>
      <c r="E998" s="11" t="str">
        <f>+HYPERLINK("http://trademark.i-assist.jp/data/china/image_1900th/78729076.pdf", "78729076")</f>
        <v>78729076</v>
      </c>
      <c r="F998" s="10" t="s">
        <v>2914</v>
      </c>
      <c r="G998" s="10" t="s">
        <v>2915</v>
      </c>
      <c r="H998" s="10" t="s">
        <v>2916</v>
      </c>
      <c r="I998" s="10" t="s">
        <v>2768</v>
      </c>
    </row>
    <row r="999" spans="1:9" x14ac:dyDescent="0.15">
      <c r="A999" s="9">
        <v>998</v>
      </c>
      <c r="B999" s="10" t="s">
        <v>9</v>
      </c>
      <c r="C999" s="10" t="s">
        <v>170</v>
      </c>
      <c r="D999" s="10" t="s">
        <v>171</v>
      </c>
      <c r="E999" s="11" t="str">
        <f>+HYPERLINK("http://trademark.i-assist.jp/data/china/image_1900th/78729107.pdf", "78729107")</f>
        <v>78729107</v>
      </c>
      <c r="F999" s="10" t="s">
        <v>2917</v>
      </c>
      <c r="G999" s="10" t="s">
        <v>2918</v>
      </c>
      <c r="H999" s="10" t="s">
        <v>2919</v>
      </c>
      <c r="I999" s="10" t="s">
        <v>2768</v>
      </c>
    </row>
    <row r="1000" spans="1:9" x14ac:dyDescent="0.15">
      <c r="A1000" s="9">
        <v>999</v>
      </c>
      <c r="B1000" s="10" t="s">
        <v>9</v>
      </c>
      <c r="C1000" s="10" t="s">
        <v>170</v>
      </c>
      <c r="D1000" s="10" t="s">
        <v>171</v>
      </c>
      <c r="E1000" s="11" t="str">
        <f>+HYPERLINK("http://trademark.i-assist.jp/data/china/image_1900th/78729409.pdf", "78729409")</f>
        <v>78729409</v>
      </c>
      <c r="F1000" s="10" t="s">
        <v>2920</v>
      </c>
      <c r="G1000" s="10" t="s">
        <v>2921</v>
      </c>
      <c r="H1000" s="10" t="s">
        <v>2922</v>
      </c>
      <c r="I1000" s="10" t="s">
        <v>2768</v>
      </c>
    </row>
    <row r="1001" spans="1:9" x14ac:dyDescent="0.15">
      <c r="A1001" s="9">
        <v>1000</v>
      </c>
      <c r="B1001" s="10" t="s">
        <v>9</v>
      </c>
      <c r="C1001" s="10" t="s">
        <v>170</v>
      </c>
      <c r="D1001" s="10" t="s">
        <v>171</v>
      </c>
      <c r="E1001" s="11" t="str">
        <f>+HYPERLINK("http://trademark.i-assist.jp/data/china/image_1900th/78729884.pdf", "78729884")</f>
        <v>78729884</v>
      </c>
      <c r="F1001" s="10" t="s">
        <v>2923</v>
      </c>
      <c r="G1001" s="10" t="s">
        <v>2924</v>
      </c>
      <c r="H1001" s="10" t="s">
        <v>2925</v>
      </c>
      <c r="I1001" s="10" t="s">
        <v>2768</v>
      </c>
    </row>
    <row r="1002" spans="1:9" x14ac:dyDescent="0.15">
      <c r="A1002" s="9">
        <v>1001</v>
      </c>
      <c r="B1002" s="10" t="s">
        <v>9</v>
      </c>
      <c r="C1002" s="10" t="s">
        <v>170</v>
      </c>
      <c r="D1002" s="10" t="s">
        <v>171</v>
      </c>
      <c r="E1002" s="11" t="str">
        <f>+HYPERLINK("http://trademark.i-assist.jp/data/china/image_1900th/78730288.pdf", "78730288")</f>
        <v>78730288</v>
      </c>
      <c r="F1002" s="10" t="s">
        <v>2926</v>
      </c>
      <c r="G1002" s="10" t="s">
        <v>2927</v>
      </c>
      <c r="H1002" s="10" t="s">
        <v>2928</v>
      </c>
      <c r="I1002" s="10" t="s">
        <v>2768</v>
      </c>
    </row>
    <row r="1003" spans="1:9" x14ac:dyDescent="0.15">
      <c r="A1003" s="9">
        <v>1002</v>
      </c>
      <c r="B1003" s="10" t="s">
        <v>9</v>
      </c>
      <c r="C1003" s="10" t="s">
        <v>170</v>
      </c>
      <c r="D1003" s="10" t="s">
        <v>171</v>
      </c>
      <c r="E1003" s="11" t="str">
        <f>+HYPERLINK("http://trademark.i-assist.jp/data/china/image_1900th/78730295.pdf", "78730295")</f>
        <v>78730295</v>
      </c>
      <c r="F1003" s="10" t="s">
        <v>2929</v>
      </c>
      <c r="G1003" s="10" t="s">
        <v>2930</v>
      </c>
      <c r="H1003" s="10" t="s">
        <v>2931</v>
      </c>
      <c r="I1003" s="10" t="s">
        <v>2768</v>
      </c>
    </row>
    <row r="1004" spans="1:9" x14ac:dyDescent="0.15">
      <c r="A1004" s="9">
        <v>1003</v>
      </c>
      <c r="B1004" s="10" t="s">
        <v>9</v>
      </c>
      <c r="C1004" s="10" t="s">
        <v>170</v>
      </c>
      <c r="D1004" s="10" t="s">
        <v>171</v>
      </c>
      <c r="E1004" s="11" t="str">
        <f>+HYPERLINK("http://trademark.i-assist.jp/data/china/image_1900th/78730401.pdf", "78730401")</f>
        <v>78730401</v>
      </c>
      <c r="F1004" s="10" t="s">
        <v>2932</v>
      </c>
      <c r="G1004" s="10" t="s">
        <v>2933</v>
      </c>
      <c r="H1004" s="10" t="s">
        <v>2934</v>
      </c>
      <c r="I1004" s="10" t="s">
        <v>2768</v>
      </c>
    </row>
    <row r="1005" spans="1:9" x14ac:dyDescent="0.15">
      <c r="A1005" s="9">
        <v>1004</v>
      </c>
      <c r="B1005" s="10" t="s">
        <v>9</v>
      </c>
      <c r="C1005" s="10" t="s">
        <v>170</v>
      </c>
      <c r="D1005" s="10" t="s">
        <v>171</v>
      </c>
      <c r="E1005" s="11" t="str">
        <f>+HYPERLINK("http://trademark.i-assist.jp/data/china/image_1900th/78730647.pdf", "78730647")</f>
        <v>78730647</v>
      </c>
      <c r="F1005" s="10" t="s">
        <v>2935</v>
      </c>
      <c r="G1005" s="10" t="s">
        <v>2936</v>
      </c>
      <c r="H1005" s="10" t="s">
        <v>2937</v>
      </c>
      <c r="I1005" s="10" t="s">
        <v>2768</v>
      </c>
    </row>
    <row r="1006" spans="1:9" x14ac:dyDescent="0.15">
      <c r="A1006" s="9">
        <v>1005</v>
      </c>
      <c r="B1006" s="10" t="s">
        <v>9</v>
      </c>
      <c r="C1006" s="10" t="s">
        <v>170</v>
      </c>
      <c r="D1006" s="10" t="s">
        <v>171</v>
      </c>
      <c r="E1006" s="11" t="str">
        <f>+HYPERLINK("http://trademark.i-assist.jp/data/china/image_1900th/78731383.pdf", "78731383")</f>
        <v>78731383</v>
      </c>
      <c r="F1006" s="10" t="s">
        <v>2938</v>
      </c>
      <c r="G1006" s="10" t="s">
        <v>2939</v>
      </c>
      <c r="H1006" s="10" t="s">
        <v>2940</v>
      </c>
      <c r="I1006" s="10" t="s">
        <v>2768</v>
      </c>
    </row>
    <row r="1007" spans="1:9" x14ac:dyDescent="0.15">
      <c r="A1007" s="9">
        <v>1006</v>
      </c>
      <c r="B1007" s="10" t="s">
        <v>9</v>
      </c>
      <c r="C1007" s="10" t="s">
        <v>170</v>
      </c>
      <c r="D1007" s="10" t="s">
        <v>171</v>
      </c>
      <c r="E1007" s="11" t="str">
        <f>+HYPERLINK("http://trademark.i-assist.jp/data/china/image_1900th/78731871.pdf", "78731871")</f>
        <v>78731871</v>
      </c>
      <c r="F1007" s="10" t="s">
        <v>2941</v>
      </c>
      <c r="G1007" s="10" t="s">
        <v>2942</v>
      </c>
      <c r="H1007" s="10" t="s">
        <v>2943</v>
      </c>
      <c r="I1007" s="10" t="s">
        <v>2768</v>
      </c>
    </row>
    <row r="1008" spans="1:9" x14ac:dyDescent="0.15">
      <c r="A1008" s="9">
        <v>1007</v>
      </c>
      <c r="B1008" s="10" t="s">
        <v>9</v>
      </c>
      <c r="C1008" s="10" t="s">
        <v>170</v>
      </c>
      <c r="D1008" s="10" t="s">
        <v>171</v>
      </c>
      <c r="E1008" s="11" t="str">
        <f>+HYPERLINK("http://trademark.i-assist.jp/data/china/image_1900th/78732049.pdf", "78732049")</f>
        <v>78732049</v>
      </c>
      <c r="F1008" s="10" t="s">
        <v>2944</v>
      </c>
      <c r="G1008" s="10" t="s">
        <v>2945</v>
      </c>
      <c r="H1008" s="10" t="s">
        <v>2946</v>
      </c>
      <c r="I1008" s="10" t="s">
        <v>2768</v>
      </c>
    </row>
    <row r="1009" spans="1:9" x14ac:dyDescent="0.15">
      <c r="A1009" s="9">
        <v>1008</v>
      </c>
      <c r="B1009" s="10" t="s">
        <v>9</v>
      </c>
      <c r="C1009" s="10" t="s">
        <v>170</v>
      </c>
      <c r="D1009" s="10" t="s">
        <v>171</v>
      </c>
      <c r="E1009" s="11" t="str">
        <f>+HYPERLINK("http://trademark.i-assist.jp/data/china/image_1900th/78732056.pdf", "78732056")</f>
        <v>78732056</v>
      </c>
      <c r="F1009" s="10" t="s">
        <v>2947</v>
      </c>
      <c r="G1009" s="10" t="s">
        <v>2948</v>
      </c>
      <c r="H1009" s="10" t="s">
        <v>2949</v>
      </c>
      <c r="I1009" s="10" t="s">
        <v>2768</v>
      </c>
    </row>
    <row r="1010" spans="1:9" x14ac:dyDescent="0.15">
      <c r="A1010" s="9">
        <v>1009</v>
      </c>
      <c r="B1010" s="10" t="s">
        <v>9</v>
      </c>
      <c r="C1010" s="10" t="s">
        <v>170</v>
      </c>
      <c r="D1010" s="10" t="s">
        <v>171</v>
      </c>
      <c r="E1010" s="11" t="str">
        <f>+HYPERLINK("http://trademark.i-assist.jp/data/china/image_1900th/78732081.pdf", "78732081")</f>
        <v>78732081</v>
      </c>
      <c r="F1010" s="10" t="s">
        <v>2950</v>
      </c>
      <c r="G1010" s="10" t="s">
        <v>2912</v>
      </c>
      <c r="H1010" s="10" t="s">
        <v>2951</v>
      </c>
      <c r="I1010" s="10" t="s">
        <v>2768</v>
      </c>
    </row>
    <row r="1011" spans="1:9" x14ac:dyDescent="0.15">
      <c r="A1011" s="9">
        <v>1010</v>
      </c>
      <c r="B1011" s="10" t="s">
        <v>9</v>
      </c>
      <c r="C1011" s="10" t="s">
        <v>170</v>
      </c>
      <c r="D1011" s="10" t="s">
        <v>171</v>
      </c>
      <c r="E1011" s="11" t="str">
        <f>+HYPERLINK("http://trademark.i-assist.jp/data/china/image_1900th/78732155.pdf", "78732155")</f>
        <v>78732155</v>
      </c>
      <c r="F1011" s="10" t="s">
        <v>2952</v>
      </c>
      <c r="G1011" s="10" t="s">
        <v>2953</v>
      </c>
      <c r="H1011" s="10" t="s">
        <v>2954</v>
      </c>
      <c r="I1011" s="10" t="s">
        <v>2768</v>
      </c>
    </row>
    <row r="1012" spans="1:9" x14ac:dyDescent="0.15">
      <c r="A1012" s="9">
        <v>1011</v>
      </c>
      <c r="B1012" s="10" t="s">
        <v>9</v>
      </c>
      <c r="C1012" s="10" t="s">
        <v>170</v>
      </c>
      <c r="D1012" s="10" t="s">
        <v>171</v>
      </c>
      <c r="E1012" s="11" t="str">
        <f>+HYPERLINK("http://trademark.i-assist.jp/data/china/image_1900th/78732212.pdf", "78732212")</f>
        <v>78732212</v>
      </c>
      <c r="F1012" s="10" t="s">
        <v>2955</v>
      </c>
      <c r="G1012" s="10" t="s">
        <v>2956</v>
      </c>
      <c r="H1012" s="10" t="s">
        <v>2957</v>
      </c>
      <c r="I1012" s="10" t="s">
        <v>2768</v>
      </c>
    </row>
    <row r="1013" spans="1:9" x14ac:dyDescent="0.15">
      <c r="A1013" s="9">
        <v>1012</v>
      </c>
      <c r="B1013" s="10" t="s">
        <v>9</v>
      </c>
      <c r="C1013" s="10" t="s">
        <v>170</v>
      </c>
      <c r="D1013" s="10" t="s">
        <v>171</v>
      </c>
      <c r="E1013" s="11" t="str">
        <f>+HYPERLINK("http://trademark.i-assist.jp/data/china/image_1900th/78732360.pdf", "78732360")</f>
        <v>78732360</v>
      </c>
      <c r="F1013" s="10" t="s">
        <v>2958</v>
      </c>
      <c r="G1013" s="10" t="s">
        <v>2959</v>
      </c>
      <c r="H1013" s="10" t="s">
        <v>2960</v>
      </c>
      <c r="I1013" s="10" t="s">
        <v>2768</v>
      </c>
    </row>
    <row r="1014" spans="1:9" x14ac:dyDescent="0.15">
      <c r="A1014" s="9">
        <v>1013</v>
      </c>
      <c r="B1014" s="10" t="s">
        <v>9</v>
      </c>
      <c r="C1014" s="10" t="s">
        <v>170</v>
      </c>
      <c r="D1014" s="10" t="s">
        <v>171</v>
      </c>
      <c r="E1014" s="11" t="str">
        <f>+HYPERLINK("http://trademark.i-assist.jp/data/china/image_1900th/78732803.pdf", "78732803")</f>
        <v>78732803</v>
      </c>
      <c r="F1014" s="10" t="s">
        <v>2961</v>
      </c>
      <c r="G1014" s="10" t="s">
        <v>120</v>
      </c>
      <c r="H1014" s="10" t="s">
        <v>2962</v>
      </c>
      <c r="I1014" s="10" t="s">
        <v>2768</v>
      </c>
    </row>
    <row r="1015" spans="1:9" x14ac:dyDescent="0.15">
      <c r="A1015" s="9">
        <v>1014</v>
      </c>
      <c r="B1015" s="10" t="s">
        <v>9</v>
      </c>
      <c r="C1015" s="10" t="s">
        <v>170</v>
      </c>
      <c r="D1015" s="10" t="s">
        <v>171</v>
      </c>
      <c r="E1015" s="11" t="str">
        <f>+HYPERLINK("http://trademark.i-assist.jp/data/china/image_1900th/78733461.pdf", "78733461")</f>
        <v>78733461</v>
      </c>
      <c r="F1015" s="10" t="s">
        <v>2963</v>
      </c>
      <c r="G1015" s="10" t="s">
        <v>2964</v>
      </c>
      <c r="H1015" s="10" t="s">
        <v>2965</v>
      </c>
      <c r="I1015" s="10" t="s">
        <v>2768</v>
      </c>
    </row>
    <row r="1016" spans="1:9" x14ac:dyDescent="0.15">
      <c r="A1016" s="9">
        <v>1015</v>
      </c>
      <c r="B1016" s="10" t="s">
        <v>9</v>
      </c>
      <c r="C1016" s="10" t="s">
        <v>170</v>
      </c>
      <c r="D1016" s="10" t="s">
        <v>171</v>
      </c>
      <c r="E1016" s="11" t="str">
        <f>+HYPERLINK("http://trademark.i-assist.jp/data/china/image_1900th/78733464.pdf", "78733464")</f>
        <v>78733464</v>
      </c>
      <c r="F1016" s="10" t="s">
        <v>2966</v>
      </c>
      <c r="G1016" s="10" t="s">
        <v>2967</v>
      </c>
      <c r="H1016" s="10" t="s">
        <v>2968</v>
      </c>
      <c r="I1016" s="10" t="s">
        <v>2768</v>
      </c>
    </row>
    <row r="1017" spans="1:9" x14ac:dyDescent="0.15">
      <c r="A1017" s="9">
        <v>1016</v>
      </c>
      <c r="B1017" s="10" t="s">
        <v>9</v>
      </c>
      <c r="C1017" s="10" t="s">
        <v>170</v>
      </c>
      <c r="D1017" s="10" t="s">
        <v>171</v>
      </c>
      <c r="E1017" s="11" t="str">
        <f>+HYPERLINK("http://trademark.i-assist.jp/data/china/image_1900th/78733667.pdf", "78733667")</f>
        <v>78733667</v>
      </c>
      <c r="F1017" s="10" t="s">
        <v>2969</v>
      </c>
      <c r="G1017" s="10" t="s">
        <v>2970</v>
      </c>
      <c r="H1017" s="10" t="s">
        <v>2971</v>
      </c>
      <c r="I1017" s="10" t="s">
        <v>2768</v>
      </c>
    </row>
    <row r="1018" spans="1:9" x14ac:dyDescent="0.15">
      <c r="A1018" s="9">
        <v>1017</v>
      </c>
      <c r="B1018" s="10" t="s">
        <v>9</v>
      </c>
      <c r="C1018" s="10" t="s">
        <v>170</v>
      </c>
      <c r="D1018" s="10" t="s">
        <v>171</v>
      </c>
      <c r="E1018" s="11" t="str">
        <f>+HYPERLINK("http://trademark.i-assist.jp/data/china/image_1900th/78733808.pdf", "78733808")</f>
        <v>78733808</v>
      </c>
      <c r="F1018" s="10" t="s">
        <v>2972</v>
      </c>
      <c r="G1018" s="10" t="s">
        <v>2973</v>
      </c>
      <c r="H1018" s="10" t="s">
        <v>2974</v>
      </c>
      <c r="I1018" s="10" t="s">
        <v>2768</v>
      </c>
    </row>
    <row r="1019" spans="1:9" x14ac:dyDescent="0.15">
      <c r="A1019" s="9">
        <v>1018</v>
      </c>
      <c r="B1019" s="10" t="s">
        <v>9</v>
      </c>
      <c r="C1019" s="10" t="s">
        <v>170</v>
      </c>
      <c r="D1019" s="10" t="s">
        <v>171</v>
      </c>
      <c r="E1019" s="11" t="str">
        <f>+HYPERLINK("http://trademark.i-assist.jp/data/china/image_1900th/78734123.pdf", "78734123")</f>
        <v>78734123</v>
      </c>
      <c r="F1019" s="10" t="s">
        <v>2975</v>
      </c>
      <c r="G1019" s="10" t="s">
        <v>2976</v>
      </c>
      <c r="H1019" s="10" t="s">
        <v>2977</v>
      </c>
      <c r="I1019" s="10" t="s">
        <v>2768</v>
      </c>
    </row>
    <row r="1020" spans="1:9" x14ac:dyDescent="0.15">
      <c r="A1020" s="9">
        <v>1019</v>
      </c>
      <c r="B1020" s="10" t="s">
        <v>9</v>
      </c>
      <c r="C1020" s="10" t="s">
        <v>170</v>
      </c>
      <c r="D1020" s="10" t="s">
        <v>171</v>
      </c>
      <c r="E1020" s="11" t="str">
        <f>+HYPERLINK("http://trademark.i-assist.jp/data/china/image_1900th/78734159.pdf", "78734159")</f>
        <v>78734159</v>
      </c>
      <c r="F1020" s="10" t="s">
        <v>2978</v>
      </c>
      <c r="G1020" s="10" t="s">
        <v>2979</v>
      </c>
      <c r="H1020" s="10" t="s">
        <v>2980</v>
      </c>
      <c r="I1020" s="10" t="s">
        <v>2768</v>
      </c>
    </row>
    <row r="1021" spans="1:9" x14ac:dyDescent="0.15">
      <c r="A1021" s="9">
        <v>1020</v>
      </c>
      <c r="B1021" s="10" t="s">
        <v>9</v>
      </c>
      <c r="C1021" s="10" t="s">
        <v>170</v>
      </c>
      <c r="D1021" s="10" t="s">
        <v>171</v>
      </c>
      <c r="E1021" s="11" t="str">
        <f>+HYPERLINK("http://trademark.i-assist.jp/data/china/image_1900th/78734305.pdf", "78734305")</f>
        <v>78734305</v>
      </c>
      <c r="F1021" s="10" t="s">
        <v>2981</v>
      </c>
      <c r="G1021" s="10" t="s">
        <v>104</v>
      </c>
      <c r="H1021" s="10" t="s">
        <v>2982</v>
      </c>
      <c r="I1021" s="10" t="s">
        <v>2768</v>
      </c>
    </row>
    <row r="1022" spans="1:9" x14ac:dyDescent="0.15">
      <c r="A1022" s="9">
        <v>1021</v>
      </c>
      <c r="B1022" s="10" t="s">
        <v>9</v>
      </c>
      <c r="C1022" s="10" t="s">
        <v>170</v>
      </c>
      <c r="D1022" s="10" t="s">
        <v>171</v>
      </c>
      <c r="E1022" s="11" t="str">
        <f>+HYPERLINK("http://trademark.i-assist.jp/data/china/image_1900th/78734401.pdf", "78734401")</f>
        <v>78734401</v>
      </c>
      <c r="F1022" s="10" t="s">
        <v>2983</v>
      </c>
      <c r="G1022" s="10" t="s">
        <v>2984</v>
      </c>
      <c r="H1022" s="10" t="s">
        <v>2985</v>
      </c>
      <c r="I1022" s="10" t="s">
        <v>2768</v>
      </c>
    </row>
    <row r="1023" spans="1:9" x14ac:dyDescent="0.15">
      <c r="A1023" s="9">
        <v>1022</v>
      </c>
      <c r="B1023" s="10" t="s">
        <v>9</v>
      </c>
      <c r="C1023" s="10" t="s">
        <v>170</v>
      </c>
      <c r="D1023" s="10" t="s">
        <v>171</v>
      </c>
      <c r="E1023" s="11" t="str">
        <f>+HYPERLINK("http://trademark.i-assist.jp/data/china/image_1900th/78734710.pdf", "78734710")</f>
        <v>78734710</v>
      </c>
      <c r="F1023" s="10" t="s">
        <v>2986</v>
      </c>
      <c r="G1023" s="10" t="s">
        <v>2987</v>
      </c>
      <c r="H1023" s="10" t="s">
        <v>2988</v>
      </c>
      <c r="I1023" s="10" t="s">
        <v>2768</v>
      </c>
    </row>
    <row r="1024" spans="1:9" x14ac:dyDescent="0.15">
      <c r="A1024" s="9">
        <v>1023</v>
      </c>
      <c r="B1024" s="10" t="s">
        <v>9</v>
      </c>
      <c r="C1024" s="10" t="s">
        <v>170</v>
      </c>
      <c r="D1024" s="10" t="s">
        <v>171</v>
      </c>
      <c r="E1024" s="11" t="str">
        <f>+HYPERLINK("http://trademark.i-assist.jp/data/china/image_1900th/78734962.pdf", "78734962")</f>
        <v>78734962</v>
      </c>
      <c r="F1024" s="10" t="s">
        <v>2989</v>
      </c>
      <c r="G1024" s="10" t="s">
        <v>2779</v>
      </c>
      <c r="H1024" s="10" t="s">
        <v>2990</v>
      </c>
      <c r="I1024" s="10" t="s">
        <v>2768</v>
      </c>
    </row>
    <row r="1025" spans="1:9" x14ac:dyDescent="0.15">
      <c r="A1025" s="9">
        <v>1024</v>
      </c>
      <c r="B1025" s="10" t="s">
        <v>9</v>
      </c>
      <c r="C1025" s="10" t="s">
        <v>170</v>
      </c>
      <c r="D1025" s="10" t="s">
        <v>171</v>
      </c>
      <c r="E1025" s="11" t="str">
        <f>+HYPERLINK("http://trademark.i-assist.jp/data/china/image_1900th/78735259.pdf", "78735259")</f>
        <v>78735259</v>
      </c>
      <c r="F1025" s="10" t="s">
        <v>2991</v>
      </c>
      <c r="G1025" s="10" t="s">
        <v>2992</v>
      </c>
      <c r="H1025" s="10" t="s">
        <v>2993</v>
      </c>
      <c r="I1025" s="10" t="s">
        <v>2768</v>
      </c>
    </row>
    <row r="1026" spans="1:9" x14ac:dyDescent="0.15">
      <c r="A1026" s="9">
        <v>1025</v>
      </c>
      <c r="B1026" s="10" t="s">
        <v>9</v>
      </c>
      <c r="C1026" s="10" t="s">
        <v>170</v>
      </c>
      <c r="D1026" s="10" t="s">
        <v>171</v>
      </c>
      <c r="E1026" s="11" t="str">
        <f>+HYPERLINK("http://trademark.i-assist.jp/data/china/image_1900th/78735440.pdf", "78735440")</f>
        <v>78735440</v>
      </c>
      <c r="F1026" s="10" t="s">
        <v>2994</v>
      </c>
      <c r="G1026" s="10" t="s">
        <v>2995</v>
      </c>
      <c r="H1026" s="10" t="s">
        <v>2996</v>
      </c>
      <c r="I1026" s="10" t="s">
        <v>2768</v>
      </c>
    </row>
    <row r="1027" spans="1:9" x14ac:dyDescent="0.15">
      <c r="A1027" s="9">
        <v>1026</v>
      </c>
      <c r="B1027" s="10" t="s">
        <v>9</v>
      </c>
      <c r="C1027" s="10" t="s">
        <v>170</v>
      </c>
      <c r="D1027" s="10" t="s">
        <v>171</v>
      </c>
      <c r="E1027" s="11" t="str">
        <f>+HYPERLINK("http://trademark.i-assist.jp/data/china/image_1900th/78735724.pdf", "78735724")</f>
        <v>78735724</v>
      </c>
      <c r="F1027" s="10" t="s">
        <v>2997</v>
      </c>
      <c r="G1027" s="10" t="s">
        <v>2998</v>
      </c>
      <c r="H1027" s="10" t="s">
        <v>2999</v>
      </c>
      <c r="I1027" s="10" t="s">
        <v>2768</v>
      </c>
    </row>
    <row r="1028" spans="1:9" x14ac:dyDescent="0.15">
      <c r="A1028" s="9">
        <v>1027</v>
      </c>
      <c r="B1028" s="10" t="s">
        <v>9</v>
      </c>
      <c r="C1028" s="10" t="s">
        <v>170</v>
      </c>
      <c r="D1028" s="10" t="s">
        <v>171</v>
      </c>
      <c r="E1028" s="11" t="str">
        <f>+HYPERLINK("http://trademark.i-assist.jp/data/china/image_1900th/78735742.pdf", "78735742")</f>
        <v>78735742</v>
      </c>
      <c r="F1028" s="10" t="s">
        <v>3000</v>
      </c>
      <c r="G1028" s="10" t="s">
        <v>3001</v>
      </c>
      <c r="H1028" s="10" t="s">
        <v>3002</v>
      </c>
      <c r="I1028" s="10" t="s">
        <v>2768</v>
      </c>
    </row>
    <row r="1029" spans="1:9" x14ac:dyDescent="0.15">
      <c r="A1029" s="9">
        <v>1028</v>
      </c>
      <c r="B1029" s="10" t="s">
        <v>9</v>
      </c>
      <c r="C1029" s="10" t="s">
        <v>170</v>
      </c>
      <c r="D1029" s="10" t="s">
        <v>171</v>
      </c>
      <c r="E1029" s="11" t="str">
        <f>+HYPERLINK("http://trademark.i-assist.jp/data/china/image_1900th/78736300.pdf", "78736300")</f>
        <v>78736300</v>
      </c>
      <c r="F1029" s="10" t="s">
        <v>3003</v>
      </c>
      <c r="G1029" s="10" t="s">
        <v>3004</v>
      </c>
      <c r="H1029" s="10" t="s">
        <v>3005</v>
      </c>
      <c r="I1029" s="10" t="s">
        <v>2768</v>
      </c>
    </row>
    <row r="1030" spans="1:9" x14ac:dyDescent="0.15">
      <c r="A1030" s="9">
        <v>1029</v>
      </c>
      <c r="B1030" s="10" t="s">
        <v>9</v>
      </c>
      <c r="C1030" s="10" t="s">
        <v>170</v>
      </c>
      <c r="D1030" s="10" t="s">
        <v>171</v>
      </c>
      <c r="E1030" s="11" t="str">
        <f>+HYPERLINK("http://trademark.i-assist.jp/data/china/image_1900th/78736339.pdf", "78736339")</f>
        <v>78736339</v>
      </c>
      <c r="F1030" s="10" t="s">
        <v>3006</v>
      </c>
      <c r="G1030" s="10" t="s">
        <v>1505</v>
      </c>
      <c r="H1030" s="10" t="s">
        <v>3007</v>
      </c>
      <c r="I1030" s="10" t="s">
        <v>2768</v>
      </c>
    </row>
    <row r="1031" spans="1:9" x14ac:dyDescent="0.15">
      <c r="A1031" s="9">
        <v>1030</v>
      </c>
      <c r="B1031" s="10" t="s">
        <v>9</v>
      </c>
      <c r="C1031" s="10" t="s">
        <v>170</v>
      </c>
      <c r="D1031" s="10" t="s">
        <v>171</v>
      </c>
      <c r="E1031" s="11" t="str">
        <f>+HYPERLINK("http://trademark.i-assist.jp/data/china/image_1900th/78736811.pdf", "78736811")</f>
        <v>78736811</v>
      </c>
      <c r="F1031" s="10" t="s">
        <v>3008</v>
      </c>
      <c r="G1031" s="10" t="s">
        <v>3009</v>
      </c>
      <c r="H1031" s="10" t="s">
        <v>3010</v>
      </c>
      <c r="I1031" s="10" t="s">
        <v>2768</v>
      </c>
    </row>
    <row r="1032" spans="1:9" x14ac:dyDescent="0.15">
      <c r="A1032" s="9">
        <v>1031</v>
      </c>
      <c r="B1032" s="10" t="s">
        <v>9</v>
      </c>
      <c r="C1032" s="10" t="s">
        <v>170</v>
      </c>
      <c r="D1032" s="10" t="s">
        <v>171</v>
      </c>
      <c r="E1032" s="11" t="str">
        <f>+HYPERLINK("http://trademark.i-assist.jp/data/china/image_1900th/78736951.pdf", "78736951")</f>
        <v>78736951</v>
      </c>
      <c r="F1032" s="10" t="s">
        <v>3011</v>
      </c>
      <c r="G1032" s="10" t="s">
        <v>3012</v>
      </c>
      <c r="H1032" s="10" t="s">
        <v>3013</v>
      </c>
      <c r="I1032" s="10" t="s">
        <v>2768</v>
      </c>
    </row>
    <row r="1033" spans="1:9" x14ac:dyDescent="0.15">
      <c r="A1033" s="9">
        <v>1032</v>
      </c>
      <c r="B1033" s="10" t="s">
        <v>9</v>
      </c>
      <c r="C1033" s="10" t="s">
        <v>170</v>
      </c>
      <c r="D1033" s="10" t="s">
        <v>171</v>
      </c>
      <c r="E1033" s="11" t="str">
        <f>+HYPERLINK("http://trademark.i-assist.jp/data/china/image_1900th/78737168.pdf", "78737168")</f>
        <v>78737168</v>
      </c>
      <c r="F1033" s="10" t="s">
        <v>3014</v>
      </c>
      <c r="G1033" s="10" t="s">
        <v>3015</v>
      </c>
      <c r="H1033" s="10" t="s">
        <v>3016</v>
      </c>
      <c r="I1033" s="10" t="s">
        <v>2768</v>
      </c>
    </row>
    <row r="1034" spans="1:9" x14ac:dyDescent="0.15">
      <c r="A1034" s="9">
        <v>1033</v>
      </c>
      <c r="B1034" s="10" t="s">
        <v>9</v>
      </c>
      <c r="C1034" s="10" t="s">
        <v>170</v>
      </c>
      <c r="D1034" s="10" t="s">
        <v>171</v>
      </c>
      <c r="E1034" s="11" t="str">
        <f>+HYPERLINK("http://trademark.i-assist.jp/data/china/image_1900th/78737788.pdf", "78737788")</f>
        <v>78737788</v>
      </c>
      <c r="F1034" s="10" t="s">
        <v>3017</v>
      </c>
      <c r="G1034" s="10" t="s">
        <v>3018</v>
      </c>
      <c r="H1034" s="10" t="s">
        <v>3019</v>
      </c>
      <c r="I1034" s="10" t="s">
        <v>2768</v>
      </c>
    </row>
    <row r="1035" spans="1:9" x14ac:dyDescent="0.15">
      <c r="A1035" s="9">
        <v>1034</v>
      </c>
      <c r="B1035" s="10" t="s">
        <v>9</v>
      </c>
      <c r="C1035" s="10" t="s">
        <v>170</v>
      </c>
      <c r="D1035" s="10" t="s">
        <v>171</v>
      </c>
      <c r="E1035" s="11" t="str">
        <f>+HYPERLINK("http://trademark.i-assist.jp/data/china/image_1900th/78738450.pdf", "78738450")</f>
        <v>78738450</v>
      </c>
      <c r="F1035" s="10" t="s">
        <v>3020</v>
      </c>
      <c r="G1035" s="10" t="s">
        <v>3021</v>
      </c>
      <c r="H1035" s="10" t="s">
        <v>3022</v>
      </c>
      <c r="I1035" s="10" t="s">
        <v>2768</v>
      </c>
    </row>
    <row r="1036" spans="1:9" x14ac:dyDescent="0.15">
      <c r="A1036" s="9">
        <v>1035</v>
      </c>
      <c r="B1036" s="10" t="s">
        <v>9</v>
      </c>
      <c r="C1036" s="10" t="s">
        <v>170</v>
      </c>
      <c r="D1036" s="10" t="s">
        <v>171</v>
      </c>
      <c r="E1036" s="11" t="str">
        <f>+HYPERLINK("http://trademark.i-assist.jp/data/china/image_1900th/78738953.pdf", "78738953")</f>
        <v>78738953</v>
      </c>
      <c r="F1036" s="10" t="s">
        <v>3023</v>
      </c>
      <c r="G1036" s="10" t="s">
        <v>3024</v>
      </c>
      <c r="H1036" s="10" t="s">
        <v>3025</v>
      </c>
      <c r="I1036" s="10" t="s">
        <v>2768</v>
      </c>
    </row>
    <row r="1037" spans="1:9" x14ac:dyDescent="0.15">
      <c r="A1037" s="9">
        <v>1036</v>
      </c>
      <c r="B1037" s="10" t="s">
        <v>9</v>
      </c>
      <c r="C1037" s="10" t="s">
        <v>170</v>
      </c>
      <c r="D1037" s="10" t="s">
        <v>171</v>
      </c>
      <c r="E1037" s="11" t="str">
        <f>+HYPERLINK("http://trademark.i-assist.jp/data/china/image_1900th/78739559.pdf", "78739559")</f>
        <v>78739559</v>
      </c>
      <c r="F1037" s="10" t="s">
        <v>3026</v>
      </c>
      <c r="G1037" s="10" t="s">
        <v>3027</v>
      </c>
      <c r="H1037" s="10" t="s">
        <v>3028</v>
      </c>
      <c r="I1037" s="10" t="s">
        <v>2768</v>
      </c>
    </row>
    <row r="1038" spans="1:9" x14ac:dyDescent="0.15">
      <c r="A1038" s="9">
        <v>1037</v>
      </c>
      <c r="B1038" s="10" t="s">
        <v>9</v>
      </c>
      <c r="C1038" s="10" t="s">
        <v>170</v>
      </c>
      <c r="D1038" s="10" t="s">
        <v>171</v>
      </c>
      <c r="E1038" s="11" t="str">
        <f>+HYPERLINK("http://trademark.i-assist.jp/data/china/image_1900th/78740747.pdf", "78740747")</f>
        <v>78740747</v>
      </c>
      <c r="F1038" s="10" t="s">
        <v>3029</v>
      </c>
      <c r="G1038" s="10" t="s">
        <v>2992</v>
      </c>
      <c r="H1038" s="10" t="s">
        <v>3030</v>
      </c>
      <c r="I1038" s="10" t="s">
        <v>2768</v>
      </c>
    </row>
    <row r="1039" spans="1:9" x14ac:dyDescent="0.15">
      <c r="A1039" s="9">
        <v>1038</v>
      </c>
      <c r="B1039" s="10" t="s">
        <v>9</v>
      </c>
      <c r="C1039" s="10" t="s">
        <v>170</v>
      </c>
      <c r="D1039" s="10" t="s">
        <v>171</v>
      </c>
      <c r="E1039" s="11" t="str">
        <f>+HYPERLINK("http://trademark.i-assist.jp/data/china/image_1900th/78740788.pdf", "78740788")</f>
        <v>78740788</v>
      </c>
      <c r="F1039" s="10" t="s">
        <v>3031</v>
      </c>
      <c r="G1039" s="10" t="s">
        <v>3032</v>
      </c>
      <c r="H1039" s="10" t="s">
        <v>3033</v>
      </c>
      <c r="I1039" s="10" t="s">
        <v>2768</v>
      </c>
    </row>
    <row r="1040" spans="1:9" x14ac:dyDescent="0.15">
      <c r="A1040" s="9">
        <v>1039</v>
      </c>
      <c r="B1040" s="10" t="s">
        <v>9</v>
      </c>
      <c r="C1040" s="10" t="s">
        <v>170</v>
      </c>
      <c r="D1040" s="10" t="s">
        <v>171</v>
      </c>
      <c r="E1040" s="11" t="str">
        <f>+HYPERLINK("http://trademark.i-assist.jp/data/china/image_1900th/78741033.pdf", "78741033")</f>
        <v>78741033</v>
      </c>
      <c r="F1040" s="10" t="s">
        <v>3034</v>
      </c>
      <c r="G1040" s="10" t="s">
        <v>3027</v>
      </c>
      <c r="H1040" s="10" t="s">
        <v>3035</v>
      </c>
      <c r="I1040" s="10" t="s">
        <v>2768</v>
      </c>
    </row>
    <row r="1041" spans="1:9" x14ac:dyDescent="0.15">
      <c r="A1041" s="9">
        <v>1040</v>
      </c>
      <c r="B1041" s="10" t="s">
        <v>9</v>
      </c>
      <c r="C1041" s="10" t="s">
        <v>170</v>
      </c>
      <c r="D1041" s="10" t="s">
        <v>171</v>
      </c>
      <c r="E1041" s="11" t="str">
        <f>+HYPERLINK("http://trademark.i-assist.jp/data/china/image_1900th/78741078.pdf", "78741078")</f>
        <v>78741078</v>
      </c>
      <c r="F1041" s="10" t="s">
        <v>3036</v>
      </c>
      <c r="G1041" s="10" t="s">
        <v>3037</v>
      </c>
      <c r="H1041" s="10" t="s">
        <v>3038</v>
      </c>
      <c r="I1041" s="10" t="s">
        <v>2768</v>
      </c>
    </row>
    <row r="1042" spans="1:9" x14ac:dyDescent="0.15">
      <c r="A1042" s="9">
        <v>1041</v>
      </c>
      <c r="B1042" s="10" t="s">
        <v>9</v>
      </c>
      <c r="C1042" s="10" t="s">
        <v>170</v>
      </c>
      <c r="D1042" s="10" t="s">
        <v>171</v>
      </c>
      <c r="E1042" s="11" t="str">
        <f>+HYPERLINK("http://trademark.i-assist.jp/data/china/image_1900th/78741139.pdf", "78741139")</f>
        <v>78741139</v>
      </c>
      <c r="F1042" s="10" t="s">
        <v>3039</v>
      </c>
      <c r="G1042" s="10" t="s">
        <v>3040</v>
      </c>
      <c r="H1042" s="10" t="s">
        <v>3041</v>
      </c>
      <c r="I1042" s="10" t="s">
        <v>2768</v>
      </c>
    </row>
    <row r="1043" spans="1:9" x14ac:dyDescent="0.15">
      <c r="A1043" s="9">
        <v>1042</v>
      </c>
      <c r="B1043" s="10" t="s">
        <v>9</v>
      </c>
      <c r="C1043" s="10" t="s">
        <v>170</v>
      </c>
      <c r="D1043" s="10" t="s">
        <v>171</v>
      </c>
      <c r="E1043" s="11" t="str">
        <f>+HYPERLINK("http://trademark.i-assist.jp/data/china/image_1900th/78741222.pdf", "78741222")</f>
        <v>78741222</v>
      </c>
      <c r="F1043" s="10" t="s">
        <v>3042</v>
      </c>
      <c r="G1043" s="10" t="s">
        <v>3043</v>
      </c>
      <c r="H1043" s="10" t="s">
        <v>3044</v>
      </c>
      <c r="I1043" s="10" t="s">
        <v>2768</v>
      </c>
    </row>
    <row r="1044" spans="1:9" x14ac:dyDescent="0.15">
      <c r="A1044" s="9">
        <v>1043</v>
      </c>
      <c r="B1044" s="10" t="s">
        <v>9</v>
      </c>
      <c r="C1044" s="10" t="s">
        <v>170</v>
      </c>
      <c r="D1044" s="10" t="s">
        <v>171</v>
      </c>
      <c r="E1044" s="11" t="str">
        <f>+HYPERLINK("http://trademark.i-assist.jp/data/china/image_1900th/78741972.pdf", "78741972")</f>
        <v>78741972</v>
      </c>
      <c r="F1044" s="10" t="s">
        <v>3045</v>
      </c>
      <c r="G1044" s="10" t="s">
        <v>3046</v>
      </c>
      <c r="H1044" s="10" t="s">
        <v>3047</v>
      </c>
      <c r="I1044" s="10" t="s">
        <v>2768</v>
      </c>
    </row>
    <row r="1045" spans="1:9" x14ac:dyDescent="0.15">
      <c r="A1045" s="9">
        <v>1044</v>
      </c>
      <c r="B1045" s="10" t="s">
        <v>9</v>
      </c>
      <c r="C1045" s="10" t="s">
        <v>170</v>
      </c>
      <c r="D1045" s="10" t="s">
        <v>171</v>
      </c>
      <c r="E1045" s="11" t="str">
        <f>+HYPERLINK("http://trademark.i-assist.jp/data/china/image_1900th/78742369.pdf", "78742369")</f>
        <v>78742369</v>
      </c>
      <c r="F1045" s="10" t="s">
        <v>3048</v>
      </c>
      <c r="G1045" s="10" t="s">
        <v>3049</v>
      </c>
      <c r="H1045" s="10" t="s">
        <v>3050</v>
      </c>
      <c r="I1045" s="10" t="s">
        <v>2768</v>
      </c>
    </row>
    <row r="1046" spans="1:9" x14ac:dyDescent="0.15">
      <c r="A1046" s="9">
        <v>1045</v>
      </c>
      <c r="B1046" s="10" t="s">
        <v>9</v>
      </c>
      <c r="C1046" s="10" t="s">
        <v>170</v>
      </c>
      <c r="D1046" s="10" t="s">
        <v>171</v>
      </c>
      <c r="E1046" s="11" t="str">
        <f>+HYPERLINK("http://trademark.i-assist.jp/data/china/image_1900th/78742565.pdf", "78742565")</f>
        <v>78742565</v>
      </c>
      <c r="F1046" s="10" t="s">
        <v>3051</v>
      </c>
      <c r="G1046" s="10" t="s">
        <v>3052</v>
      </c>
      <c r="H1046" s="10" t="s">
        <v>3053</v>
      </c>
      <c r="I1046" s="10" t="s">
        <v>2768</v>
      </c>
    </row>
    <row r="1047" spans="1:9" x14ac:dyDescent="0.15">
      <c r="A1047" s="9">
        <v>1046</v>
      </c>
      <c r="B1047" s="10" t="s">
        <v>9</v>
      </c>
      <c r="C1047" s="10" t="s">
        <v>170</v>
      </c>
      <c r="D1047" s="10" t="s">
        <v>171</v>
      </c>
      <c r="E1047" s="11" t="str">
        <f>+HYPERLINK("http://trademark.i-assist.jp/data/china/image_1900th/78742606.pdf", "78742606")</f>
        <v>78742606</v>
      </c>
      <c r="F1047" s="10" t="s">
        <v>3054</v>
      </c>
      <c r="G1047" s="10" t="s">
        <v>2998</v>
      </c>
      <c r="H1047" s="10" t="s">
        <v>3055</v>
      </c>
      <c r="I1047" s="10" t="s">
        <v>2768</v>
      </c>
    </row>
    <row r="1048" spans="1:9" x14ac:dyDescent="0.15">
      <c r="A1048" s="9">
        <v>1047</v>
      </c>
      <c r="B1048" s="10" t="s">
        <v>9</v>
      </c>
      <c r="C1048" s="10" t="s">
        <v>170</v>
      </c>
      <c r="D1048" s="10" t="s">
        <v>171</v>
      </c>
      <c r="E1048" s="11" t="str">
        <f>+HYPERLINK("http://trademark.i-assist.jp/data/china/image_1900th/78743236.pdf", "78743236")</f>
        <v>78743236</v>
      </c>
      <c r="F1048" s="10" t="s">
        <v>3056</v>
      </c>
      <c r="G1048" s="10" t="s">
        <v>3057</v>
      </c>
      <c r="H1048" s="10" t="s">
        <v>3058</v>
      </c>
      <c r="I1048" s="10" t="s">
        <v>2768</v>
      </c>
    </row>
    <row r="1049" spans="1:9" x14ac:dyDescent="0.15">
      <c r="A1049" s="9">
        <v>1048</v>
      </c>
      <c r="B1049" s="10" t="s">
        <v>9</v>
      </c>
      <c r="C1049" s="10" t="s">
        <v>170</v>
      </c>
      <c r="D1049" s="10" t="s">
        <v>171</v>
      </c>
      <c r="E1049" s="11" t="str">
        <f>+HYPERLINK("http://trademark.i-assist.jp/data/china/image_1900th/78743555.pdf", "78743555")</f>
        <v>78743555</v>
      </c>
      <c r="F1049" s="10" t="s">
        <v>3059</v>
      </c>
      <c r="G1049" s="10" t="s">
        <v>3012</v>
      </c>
      <c r="H1049" s="10" t="s">
        <v>3060</v>
      </c>
      <c r="I1049" s="10" t="s">
        <v>2768</v>
      </c>
    </row>
    <row r="1050" spans="1:9" x14ac:dyDescent="0.15">
      <c r="A1050" s="9">
        <v>1049</v>
      </c>
      <c r="B1050" s="10" t="s">
        <v>9</v>
      </c>
      <c r="C1050" s="10" t="s">
        <v>170</v>
      </c>
      <c r="D1050" s="10" t="s">
        <v>171</v>
      </c>
      <c r="E1050" s="11" t="str">
        <f>+HYPERLINK("http://trademark.i-assist.jp/data/china/image_1900th/78743566.pdf", "78743566")</f>
        <v>78743566</v>
      </c>
      <c r="F1050" s="10" t="s">
        <v>3061</v>
      </c>
      <c r="G1050" s="10" t="s">
        <v>3062</v>
      </c>
      <c r="H1050" s="10" t="s">
        <v>3063</v>
      </c>
      <c r="I1050" s="10" t="s">
        <v>2768</v>
      </c>
    </row>
    <row r="1051" spans="1:9" x14ac:dyDescent="0.15">
      <c r="A1051" s="9">
        <v>1050</v>
      </c>
      <c r="B1051" s="10" t="s">
        <v>9</v>
      </c>
      <c r="C1051" s="10" t="s">
        <v>170</v>
      </c>
      <c r="D1051" s="10" t="s">
        <v>171</v>
      </c>
      <c r="E1051" s="11" t="str">
        <f>+HYPERLINK("http://trademark.i-assist.jp/data/china/image_1900th/78743924.pdf", "78743924")</f>
        <v>78743924</v>
      </c>
      <c r="F1051" s="10" t="s">
        <v>3064</v>
      </c>
      <c r="G1051" s="10" t="s">
        <v>3065</v>
      </c>
      <c r="H1051" s="10" t="s">
        <v>3066</v>
      </c>
      <c r="I1051" s="10" t="s">
        <v>2768</v>
      </c>
    </row>
    <row r="1052" spans="1:9" x14ac:dyDescent="0.15">
      <c r="A1052" s="9">
        <v>1051</v>
      </c>
      <c r="B1052" s="10" t="s">
        <v>9</v>
      </c>
      <c r="C1052" s="10" t="s">
        <v>170</v>
      </c>
      <c r="D1052" s="10" t="s">
        <v>171</v>
      </c>
      <c r="E1052" s="11" t="str">
        <f>+HYPERLINK("http://trademark.i-assist.jp/data/china/image_1900th/78744368.pdf", "78744368")</f>
        <v>78744368</v>
      </c>
      <c r="F1052" s="10" t="s">
        <v>3067</v>
      </c>
      <c r="G1052" s="10" t="s">
        <v>3068</v>
      </c>
      <c r="H1052" s="10" t="s">
        <v>3069</v>
      </c>
      <c r="I1052" s="10" t="s">
        <v>2768</v>
      </c>
    </row>
    <row r="1053" spans="1:9" x14ac:dyDescent="0.15">
      <c r="A1053" s="9">
        <v>1052</v>
      </c>
      <c r="B1053" s="10" t="s">
        <v>9</v>
      </c>
      <c r="C1053" s="10" t="s">
        <v>170</v>
      </c>
      <c r="D1053" s="10" t="s">
        <v>171</v>
      </c>
      <c r="E1053" s="11" t="str">
        <f>+HYPERLINK("http://trademark.i-assist.jp/data/china/image_1900th/78744478.pdf", "78744478")</f>
        <v>78744478</v>
      </c>
      <c r="F1053" s="10" t="s">
        <v>3070</v>
      </c>
      <c r="G1053" s="10" t="s">
        <v>3071</v>
      </c>
      <c r="H1053" s="10" t="s">
        <v>3072</v>
      </c>
      <c r="I1053" s="10" t="s">
        <v>2768</v>
      </c>
    </row>
    <row r="1054" spans="1:9" x14ac:dyDescent="0.15">
      <c r="A1054" s="9">
        <v>1053</v>
      </c>
      <c r="B1054" s="10" t="s">
        <v>9</v>
      </c>
      <c r="C1054" s="10" t="s">
        <v>170</v>
      </c>
      <c r="D1054" s="10" t="s">
        <v>171</v>
      </c>
      <c r="E1054" s="11" t="str">
        <f>+HYPERLINK("http://trademark.i-assist.jp/data/china/image_1900th/78744774.pdf", "78744774")</f>
        <v>78744774</v>
      </c>
      <c r="F1054" s="10" t="s">
        <v>3073</v>
      </c>
      <c r="G1054" s="10" t="s">
        <v>3074</v>
      </c>
      <c r="H1054" s="10" t="s">
        <v>3075</v>
      </c>
      <c r="I1054" s="10" t="s">
        <v>2768</v>
      </c>
    </row>
    <row r="1055" spans="1:9" x14ac:dyDescent="0.15">
      <c r="A1055" s="9">
        <v>1054</v>
      </c>
      <c r="B1055" s="10" t="s">
        <v>9</v>
      </c>
      <c r="C1055" s="10" t="s">
        <v>170</v>
      </c>
      <c r="D1055" s="10" t="s">
        <v>171</v>
      </c>
      <c r="E1055" s="11" t="str">
        <f>+HYPERLINK("http://trademark.i-assist.jp/data/china/image_1900th/78745163.pdf", "78745163")</f>
        <v>78745163</v>
      </c>
      <c r="F1055" s="10" t="s">
        <v>3076</v>
      </c>
      <c r="G1055" s="10" t="s">
        <v>2802</v>
      </c>
      <c r="H1055" s="10" t="s">
        <v>3077</v>
      </c>
      <c r="I1055" s="10" t="s">
        <v>2768</v>
      </c>
    </row>
    <row r="1056" spans="1:9" x14ac:dyDescent="0.15">
      <c r="A1056" s="9">
        <v>1055</v>
      </c>
      <c r="B1056" s="10" t="s">
        <v>9</v>
      </c>
      <c r="C1056" s="10" t="s">
        <v>170</v>
      </c>
      <c r="D1056" s="10" t="s">
        <v>171</v>
      </c>
      <c r="E1056" s="11" t="str">
        <f>+HYPERLINK("http://trademark.i-assist.jp/data/china/image_1900th/78745398.pdf", "78745398")</f>
        <v>78745398</v>
      </c>
      <c r="F1056" s="10" t="s">
        <v>3078</v>
      </c>
      <c r="G1056" s="10" t="s">
        <v>101</v>
      </c>
      <c r="H1056" s="10" t="s">
        <v>3079</v>
      </c>
      <c r="I1056" s="10" t="s">
        <v>2768</v>
      </c>
    </row>
    <row r="1057" spans="1:9" x14ac:dyDescent="0.15">
      <c r="A1057" s="9">
        <v>1056</v>
      </c>
      <c r="B1057" s="10" t="s">
        <v>9</v>
      </c>
      <c r="C1057" s="10" t="s">
        <v>170</v>
      </c>
      <c r="D1057" s="10" t="s">
        <v>171</v>
      </c>
      <c r="E1057" s="11" t="str">
        <f>+HYPERLINK("http://trademark.i-assist.jp/data/china/image_1900th/78745430.pdf", "78745430")</f>
        <v>78745430</v>
      </c>
      <c r="F1057" s="10" t="s">
        <v>3080</v>
      </c>
      <c r="G1057" s="10" t="s">
        <v>3081</v>
      </c>
      <c r="H1057" s="10" t="s">
        <v>3082</v>
      </c>
      <c r="I1057" s="10" t="s">
        <v>2768</v>
      </c>
    </row>
    <row r="1058" spans="1:9" x14ac:dyDescent="0.15">
      <c r="A1058" s="9">
        <v>1057</v>
      </c>
      <c r="B1058" s="10" t="s">
        <v>9</v>
      </c>
      <c r="C1058" s="10" t="s">
        <v>170</v>
      </c>
      <c r="D1058" s="10" t="s">
        <v>171</v>
      </c>
      <c r="E1058" s="11" t="str">
        <f>+HYPERLINK("http://trademark.i-assist.jp/data/china/image_1900th/78745645.pdf", "78745645")</f>
        <v>78745645</v>
      </c>
      <c r="F1058" s="10" t="s">
        <v>3083</v>
      </c>
      <c r="G1058" s="10" t="s">
        <v>3027</v>
      </c>
      <c r="H1058" s="10" t="s">
        <v>3084</v>
      </c>
      <c r="I1058" s="10" t="s">
        <v>2768</v>
      </c>
    </row>
    <row r="1059" spans="1:9" x14ac:dyDescent="0.15">
      <c r="A1059" s="9">
        <v>1058</v>
      </c>
      <c r="B1059" s="10" t="s">
        <v>9</v>
      </c>
      <c r="C1059" s="10" t="s">
        <v>170</v>
      </c>
      <c r="D1059" s="10" t="s">
        <v>171</v>
      </c>
      <c r="E1059" s="11" t="str">
        <f>+HYPERLINK("http://trademark.i-assist.jp/data/china/image_1900th/78746441.pdf", "78746441")</f>
        <v>78746441</v>
      </c>
      <c r="F1059" s="10" t="s">
        <v>3085</v>
      </c>
      <c r="G1059" s="10" t="s">
        <v>3086</v>
      </c>
      <c r="H1059" s="10" t="s">
        <v>3087</v>
      </c>
      <c r="I1059" s="10" t="s">
        <v>3088</v>
      </c>
    </row>
    <row r="1060" spans="1:9" x14ac:dyDescent="0.15">
      <c r="A1060" s="9">
        <v>1059</v>
      </c>
      <c r="B1060" s="10" t="s">
        <v>9</v>
      </c>
      <c r="C1060" s="10" t="s">
        <v>170</v>
      </c>
      <c r="D1060" s="10" t="s">
        <v>171</v>
      </c>
      <c r="E1060" s="11" t="str">
        <f>+HYPERLINK("http://trademark.i-assist.jp/data/china/image_1900th/78746453.pdf", "78746453")</f>
        <v>78746453</v>
      </c>
      <c r="F1060" s="10" t="s">
        <v>3089</v>
      </c>
      <c r="G1060" s="10" t="s">
        <v>3086</v>
      </c>
      <c r="H1060" s="10" t="s">
        <v>3090</v>
      </c>
      <c r="I1060" s="10" t="s">
        <v>3088</v>
      </c>
    </row>
    <row r="1061" spans="1:9" x14ac:dyDescent="0.15">
      <c r="A1061" s="9">
        <v>1060</v>
      </c>
      <c r="B1061" s="10" t="s">
        <v>9</v>
      </c>
      <c r="C1061" s="10" t="s">
        <v>170</v>
      </c>
      <c r="D1061" s="10" t="s">
        <v>171</v>
      </c>
      <c r="E1061" s="11" t="str">
        <f>+HYPERLINK("http://trademark.i-assist.jp/data/china/image_1900th/78747092.pdf", "78747092")</f>
        <v>78747092</v>
      </c>
      <c r="F1061" s="10" t="s">
        <v>3091</v>
      </c>
      <c r="G1061" s="10" t="s">
        <v>3092</v>
      </c>
      <c r="H1061" s="10" t="s">
        <v>3093</v>
      </c>
      <c r="I1061" s="10" t="s">
        <v>3088</v>
      </c>
    </row>
    <row r="1062" spans="1:9" x14ac:dyDescent="0.15">
      <c r="A1062" s="9">
        <v>1061</v>
      </c>
      <c r="B1062" s="10" t="s">
        <v>9</v>
      </c>
      <c r="C1062" s="10" t="s">
        <v>170</v>
      </c>
      <c r="D1062" s="10" t="s">
        <v>171</v>
      </c>
      <c r="E1062" s="11" t="str">
        <f>+HYPERLINK("http://trademark.i-assist.jp/data/china/image_1900th/78747336.pdf", "78747336")</f>
        <v>78747336</v>
      </c>
      <c r="F1062" s="10" t="s">
        <v>3094</v>
      </c>
      <c r="G1062" s="10" t="s">
        <v>3095</v>
      </c>
      <c r="H1062" s="10" t="s">
        <v>3096</v>
      </c>
      <c r="I1062" s="10" t="s">
        <v>3088</v>
      </c>
    </row>
    <row r="1063" spans="1:9" x14ac:dyDescent="0.15">
      <c r="A1063" s="9">
        <v>1062</v>
      </c>
      <c r="B1063" s="10" t="s">
        <v>9</v>
      </c>
      <c r="C1063" s="10" t="s">
        <v>170</v>
      </c>
      <c r="D1063" s="10" t="s">
        <v>171</v>
      </c>
      <c r="E1063" s="11" t="str">
        <f>+HYPERLINK("http://trademark.i-assist.jp/data/china/image_1900th/78747579.pdf", "78747579")</f>
        <v>78747579</v>
      </c>
      <c r="F1063" s="10" t="s">
        <v>3097</v>
      </c>
      <c r="G1063" s="10" t="s">
        <v>3098</v>
      </c>
      <c r="H1063" s="10" t="s">
        <v>3099</v>
      </c>
      <c r="I1063" s="10" t="s">
        <v>3088</v>
      </c>
    </row>
    <row r="1064" spans="1:9" x14ac:dyDescent="0.15">
      <c r="A1064" s="9">
        <v>1063</v>
      </c>
      <c r="B1064" s="10" t="s">
        <v>9</v>
      </c>
      <c r="C1064" s="10" t="s">
        <v>170</v>
      </c>
      <c r="D1064" s="10" t="s">
        <v>171</v>
      </c>
      <c r="E1064" s="11" t="str">
        <f>+HYPERLINK("http://trademark.i-assist.jp/data/china/image_1900th/78747918.pdf", "78747918")</f>
        <v>78747918</v>
      </c>
      <c r="F1064" s="10" t="s">
        <v>3100</v>
      </c>
      <c r="G1064" s="10" t="s">
        <v>3101</v>
      </c>
      <c r="H1064" s="10" t="s">
        <v>3102</v>
      </c>
      <c r="I1064" s="10" t="s">
        <v>3088</v>
      </c>
    </row>
    <row r="1065" spans="1:9" x14ac:dyDescent="0.15">
      <c r="A1065" s="9">
        <v>1064</v>
      </c>
      <c r="B1065" s="10" t="s">
        <v>9</v>
      </c>
      <c r="C1065" s="10" t="s">
        <v>170</v>
      </c>
      <c r="D1065" s="10" t="s">
        <v>171</v>
      </c>
      <c r="E1065" s="11" t="str">
        <f>+HYPERLINK("http://trademark.i-assist.jp/data/china/image_1900th/78747989.pdf", "78747989")</f>
        <v>78747989</v>
      </c>
      <c r="F1065" s="10" t="s">
        <v>3103</v>
      </c>
      <c r="G1065" s="10" t="s">
        <v>3104</v>
      </c>
      <c r="H1065" s="10" t="s">
        <v>3105</v>
      </c>
      <c r="I1065" s="10" t="s">
        <v>3088</v>
      </c>
    </row>
    <row r="1066" spans="1:9" x14ac:dyDescent="0.15">
      <c r="A1066" s="9">
        <v>1065</v>
      </c>
      <c r="B1066" s="10" t="s">
        <v>9</v>
      </c>
      <c r="C1066" s="10" t="s">
        <v>170</v>
      </c>
      <c r="D1066" s="10" t="s">
        <v>171</v>
      </c>
      <c r="E1066" s="11" t="str">
        <f>+HYPERLINK("http://trademark.i-assist.jp/data/china/image_1900th/78748010.pdf", "78748010")</f>
        <v>78748010</v>
      </c>
      <c r="F1066" s="10" t="s">
        <v>1655</v>
      </c>
      <c r="G1066" s="10" t="s">
        <v>1656</v>
      </c>
      <c r="H1066" s="10" t="s">
        <v>3106</v>
      </c>
      <c r="I1066" s="10" t="s">
        <v>3088</v>
      </c>
    </row>
    <row r="1067" spans="1:9" x14ac:dyDescent="0.15">
      <c r="A1067" s="9">
        <v>1066</v>
      </c>
      <c r="B1067" s="10" t="s">
        <v>9</v>
      </c>
      <c r="C1067" s="10" t="s">
        <v>170</v>
      </c>
      <c r="D1067" s="10" t="s">
        <v>171</v>
      </c>
      <c r="E1067" s="11" t="str">
        <f>+HYPERLINK("http://trademark.i-assist.jp/data/china/image_1900th/78748238.pdf", "78748238")</f>
        <v>78748238</v>
      </c>
      <c r="F1067" s="10" t="s">
        <v>3107</v>
      </c>
      <c r="G1067" s="10" t="s">
        <v>3108</v>
      </c>
      <c r="H1067" s="10" t="s">
        <v>3109</v>
      </c>
      <c r="I1067" s="10" t="s">
        <v>3088</v>
      </c>
    </row>
    <row r="1068" spans="1:9" x14ac:dyDescent="0.15">
      <c r="A1068" s="9">
        <v>1067</v>
      </c>
      <c r="B1068" s="10" t="s">
        <v>9</v>
      </c>
      <c r="C1068" s="10" t="s">
        <v>170</v>
      </c>
      <c r="D1068" s="10" t="s">
        <v>171</v>
      </c>
      <c r="E1068" s="11" t="str">
        <f>+HYPERLINK("http://trademark.i-assist.jp/data/china/image_1900th/78748736.pdf", "78748736")</f>
        <v>78748736</v>
      </c>
      <c r="F1068" s="10" t="s">
        <v>3110</v>
      </c>
      <c r="G1068" s="10" t="s">
        <v>112</v>
      </c>
      <c r="H1068" s="10" t="s">
        <v>3111</v>
      </c>
      <c r="I1068" s="10" t="s">
        <v>3088</v>
      </c>
    </row>
    <row r="1069" spans="1:9" x14ac:dyDescent="0.15">
      <c r="A1069" s="9">
        <v>1068</v>
      </c>
      <c r="B1069" s="10" t="s">
        <v>9</v>
      </c>
      <c r="C1069" s="10" t="s">
        <v>170</v>
      </c>
      <c r="D1069" s="10" t="s">
        <v>171</v>
      </c>
      <c r="E1069" s="11" t="str">
        <f>+HYPERLINK("http://trademark.i-assist.jp/data/china/image_1900th/78749054.pdf", "78749054")</f>
        <v>78749054</v>
      </c>
      <c r="F1069" s="10" t="s">
        <v>3112</v>
      </c>
      <c r="G1069" s="10" t="s">
        <v>3113</v>
      </c>
      <c r="H1069" s="10" t="s">
        <v>3114</v>
      </c>
      <c r="I1069" s="10" t="s">
        <v>3088</v>
      </c>
    </row>
    <row r="1070" spans="1:9" x14ac:dyDescent="0.15">
      <c r="A1070" s="9">
        <v>1069</v>
      </c>
      <c r="B1070" s="10" t="s">
        <v>9</v>
      </c>
      <c r="C1070" s="10" t="s">
        <v>170</v>
      </c>
      <c r="D1070" s="10" t="s">
        <v>171</v>
      </c>
      <c r="E1070" s="11" t="str">
        <f>+HYPERLINK("http://trademark.i-assist.jp/data/china/image_1900th/78749376.pdf", "78749376")</f>
        <v>78749376</v>
      </c>
      <c r="F1070" s="10" t="s">
        <v>3115</v>
      </c>
      <c r="G1070" s="10" t="s">
        <v>3116</v>
      </c>
      <c r="H1070" s="10" t="s">
        <v>3117</v>
      </c>
      <c r="I1070" s="10" t="s">
        <v>3088</v>
      </c>
    </row>
    <row r="1071" spans="1:9" x14ac:dyDescent="0.15">
      <c r="A1071" s="9">
        <v>1070</v>
      </c>
      <c r="B1071" s="10" t="s">
        <v>9</v>
      </c>
      <c r="C1071" s="10" t="s">
        <v>170</v>
      </c>
      <c r="D1071" s="10" t="s">
        <v>171</v>
      </c>
      <c r="E1071" s="11" t="str">
        <f>+HYPERLINK("http://trademark.i-assist.jp/data/china/image_1900th/78749692.pdf", "78749692")</f>
        <v>78749692</v>
      </c>
      <c r="F1071" s="10" t="s">
        <v>3118</v>
      </c>
      <c r="G1071" s="10" t="s">
        <v>3119</v>
      </c>
      <c r="H1071" s="10" t="s">
        <v>3120</v>
      </c>
      <c r="I1071" s="10" t="s">
        <v>3088</v>
      </c>
    </row>
    <row r="1072" spans="1:9" x14ac:dyDescent="0.15">
      <c r="A1072" s="9">
        <v>1071</v>
      </c>
      <c r="B1072" s="10" t="s">
        <v>9</v>
      </c>
      <c r="C1072" s="10" t="s">
        <v>170</v>
      </c>
      <c r="D1072" s="10" t="s">
        <v>171</v>
      </c>
      <c r="E1072" s="11" t="str">
        <f>+HYPERLINK("http://trademark.i-assist.jp/data/china/image_1900th/78749831.pdf", "78749831")</f>
        <v>78749831</v>
      </c>
      <c r="F1072" s="10" t="s">
        <v>3121</v>
      </c>
      <c r="G1072" s="10" t="s">
        <v>3122</v>
      </c>
      <c r="H1072" s="10" t="s">
        <v>3123</v>
      </c>
      <c r="I1072" s="10" t="s">
        <v>3088</v>
      </c>
    </row>
    <row r="1073" spans="1:9" x14ac:dyDescent="0.15">
      <c r="A1073" s="9">
        <v>1072</v>
      </c>
      <c r="B1073" s="10" t="s">
        <v>9</v>
      </c>
      <c r="C1073" s="10" t="s">
        <v>170</v>
      </c>
      <c r="D1073" s="10" t="s">
        <v>171</v>
      </c>
      <c r="E1073" s="11" t="str">
        <f>+HYPERLINK("http://trademark.i-assist.jp/data/china/image_1900th/78749991.pdf", "78749991")</f>
        <v>78749991</v>
      </c>
      <c r="F1073" s="10" t="s">
        <v>3124</v>
      </c>
      <c r="G1073" s="10" t="s">
        <v>1343</v>
      </c>
      <c r="H1073" s="10" t="s">
        <v>3125</v>
      </c>
      <c r="I1073" s="10" t="s">
        <v>3088</v>
      </c>
    </row>
    <row r="1074" spans="1:9" x14ac:dyDescent="0.15">
      <c r="A1074" s="9">
        <v>1073</v>
      </c>
      <c r="B1074" s="10" t="s">
        <v>9</v>
      </c>
      <c r="C1074" s="10" t="s">
        <v>170</v>
      </c>
      <c r="D1074" s="10" t="s">
        <v>171</v>
      </c>
      <c r="E1074" s="11" t="str">
        <f>+HYPERLINK("http://trademark.i-assist.jp/data/china/image_1900th/78750080.pdf", "78750080")</f>
        <v>78750080</v>
      </c>
      <c r="F1074" s="10" t="s">
        <v>3126</v>
      </c>
      <c r="G1074" s="10" t="s">
        <v>3127</v>
      </c>
      <c r="H1074" s="10" t="s">
        <v>3128</v>
      </c>
      <c r="I1074" s="10" t="s">
        <v>3088</v>
      </c>
    </row>
    <row r="1075" spans="1:9" x14ac:dyDescent="0.15">
      <c r="A1075" s="9">
        <v>1074</v>
      </c>
      <c r="B1075" s="10" t="s">
        <v>9</v>
      </c>
      <c r="C1075" s="10" t="s">
        <v>170</v>
      </c>
      <c r="D1075" s="10" t="s">
        <v>171</v>
      </c>
      <c r="E1075" s="11" t="str">
        <f>+HYPERLINK("http://trademark.i-assist.jp/data/china/image_1900th/78750822.pdf", "78750822")</f>
        <v>78750822</v>
      </c>
      <c r="F1075" s="10" t="s">
        <v>15</v>
      </c>
      <c r="G1075" s="10" t="s">
        <v>3129</v>
      </c>
      <c r="H1075" s="10" t="s">
        <v>3130</v>
      </c>
      <c r="I1075" s="10" t="s">
        <v>3088</v>
      </c>
    </row>
    <row r="1076" spans="1:9" x14ac:dyDescent="0.15">
      <c r="A1076" s="9">
        <v>1075</v>
      </c>
      <c r="B1076" s="10" t="s">
        <v>9</v>
      </c>
      <c r="C1076" s="10" t="s">
        <v>170</v>
      </c>
      <c r="D1076" s="10" t="s">
        <v>171</v>
      </c>
      <c r="E1076" s="11" t="str">
        <f>+HYPERLINK("http://trademark.i-assist.jp/data/china/image_1900th/78751069.pdf", "78751069")</f>
        <v>78751069</v>
      </c>
      <c r="F1076" s="10" t="s">
        <v>3131</v>
      </c>
      <c r="G1076" s="10" t="s">
        <v>3132</v>
      </c>
      <c r="H1076" s="10" t="s">
        <v>3133</v>
      </c>
      <c r="I1076" s="10" t="s">
        <v>3088</v>
      </c>
    </row>
    <row r="1077" spans="1:9" x14ac:dyDescent="0.15">
      <c r="A1077" s="9">
        <v>1076</v>
      </c>
      <c r="B1077" s="10" t="s">
        <v>9</v>
      </c>
      <c r="C1077" s="10" t="s">
        <v>170</v>
      </c>
      <c r="D1077" s="10" t="s">
        <v>171</v>
      </c>
      <c r="E1077" s="11" t="str">
        <f>+HYPERLINK("http://trademark.i-assist.jp/data/china/image_1900th/78751815.pdf", "78751815")</f>
        <v>78751815</v>
      </c>
      <c r="F1077" s="10" t="s">
        <v>3134</v>
      </c>
      <c r="G1077" s="10" t="s">
        <v>3127</v>
      </c>
      <c r="H1077" s="10" t="s">
        <v>3135</v>
      </c>
      <c r="I1077" s="10" t="s">
        <v>3088</v>
      </c>
    </row>
    <row r="1078" spans="1:9" x14ac:dyDescent="0.15">
      <c r="A1078" s="9">
        <v>1077</v>
      </c>
      <c r="B1078" s="10" t="s">
        <v>9</v>
      </c>
      <c r="C1078" s="10" t="s">
        <v>170</v>
      </c>
      <c r="D1078" s="10" t="s">
        <v>171</v>
      </c>
      <c r="E1078" s="11" t="str">
        <f>+HYPERLINK("http://trademark.i-assist.jp/data/china/image_1900th/78751971.pdf", "78751971")</f>
        <v>78751971</v>
      </c>
      <c r="F1078" s="10" t="s">
        <v>3136</v>
      </c>
      <c r="G1078" s="10" t="s">
        <v>112</v>
      </c>
      <c r="H1078" s="10" t="s">
        <v>3137</v>
      </c>
      <c r="I1078" s="10" t="s">
        <v>3088</v>
      </c>
    </row>
    <row r="1079" spans="1:9" x14ac:dyDescent="0.15">
      <c r="A1079" s="9">
        <v>1078</v>
      </c>
      <c r="B1079" s="10" t="s">
        <v>9</v>
      </c>
      <c r="C1079" s="10" t="s">
        <v>170</v>
      </c>
      <c r="D1079" s="10" t="s">
        <v>171</v>
      </c>
      <c r="E1079" s="11" t="str">
        <f>+HYPERLINK("http://trademark.i-assist.jp/data/china/image_1900th/78752264.pdf", "78752264")</f>
        <v>78752264</v>
      </c>
      <c r="F1079" s="10" t="s">
        <v>3138</v>
      </c>
      <c r="G1079" s="10" t="s">
        <v>3139</v>
      </c>
      <c r="H1079" s="10" t="s">
        <v>3140</v>
      </c>
      <c r="I1079" s="10" t="s">
        <v>3088</v>
      </c>
    </row>
    <row r="1080" spans="1:9" x14ac:dyDescent="0.15">
      <c r="A1080" s="9">
        <v>1079</v>
      </c>
      <c r="B1080" s="10" t="s">
        <v>9</v>
      </c>
      <c r="C1080" s="10" t="s">
        <v>170</v>
      </c>
      <c r="D1080" s="10" t="s">
        <v>171</v>
      </c>
      <c r="E1080" s="11" t="str">
        <f>+HYPERLINK("http://trademark.i-assist.jp/data/china/image_1900th/78752492.pdf", "78752492")</f>
        <v>78752492</v>
      </c>
      <c r="F1080" s="10" t="s">
        <v>3141</v>
      </c>
      <c r="G1080" s="10" t="s">
        <v>3142</v>
      </c>
      <c r="H1080" s="10" t="s">
        <v>3143</v>
      </c>
      <c r="I1080" s="10" t="s">
        <v>3088</v>
      </c>
    </row>
    <row r="1081" spans="1:9" x14ac:dyDescent="0.15">
      <c r="A1081" s="9">
        <v>1080</v>
      </c>
      <c r="B1081" s="10" t="s">
        <v>9</v>
      </c>
      <c r="C1081" s="10" t="s">
        <v>170</v>
      </c>
      <c r="D1081" s="10" t="s">
        <v>171</v>
      </c>
      <c r="E1081" s="11" t="str">
        <f>+HYPERLINK("http://trademark.i-assist.jp/data/china/image_1900th/78752602.pdf", "78752602")</f>
        <v>78752602</v>
      </c>
      <c r="F1081" s="10" t="s">
        <v>3144</v>
      </c>
      <c r="G1081" s="10" t="s">
        <v>3145</v>
      </c>
      <c r="H1081" s="10" t="s">
        <v>3146</v>
      </c>
      <c r="I1081" s="10" t="s">
        <v>3088</v>
      </c>
    </row>
    <row r="1082" spans="1:9" x14ac:dyDescent="0.15">
      <c r="A1082" s="9">
        <v>1081</v>
      </c>
      <c r="B1082" s="10" t="s">
        <v>9</v>
      </c>
      <c r="C1082" s="10" t="s">
        <v>170</v>
      </c>
      <c r="D1082" s="10" t="s">
        <v>171</v>
      </c>
      <c r="E1082" s="11" t="str">
        <f>+HYPERLINK("http://trademark.i-assist.jp/data/china/image_1900th/78752630.pdf", "78752630")</f>
        <v>78752630</v>
      </c>
      <c r="F1082" s="10" t="s">
        <v>3147</v>
      </c>
      <c r="G1082" s="10" t="s">
        <v>3148</v>
      </c>
      <c r="H1082" s="10" t="s">
        <v>3149</v>
      </c>
      <c r="I1082" s="10" t="s">
        <v>3088</v>
      </c>
    </row>
    <row r="1083" spans="1:9" x14ac:dyDescent="0.15">
      <c r="A1083" s="9">
        <v>1082</v>
      </c>
      <c r="B1083" s="10" t="s">
        <v>9</v>
      </c>
      <c r="C1083" s="10" t="s">
        <v>170</v>
      </c>
      <c r="D1083" s="10" t="s">
        <v>171</v>
      </c>
      <c r="E1083" s="11" t="str">
        <f>+HYPERLINK("http://trademark.i-assist.jp/data/china/image_1900th/78752900.pdf", "78752900")</f>
        <v>78752900</v>
      </c>
      <c r="F1083" s="10" t="s">
        <v>3150</v>
      </c>
      <c r="G1083" s="10" t="s">
        <v>3151</v>
      </c>
      <c r="H1083" s="10" t="s">
        <v>3152</v>
      </c>
      <c r="I1083" s="10" t="s">
        <v>3088</v>
      </c>
    </row>
    <row r="1084" spans="1:9" x14ac:dyDescent="0.15">
      <c r="A1084" s="9">
        <v>1083</v>
      </c>
      <c r="B1084" s="10" t="s">
        <v>9</v>
      </c>
      <c r="C1084" s="10" t="s">
        <v>170</v>
      </c>
      <c r="D1084" s="10" t="s">
        <v>171</v>
      </c>
      <c r="E1084" s="11" t="str">
        <f>+HYPERLINK("http://trademark.i-assist.jp/data/china/image_1900th/78753036.pdf", "78753036")</f>
        <v>78753036</v>
      </c>
      <c r="F1084" s="10" t="s">
        <v>3153</v>
      </c>
      <c r="G1084" s="10" t="s">
        <v>3154</v>
      </c>
      <c r="H1084" s="10" t="s">
        <v>3155</v>
      </c>
      <c r="I1084" s="10" t="s">
        <v>3088</v>
      </c>
    </row>
    <row r="1085" spans="1:9" x14ac:dyDescent="0.15">
      <c r="A1085" s="9">
        <v>1084</v>
      </c>
      <c r="B1085" s="10" t="s">
        <v>9</v>
      </c>
      <c r="C1085" s="10" t="s">
        <v>170</v>
      </c>
      <c r="D1085" s="10" t="s">
        <v>171</v>
      </c>
      <c r="E1085" s="11" t="str">
        <f>+HYPERLINK("http://trademark.i-assist.jp/data/china/image_1900th/78753168.pdf", "78753168")</f>
        <v>78753168</v>
      </c>
      <c r="F1085" s="10" t="s">
        <v>3156</v>
      </c>
      <c r="G1085" s="10" t="s">
        <v>3157</v>
      </c>
      <c r="H1085" s="10" t="s">
        <v>3158</v>
      </c>
      <c r="I1085" s="10" t="s">
        <v>3088</v>
      </c>
    </row>
    <row r="1086" spans="1:9" x14ac:dyDescent="0.15">
      <c r="A1086" s="9">
        <v>1085</v>
      </c>
      <c r="B1086" s="10" t="s">
        <v>9</v>
      </c>
      <c r="C1086" s="10" t="s">
        <v>170</v>
      </c>
      <c r="D1086" s="10" t="s">
        <v>171</v>
      </c>
      <c r="E1086" s="11" t="str">
        <f>+HYPERLINK("http://trademark.i-assist.jp/data/china/image_1900th/78753206.pdf", "78753206")</f>
        <v>78753206</v>
      </c>
      <c r="F1086" s="10" t="s">
        <v>3159</v>
      </c>
      <c r="G1086" s="10" t="s">
        <v>3160</v>
      </c>
      <c r="H1086" s="10" t="s">
        <v>3161</v>
      </c>
      <c r="I1086" s="10" t="s">
        <v>3088</v>
      </c>
    </row>
    <row r="1087" spans="1:9" x14ac:dyDescent="0.15">
      <c r="A1087" s="9">
        <v>1086</v>
      </c>
      <c r="B1087" s="10" t="s">
        <v>9</v>
      </c>
      <c r="C1087" s="10" t="s">
        <v>170</v>
      </c>
      <c r="D1087" s="10" t="s">
        <v>171</v>
      </c>
      <c r="E1087" s="11" t="str">
        <f>+HYPERLINK("http://trademark.i-assist.jp/data/china/image_1900th/78753316.pdf", "78753316")</f>
        <v>78753316</v>
      </c>
      <c r="F1087" s="10" t="s">
        <v>3162</v>
      </c>
      <c r="G1087" s="10" t="s">
        <v>3163</v>
      </c>
      <c r="H1087" s="10" t="s">
        <v>3164</v>
      </c>
      <c r="I1087" s="10" t="s">
        <v>3088</v>
      </c>
    </row>
    <row r="1088" spans="1:9" x14ac:dyDescent="0.15">
      <c r="A1088" s="9">
        <v>1087</v>
      </c>
      <c r="B1088" s="10" t="s">
        <v>9</v>
      </c>
      <c r="C1088" s="10" t="s">
        <v>170</v>
      </c>
      <c r="D1088" s="10" t="s">
        <v>171</v>
      </c>
      <c r="E1088" s="11" t="str">
        <f>+HYPERLINK("http://trademark.i-assist.jp/data/china/image_1900th/78753477.pdf", "78753477")</f>
        <v>78753477</v>
      </c>
      <c r="F1088" s="10" t="s">
        <v>3165</v>
      </c>
      <c r="G1088" s="10" t="s">
        <v>3166</v>
      </c>
      <c r="H1088" s="10" t="s">
        <v>3167</v>
      </c>
      <c r="I1088" s="10" t="s">
        <v>3088</v>
      </c>
    </row>
    <row r="1089" spans="1:9" x14ac:dyDescent="0.15">
      <c r="A1089" s="9">
        <v>1088</v>
      </c>
      <c r="B1089" s="10" t="s">
        <v>9</v>
      </c>
      <c r="C1089" s="10" t="s">
        <v>170</v>
      </c>
      <c r="D1089" s="10" t="s">
        <v>171</v>
      </c>
      <c r="E1089" s="11" t="str">
        <f>+HYPERLINK("http://trademark.i-assist.jp/data/china/image_1900th/78753774.pdf", "78753774")</f>
        <v>78753774</v>
      </c>
      <c r="F1089" s="10" t="s">
        <v>3168</v>
      </c>
      <c r="G1089" s="10" t="s">
        <v>3169</v>
      </c>
      <c r="H1089" s="10" t="s">
        <v>3170</v>
      </c>
      <c r="I1089" s="10" t="s">
        <v>3088</v>
      </c>
    </row>
    <row r="1090" spans="1:9" x14ac:dyDescent="0.15">
      <c r="A1090" s="9">
        <v>1089</v>
      </c>
      <c r="B1090" s="10" t="s">
        <v>9</v>
      </c>
      <c r="C1090" s="10" t="s">
        <v>170</v>
      </c>
      <c r="D1090" s="10" t="s">
        <v>171</v>
      </c>
      <c r="E1090" s="11" t="str">
        <f>+HYPERLINK("http://trademark.i-assist.jp/data/china/image_1900th/78753790.pdf", "78753790")</f>
        <v>78753790</v>
      </c>
      <c r="F1090" s="10" t="s">
        <v>3171</v>
      </c>
      <c r="G1090" s="10" t="s">
        <v>3172</v>
      </c>
      <c r="H1090" s="10" t="s">
        <v>3173</v>
      </c>
      <c r="I1090" s="10" t="s">
        <v>3088</v>
      </c>
    </row>
    <row r="1091" spans="1:9" x14ac:dyDescent="0.15">
      <c r="A1091" s="9">
        <v>1090</v>
      </c>
      <c r="B1091" s="10" t="s">
        <v>9</v>
      </c>
      <c r="C1091" s="10" t="s">
        <v>170</v>
      </c>
      <c r="D1091" s="10" t="s">
        <v>171</v>
      </c>
      <c r="E1091" s="11" t="str">
        <f>+HYPERLINK("http://trademark.i-assist.jp/data/china/image_1900th/78754628.pdf", "78754628")</f>
        <v>78754628</v>
      </c>
      <c r="F1091" s="10" t="s">
        <v>3174</v>
      </c>
      <c r="G1091" s="10" t="s">
        <v>3175</v>
      </c>
      <c r="H1091" s="10" t="s">
        <v>3176</v>
      </c>
      <c r="I1091" s="10" t="s">
        <v>3088</v>
      </c>
    </row>
    <row r="1092" spans="1:9" x14ac:dyDescent="0.15">
      <c r="A1092" s="9">
        <v>1091</v>
      </c>
      <c r="B1092" s="10" t="s">
        <v>9</v>
      </c>
      <c r="C1092" s="10" t="s">
        <v>170</v>
      </c>
      <c r="D1092" s="10" t="s">
        <v>171</v>
      </c>
      <c r="E1092" s="11" t="str">
        <f>+HYPERLINK("http://trademark.i-assist.jp/data/china/image_1900th/78754910.pdf", "78754910")</f>
        <v>78754910</v>
      </c>
      <c r="F1092" s="10" t="s">
        <v>3177</v>
      </c>
      <c r="G1092" s="10" t="s">
        <v>3086</v>
      </c>
      <c r="H1092" s="10" t="s">
        <v>3178</v>
      </c>
      <c r="I1092" s="10" t="s">
        <v>3088</v>
      </c>
    </row>
    <row r="1093" spans="1:9" x14ac:dyDescent="0.15">
      <c r="A1093" s="9">
        <v>1092</v>
      </c>
      <c r="B1093" s="10" t="s">
        <v>9</v>
      </c>
      <c r="C1093" s="10" t="s">
        <v>170</v>
      </c>
      <c r="D1093" s="10" t="s">
        <v>171</v>
      </c>
      <c r="E1093" s="11" t="str">
        <f>+HYPERLINK("http://trademark.i-assist.jp/data/china/image_1900th/78754932.pdf", "78754932")</f>
        <v>78754932</v>
      </c>
      <c r="F1093" s="10" t="s">
        <v>3179</v>
      </c>
      <c r="G1093" s="10" t="s">
        <v>3180</v>
      </c>
      <c r="H1093" s="10" t="s">
        <v>3181</v>
      </c>
      <c r="I1093" s="10" t="s">
        <v>3088</v>
      </c>
    </row>
    <row r="1094" spans="1:9" x14ac:dyDescent="0.15">
      <c r="A1094" s="9">
        <v>1093</v>
      </c>
      <c r="B1094" s="10" t="s">
        <v>9</v>
      </c>
      <c r="C1094" s="10" t="s">
        <v>170</v>
      </c>
      <c r="D1094" s="10" t="s">
        <v>171</v>
      </c>
      <c r="E1094" s="11" t="str">
        <f>+HYPERLINK("http://trademark.i-assist.jp/data/china/image_1900th/78755123.pdf", "78755123")</f>
        <v>78755123</v>
      </c>
      <c r="F1094" s="10" t="s">
        <v>3182</v>
      </c>
      <c r="G1094" s="10" t="s">
        <v>3183</v>
      </c>
      <c r="H1094" s="10" t="s">
        <v>3184</v>
      </c>
      <c r="I1094" s="10" t="s">
        <v>3088</v>
      </c>
    </row>
    <row r="1095" spans="1:9" x14ac:dyDescent="0.15">
      <c r="A1095" s="9">
        <v>1094</v>
      </c>
      <c r="B1095" s="10" t="s">
        <v>9</v>
      </c>
      <c r="C1095" s="10" t="s">
        <v>170</v>
      </c>
      <c r="D1095" s="10" t="s">
        <v>171</v>
      </c>
      <c r="E1095" s="11" t="str">
        <f>+HYPERLINK("http://trademark.i-assist.jp/data/china/image_1900th/78755182.pdf", "78755182")</f>
        <v>78755182</v>
      </c>
      <c r="F1095" s="10" t="s">
        <v>3185</v>
      </c>
      <c r="G1095" s="10" t="s">
        <v>3186</v>
      </c>
      <c r="H1095" s="10" t="s">
        <v>3187</v>
      </c>
      <c r="I1095" s="10" t="s">
        <v>3088</v>
      </c>
    </row>
    <row r="1096" spans="1:9" x14ac:dyDescent="0.15">
      <c r="A1096" s="9">
        <v>1095</v>
      </c>
      <c r="B1096" s="10" t="s">
        <v>9</v>
      </c>
      <c r="C1096" s="10" t="s">
        <v>170</v>
      </c>
      <c r="D1096" s="10" t="s">
        <v>171</v>
      </c>
      <c r="E1096" s="11" t="str">
        <f>+HYPERLINK("http://trademark.i-assist.jp/data/china/image_1900th/78755353.pdf", "78755353")</f>
        <v>78755353</v>
      </c>
      <c r="F1096" s="10" t="s">
        <v>3188</v>
      </c>
      <c r="G1096" s="10" t="s">
        <v>3189</v>
      </c>
      <c r="H1096" s="10" t="s">
        <v>3190</v>
      </c>
      <c r="I1096" s="10" t="s">
        <v>3088</v>
      </c>
    </row>
    <row r="1097" spans="1:9" x14ac:dyDescent="0.15">
      <c r="A1097" s="9">
        <v>1096</v>
      </c>
      <c r="B1097" s="10" t="s">
        <v>9</v>
      </c>
      <c r="C1097" s="10" t="s">
        <v>170</v>
      </c>
      <c r="D1097" s="10" t="s">
        <v>171</v>
      </c>
      <c r="E1097" s="11" t="str">
        <f>+HYPERLINK("http://trademark.i-assist.jp/data/china/image_1900th/78755676.pdf", "78755676")</f>
        <v>78755676</v>
      </c>
      <c r="F1097" s="10" t="s">
        <v>3191</v>
      </c>
      <c r="G1097" s="10" t="s">
        <v>3122</v>
      </c>
      <c r="H1097" s="10" t="s">
        <v>3192</v>
      </c>
      <c r="I1097" s="10" t="s">
        <v>3088</v>
      </c>
    </row>
    <row r="1098" spans="1:9" x14ac:dyDescent="0.15">
      <c r="A1098" s="9">
        <v>1097</v>
      </c>
      <c r="B1098" s="10" t="s">
        <v>9</v>
      </c>
      <c r="C1098" s="10" t="s">
        <v>170</v>
      </c>
      <c r="D1098" s="10" t="s">
        <v>171</v>
      </c>
      <c r="E1098" s="11" t="str">
        <f>+HYPERLINK("http://trademark.i-assist.jp/data/china/image_1900th/78755828.pdf", "78755828")</f>
        <v>78755828</v>
      </c>
      <c r="F1098" s="10" t="s">
        <v>3193</v>
      </c>
      <c r="G1098" s="10" t="s">
        <v>3194</v>
      </c>
      <c r="H1098" s="10" t="s">
        <v>3195</v>
      </c>
      <c r="I1098" s="10" t="s">
        <v>3088</v>
      </c>
    </row>
    <row r="1099" spans="1:9" x14ac:dyDescent="0.15">
      <c r="A1099" s="9">
        <v>1098</v>
      </c>
      <c r="B1099" s="10" t="s">
        <v>9</v>
      </c>
      <c r="C1099" s="10" t="s">
        <v>170</v>
      </c>
      <c r="D1099" s="10" t="s">
        <v>171</v>
      </c>
      <c r="E1099" s="11" t="str">
        <f>+HYPERLINK("http://trademark.i-assist.jp/data/china/image_1900th/78755881.pdf", "78755881")</f>
        <v>78755881</v>
      </c>
      <c r="F1099" s="10" t="s">
        <v>3196</v>
      </c>
      <c r="G1099" s="10" t="s">
        <v>3197</v>
      </c>
      <c r="H1099" s="10" t="s">
        <v>3198</v>
      </c>
      <c r="I1099" s="10" t="s">
        <v>3088</v>
      </c>
    </row>
    <row r="1100" spans="1:9" x14ac:dyDescent="0.15">
      <c r="A1100" s="9">
        <v>1099</v>
      </c>
      <c r="B1100" s="10" t="s">
        <v>9</v>
      </c>
      <c r="C1100" s="10" t="s">
        <v>170</v>
      </c>
      <c r="D1100" s="10" t="s">
        <v>171</v>
      </c>
      <c r="E1100" s="11" t="str">
        <f>+HYPERLINK("http://trademark.i-assist.jp/data/china/image_1900th/78755982.pdf", "78755982")</f>
        <v>78755982</v>
      </c>
      <c r="F1100" s="10" t="s">
        <v>3199</v>
      </c>
      <c r="G1100" s="10" t="s">
        <v>3200</v>
      </c>
      <c r="H1100" s="10" t="s">
        <v>3201</v>
      </c>
      <c r="I1100" s="10" t="s">
        <v>3088</v>
      </c>
    </row>
    <row r="1101" spans="1:9" x14ac:dyDescent="0.15">
      <c r="A1101" s="9">
        <v>1100</v>
      </c>
      <c r="B1101" s="10" t="s">
        <v>9</v>
      </c>
      <c r="C1101" s="10" t="s">
        <v>170</v>
      </c>
      <c r="D1101" s="10" t="s">
        <v>171</v>
      </c>
      <c r="E1101" s="11" t="str">
        <f>+HYPERLINK("http://trademark.i-assist.jp/data/china/image_1900th/78756016.pdf", "78756016")</f>
        <v>78756016</v>
      </c>
      <c r="F1101" s="10" t="s">
        <v>3202</v>
      </c>
      <c r="G1101" s="10" t="s">
        <v>3203</v>
      </c>
      <c r="H1101" s="10" t="s">
        <v>3204</v>
      </c>
      <c r="I1101" s="10" t="s">
        <v>3088</v>
      </c>
    </row>
    <row r="1102" spans="1:9" x14ac:dyDescent="0.15">
      <c r="A1102" s="9">
        <v>1101</v>
      </c>
      <c r="B1102" s="10" t="s">
        <v>9</v>
      </c>
      <c r="C1102" s="10" t="s">
        <v>170</v>
      </c>
      <c r="D1102" s="10" t="s">
        <v>171</v>
      </c>
      <c r="E1102" s="11" t="str">
        <f>+HYPERLINK("http://trademark.i-assist.jp/data/china/image_1900th/78756315.pdf", "78756315")</f>
        <v>78756315</v>
      </c>
      <c r="F1102" s="10" t="s">
        <v>3205</v>
      </c>
      <c r="G1102" s="10" t="s">
        <v>3206</v>
      </c>
      <c r="H1102" s="10" t="s">
        <v>3207</v>
      </c>
      <c r="I1102" s="10" t="s">
        <v>3088</v>
      </c>
    </row>
    <row r="1103" spans="1:9" x14ac:dyDescent="0.15">
      <c r="A1103" s="9">
        <v>1102</v>
      </c>
      <c r="B1103" s="10" t="s">
        <v>9</v>
      </c>
      <c r="C1103" s="10" t="s">
        <v>170</v>
      </c>
      <c r="D1103" s="10" t="s">
        <v>171</v>
      </c>
      <c r="E1103" s="11" t="str">
        <f>+HYPERLINK("http://trademark.i-assist.jp/data/china/image_1900th/78756400.pdf", "78756400")</f>
        <v>78756400</v>
      </c>
      <c r="F1103" s="10" t="s">
        <v>3208</v>
      </c>
      <c r="G1103" s="10" t="s">
        <v>3209</v>
      </c>
      <c r="H1103" s="10" t="s">
        <v>3210</v>
      </c>
      <c r="I1103" s="10" t="s">
        <v>3088</v>
      </c>
    </row>
    <row r="1104" spans="1:9" x14ac:dyDescent="0.15">
      <c r="A1104" s="9">
        <v>1103</v>
      </c>
      <c r="B1104" s="10" t="s">
        <v>9</v>
      </c>
      <c r="C1104" s="10" t="s">
        <v>170</v>
      </c>
      <c r="D1104" s="10" t="s">
        <v>171</v>
      </c>
      <c r="E1104" s="11" t="str">
        <f>+HYPERLINK("http://trademark.i-assist.jp/data/china/image_1900th/78756589.pdf", "78756589")</f>
        <v>78756589</v>
      </c>
      <c r="F1104" s="10" t="s">
        <v>3211</v>
      </c>
      <c r="G1104" s="10" t="s">
        <v>3212</v>
      </c>
      <c r="H1104" s="10" t="s">
        <v>3213</v>
      </c>
      <c r="I1104" s="10" t="s">
        <v>3088</v>
      </c>
    </row>
    <row r="1105" spans="1:9" x14ac:dyDescent="0.15">
      <c r="A1105" s="9">
        <v>1104</v>
      </c>
      <c r="B1105" s="10" t="s">
        <v>9</v>
      </c>
      <c r="C1105" s="10" t="s">
        <v>170</v>
      </c>
      <c r="D1105" s="10" t="s">
        <v>171</v>
      </c>
      <c r="E1105" s="11" t="str">
        <f>+HYPERLINK("http://trademark.i-assist.jp/data/china/image_1900th/78756632.pdf", "78756632")</f>
        <v>78756632</v>
      </c>
      <c r="F1105" s="10" t="s">
        <v>3214</v>
      </c>
      <c r="G1105" s="10" t="s">
        <v>3215</v>
      </c>
      <c r="H1105" s="10" t="s">
        <v>3216</v>
      </c>
      <c r="I1105" s="10" t="s">
        <v>3088</v>
      </c>
    </row>
    <row r="1106" spans="1:9" x14ac:dyDescent="0.15">
      <c r="A1106" s="9">
        <v>1105</v>
      </c>
      <c r="B1106" s="10" t="s">
        <v>9</v>
      </c>
      <c r="C1106" s="10" t="s">
        <v>170</v>
      </c>
      <c r="D1106" s="10" t="s">
        <v>171</v>
      </c>
      <c r="E1106" s="11" t="str">
        <f>+HYPERLINK("http://trademark.i-assist.jp/data/china/image_1900th/78757132.pdf", "78757132")</f>
        <v>78757132</v>
      </c>
      <c r="F1106" s="10" t="s">
        <v>3217</v>
      </c>
      <c r="G1106" s="10" t="s">
        <v>3218</v>
      </c>
      <c r="H1106" s="10" t="s">
        <v>3219</v>
      </c>
      <c r="I1106" s="10" t="s">
        <v>3088</v>
      </c>
    </row>
    <row r="1107" spans="1:9" x14ac:dyDescent="0.15">
      <c r="A1107" s="9">
        <v>1106</v>
      </c>
      <c r="B1107" s="10" t="s">
        <v>9</v>
      </c>
      <c r="C1107" s="10" t="s">
        <v>170</v>
      </c>
      <c r="D1107" s="10" t="s">
        <v>171</v>
      </c>
      <c r="E1107" s="11" t="str">
        <f>+HYPERLINK("http://trademark.i-assist.jp/data/china/image_1900th/78757437.pdf", "78757437")</f>
        <v>78757437</v>
      </c>
      <c r="F1107" s="10" t="s">
        <v>3220</v>
      </c>
      <c r="G1107" s="10" t="s">
        <v>3221</v>
      </c>
      <c r="H1107" s="10" t="s">
        <v>3222</v>
      </c>
      <c r="I1107" s="10" t="s">
        <v>3088</v>
      </c>
    </row>
    <row r="1108" spans="1:9" x14ac:dyDescent="0.15">
      <c r="A1108" s="9">
        <v>1107</v>
      </c>
      <c r="B1108" s="10" t="s">
        <v>9</v>
      </c>
      <c r="C1108" s="10" t="s">
        <v>170</v>
      </c>
      <c r="D1108" s="10" t="s">
        <v>171</v>
      </c>
      <c r="E1108" s="11" t="str">
        <f>+HYPERLINK("http://trademark.i-assist.jp/data/china/image_1900th/78757478.pdf", "78757478")</f>
        <v>78757478</v>
      </c>
      <c r="F1108" s="10" t="s">
        <v>3223</v>
      </c>
      <c r="G1108" s="10" t="s">
        <v>3224</v>
      </c>
      <c r="H1108" s="10" t="s">
        <v>3225</v>
      </c>
      <c r="I1108" s="10" t="s">
        <v>3088</v>
      </c>
    </row>
    <row r="1109" spans="1:9" x14ac:dyDescent="0.15">
      <c r="A1109" s="9">
        <v>1108</v>
      </c>
      <c r="B1109" s="10" t="s">
        <v>9</v>
      </c>
      <c r="C1109" s="10" t="s">
        <v>170</v>
      </c>
      <c r="D1109" s="10" t="s">
        <v>171</v>
      </c>
      <c r="E1109" s="11" t="str">
        <f>+HYPERLINK("http://trademark.i-assist.jp/data/china/image_1900th/78757512.pdf", "78757512")</f>
        <v>78757512</v>
      </c>
      <c r="F1109" s="10" t="s">
        <v>3226</v>
      </c>
      <c r="G1109" s="10" t="s">
        <v>3227</v>
      </c>
      <c r="H1109" s="10" t="s">
        <v>3228</v>
      </c>
      <c r="I1109" s="10" t="s">
        <v>3088</v>
      </c>
    </row>
    <row r="1110" spans="1:9" x14ac:dyDescent="0.15">
      <c r="A1110" s="9">
        <v>1109</v>
      </c>
      <c r="B1110" s="10" t="s">
        <v>9</v>
      </c>
      <c r="C1110" s="10" t="s">
        <v>170</v>
      </c>
      <c r="D1110" s="10" t="s">
        <v>171</v>
      </c>
      <c r="E1110" s="11" t="str">
        <f>+HYPERLINK("http://trademark.i-assist.jp/data/china/image_1900th/78757595.pdf", "78757595")</f>
        <v>78757595</v>
      </c>
      <c r="F1110" s="10" t="s">
        <v>3229</v>
      </c>
      <c r="G1110" s="10" t="s">
        <v>3230</v>
      </c>
      <c r="H1110" s="10" t="s">
        <v>3231</v>
      </c>
      <c r="I1110" s="10" t="s">
        <v>3088</v>
      </c>
    </row>
    <row r="1111" spans="1:9" x14ac:dyDescent="0.15">
      <c r="A1111" s="9">
        <v>1110</v>
      </c>
      <c r="B1111" s="10" t="s">
        <v>9</v>
      </c>
      <c r="C1111" s="10" t="s">
        <v>170</v>
      </c>
      <c r="D1111" s="10" t="s">
        <v>171</v>
      </c>
      <c r="E1111" s="11" t="str">
        <f>+HYPERLINK("http://trademark.i-assist.jp/data/china/image_1900th/78757646.pdf", "78757646")</f>
        <v>78757646</v>
      </c>
      <c r="F1111" s="10" t="s">
        <v>3232</v>
      </c>
      <c r="G1111" s="10" t="s">
        <v>3233</v>
      </c>
      <c r="H1111" s="10" t="s">
        <v>3234</v>
      </c>
      <c r="I1111" s="10" t="s">
        <v>3088</v>
      </c>
    </row>
    <row r="1112" spans="1:9" x14ac:dyDescent="0.15">
      <c r="A1112" s="9">
        <v>1111</v>
      </c>
      <c r="B1112" s="10" t="s">
        <v>9</v>
      </c>
      <c r="C1112" s="10" t="s">
        <v>170</v>
      </c>
      <c r="D1112" s="10" t="s">
        <v>171</v>
      </c>
      <c r="E1112" s="11" t="str">
        <f>+HYPERLINK("http://trademark.i-assist.jp/data/china/image_1900th/78757657.pdf", "78757657")</f>
        <v>78757657</v>
      </c>
      <c r="F1112" s="10" t="s">
        <v>3235</v>
      </c>
      <c r="G1112" s="10" t="s">
        <v>3236</v>
      </c>
      <c r="H1112" s="10" t="s">
        <v>3237</v>
      </c>
      <c r="I1112" s="10" t="s">
        <v>3088</v>
      </c>
    </row>
    <row r="1113" spans="1:9" x14ac:dyDescent="0.15">
      <c r="A1113" s="9">
        <v>1112</v>
      </c>
      <c r="B1113" s="10" t="s">
        <v>9</v>
      </c>
      <c r="C1113" s="10" t="s">
        <v>170</v>
      </c>
      <c r="D1113" s="10" t="s">
        <v>171</v>
      </c>
      <c r="E1113" s="11" t="str">
        <f>+HYPERLINK("http://trademark.i-assist.jp/data/china/image_1900th/78757826.pdf", "78757826")</f>
        <v>78757826</v>
      </c>
      <c r="F1113" s="10" t="s">
        <v>3238</v>
      </c>
      <c r="G1113" s="10" t="s">
        <v>3239</v>
      </c>
      <c r="H1113" s="10" t="s">
        <v>3240</v>
      </c>
      <c r="I1113" s="10" t="s">
        <v>3088</v>
      </c>
    </row>
    <row r="1114" spans="1:9" x14ac:dyDescent="0.15">
      <c r="A1114" s="9">
        <v>1113</v>
      </c>
      <c r="B1114" s="10" t="s">
        <v>9</v>
      </c>
      <c r="C1114" s="10" t="s">
        <v>170</v>
      </c>
      <c r="D1114" s="10" t="s">
        <v>171</v>
      </c>
      <c r="E1114" s="11" t="str">
        <f>+HYPERLINK("http://trademark.i-assist.jp/data/china/image_1900th/78758003.pdf", "78758003")</f>
        <v>78758003</v>
      </c>
      <c r="F1114" s="10" t="s">
        <v>3241</v>
      </c>
      <c r="G1114" s="10" t="s">
        <v>3242</v>
      </c>
      <c r="H1114" s="10" t="s">
        <v>3243</v>
      </c>
      <c r="I1114" s="10" t="s">
        <v>3088</v>
      </c>
    </row>
    <row r="1115" spans="1:9" x14ac:dyDescent="0.15">
      <c r="A1115" s="9">
        <v>1114</v>
      </c>
      <c r="B1115" s="10" t="s">
        <v>9</v>
      </c>
      <c r="C1115" s="10" t="s">
        <v>170</v>
      </c>
      <c r="D1115" s="10" t="s">
        <v>171</v>
      </c>
      <c r="E1115" s="11" t="str">
        <f>+HYPERLINK("http://trademark.i-assist.jp/data/china/image_1900th/78758105.pdf", "78758105")</f>
        <v>78758105</v>
      </c>
      <c r="F1115" s="10" t="s">
        <v>3244</v>
      </c>
      <c r="G1115" s="10" t="s">
        <v>3245</v>
      </c>
      <c r="H1115" s="10" t="s">
        <v>3246</v>
      </c>
      <c r="I1115" s="10" t="s">
        <v>3088</v>
      </c>
    </row>
    <row r="1116" spans="1:9" x14ac:dyDescent="0.15">
      <c r="A1116" s="9">
        <v>1115</v>
      </c>
      <c r="B1116" s="10" t="s">
        <v>9</v>
      </c>
      <c r="C1116" s="10" t="s">
        <v>170</v>
      </c>
      <c r="D1116" s="10" t="s">
        <v>171</v>
      </c>
      <c r="E1116" s="11" t="str">
        <f>+HYPERLINK("http://trademark.i-assist.jp/data/china/image_1900th/78758144.pdf", "78758144")</f>
        <v>78758144</v>
      </c>
      <c r="F1116" s="10" t="s">
        <v>3247</v>
      </c>
      <c r="G1116" s="10" t="s">
        <v>3248</v>
      </c>
      <c r="H1116" s="10" t="s">
        <v>3249</v>
      </c>
      <c r="I1116" s="10" t="s">
        <v>3088</v>
      </c>
    </row>
    <row r="1117" spans="1:9" x14ac:dyDescent="0.15">
      <c r="A1117" s="9">
        <v>1116</v>
      </c>
      <c r="B1117" s="10" t="s">
        <v>9</v>
      </c>
      <c r="C1117" s="10" t="s">
        <v>170</v>
      </c>
      <c r="D1117" s="10" t="s">
        <v>171</v>
      </c>
      <c r="E1117" s="11" t="str">
        <f>+HYPERLINK("http://trademark.i-assist.jp/data/china/image_1900th/78758344.pdf", "78758344")</f>
        <v>78758344</v>
      </c>
      <c r="F1117" s="10" t="s">
        <v>3250</v>
      </c>
      <c r="G1117" s="10" t="s">
        <v>3251</v>
      </c>
      <c r="H1117" s="10" t="s">
        <v>3252</v>
      </c>
      <c r="I1117" s="10" t="s">
        <v>3088</v>
      </c>
    </row>
    <row r="1118" spans="1:9" x14ac:dyDescent="0.15">
      <c r="A1118" s="9">
        <v>1117</v>
      </c>
      <c r="B1118" s="10" t="s">
        <v>9</v>
      </c>
      <c r="C1118" s="10" t="s">
        <v>170</v>
      </c>
      <c r="D1118" s="10" t="s">
        <v>171</v>
      </c>
      <c r="E1118" s="11" t="str">
        <f>+HYPERLINK("http://trademark.i-assist.jp/data/china/image_1900th/78758391.pdf", "78758391")</f>
        <v>78758391</v>
      </c>
      <c r="F1118" s="10" t="s">
        <v>3253</v>
      </c>
      <c r="G1118" s="10" t="s">
        <v>112</v>
      </c>
      <c r="H1118" s="10" t="s">
        <v>3254</v>
      </c>
      <c r="I1118" s="10" t="s">
        <v>3088</v>
      </c>
    </row>
    <row r="1119" spans="1:9" x14ac:dyDescent="0.15">
      <c r="A1119" s="9">
        <v>1118</v>
      </c>
      <c r="B1119" s="10" t="s">
        <v>9</v>
      </c>
      <c r="C1119" s="10" t="s">
        <v>170</v>
      </c>
      <c r="D1119" s="10" t="s">
        <v>171</v>
      </c>
      <c r="E1119" s="11" t="str">
        <f>+HYPERLINK("http://trademark.i-assist.jp/data/china/image_1900th/78758471.pdf", "78758471")</f>
        <v>78758471</v>
      </c>
      <c r="F1119" s="10" t="s">
        <v>3255</v>
      </c>
      <c r="G1119" s="10" t="s">
        <v>3256</v>
      </c>
      <c r="H1119" s="10" t="s">
        <v>3257</v>
      </c>
      <c r="I1119" s="10" t="s">
        <v>3088</v>
      </c>
    </row>
    <row r="1120" spans="1:9" x14ac:dyDescent="0.15">
      <c r="A1120" s="9">
        <v>1119</v>
      </c>
      <c r="B1120" s="10" t="s">
        <v>9</v>
      </c>
      <c r="C1120" s="10" t="s">
        <v>170</v>
      </c>
      <c r="D1120" s="10" t="s">
        <v>171</v>
      </c>
      <c r="E1120" s="11" t="str">
        <f>+HYPERLINK("http://trademark.i-assist.jp/data/china/image_1900th/78758516.pdf", "78758516")</f>
        <v>78758516</v>
      </c>
      <c r="F1120" s="10" t="s">
        <v>3258</v>
      </c>
      <c r="G1120" s="10" t="s">
        <v>3259</v>
      </c>
      <c r="H1120" s="10" t="s">
        <v>3260</v>
      </c>
      <c r="I1120" s="10" t="s">
        <v>3088</v>
      </c>
    </row>
    <row r="1121" spans="1:9" x14ac:dyDescent="0.15">
      <c r="A1121" s="9">
        <v>1120</v>
      </c>
      <c r="B1121" s="10" t="s">
        <v>9</v>
      </c>
      <c r="C1121" s="10" t="s">
        <v>170</v>
      </c>
      <c r="D1121" s="10" t="s">
        <v>171</v>
      </c>
      <c r="E1121" s="11" t="str">
        <f>+HYPERLINK("http://trademark.i-assist.jp/data/china/image_1900th/78758809.pdf", "78758809")</f>
        <v>78758809</v>
      </c>
      <c r="F1121" s="10" t="s">
        <v>3261</v>
      </c>
      <c r="G1121" s="10" t="s">
        <v>3262</v>
      </c>
      <c r="H1121" s="10" t="s">
        <v>3263</v>
      </c>
      <c r="I1121" s="10" t="s">
        <v>3088</v>
      </c>
    </row>
    <row r="1122" spans="1:9" x14ac:dyDescent="0.15">
      <c r="A1122" s="9">
        <v>1121</v>
      </c>
      <c r="B1122" s="10" t="s">
        <v>9</v>
      </c>
      <c r="C1122" s="10" t="s">
        <v>170</v>
      </c>
      <c r="D1122" s="10" t="s">
        <v>171</v>
      </c>
      <c r="E1122" s="11" t="str">
        <f>+HYPERLINK("http://trademark.i-assist.jp/data/china/image_1900th/78759357.pdf", "78759357")</f>
        <v>78759357</v>
      </c>
      <c r="F1122" s="10" t="s">
        <v>3264</v>
      </c>
      <c r="G1122" s="10" t="s">
        <v>3265</v>
      </c>
      <c r="H1122" s="10" t="s">
        <v>3266</v>
      </c>
      <c r="I1122" s="10" t="s">
        <v>3088</v>
      </c>
    </row>
    <row r="1123" spans="1:9" x14ac:dyDescent="0.15">
      <c r="A1123" s="9">
        <v>1122</v>
      </c>
      <c r="B1123" s="10" t="s">
        <v>9</v>
      </c>
      <c r="C1123" s="10" t="s">
        <v>170</v>
      </c>
      <c r="D1123" s="10" t="s">
        <v>171</v>
      </c>
      <c r="E1123" s="11" t="str">
        <f>+HYPERLINK("http://trademark.i-assist.jp/data/china/image_1900th/78759580.pdf", "78759580")</f>
        <v>78759580</v>
      </c>
      <c r="F1123" s="10" t="s">
        <v>3267</v>
      </c>
      <c r="G1123" s="10" t="s">
        <v>3268</v>
      </c>
      <c r="H1123" s="10" t="s">
        <v>17</v>
      </c>
      <c r="I1123" s="10" t="s">
        <v>3088</v>
      </c>
    </row>
    <row r="1124" spans="1:9" x14ac:dyDescent="0.15">
      <c r="A1124" s="9">
        <v>1123</v>
      </c>
      <c r="B1124" s="10" t="s">
        <v>9</v>
      </c>
      <c r="C1124" s="10" t="s">
        <v>170</v>
      </c>
      <c r="D1124" s="10" t="s">
        <v>171</v>
      </c>
      <c r="E1124" s="11" t="str">
        <f>+HYPERLINK("http://trademark.i-assist.jp/data/china/image_1900th/78759945.pdf", "78759945")</f>
        <v>78759945</v>
      </c>
      <c r="F1124" s="10" t="s">
        <v>3269</v>
      </c>
      <c r="G1124" s="10" t="s">
        <v>3270</v>
      </c>
      <c r="H1124" s="10" t="s">
        <v>30</v>
      </c>
      <c r="I1124" s="10" t="s">
        <v>3088</v>
      </c>
    </row>
    <row r="1125" spans="1:9" x14ac:dyDescent="0.15">
      <c r="A1125" s="9">
        <v>1124</v>
      </c>
      <c r="B1125" s="10" t="s">
        <v>9</v>
      </c>
      <c r="C1125" s="10" t="s">
        <v>170</v>
      </c>
      <c r="D1125" s="10" t="s">
        <v>171</v>
      </c>
      <c r="E1125" s="11" t="str">
        <f>+HYPERLINK("http://trademark.i-assist.jp/data/china/image_1900th/78760052.pdf", "78760052")</f>
        <v>78760052</v>
      </c>
      <c r="F1125" s="10" t="s">
        <v>3271</v>
      </c>
      <c r="G1125" s="10" t="s">
        <v>3272</v>
      </c>
      <c r="H1125" s="10" t="s">
        <v>3273</v>
      </c>
      <c r="I1125" s="10" t="s">
        <v>3088</v>
      </c>
    </row>
    <row r="1126" spans="1:9" x14ac:dyDescent="0.15">
      <c r="A1126" s="9">
        <v>1125</v>
      </c>
      <c r="B1126" s="10" t="s">
        <v>9</v>
      </c>
      <c r="C1126" s="10" t="s">
        <v>170</v>
      </c>
      <c r="D1126" s="10" t="s">
        <v>171</v>
      </c>
      <c r="E1126" s="11" t="str">
        <f>+HYPERLINK("http://trademark.i-assist.jp/data/china/image_1900th/78760817.pdf", "78760817")</f>
        <v>78760817</v>
      </c>
      <c r="F1126" s="10" t="s">
        <v>3274</v>
      </c>
      <c r="G1126" s="10" t="s">
        <v>3275</v>
      </c>
      <c r="H1126" s="10" t="s">
        <v>3276</v>
      </c>
      <c r="I1126" s="10" t="s">
        <v>3088</v>
      </c>
    </row>
    <row r="1127" spans="1:9" x14ac:dyDescent="0.15">
      <c r="A1127" s="9">
        <v>1126</v>
      </c>
      <c r="B1127" s="10" t="s">
        <v>9</v>
      </c>
      <c r="C1127" s="10" t="s">
        <v>170</v>
      </c>
      <c r="D1127" s="10" t="s">
        <v>171</v>
      </c>
      <c r="E1127" s="11" t="str">
        <f>+HYPERLINK("http://trademark.i-assist.jp/data/china/image_1900th/78761048.pdf", "78761048")</f>
        <v>78761048</v>
      </c>
      <c r="F1127" s="10" t="s">
        <v>3277</v>
      </c>
      <c r="G1127" s="10" t="s">
        <v>3086</v>
      </c>
      <c r="H1127" s="10" t="s">
        <v>3278</v>
      </c>
      <c r="I1127" s="10" t="s">
        <v>3088</v>
      </c>
    </row>
    <row r="1128" spans="1:9" x14ac:dyDescent="0.15">
      <c r="A1128" s="9">
        <v>1127</v>
      </c>
      <c r="B1128" s="10" t="s">
        <v>9</v>
      </c>
      <c r="C1128" s="10" t="s">
        <v>170</v>
      </c>
      <c r="D1128" s="10" t="s">
        <v>171</v>
      </c>
      <c r="E1128" s="11" t="str">
        <f>+HYPERLINK("http://trademark.i-assist.jp/data/china/image_1900th/78761059.pdf", "78761059")</f>
        <v>78761059</v>
      </c>
      <c r="F1128" s="10" t="s">
        <v>3279</v>
      </c>
      <c r="G1128" s="10" t="s">
        <v>3086</v>
      </c>
      <c r="H1128" s="10" t="s">
        <v>3278</v>
      </c>
      <c r="I1128" s="10" t="s">
        <v>3088</v>
      </c>
    </row>
    <row r="1129" spans="1:9" x14ac:dyDescent="0.15">
      <c r="A1129" s="9">
        <v>1128</v>
      </c>
      <c r="B1129" s="10" t="s">
        <v>9</v>
      </c>
      <c r="C1129" s="10" t="s">
        <v>170</v>
      </c>
      <c r="D1129" s="10" t="s">
        <v>171</v>
      </c>
      <c r="E1129" s="11" t="str">
        <f>+HYPERLINK("http://trademark.i-assist.jp/data/china/image_1900th/78761078.pdf", "78761078")</f>
        <v>78761078</v>
      </c>
      <c r="F1129" s="10" t="s">
        <v>3280</v>
      </c>
      <c r="G1129" s="10" t="s">
        <v>3281</v>
      </c>
      <c r="H1129" s="10" t="s">
        <v>3282</v>
      </c>
      <c r="I1129" s="10" t="s">
        <v>3088</v>
      </c>
    </row>
    <row r="1130" spans="1:9" x14ac:dyDescent="0.15">
      <c r="A1130" s="9">
        <v>1129</v>
      </c>
      <c r="B1130" s="10" t="s">
        <v>9</v>
      </c>
      <c r="C1130" s="10" t="s">
        <v>170</v>
      </c>
      <c r="D1130" s="10" t="s">
        <v>171</v>
      </c>
      <c r="E1130" s="11" t="str">
        <f>+HYPERLINK("http://trademark.i-assist.jp/data/china/image_1900th/78761163.pdf", "78761163")</f>
        <v>78761163</v>
      </c>
      <c r="F1130" s="10" t="s">
        <v>3283</v>
      </c>
      <c r="G1130" s="10" t="s">
        <v>3284</v>
      </c>
      <c r="H1130" s="10" t="s">
        <v>3285</v>
      </c>
      <c r="I1130" s="10" t="s">
        <v>3088</v>
      </c>
    </row>
    <row r="1131" spans="1:9" x14ac:dyDescent="0.15">
      <c r="A1131" s="9">
        <v>1130</v>
      </c>
      <c r="B1131" s="10" t="s">
        <v>9</v>
      </c>
      <c r="C1131" s="10" t="s">
        <v>170</v>
      </c>
      <c r="D1131" s="10" t="s">
        <v>171</v>
      </c>
      <c r="E1131" s="11" t="str">
        <f>+HYPERLINK("http://trademark.i-assist.jp/data/china/image_1900th/78761201.pdf", "78761201")</f>
        <v>78761201</v>
      </c>
      <c r="F1131" s="10" t="s">
        <v>3286</v>
      </c>
      <c r="G1131" s="10" t="s">
        <v>3242</v>
      </c>
      <c r="H1131" s="10" t="s">
        <v>3287</v>
      </c>
      <c r="I1131" s="10" t="s">
        <v>3088</v>
      </c>
    </row>
    <row r="1132" spans="1:9" x14ac:dyDescent="0.15">
      <c r="A1132" s="9">
        <v>1131</v>
      </c>
      <c r="B1132" s="10" t="s">
        <v>9</v>
      </c>
      <c r="C1132" s="10" t="s">
        <v>170</v>
      </c>
      <c r="D1132" s="10" t="s">
        <v>171</v>
      </c>
      <c r="E1132" s="11" t="str">
        <f>+HYPERLINK("http://trademark.i-assist.jp/data/china/image_1900th/78761536.pdf", "78761536")</f>
        <v>78761536</v>
      </c>
      <c r="F1132" s="10" t="s">
        <v>3288</v>
      </c>
      <c r="G1132" s="10" t="s">
        <v>3289</v>
      </c>
      <c r="H1132" s="10" t="s">
        <v>3290</v>
      </c>
      <c r="I1132" s="10" t="s">
        <v>3088</v>
      </c>
    </row>
    <row r="1133" spans="1:9" x14ac:dyDescent="0.15">
      <c r="A1133" s="9">
        <v>1132</v>
      </c>
      <c r="B1133" s="10" t="s">
        <v>9</v>
      </c>
      <c r="C1133" s="10" t="s">
        <v>170</v>
      </c>
      <c r="D1133" s="10" t="s">
        <v>171</v>
      </c>
      <c r="E1133" s="11" t="str">
        <f>+HYPERLINK("http://trademark.i-assist.jp/data/china/image_1900th/78761572.pdf", "78761572")</f>
        <v>78761572</v>
      </c>
      <c r="F1133" s="10" t="s">
        <v>3291</v>
      </c>
      <c r="G1133" s="10" t="s">
        <v>3292</v>
      </c>
      <c r="H1133" s="10" t="s">
        <v>3293</v>
      </c>
      <c r="I1133" s="10" t="s">
        <v>3088</v>
      </c>
    </row>
    <row r="1134" spans="1:9" x14ac:dyDescent="0.15">
      <c r="A1134" s="9">
        <v>1133</v>
      </c>
      <c r="B1134" s="10" t="s">
        <v>9</v>
      </c>
      <c r="C1134" s="10" t="s">
        <v>170</v>
      </c>
      <c r="D1134" s="10" t="s">
        <v>171</v>
      </c>
      <c r="E1134" s="11" t="str">
        <f>+HYPERLINK("http://trademark.i-assist.jp/data/china/image_1900th/78762238.pdf", "78762238")</f>
        <v>78762238</v>
      </c>
      <c r="F1134" s="10" t="s">
        <v>3294</v>
      </c>
      <c r="G1134" s="10" t="s">
        <v>3295</v>
      </c>
      <c r="H1134" s="10" t="s">
        <v>3296</v>
      </c>
      <c r="I1134" s="10" t="s">
        <v>3088</v>
      </c>
    </row>
    <row r="1135" spans="1:9" x14ac:dyDescent="0.15">
      <c r="A1135" s="9">
        <v>1134</v>
      </c>
      <c r="B1135" s="10" t="s">
        <v>9</v>
      </c>
      <c r="C1135" s="10" t="s">
        <v>170</v>
      </c>
      <c r="D1135" s="10" t="s">
        <v>171</v>
      </c>
      <c r="E1135" s="11" t="str">
        <f>+HYPERLINK("http://trademark.i-assist.jp/data/china/image_1900th/78762313.pdf", "78762313")</f>
        <v>78762313</v>
      </c>
      <c r="F1135" s="10" t="s">
        <v>3297</v>
      </c>
      <c r="G1135" s="10" t="s">
        <v>3298</v>
      </c>
      <c r="H1135" s="10" t="s">
        <v>3299</v>
      </c>
      <c r="I1135" s="10" t="s">
        <v>3088</v>
      </c>
    </row>
    <row r="1136" spans="1:9" x14ac:dyDescent="0.15">
      <c r="A1136" s="9">
        <v>1135</v>
      </c>
      <c r="B1136" s="10" t="s">
        <v>9</v>
      </c>
      <c r="C1136" s="10" t="s">
        <v>170</v>
      </c>
      <c r="D1136" s="10" t="s">
        <v>171</v>
      </c>
      <c r="E1136" s="11" t="str">
        <f>+HYPERLINK("http://trademark.i-assist.jp/data/china/image_1900th/78762692.pdf", "78762692")</f>
        <v>78762692</v>
      </c>
      <c r="F1136" s="10" t="s">
        <v>3300</v>
      </c>
      <c r="G1136" s="10" t="s">
        <v>3301</v>
      </c>
      <c r="H1136" s="10" t="s">
        <v>3302</v>
      </c>
      <c r="I1136" s="10" t="s">
        <v>3088</v>
      </c>
    </row>
    <row r="1137" spans="1:9" x14ac:dyDescent="0.15">
      <c r="A1137" s="9">
        <v>1136</v>
      </c>
      <c r="B1137" s="10" t="s">
        <v>9</v>
      </c>
      <c r="C1137" s="10" t="s">
        <v>170</v>
      </c>
      <c r="D1137" s="10" t="s">
        <v>171</v>
      </c>
      <c r="E1137" s="11" t="str">
        <f>+HYPERLINK("http://trademark.i-assist.jp/data/china/image_1900th/78763133.pdf", "78763133")</f>
        <v>78763133</v>
      </c>
      <c r="F1137" s="10" t="s">
        <v>3303</v>
      </c>
      <c r="G1137" s="10" t="s">
        <v>3304</v>
      </c>
      <c r="H1137" s="10" t="s">
        <v>3305</v>
      </c>
      <c r="I1137" s="10" t="s">
        <v>3088</v>
      </c>
    </row>
    <row r="1138" spans="1:9" x14ac:dyDescent="0.15">
      <c r="A1138" s="9">
        <v>1137</v>
      </c>
      <c r="B1138" s="10" t="s">
        <v>9</v>
      </c>
      <c r="C1138" s="10" t="s">
        <v>170</v>
      </c>
      <c r="D1138" s="10" t="s">
        <v>171</v>
      </c>
      <c r="E1138" s="11" t="str">
        <f>+HYPERLINK("http://trademark.i-assist.jp/data/china/image_1900th/78763564.pdf", "78763564")</f>
        <v>78763564</v>
      </c>
      <c r="F1138" s="10" t="s">
        <v>3306</v>
      </c>
      <c r="G1138" s="10" t="s">
        <v>3227</v>
      </c>
      <c r="H1138" s="10" t="s">
        <v>3307</v>
      </c>
      <c r="I1138" s="10" t="s">
        <v>3088</v>
      </c>
    </row>
    <row r="1139" spans="1:9" x14ac:dyDescent="0.15">
      <c r="A1139" s="9">
        <v>1138</v>
      </c>
      <c r="B1139" s="10" t="s">
        <v>9</v>
      </c>
      <c r="C1139" s="10" t="s">
        <v>170</v>
      </c>
      <c r="D1139" s="10" t="s">
        <v>171</v>
      </c>
      <c r="E1139" s="11" t="str">
        <f>+HYPERLINK("http://trademark.i-assist.jp/data/china/image_1900th/78763637.pdf", "78763637")</f>
        <v>78763637</v>
      </c>
      <c r="F1139" s="10" t="s">
        <v>3308</v>
      </c>
      <c r="G1139" s="10" t="s">
        <v>3101</v>
      </c>
      <c r="H1139" s="10" t="s">
        <v>3309</v>
      </c>
      <c r="I1139" s="10" t="s">
        <v>3088</v>
      </c>
    </row>
    <row r="1140" spans="1:9" x14ac:dyDescent="0.15">
      <c r="A1140" s="9">
        <v>1139</v>
      </c>
      <c r="B1140" s="10" t="s">
        <v>9</v>
      </c>
      <c r="C1140" s="10" t="s">
        <v>170</v>
      </c>
      <c r="D1140" s="10" t="s">
        <v>171</v>
      </c>
      <c r="E1140" s="11" t="str">
        <f>+HYPERLINK("http://trademark.i-assist.jp/data/china/image_1900th/78763884.pdf", "78763884")</f>
        <v>78763884</v>
      </c>
      <c r="F1140" s="10" t="s">
        <v>3310</v>
      </c>
      <c r="G1140" s="10" t="s">
        <v>3218</v>
      </c>
      <c r="H1140" s="10" t="s">
        <v>3311</v>
      </c>
      <c r="I1140" s="10" t="s">
        <v>3088</v>
      </c>
    </row>
    <row r="1141" spans="1:9" x14ac:dyDescent="0.15">
      <c r="A1141" s="9">
        <v>1140</v>
      </c>
      <c r="B1141" s="10" t="s">
        <v>9</v>
      </c>
      <c r="C1141" s="10" t="s">
        <v>170</v>
      </c>
      <c r="D1141" s="10" t="s">
        <v>171</v>
      </c>
      <c r="E1141" s="11" t="str">
        <f>+HYPERLINK("http://trademark.i-assist.jp/data/china/image_1900th/78763941.pdf", "78763941")</f>
        <v>78763941</v>
      </c>
      <c r="F1141" s="10" t="s">
        <v>3312</v>
      </c>
      <c r="G1141" s="10" t="s">
        <v>3313</v>
      </c>
      <c r="H1141" s="10" t="s">
        <v>3314</v>
      </c>
      <c r="I1141" s="10" t="s">
        <v>3088</v>
      </c>
    </row>
    <row r="1142" spans="1:9" x14ac:dyDescent="0.15">
      <c r="A1142" s="9">
        <v>1141</v>
      </c>
      <c r="B1142" s="10" t="s">
        <v>9</v>
      </c>
      <c r="C1142" s="10" t="s">
        <v>170</v>
      </c>
      <c r="D1142" s="10" t="s">
        <v>171</v>
      </c>
      <c r="E1142" s="11" t="str">
        <f>+HYPERLINK("http://trademark.i-assist.jp/data/china/image_1900th/78764136.pdf", "78764136")</f>
        <v>78764136</v>
      </c>
      <c r="F1142" s="10" t="s">
        <v>3315</v>
      </c>
      <c r="G1142" s="10" t="s">
        <v>3316</v>
      </c>
      <c r="H1142" s="10" t="s">
        <v>3317</v>
      </c>
      <c r="I1142" s="10" t="s">
        <v>3088</v>
      </c>
    </row>
    <row r="1143" spans="1:9" x14ac:dyDescent="0.15">
      <c r="A1143" s="9">
        <v>1142</v>
      </c>
      <c r="B1143" s="10" t="s">
        <v>9</v>
      </c>
      <c r="C1143" s="10" t="s">
        <v>170</v>
      </c>
      <c r="D1143" s="10" t="s">
        <v>171</v>
      </c>
      <c r="E1143" s="11" t="str">
        <f>+HYPERLINK("http://trademark.i-assist.jp/data/china/image_1900th/78764316.pdf", "78764316")</f>
        <v>78764316</v>
      </c>
      <c r="F1143" s="10" t="s">
        <v>3318</v>
      </c>
      <c r="G1143" s="10" t="s">
        <v>3319</v>
      </c>
      <c r="H1143" s="10" t="s">
        <v>3320</v>
      </c>
      <c r="I1143" s="10" t="s">
        <v>3088</v>
      </c>
    </row>
    <row r="1144" spans="1:9" x14ac:dyDescent="0.15">
      <c r="A1144" s="9">
        <v>1143</v>
      </c>
      <c r="B1144" s="10" t="s">
        <v>9</v>
      </c>
      <c r="C1144" s="10" t="s">
        <v>170</v>
      </c>
      <c r="D1144" s="10" t="s">
        <v>171</v>
      </c>
      <c r="E1144" s="11" t="str">
        <f>+HYPERLINK("http://trademark.i-assist.jp/data/china/image_1900th/78764459.pdf", "78764459")</f>
        <v>78764459</v>
      </c>
      <c r="F1144" s="10" t="s">
        <v>3321</v>
      </c>
      <c r="G1144" s="10" t="s">
        <v>3322</v>
      </c>
      <c r="H1144" s="10" t="s">
        <v>3323</v>
      </c>
      <c r="I1144" s="10" t="s">
        <v>3088</v>
      </c>
    </row>
    <row r="1145" spans="1:9" x14ac:dyDescent="0.15">
      <c r="A1145" s="9">
        <v>1144</v>
      </c>
      <c r="B1145" s="10" t="s">
        <v>9</v>
      </c>
      <c r="C1145" s="10" t="s">
        <v>170</v>
      </c>
      <c r="D1145" s="10" t="s">
        <v>171</v>
      </c>
      <c r="E1145" s="11" t="str">
        <f>+HYPERLINK("http://trademark.i-assist.jp/data/china/image_1900th/78764605.pdf", "78764605")</f>
        <v>78764605</v>
      </c>
      <c r="F1145" s="10" t="s">
        <v>3324</v>
      </c>
      <c r="G1145" s="10" t="s">
        <v>3325</v>
      </c>
      <c r="H1145" s="10" t="s">
        <v>3326</v>
      </c>
      <c r="I1145" s="10" t="s">
        <v>3088</v>
      </c>
    </row>
    <row r="1146" spans="1:9" x14ac:dyDescent="0.15">
      <c r="A1146" s="9">
        <v>1145</v>
      </c>
      <c r="B1146" s="10" t="s">
        <v>9</v>
      </c>
      <c r="C1146" s="10" t="s">
        <v>170</v>
      </c>
      <c r="D1146" s="10" t="s">
        <v>171</v>
      </c>
      <c r="E1146" s="11" t="str">
        <f>+HYPERLINK("http://trademark.i-assist.jp/data/china/image_1900th/78764721.pdf", "78764721")</f>
        <v>78764721</v>
      </c>
      <c r="F1146" s="10" t="s">
        <v>3327</v>
      </c>
      <c r="G1146" s="10" t="s">
        <v>3328</v>
      </c>
      <c r="H1146" s="10" t="s">
        <v>3329</v>
      </c>
      <c r="I1146" s="10" t="s">
        <v>3088</v>
      </c>
    </row>
    <row r="1147" spans="1:9" x14ac:dyDescent="0.15">
      <c r="A1147" s="9">
        <v>1146</v>
      </c>
      <c r="B1147" s="10" t="s">
        <v>9</v>
      </c>
      <c r="C1147" s="10" t="s">
        <v>170</v>
      </c>
      <c r="D1147" s="10" t="s">
        <v>171</v>
      </c>
      <c r="E1147" s="11" t="str">
        <f>+HYPERLINK("http://trademark.i-assist.jp/data/china/image_1900th/78764808.pdf", "78764808")</f>
        <v>78764808</v>
      </c>
      <c r="F1147" s="10" t="s">
        <v>3330</v>
      </c>
      <c r="G1147" s="10" t="s">
        <v>3215</v>
      </c>
      <c r="H1147" s="10" t="s">
        <v>3331</v>
      </c>
      <c r="I1147" s="10" t="s">
        <v>3088</v>
      </c>
    </row>
    <row r="1148" spans="1:9" x14ac:dyDescent="0.15">
      <c r="A1148" s="9">
        <v>1147</v>
      </c>
      <c r="B1148" s="10" t="s">
        <v>9</v>
      </c>
      <c r="C1148" s="10" t="s">
        <v>170</v>
      </c>
      <c r="D1148" s="10" t="s">
        <v>171</v>
      </c>
      <c r="E1148" s="11" t="str">
        <f>+HYPERLINK("http://trademark.i-assist.jp/data/china/image_1900th/78764916.pdf", "78764916")</f>
        <v>78764916</v>
      </c>
      <c r="F1148" s="10" t="s">
        <v>3332</v>
      </c>
      <c r="G1148" s="10" t="s">
        <v>3218</v>
      </c>
      <c r="H1148" s="10" t="s">
        <v>3333</v>
      </c>
      <c r="I1148" s="10" t="s">
        <v>3088</v>
      </c>
    </row>
    <row r="1149" spans="1:9" x14ac:dyDescent="0.15">
      <c r="A1149" s="9">
        <v>1148</v>
      </c>
      <c r="B1149" s="10" t="s">
        <v>9</v>
      </c>
      <c r="C1149" s="10" t="s">
        <v>170</v>
      </c>
      <c r="D1149" s="10" t="s">
        <v>171</v>
      </c>
      <c r="E1149" s="11" t="str">
        <f>+HYPERLINK("http://trademark.i-assist.jp/data/china/image_1900th/78764964.pdf", "78764964")</f>
        <v>78764964</v>
      </c>
      <c r="F1149" s="10" t="s">
        <v>3334</v>
      </c>
      <c r="G1149" s="10" t="s">
        <v>3335</v>
      </c>
      <c r="H1149" s="10" t="s">
        <v>3336</v>
      </c>
      <c r="I1149" s="10" t="s">
        <v>3088</v>
      </c>
    </row>
    <row r="1150" spans="1:9" x14ac:dyDescent="0.15">
      <c r="A1150" s="9">
        <v>1149</v>
      </c>
      <c r="B1150" s="10" t="s">
        <v>9</v>
      </c>
      <c r="C1150" s="10" t="s">
        <v>170</v>
      </c>
      <c r="D1150" s="10" t="s">
        <v>171</v>
      </c>
      <c r="E1150" s="11" t="str">
        <f>+HYPERLINK("http://trademark.i-assist.jp/data/china/image_1900th/78765016.pdf", "78765016")</f>
        <v>78765016</v>
      </c>
      <c r="F1150" s="10" t="s">
        <v>3337</v>
      </c>
      <c r="G1150" s="10" t="s">
        <v>3338</v>
      </c>
      <c r="H1150" s="10" t="s">
        <v>3339</v>
      </c>
      <c r="I1150" s="10" t="s">
        <v>3088</v>
      </c>
    </row>
    <row r="1151" spans="1:9" x14ac:dyDescent="0.15">
      <c r="A1151" s="9">
        <v>1150</v>
      </c>
      <c r="B1151" s="10" t="s">
        <v>9</v>
      </c>
      <c r="C1151" s="10" t="s">
        <v>170</v>
      </c>
      <c r="D1151" s="10" t="s">
        <v>171</v>
      </c>
      <c r="E1151" s="11" t="str">
        <f>+HYPERLINK("http://trademark.i-assist.jp/data/china/image_1900th/78765026.pdf", "78765026")</f>
        <v>78765026</v>
      </c>
      <c r="F1151" s="10" t="s">
        <v>3340</v>
      </c>
      <c r="G1151" s="10" t="s">
        <v>113</v>
      </c>
      <c r="H1151" s="10" t="s">
        <v>3341</v>
      </c>
      <c r="I1151" s="10" t="s">
        <v>3088</v>
      </c>
    </row>
    <row r="1152" spans="1:9" x14ac:dyDescent="0.15">
      <c r="A1152" s="9">
        <v>1151</v>
      </c>
      <c r="B1152" s="10" t="s">
        <v>9</v>
      </c>
      <c r="C1152" s="10" t="s">
        <v>170</v>
      </c>
      <c r="D1152" s="10" t="s">
        <v>171</v>
      </c>
      <c r="E1152" s="11" t="str">
        <f>+HYPERLINK("http://trademark.i-assist.jp/data/china/image_1900th/78765092.pdf", "78765092")</f>
        <v>78765092</v>
      </c>
      <c r="F1152" s="10" t="s">
        <v>3342</v>
      </c>
      <c r="G1152" s="10" t="s">
        <v>3343</v>
      </c>
      <c r="H1152" s="10" t="s">
        <v>3344</v>
      </c>
      <c r="I1152" s="10" t="s">
        <v>3088</v>
      </c>
    </row>
    <row r="1153" spans="1:9" x14ac:dyDescent="0.15">
      <c r="A1153" s="9">
        <v>1152</v>
      </c>
      <c r="B1153" s="10" t="s">
        <v>9</v>
      </c>
      <c r="C1153" s="10" t="s">
        <v>170</v>
      </c>
      <c r="D1153" s="10" t="s">
        <v>171</v>
      </c>
      <c r="E1153" s="11" t="str">
        <f>+HYPERLINK("http://trademark.i-assist.jp/data/china/image_1900th/78765276.pdf", "78765276")</f>
        <v>78765276</v>
      </c>
      <c r="F1153" s="10" t="s">
        <v>3345</v>
      </c>
      <c r="G1153" s="10" t="s">
        <v>3346</v>
      </c>
      <c r="H1153" s="10" t="s">
        <v>3347</v>
      </c>
      <c r="I1153" s="10" t="s">
        <v>3088</v>
      </c>
    </row>
    <row r="1154" spans="1:9" x14ac:dyDescent="0.15">
      <c r="A1154" s="9">
        <v>1153</v>
      </c>
      <c r="B1154" s="10" t="s">
        <v>9</v>
      </c>
      <c r="C1154" s="10" t="s">
        <v>170</v>
      </c>
      <c r="D1154" s="10" t="s">
        <v>171</v>
      </c>
      <c r="E1154" s="11" t="str">
        <f>+HYPERLINK("http://trademark.i-assist.jp/data/china/image_1900th/78765470.pdf", "78765470")</f>
        <v>78765470</v>
      </c>
      <c r="F1154" s="10" t="s">
        <v>3348</v>
      </c>
      <c r="G1154" s="10" t="s">
        <v>3349</v>
      </c>
      <c r="H1154" s="10" t="s">
        <v>3350</v>
      </c>
      <c r="I1154" s="10" t="s">
        <v>3088</v>
      </c>
    </row>
    <row r="1155" spans="1:9" x14ac:dyDescent="0.15">
      <c r="A1155" s="9">
        <v>1154</v>
      </c>
      <c r="B1155" s="10" t="s">
        <v>9</v>
      </c>
      <c r="C1155" s="10" t="s">
        <v>170</v>
      </c>
      <c r="D1155" s="10" t="s">
        <v>171</v>
      </c>
      <c r="E1155" s="11" t="str">
        <f>+HYPERLINK("http://trademark.i-assist.jp/data/china/image_1900th/78765492.pdf", "78765492")</f>
        <v>78765492</v>
      </c>
      <c r="F1155" s="10" t="s">
        <v>3351</v>
      </c>
      <c r="G1155" s="10" t="s">
        <v>3352</v>
      </c>
      <c r="H1155" s="10" t="s">
        <v>3353</v>
      </c>
      <c r="I1155" s="10" t="s">
        <v>3088</v>
      </c>
    </row>
    <row r="1156" spans="1:9" x14ac:dyDescent="0.15">
      <c r="A1156" s="9">
        <v>1155</v>
      </c>
      <c r="B1156" s="10" t="s">
        <v>9</v>
      </c>
      <c r="C1156" s="10" t="s">
        <v>170</v>
      </c>
      <c r="D1156" s="10" t="s">
        <v>171</v>
      </c>
      <c r="E1156" s="11" t="str">
        <f>+HYPERLINK("http://trademark.i-assist.jp/data/china/image_1900th/78765728.pdf", "78765728")</f>
        <v>78765728</v>
      </c>
      <c r="F1156" s="10" t="s">
        <v>3354</v>
      </c>
      <c r="G1156" s="10" t="s">
        <v>3355</v>
      </c>
      <c r="H1156" s="10" t="s">
        <v>3356</v>
      </c>
      <c r="I1156" s="10" t="s">
        <v>3088</v>
      </c>
    </row>
    <row r="1157" spans="1:9" x14ac:dyDescent="0.15">
      <c r="A1157" s="9">
        <v>1156</v>
      </c>
      <c r="B1157" s="10" t="s">
        <v>9</v>
      </c>
      <c r="C1157" s="10" t="s">
        <v>170</v>
      </c>
      <c r="D1157" s="10" t="s">
        <v>171</v>
      </c>
      <c r="E1157" s="11" t="str">
        <f>+HYPERLINK("http://trademark.i-assist.jp/data/china/image_1900th/78765935.pdf", "78765935")</f>
        <v>78765935</v>
      </c>
      <c r="F1157" s="10" t="s">
        <v>3357</v>
      </c>
      <c r="G1157" s="10" t="s">
        <v>3358</v>
      </c>
      <c r="H1157" s="10" t="s">
        <v>3359</v>
      </c>
      <c r="I1157" s="10" t="s">
        <v>3088</v>
      </c>
    </row>
    <row r="1158" spans="1:9" x14ac:dyDescent="0.15">
      <c r="A1158" s="9">
        <v>1157</v>
      </c>
      <c r="B1158" s="10" t="s">
        <v>9</v>
      </c>
      <c r="C1158" s="10" t="s">
        <v>170</v>
      </c>
      <c r="D1158" s="10" t="s">
        <v>171</v>
      </c>
      <c r="E1158" s="11" t="str">
        <f>+HYPERLINK("http://trademark.i-assist.jp/data/china/image_1900th/78766059.pdf", "78766059")</f>
        <v>78766059</v>
      </c>
      <c r="F1158" s="10" t="s">
        <v>3360</v>
      </c>
      <c r="G1158" s="10" t="s">
        <v>3361</v>
      </c>
      <c r="H1158" s="10" t="s">
        <v>3362</v>
      </c>
      <c r="I1158" s="10" t="s">
        <v>3088</v>
      </c>
    </row>
    <row r="1159" spans="1:9" x14ac:dyDescent="0.15">
      <c r="A1159" s="9">
        <v>1158</v>
      </c>
      <c r="B1159" s="10" t="s">
        <v>9</v>
      </c>
      <c r="C1159" s="10" t="s">
        <v>170</v>
      </c>
      <c r="D1159" s="10" t="s">
        <v>171</v>
      </c>
      <c r="E1159" s="11" t="str">
        <f>+HYPERLINK("http://trademark.i-assist.jp/data/china/image_1900th/78766791.pdf", "78766791")</f>
        <v>78766791</v>
      </c>
      <c r="F1159" s="10" t="s">
        <v>3363</v>
      </c>
      <c r="G1159" s="10" t="s">
        <v>3251</v>
      </c>
      <c r="H1159" s="10" t="s">
        <v>3364</v>
      </c>
      <c r="I1159" s="10" t="s">
        <v>3088</v>
      </c>
    </row>
    <row r="1160" spans="1:9" x14ac:dyDescent="0.15">
      <c r="A1160" s="9">
        <v>1159</v>
      </c>
      <c r="B1160" s="10" t="s">
        <v>9</v>
      </c>
      <c r="C1160" s="10" t="s">
        <v>170</v>
      </c>
      <c r="D1160" s="10" t="s">
        <v>171</v>
      </c>
      <c r="E1160" s="11" t="str">
        <f>+HYPERLINK("http://trademark.i-assist.jp/data/china/image_1900th/78766888.pdf", "78766888")</f>
        <v>78766888</v>
      </c>
      <c r="F1160" s="10" t="s">
        <v>3365</v>
      </c>
      <c r="G1160" s="10" t="s">
        <v>3366</v>
      </c>
      <c r="H1160" s="10" t="s">
        <v>3367</v>
      </c>
      <c r="I1160" s="10" t="s">
        <v>3088</v>
      </c>
    </row>
    <row r="1161" spans="1:9" x14ac:dyDescent="0.15">
      <c r="A1161" s="9">
        <v>1160</v>
      </c>
      <c r="B1161" s="10" t="s">
        <v>9</v>
      </c>
      <c r="C1161" s="10" t="s">
        <v>170</v>
      </c>
      <c r="D1161" s="10" t="s">
        <v>171</v>
      </c>
      <c r="E1161" s="11" t="str">
        <f>+HYPERLINK("http://trademark.i-assist.jp/data/china/image_1900th/78767363.pdf", "78767363")</f>
        <v>78767363</v>
      </c>
      <c r="F1161" s="10" t="s">
        <v>3368</v>
      </c>
      <c r="G1161" s="10" t="s">
        <v>3369</v>
      </c>
      <c r="H1161" s="10" t="s">
        <v>3370</v>
      </c>
      <c r="I1161" s="10" t="s">
        <v>3088</v>
      </c>
    </row>
    <row r="1162" spans="1:9" x14ac:dyDescent="0.15">
      <c r="A1162" s="9">
        <v>1161</v>
      </c>
      <c r="B1162" s="10" t="s">
        <v>9</v>
      </c>
      <c r="C1162" s="10" t="s">
        <v>170</v>
      </c>
      <c r="D1162" s="10" t="s">
        <v>171</v>
      </c>
      <c r="E1162" s="11" t="str">
        <f>+HYPERLINK("http://trademark.i-assist.jp/data/china/image_1900th/78767474.pdf", "78767474")</f>
        <v>78767474</v>
      </c>
      <c r="F1162" s="10" t="s">
        <v>3371</v>
      </c>
      <c r="G1162" s="10" t="s">
        <v>3372</v>
      </c>
      <c r="H1162" s="10" t="s">
        <v>3373</v>
      </c>
      <c r="I1162" s="10" t="s">
        <v>3088</v>
      </c>
    </row>
    <row r="1163" spans="1:9" x14ac:dyDescent="0.15">
      <c r="A1163" s="9">
        <v>1162</v>
      </c>
      <c r="B1163" s="10" t="s">
        <v>9</v>
      </c>
      <c r="C1163" s="10" t="s">
        <v>170</v>
      </c>
      <c r="D1163" s="10" t="s">
        <v>171</v>
      </c>
      <c r="E1163" s="11" t="str">
        <f>+HYPERLINK("http://trademark.i-assist.jp/data/china/image_1900th/78767577.pdf", "78767577")</f>
        <v>78767577</v>
      </c>
      <c r="F1163" s="10" t="s">
        <v>3374</v>
      </c>
      <c r="G1163" s="10" t="s">
        <v>3375</v>
      </c>
      <c r="H1163" s="10" t="s">
        <v>3376</v>
      </c>
      <c r="I1163" s="10" t="s">
        <v>3088</v>
      </c>
    </row>
    <row r="1164" spans="1:9" x14ac:dyDescent="0.15">
      <c r="A1164" s="9">
        <v>1163</v>
      </c>
      <c r="B1164" s="10" t="s">
        <v>9</v>
      </c>
      <c r="C1164" s="10" t="s">
        <v>170</v>
      </c>
      <c r="D1164" s="10" t="s">
        <v>171</v>
      </c>
      <c r="E1164" s="11" t="str">
        <f>+HYPERLINK("http://trademark.i-assist.jp/data/china/image_1900th/78767725.pdf", "78767725")</f>
        <v>78767725</v>
      </c>
      <c r="F1164" s="10" t="s">
        <v>3377</v>
      </c>
      <c r="G1164" s="10" t="s">
        <v>3378</v>
      </c>
      <c r="H1164" s="10" t="s">
        <v>3379</v>
      </c>
      <c r="I1164" s="10" t="s">
        <v>3088</v>
      </c>
    </row>
    <row r="1165" spans="1:9" x14ac:dyDescent="0.15">
      <c r="A1165" s="9">
        <v>1164</v>
      </c>
      <c r="B1165" s="10" t="s">
        <v>9</v>
      </c>
      <c r="C1165" s="10" t="s">
        <v>170</v>
      </c>
      <c r="D1165" s="10" t="s">
        <v>171</v>
      </c>
      <c r="E1165" s="11" t="str">
        <f>+HYPERLINK("http://trademark.i-assist.jp/data/china/image_1900th/78767832.pdf", "78767832")</f>
        <v>78767832</v>
      </c>
      <c r="F1165" s="10" t="s">
        <v>3380</v>
      </c>
      <c r="G1165" s="10" t="s">
        <v>3122</v>
      </c>
      <c r="H1165" s="10" t="s">
        <v>3381</v>
      </c>
      <c r="I1165" s="10" t="s">
        <v>3088</v>
      </c>
    </row>
    <row r="1166" spans="1:9" x14ac:dyDescent="0.15">
      <c r="A1166" s="9">
        <v>1165</v>
      </c>
      <c r="B1166" s="10" t="s">
        <v>9</v>
      </c>
      <c r="C1166" s="10" t="s">
        <v>170</v>
      </c>
      <c r="D1166" s="10" t="s">
        <v>171</v>
      </c>
      <c r="E1166" s="11" t="str">
        <f>+HYPERLINK("http://trademark.i-assist.jp/data/china/image_1900th/78767933.pdf", "78767933")</f>
        <v>78767933</v>
      </c>
      <c r="F1166" s="10" t="s">
        <v>15</v>
      </c>
      <c r="G1166" s="10" t="s">
        <v>3382</v>
      </c>
      <c r="H1166" s="10" t="s">
        <v>3383</v>
      </c>
      <c r="I1166" s="10" t="s">
        <v>3088</v>
      </c>
    </row>
    <row r="1167" spans="1:9" x14ac:dyDescent="0.15">
      <c r="A1167" s="9">
        <v>1166</v>
      </c>
      <c r="B1167" s="10" t="s">
        <v>9</v>
      </c>
      <c r="C1167" s="10" t="s">
        <v>170</v>
      </c>
      <c r="D1167" s="10" t="s">
        <v>171</v>
      </c>
      <c r="E1167" s="11" t="str">
        <f>+HYPERLINK("http://trademark.i-assist.jp/data/china/image_1900th/78768036.pdf", "78768036")</f>
        <v>78768036</v>
      </c>
      <c r="F1167" s="10" t="s">
        <v>3384</v>
      </c>
      <c r="G1167" s="10" t="s">
        <v>3132</v>
      </c>
      <c r="H1167" s="10" t="s">
        <v>3385</v>
      </c>
      <c r="I1167" s="10" t="s">
        <v>3088</v>
      </c>
    </row>
    <row r="1168" spans="1:9" x14ac:dyDescent="0.15">
      <c r="A1168" s="9">
        <v>1167</v>
      </c>
      <c r="B1168" s="10" t="s">
        <v>9</v>
      </c>
      <c r="C1168" s="10" t="s">
        <v>170</v>
      </c>
      <c r="D1168" s="10" t="s">
        <v>171</v>
      </c>
      <c r="E1168" s="11" t="str">
        <f>+HYPERLINK("http://trademark.i-assist.jp/data/china/image_1900th/78768114.pdf", "78768114")</f>
        <v>78768114</v>
      </c>
      <c r="F1168" s="10" t="s">
        <v>3386</v>
      </c>
      <c r="G1168" s="10" t="s">
        <v>3387</v>
      </c>
      <c r="H1168" s="10" t="s">
        <v>3388</v>
      </c>
      <c r="I1168" s="10" t="s">
        <v>3088</v>
      </c>
    </row>
    <row r="1169" spans="1:9" x14ac:dyDescent="0.15">
      <c r="A1169" s="9">
        <v>1168</v>
      </c>
      <c r="B1169" s="10" t="s">
        <v>9</v>
      </c>
      <c r="C1169" s="10" t="s">
        <v>170</v>
      </c>
      <c r="D1169" s="10" t="s">
        <v>171</v>
      </c>
      <c r="E1169" s="11" t="str">
        <f>+HYPERLINK("http://trademark.i-assist.jp/data/china/image_1900th/78768175.pdf", "78768175")</f>
        <v>78768175</v>
      </c>
      <c r="F1169" s="10" t="s">
        <v>3389</v>
      </c>
      <c r="G1169" s="10" t="s">
        <v>3127</v>
      </c>
      <c r="H1169" s="10" t="s">
        <v>3390</v>
      </c>
      <c r="I1169" s="10" t="s">
        <v>3088</v>
      </c>
    </row>
    <row r="1170" spans="1:9" x14ac:dyDescent="0.15">
      <c r="A1170" s="9">
        <v>1169</v>
      </c>
      <c r="B1170" s="10" t="s">
        <v>9</v>
      </c>
      <c r="C1170" s="10" t="s">
        <v>170</v>
      </c>
      <c r="D1170" s="10" t="s">
        <v>171</v>
      </c>
      <c r="E1170" s="11" t="str">
        <f>+HYPERLINK("http://trademark.i-assist.jp/data/china/image_1900th/78768385.pdf", "78768385")</f>
        <v>78768385</v>
      </c>
      <c r="F1170" s="10" t="s">
        <v>3391</v>
      </c>
      <c r="G1170" s="10" t="s">
        <v>3392</v>
      </c>
      <c r="H1170" s="10" t="s">
        <v>3393</v>
      </c>
      <c r="I1170" s="10" t="s">
        <v>3088</v>
      </c>
    </row>
    <row r="1171" spans="1:9" x14ac:dyDescent="0.15">
      <c r="A1171" s="9">
        <v>1170</v>
      </c>
      <c r="B1171" s="10" t="s">
        <v>9</v>
      </c>
      <c r="C1171" s="10" t="s">
        <v>170</v>
      </c>
      <c r="D1171" s="10" t="s">
        <v>171</v>
      </c>
      <c r="E1171" s="11" t="str">
        <f>+HYPERLINK("http://trademark.i-assist.jp/data/china/image_1900th/78768858.pdf", "78768858")</f>
        <v>78768858</v>
      </c>
      <c r="F1171" s="10" t="s">
        <v>3394</v>
      </c>
      <c r="G1171" s="10" t="s">
        <v>3268</v>
      </c>
      <c r="H1171" s="10" t="s">
        <v>17</v>
      </c>
      <c r="I1171" s="10" t="s">
        <v>3088</v>
      </c>
    </row>
    <row r="1172" spans="1:9" x14ac:dyDescent="0.15">
      <c r="A1172" s="9">
        <v>1171</v>
      </c>
      <c r="B1172" s="10" t="s">
        <v>9</v>
      </c>
      <c r="C1172" s="10" t="s">
        <v>170</v>
      </c>
      <c r="D1172" s="10" t="s">
        <v>171</v>
      </c>
      <c r="E1172" s="11" t="str">
        <f>+HYPERLINK("http://trademark.i-assist.jp/data/china/image_1900th/78768949.pdf", "78768949")</f>
        <v>78768949</v>
      </c>
      <c r="F1172" s="10" t="s">
        <v>3395</v>
      </c>
      <c r="G1172" s="10" t="s">
        <v>3396</v>
      </c>
      <c r="H1172" s="10" t="s">
        <v>3397</v>
      </c>
      <c r="I1172" s="10" t="s">
        <v>3088</v>
      </c>
    </row>
    <row r="1173" spans="1:9" x14ac:dyDescent="0.15">
      <c r="A1173" s="9">
        <v>1172</v>
      </c>
      <c r="B1173" s="10" t="s">
        <v>9</v>
      </c>
      <c r="C1173" s="10" t="s">
        <v>170</v>
      </c>
      <c r="D1173" s="10" t="s">
        <v>171</v>
      </c>
      <c r="E1173" s="11" t="str">
        <f>+HYPERLINK("http://trademark.i-assist.jp/data/china/image_1900th/78769182.pdf", "78769182")</f>
        <v>78769182</v>
      </c>
      <c r="F1173" s="10" t="s">
        <v>3398</v>
      </c>
      <c r="G1173" s="10" t="s">
        <v>3399</v>
      </c>
      <c r="H1173" s="10" t="s">
        <v>3400</v>
      </c>
      <c r="I1173" s="10" t="s">
        <v>3088</v>
      </c>
    </row>
    <row r="1174" spans="1:9" x14ac:dyDescent="0.15">
      <c r="A1174" s="9">
        <v>1173</v>
      </c>
      <c r="B1174" s="10" t="s">
        <v>9</v>
      </c>
      <c r="C1174" s="10" t="s">
        <v>170</v>
      </c>
      <c r="D1174" s="10" t="s">
        <v>171</v>
      </c>
      <c r="E1174" s="11" t="str">
        <f>+HYPERLINK("http://trademark.i-assist.jp/data/china/image_1900th/78769228.pdf", "78769228")</f>
        <v>78769228</v>
      </c>
      <c r="F1174" s="10" t="s">
        <v>3401</v>
      </c>
      <c r="G1174" s="10" t="s">
        <v>3402</v>
      </c>
      <c r="H1174" s="10" t="s">
        <v>3403</v>
      </c>
      <c r="I1174" s="10" t="s">
        <v>3088</v>
      </c>
    </row>
    <row r="1175" spans="1:9" x14ac:dyDescent="0.15">
      <c r="A1175" s="9">
        <v>1174</v>
      </c>
      <c r="B1175" s="10" t="s">
        <v>9</v>
      </c>
      <c r="C1175" s="10" t="s">
        <v>170</v>
      </c>
      <c r="D1175" s="10" t="s">
        <v>171</v>
      </c>
      <c r="E1175" s="11" t="str">
        <f>+HYPERLINK("http://trademark.i-assist.jp/data/china/image_1900th/78769693.pdf", "78769693")</f>
        <v>78769693</v>
      </c>
      <c r="F1175" s="10" t="s">
        <v>3404</v>
      </c>
      <c r="G1175" s="10" t="s">
        <v>3338</v>
      </c>
      <c r="H1175" s="10" t="s">
        <v>3405</v>
      </c>
      <c r="I1175" s="10" t="s">
        <v>3088</v>
      </c>
    </row>
    <row r="1176" spans="1:9" x14ac:dyDescent="0.15">
      <c r="A1176" s="9">
        <v>1175</v>
      </c>
      <c r="B1176" s="10" t="s">
        <v>9</v>
      </c>
      <c r="C1176" s="10" t="s">
        <v>170</v>
      </c>
      <c r="D1176" s="10" t="s">
        <v>171</v>
      </c>
      <c r="E1176" s="11" t="str">
        <f>+HYPERLINK("http://trademark.i-assist.jp/data/china/image_1900th/78769776.pdf", "78769776")</f>
        <v>78769776</v>
      </c>
      <c r="F1176" s="10" t="s">
        <v>3406</v>
      </c>
      <c r="G1176" s="10" t="s">
        <v>3407</v>
      </c>
      <c r="H1176" s="10" t="s">
        <v>3408</v>
      </c>
      <c r="I1176" s="10" t="s">
        <v>3088</v>
      </c>
    </row>
    <row r="1177" spans="1:9" x14ac:dyDescent="0.15">
      <c r="A1177" s="9">
        <v>1176</v>
      </c>
      <c r="B1177" s="10" t="s">
        <v>9</v>
      </c>
      <c r="C1177" s="10" t="s">
        <v>170</v>
      </c>
      <c r="D1177" s="10" t="s">
        <v>171</v>
      </c>
      <c r="E1177" s="11" t="str">
        <f>+HYPERLINK("http://trademark.i-assist.jp/data/china/image_1900th/78769965.pdf", "78769965")</f>
        <v>78769965</v>
      </c>
      <c r="F1177" s="10" t="s">
        <v>3409</v>
      </c>
      <c r="G1177" s="10" t="s">
        <v>3289</v>
      </c>
      <c r="H1177" s="10" t="s">
        <v>3410</v>
      </c>
      <c r="I1177" s="10" t="s">
        <v>3088</v>
      </c>
    </row>
    <row r="1178" spans="1:9" x14ac:dyDescent="0.15">
      <c r="A1178" s="9">
        <v>1177</v>
      </c>
      <c r="B1178" s="10" t="s">
        <v>9</v>
      </c>
      <c r="C1178" s="10" t="s">
        <v>170</v>
      </c>
      <c r="D1178" s="10" t="s">
        <v>171</v>
      </c>
      <c r="E1178" s="11" t="str">
        <f>+HYPERLINK("http://trademark.i-assist.jp/data/china/image_1900th/78769994.pdf", "78769994")</f>
        <v>78769994</v>
      </c>
      <c r="F1178" s="10" t="s">
        <v>3411</v>
      </c>
      <c r="G1178" s="10" t="s">
        <v>3412</v>
      </c>
      <c r="H1178" s="10" t="s">
        <v>3413</v>
      </c>
      <c r="I1178" s="10" t="s">
        <v>3088</v>
      </c>
    </row>
    <row r="1179" spans="1:9" x14ac:dyDescent="0.15">
      <c r="A1179" s="9">
        <v>1178</v>
      </c>
      <c r="B1179" s="10" t="s">
        <v>9</v>
      </c>
      <c r="C1179" s="10" t="s">
        <v>170</v>
      </c>
      <c r="D1179" s="10" t="s">
        <v>171</v>
      </c>
      <c r="E1179" s="11" t="str">
        <f>+HYPERLINK("http://trademark.i-assist.jp/data/china/image_1900th/78770146.pdf", "78770146")</f>
        <v>78770146</v>
      </c>
      <c r="F1179" s="10" t="s">
        <v>3414</v>
      </c>
      <c r="G1179" s="10" t="s">
        <v>3415</v>
      </c>
      <c r="H1179" s="10" t="s">
        <v>3416</v>
      </c>
      <c r="I1179" s="10" t="s">
        <v>3088</v>
      </c>
    </row>
    <row r="1180" spans="1:9" x14ac:dyDescent="0.15">
      <c r="A1180" s="9">
        <v>1179</v>
      </c>
      <c r="B1180" s="10" t="s">
        <v>9</v>
      </c>
      <c r="C1180" s="10" t="s">
        <v>170</v>
      </c>
      <c r="D1180" s="10" t="s">
        <v>171</v>
      </c>
      <c r="E1180" s="11" t="str">
        <f>+HYPERLINK("http://trademark.i-assist.jp/data/china/image_1900th/78770268.pdf", "78770268")</f>
        <v>78770268</v>
      </c>
      <c r="F1180" s="10" t="s">
        <v>3417</v>
      </c>
      <c r="G1180" s="10" t="s">
        <v>3418</v>
      </c>
      <c r="H1180" s="10" t="s">
        <v>3419</v>
      </c>
      <c r="I1180" s="10" t="s">
        <v>3088</v>
      </c>
    </row>
    <row r="1181" spans="1:9" x14ac:dyDescent="0.15">
      <c r="A1181" s="9">
        <v>1180</v>
      </c>
      <c r="B1181" s="10" t="s">
        <v>9</v>
      </c>
      <c r="C1181" s="10" t="s">
        <v>170</v>
      </c>
      <c r="D1181" s="10" t="s">
        <v>171</v>
      </c>
      <c r="E1181" s="11" t="str">
        <f>+HYPERLINK("http://trademark.i-assist.jp/data/china/image_1900th/78770290.pdf", "78770290")</f>
        <v>78770290</v>
      </c>
      <c r="F1181" s="10" t="s">
        <v>3420</v>
      </c>
      <c r="G1181" s="10" t="s">
        <v>3421</v>
      </c>
      <c r="H1181" s="10" t="s">
        <v>3422</v>
      </c>
      <c r="I1181" s="10" t="s">
        <v>3088</v>
      </c>
    </row>
    <row r="1182" spans="1:9" x14ac:dyDescent="0.15">
      <c r="A1182" s="9">
        <v>1181</v>
      </c>
      <c r="B1182" s="10" t="s">
        <v>9</v>
      </c>
      <c r="C1182" s="10" t="s">
        <v>170</v>
      </c>
      <c r="D1182" s="10" t="s">
        <v>171</v>
      </c>
      <c r="E1182" s="11" t="str">
        <f>+HYPERLINK("http://trademark.i-assist.jp/data/china/image_1900th/78770738.pdf", "78770738")</f>
        <v>78770738</v>
      </c>
      <c r="F1182" s="10" t="s">
        <v>3423</v>
      </c>
      <c r="G1182" s="10" t="s">
        <v>3424</v>
      </c>
      <c r="H1182" s="10" t="s">
        <v>3425</v>
      </c>
      <c r="I1182" s="10" t="s">
        <v>3088</v>
      </c>
    </row>
    <row r="1183" spans="1:9" x14ac:dyDescent="0.15">
      <c r="A1183" s="9">
        <v>1182</v>
      </c>
      <c r="B1183" s="10" t="s">
        <v>9</v>
      </c>
      <c r="C1183" s="10" t="s">
        <v>170</v>
      </c>
      <c r="D1183" s="10" t="s">
        <v>171</v>
      </c>
      <c r="E1183" s="11" t="str">
        <f>+HYPERLINK("http://trademark.i-assist.jp/data/china/image_1900th/78770960.pdf", "78770960")</f>
        <v>78770960</v>
      </c>
      <c r="F1183" s="10" t="s">
        <v>3426</v>
      </c>
      <c r="G1183" s="10" t="s">
        <v>3427</v>
      </c>
      <c r="H1183" s="10" t="s">
        <v>3428</v>
      </c>
      <c r="I1183" s="10" t="s">
        <v>3088</v>
      </c>
    </row>
    <row r="1184" spans="1:9" x14ac:dyDescent="0.15">
      <c r="A1184" s="9">
        <v>1183</v>
      </c>
      <c r="B1184" s="10" t="s">
        <v>9</v>
      </c>
      <c r="C1184" s="10" t="s">
        <v>170</v>
      </c>
      <c r="D1184" s="10" t="s">
        <v>171</v>
      </c>
      <c r="E1184" s="11" t="str">
        <f>+HYPERLINK("http://trademark.i-assist.jp/data/china/image_1900th/78771109.pdf", "78771109")</f>
        <v>78771109</v>
      </c>
      <c r="F1184" s="10" t="s">
        <v>3429</v>
      </c>
      <c r="G1184" s="10" t="s">
        <v>3430</v>
      </c>
      <c r="H1184" s="10" t="s">
        <v>3431</v>
      </c>
      <c r="I1184" s="10" t="s">
        <v>3088</v>
      </c>
    </row>
    <row r="1185" spans="1:9" x14ac:dyDescent="0.15">
      <c r="A1185" s="9">
        <v>1184</v>
      </c>
      <c r="B1185" s="10" t="s">
        <v>9</v>
      </c>
      <c r="C1185" s="10" t="s">
        <v>170</v>
      </c>
      <c r="D1185" s="10" t="s">
        <v>171</v>
      </c>
      <c r="E1185" s="11" t="str">
        <f>+HYPERLINK("http://trademark.i-assist.jp/data/china/image_1900th/78771327.pdf", "78771327")</f>
        <v>78771327</v>
      </c>
      <c r="F1185" s="10" t="s">
        <v>3432</v>
      </c>
      <c r="G1185" s="10" t="s">
        <v>3352</v>
      </c>
      <c r="H1185" s="10" t="s">
        <v>3433</v>
      </c>
      <c r="I1185" s="10" t="s">
        <v>3088</v>
      </c>
    </row>
    <row r="1186" spans="1:9" x14ac:dyDescent="0.15">
      <c r="A1186" s="9">
        <v>1185</v>
      </c>
      <c r="B1186" s="10" t="s">
        <v>9</v>
      </c>
      <c r="C1186" s="10" t="s">
        <v>170</v>
      </c>
      <c r="D1186" s="10" t="s">
        <v>171</v>
      </c>
      <c r="E1186" s="11" t="str">
        <f>+HYPERLINK("http://trademark.i-assist.jp/data/china/image_1900th/78771391.pdf", "78771391")</f>
        <v>78771391</v>
      </c>
      <c r="F1186" s="10" t="s">
        <v>3434</v>
      </c>
      <c r="G1186" s="10" t="s">
        <v>112</v>
      </c>
      <c r="H1186" s="10" t="s">
        <v>3435</v>
      </c>
      <c r="I1186" s="10" t="s">
        <v>3088</v>
      </c>
    </row>
    <row r="1187" spans="1:9" x14ac:dyDescent="0.15">
      <c r="A1187" s="9">
        <v>1186</v>
      </c>
      <c r="B1187" s="10" t="s">
        <v>9</v>
      </c>
      <c r="C1187" s="10" t="s">
        <v>170</v>
      </c>
      <c r="D1187" s="10" t="s">
        <v>171</v>
      </c>
      <c r="E1187" s="11" t="str">
        <f>+HYPERLINK("http://trademark.i-assist.jp/data/china/image_1900th/78771413.pdf", "78771413")</f>
        <v>78771413</v>
      </c>
      <c r="F1187" s="10" t="s">
        <v>3436</v>
      </c>
      <c r="G1187" s="10" t="s">
        <v>3437</v>
      </c>
      <c r="H1187" s="10" t="s">
        <v>3438</v>
      </c>
      <c r="I1187" s="10" t="s">
        <v>3088</v>
      </c>
    </row>
    <row r="1188" spans="1:9" x14ac:dyDescent="0.15">
      <c r="A1188" s="9">
        <v>1187</v>
      </c>
      <c r="B1188" s="10" t="s">
        <v>9</v>
      </c>
      <c r="C1188" s="10" t="s">
        <v>170</v>
      </c>
      <c r="D1188" s="10" t="s">
        <v>171</v>
      </c>
      <c r="E1188" s="11" t="str">
        <f>+HYPERLINK("http://trademark.i-assist.jp/data/china/image_1900th/78771842.pdf", "78771842")</f>
        <v>78771842</v>
      </c>
      <c r="F1188" s="10" t="s">
        <v>3439</v>
      </c>
      <c r="G1188" s="10" t="s">
        <v>2956</v>
      </c>
      <c r="H1188" s="10" t="s">
        <v>3440</v>
      </c>
      <c r="I1188" s="10" t="s">
        <v>3088</v>
      </c>
    </row>
    <row r="1189" spans="1:9" x14ac:dyDescent="0.15">
      <c r="A1189" s="9">
        <v>1188</v>
      </c>
      <c r="B1189" s="10" t="s">
        <v>9</v>
      </c>
      <c r="C1189" s="10" t="s">
        <v>170</v>
      </c>
      <c r="D1189" s="10" t="s">
        <v>171</v>
      </c>
      <c r="E1189" s="11" t="str">
        <f>+HYPERLINK("http://trademark.i-assist.jp/data/china/image_1900th/78771942.pdf", "78771942")</f>
        <v>78771942</v>
      </c>
      <c r="F1189" s="10" t="s">
        <v>3441</v>
      </c>
      <c r="G1189" s="10" t="s">
        <v>3442</v>
      </c>
      <c r="H1189" s="10" t="s">
        <v>3443</v>
      </c>
      <c r="I1189" s="10" t="s">
        <v>3088</v>
      </c>
    </row>
    <row r="1190" spans="1:9" x14ac:dyDescent="0.15">
      <c r="A1190" s="9">
        <v>1189</v>
      </c>
      <c r="B1190" s="10" t="s">
        <v>9</v>
      </c>
      <c r="C1190" s="10" t="s">
        <v>170</v>
      </c>
      <c r="D1190" s="10" t="s">
        <v>171</v>
      </c>
      <c r="E1190" s="11" t="str">
        <f>+HYPERLINK("http://trademark.i-assist.jp/data/china/image_1900th/78772044.pdf", "78772044")</f>
        <v>78772044</v>
      </c>
      <c r="F1190" s="10" t="s">
        <v>3444</v>
      </c>
      <c r="G1190" s="10" t="s">
        <v>3445</v>
      </c>
      <c r="H1190" s="10" t="s">
        <v>3446</v>
      </c>
      <c r="I1190" s="10" t="s">
        <v>3088</v>
      </c>
    </row>
    <row r="1191" spans="1:9" x14ac:dyDescent="0.15">
      <c r="A1191" s="9">
        <v>1190</v>
      </c>
      <c r="B1191" s="10" t="s">
        <v>9</v>
      </c>
      <c r="C1191" s="10" t="s">
        <v>170</v>
      </c>
      <c r="D1191" s="10" t="s">
        <v>171</v>
      </c>
      <c r="E1191" s="11" t="str">
        <f>+HYPERLINK("http://trademark.i-assist.jp/data/china/image_1900th/78772156.pdf", "78772156")</f>
        <v>78772156</v>
      </c>
      <c r="F1191" s="10" t="s">
        <v>3447</v>
      </c>
      <c r="G1191" s="10" t="s">
        <v>3448</v>
      </c>
      <c r="H1191" s="10" t="s">
        <v>3449</v>
      </c>
      <c r="I1191" s="10" t="s">
        <v>3088</v>
      </c>
    </row>
    <row r="1192" spans="1:9" x14ac:dyDescent="0.15">
      <c r="A1192" s="9">
        <v>1191</v>
      </c>
      <c r="B1192" s="10" t="s">
        <v>9</v>
      </c>
      <c r="C1192" s="10" t="s">
        <v>170</v>
      </c>
      <c r="D1192" s="10" t="s">
        <v>171</v>
      </c>
      <c r="E1192" s="11" t="str">
        <f>+HYPERLINK("http://trademark.i-assist.jp/data/china/image_1900th/78772889.pdf", "78772889")</f>
        <v>78772889</v>
      </c>
      <c r="F1192" s="10" t="s">
        <v>3450</v>
      </c>
      <c r="G1192" s="10" t="s">
        <v>3451</v>
      </c>
      <c r="H1192" s="10" t="s">
        <v>3452</v>
      </c>
      <c r="I1192" s="10" t="s">
        <v>3453</v>
      </c>
    </row>
    <row r="1193" spans="1:9" x14ac:dyDescent="0.15">
      <c r="A1193" s="9">
        <v>1192</v>
      </c>
      <c r="B1193" s="10" t="s">
        <v>9</v>
      </c>
      <c r="C1193" s="10" t="s">
        <v>170</v>
      </c>
      <c r="D1193" s="10" t="s">
        <v>171</v>
      </c>
      <c r="E1193" s="11" t="str">
        <f>+HYPERLINK("http://trademark.i-assist.jp/data/china/image_1900th/78773147.pdf", "78773147")</f>
        <v>78773147</v>
      </c>
      <c r="F1193" s="10" t="s">
        <v>3454</v>
      </c>
      <c r="G1193" s="10" t="s">
        <v>3455</v>
      </c>
      <c r="H1193" s="10" t="s">
        <v>3456</v>
      </c>
      <c r="I1193" s="10" t="s">
        <v>3453</v>
      </c>
    </row>
    <row r="1194" spans="1:9" x14ac:dyDescent="0.15">
      <c r="A1194" s="9">
        <v>1193</v>
      </c>
      <c r="B1194" s="10" t="s">
        <v>9</v>
      </c>
      <c r="C1194" s="10" t="s">
        <v>170</v>
      </c>
      <c r="D1194" s="10" t="s">
        <v>171</v>
      </c>
      <c r="E1194" s="11" t="str">
        <f>+HYPERLINK("http://trademark.i-assist.jp/data/china/image_1900th/78773175.pdf", "78773175")</f>
        <v>78773175</v>
      </c>
      <c r="F1194" s="10" t="s">
        <v>3457</v>
      </c>
      <c r="G1194" s="10" t="s">
        <v>3458</v>
      </c>
      <c r="H1194" s="10" t="s">
        <v>3459</v>
      </c>
      <c r="I1194" s="10" t="s">
        <v>3453</v>
      </c>
    </row>
    <row r="1195" spans="1:9" x14ac:dyDescent="0.15">
      <c r="A1195" s="9">
        <v>1194</v>
      </c>
      <c r="B1195" s="10" t="s">
        <v>9</v>
      </c>
      <c r="C1195" s="10" t="s">
        <v>170</v>
      </c>
      <c r="D1195" s="10" t="s">
        <v>171</v>
      </c>
      <c r="E1195" s="11" t="str">
        <f>+HYPERLINK("http://trademark.i-assist.jp/data/china/image_1900th/78773192.pdf", "78773192")</f>
        <v>78773192</v>
      </c>
      <c r="F1195" s="10" t="s">
        <v>3460</v>
      </c>
      <c r="G1195" s="10" t="s">
        <v>3461</v>
      </c>
      <c r="H1195" s="10" t="s">
        <v>3462</v>
      </c>
      <c r="I1195" s="10" t="s">
        <v>3453</v>
      </c>
    </row>
    <row r="1196" spans="1:9" x14ac:dyDescent="0.15">
      <c r="A1196" s="9">
        <v>1195</v>
      </c>
      <c r="B1196" s="10" t="s">
        <v>9</v>
      </c>
      <c r="C1196" s="10" t="s">
        <v>170</v>
      </c>
      <c r="D1196" s="10" t="s">
        <v>171</v>
      </c>
      <c r="E1196" s="11" t="str">
        <f>+HYPERLINK("http://trademark.i-assist.jp/data/china/image_1900th/78773321.pdf", "78773321")</f>
        <v>78773321</v>
      </c>
      <c r="F1196" s="10" t="s">
        <v>3463</v>
      </c>
      <c r="G1196" s="10" t="s">
        <v>3464</v>
      </c>
      <c r="H1196" s="10" t="s">
        <v>3465</v>
      </c>
      <c r="I1196" s="10" t="s">
        <v>3453</v>
      </c>
    </row>
    <row r="1197" spans="1:9" x14ac:dyDescent="0.15">
      <c r="A1197" s="9">
        <v>1196</v>
      </c>
      <c r="B1197" s="10" t="s">
        <v>9</v>
      </c>
      <c r="C1197" s="10" t="s">
        <v>170</v>
      </c>
      <c r="D1197" s="10" t="s">
        <v>171</v>
      </c>
      <c r="E1197" s="11" t="str">
        <f>+HYPERLINK("http://trademark.i-assist.jp/data/china/image_1900th/78773326.pdf", "78773326")</f>
        <v>78773326</v>
      </c>
      <c r="F1197" s="10" t="s">
        <v>3466</v>
      </c>
      <c r="G1197" s="10" t="s">
        <v>3467</v>
      </c>
      <c r="H1197" s="10" t="s">
        <v>3468</v>
      </c>
      <c r="I1197" s="10" t="s">
        <v>3453</v>
      </c>
    </row>
    <row r="1198" spans="1:9" x14ac:dyDescent="0.15">
      <c r="A1198" s="9">
        <v>1197</v>
      </c>
      <c r="B1198" s="10" t="s">
        <v>9</v>
      </c>
      <c r="C1198" s="10" t="s">
        <v>170</v>
      </c>
      <c r="D1198" s="10" t="s">
        <v>171</v>
      </c>
      <c r="E1198" s="11" t="str">
        <f>+HYPERLINK("http://trademark.i-assist.jp/data/china/image_1900th/78773613.pdf", "78773613")</f>
        <v>78773613</v>
      </c>
      <c r="F1198" s="10" t="s">
        <v>3469</v>
      </c>
      <c r="G1198" s="10" t="s">
        <v>3470</v>
      </c>
      <c r="H1198" s="10" t="s">
        <v>3471</v>
      </c>
      <c r="I1198" s="10" t="s">
        <v>3453</v>
      </c>
    </row>
    <row r="1199" spans="1:9" x14ac:dyDescent="0.15">
      <c r="A1199" s="9">
        <v>1198</v>
      </c>
      <c r="B1199" s="10" t="s">
        <v>9</v>
      </c>
      <c r="C1199" s="10" t="s">
        <v>170</v>
      </c>
      <c r="D1199" s="10" t="s">
        <v>171</v>
      </c>
      <c r="E1199" s="11" t="str">
        <f>+HYPERLINK("http://trademark.i-assist.jp/data/china/image_1900th/78773699.pdf", "78773699")</f>
        <v>78773699</v>
      </c>
      <c r="F1199" s="10" t="s">
        <v>3472</v>
      </c>
      <c r="G1199" s="10" t="s">
        <v>3473</v>
      </c>
      <c r="H1199" s="10" t="s">
        <v>3474</v>
      </c>
      <c r="I1199" s="10" t="s">
        <v>3453</v>
      </c>
    </row>
    <row r="1200" spans="1:9" x14ac:dyDescent="0.15">
      <c r="A1200" s="9">
        <v>1199</v>
      </c>
      <c r="B1200" s="10" t="s">
        <v>9</v>
      </c>
      <c r="C1200" s="10" t="s">
        <v>170</v>
      </c>
      <c r="D1200" s="10" t="s">
        <v>171</v>
      </c>
      <c r="E1200" s="11" t="str">
        <f>+HYPERLINK("http://trademark.i-assist.jp/data/china/image_1900th/78773732.pdf", "78773732")</f>
        <v>78773732</v>
      </c>
      <c r="F1200" s="10" t="s">
        <v>3475</v>
      </c>
      <c r="G1200" s="10" t="s">
        <v>3476</v>
      </c>
      <c r="H1200" s="10" t="s">
        <v>3477</v>
      </c>
      <c r="I1200" s="10" t="s">
        <v>3453</v>
      </c>
    </row>
    <row r="1201" spans="1:9" x14ac:dyDescent="0.15">
      <c r="A1201" s="9">
        <v>1200</v>
      </c>
      <c r="B1201" s="10" t="s">
        <v>9</v>
      </c>
      <c r="C1201" s="10" t="s">
        <v>170</v>
      </c>
      <c r="D1201" s="10" t="s">
        <v>171</v>
      </c>
      <c r="E1201" s="11" t="str">
        <f>+HYPERLINK("http://trademark.i-assist.jp/data/china/image_1900th/78773742.pdf", "78773742")</f>
        <v>78773742</v>
      </c>
      <c r="F1201" s="10" t="s">
        <v>3478</v>
      </c>
      <c r="G1201" s="10" t="s">
        <v>143</v>
      </c>
      <c r="H1201" s="10" t="s">
        <v>3479</v>
      </c>
      <c r="I1201" s="10" t="s">
        <v>3453</v>
      </c>
    </row>
    <row r="1202" spans="1:9" x14ac:dyDescent="0.15">
      <c r="A1202" s="9">
        <v>1201</v>
      </c>
      <c r="B1202" s="10" t="s">
        <v>9</v>
      </c>
      <c r="C1202" s="10" t="s">
        <v>170</v>
      </c>
      <c r="D1202" s="10" t="s">
        <v>171</v>
      </c>
      <c r="E1202" s="11" t="str">
        <f>+HYPERLINK("http://trademark.i-assist.jp/data/china/image_1900th/78773762.pdf", "78773762")</f>
        <v>78773762</v>
      </c>
      <c r="F1202" s="10" t="s">
        <v>3480</v>
      </c>
      <c r="G1202" s="10" t="s">
        <v>3481</v>
      </c>
      <c r="H1202" s="10" t="s">
        <v>3482</v>
      </c>
      <c r="I1202" s="10" t="s">
        <v>3453</v>
      </c>
    </row>
    <row r="1203" spans="1:9" x14ac:dyDescent="0.15">
      <c r="A1203" s="9">
        <v>1202</v>
      </c>
      <c r="B1203" s="10" t="s">
        <v>9</v>
      </c>
      <c r="C1203" s="10" t="s">
        <v>170</v>
      </c>
      <c r="D1203" s="10" t="s">
        <v>171</v>
      </c>
      <c r="E1203" s="11" t="str">
        <f>+HYPERLINK("http://trademark.i-assist.jp/data/china/image_1900th/78773843.pdf", "78773843")</f>
        <v>78773843</v>
      </c>
      <c r="F1203" s="10" t="s">
        <v>3483</v>
      </c>
      <c r="G1203" s="10" t="s">
        <v>10</v>
      </c>
      <c r="H1203" s="10" t="s">
        <v>3484</v>
      </c>
      <c r="I1203" s="10" t="s">
        <v>3453</v>
      </c>
    </row>
    <row r="1204" spans="1:9" x14ac:dyDescent="0.15">
      <c r="A1204" s="9">
        <v>1203</v>
      </c>
      <c r="B1204" s="10" t="s">
        <v>9</v>
      </c>
      <c r="C1204" s="10" t="s">
        <v>170</v>
      </c>
      <c r="D1204" s="10" t="s">
        <v>171</v>
      </c>
      <c r="E1204" s="11" t="str">
        <f>+HYPERLINK("http://trademark.i-assist.jp/data/china/image_1900th/78773847.pdf", "78773847")</f>
        <v>78773847</v>
      </c>
      <c r="F1204" s="10" t="s">
        <v>3485</v>
      </c>
      <c r="G1204" s="10" t="s">
        <v>10</v>
      </c>
      <c r="H1204" s="10" t="s">
        <v>3486</v>
      </c>
      <c r="I1204" s="10" t="s">
        <v>3453</v>
      </c>
    </row>
    <row r="1205" spans="1:9" x14ac:dyDescent="0.15">
      <c r="A1205" s="9">
        <v>1204</v>
      </c>
      <c r="B1205" s="10" t="s">
        <v>9</v>
      </c>
      <c r="C1205" s="10" t="s">
        <v>170</v>
      </c>
      <c r="D1205" s="10" t="s">
        <v>171</v>
      </c>
      <c r="E1205" s="11" t="str">
        <f>+HYPERLINK("http://trademark.i-assist.jp/data/china/image_1900th/78773965.pdf", "78773965")</f>
        <v>78773965</v>
      </c>
      <c r="F1205" s="10" t="s">
        <v>3487</v>
      </c>
      <c r="G1205" s="10" t="s">
        <v>3488</v>
      </c>
      <c r="H1205" s="10" t="s">
        <v>3489</v>
      </c>
      <c r="I1205" s="10" t="s">
        <v>3453</v>
      </c>
    </row>
    <row r="1206" spans="1:9" x14ac:dyDescent="0.15">
      <c r="A1206" s="9">
        <v>1205</v>
      </c>
      <c r="B1206" s="10" t="s">
        <v>9</v>
      </c>
      <c r="C1206" s="10" t="s">
        <v>170</v>
      </c>
      <c r="D1206" s="10" t="s">
        <v>171</v>
      </c>
      <c r="E1206" s="11" t="str">
        <f>+HYPERLINK("http://trademark.i-assist.jp/data/china/image_1900th/78774325.pdf", "78774325")</f>
        <v>78774325</v>
      </c>
      <c r="F1206" s="10" t="s">
        <v>3490</v>
      </c>
      <c r="G1206" s="10" t="s">
        <v>3491</v>
      </c>
      <c r="H1206" s="10" t="s">
        <v>3492</v>
      </c>
      <c r="I1206" s="10" t="s">
        <v>3453</v>
      </c>
    </row>
    <row r="1207" spans="1:9" x14ac:dyDescent="0.15">
      <c r="A1207" s="9">
        <v>1206</v>
      </c>
      <c r="B1207" s="10" t="s">
        <v>9</v>
      </c>
      <c r="C1207" s="10" t="s">
        <v>170</v>
      </c>
      <c r="D1207" s="10" t="s">
        <v>171</v>
      </c>
      <c r="E1207" s="11" t="str">
        <f>+HYPERLINK("http://trademark.i-assist.jp/data/china/image_1900th/78774448.pdf", "78774448")</f>
        <v>78774448</v>
      </c>
      <c r="F1207" s="10" t="s">
        <v>3493</v>
      </c>
      <c r="G1207" s="10" t="s">
        <v>3494</v>
      </c>
      <c r="H1207" s="10" t="s">
        <v>3495</v>
      </c>
      <c r="I1207" s="10" t="s">
        <v>3453</v>
      </c>
    </row>
    <row r="1208" spans="1:9" x14ac:dyDescent="0.15">
      <c r="A1208" s="9">
        <v>1207</v>
      </c>
      <c r="B1208" s="10" t="s">
        <v>9</v>
      </c>
      <c r="C1208" s="10" t="s">
        <v>170</v>
      </c>
      <c r="D1208" s="10" t="s">
        <v>171</v>
      </c>
      <c r="E1208" s="11" t="str">
        <f>+HYPERLINK("http://trademark.i-assist.jp/data/china/image_1900th/78774453.pdf", "78774453")</f>
        <v>78774453</v>
      </c>
      <c r="F1208" s="10" t="s">
        <v>3496</v>
      </c>
      <c r="G1208" s="10" t="s">
        <v>778</v>
      </c>
      <c r="H1208" s="10" t="s">
        <v>3497</v>
      </c>
      <c r="I1208" s="10" t="s">
        <v>3453</v>
      </c>
    </row>
    <row r="1209" spans="1:9" x14ac:dyDescent="0.15">
      <c r="A1209" s="9">
        <v>1208</v>
      </c>
      <c r="B1209" s="10" t="s">
        <v>9</v>
      </c>
      <c r="C1209" s="10" t="s">
        <v>170</v>
      </c>
      <c r="D1209" s="10" t="s">
        <v>171</v>
      </c>
      <c r="E1209" s="11" t="str">
        <f>+HYPERLINK("http://trademark.i-assist.jp/data/china/image_1900th/78774716.pdf", "78774716")</f>
        <v>78774716</v>
      </c>
      <c r="F1209" s="10" t="s">
        <v>3498</v>
      </c>
      <c r="G1209" s="10" t="s">
        <v>3499</v>
      </c>
      <c r="H1209" s="10" t="s">
        <v>3500</v>
      </c>
      <c r="I1209" s="10" t="s">
        <v>3453</v>
      </c>
    </row>
    <row r="1210" spans="1:9" x14ac:dyDescent="0.15">
      <c r="A1210" s="9">
        <v>1209</v>
      </c>
      <c r="B1210" s="10" t="s">
        <v>9</v>
      </c>
      <c r="C1210" s="10" t="s">
        <v>170</v>
      </c>
      <c r="D1210" s="10" t="s">
        <v>171</v>
      </c>
      <c r="E1210" s="11" t="str">
        <f>+HYPERLINK("http://trademark.i-assist.jp/data/china/image_1900th/78774788.pdf", "78774788")</f>
        <v>78774788</v>
      </c>
      <c r="F1210" s="10" t="s">
        <v>3501</v>
      </c>
      <c r="G1210" s="10" t="s">
        <v>3502</v>
      </c>
      <c r="H1210" s="10" t="s">
        <v>3503</v>
      </c>
      <c r="I1210" s="10" t="s">
        <v>3453</v>
      </c>
    </row>
    <row r="1211" spans="1:9" x14ac:dyDescent="0.15">
      <c r="A1211" s="9">
        <v>1210</v>
      </c>
      <c r="B1211" s="10" t="s">
        <v>9</v>
      </c>
      <c r="C1211" s="10" t="s">
        <v>170</v>
      </c>
      <c r="D1211" s="10" t="s">
        <v>171</v>
      </c>
      <c r="E1211" s="11" t="str">
        <f>+HYPERLINK("http://trademark.i-assist.jp/data/china/image_1900th/78774801.pdf", "78774801")</f>
        <v>78774801</v>
      </c>
      <c r="F1211" s="10" t="s">
        <v>3504</v>
      </c>
      <c r="G1211" s="10" t="s">
        <v>3505</v>
      </c>
      <c r="H1211" s="10" t="s">
        <v>3506</v>
      </c>
      <c r="I1211" s="10" t="s">
        <v>3453</v>
      </c>
    </row>
    <row r="1212" spans="1:9" x14ac:dyDescent="0.15">
      <c r="A1212" s="9">
        <v>1211</v>
      </c>
      <c r="B1212" s="10" t="s">
        <v>9</v>
      </c>
      <c r="C1212" s="10" t="s">
        <v>170</v>
      </c>
      <c r="D1212" s="10" t="s">
        <v>171</v>
      </c>
      <c r="E1212" s="11" t="str">
        <f>+HYPERLINK("http://trademark.i-assist.jp/data/china/image_1900th/78774808.pdf", "78774808")</f>
        <v>78774808</v>
      </c>
      <c r="F1212" s="10" t="s">
        <v>3507</v>
      </c>
      <c r="G1212" s="10" t="s">
        <v>3508</v>
      </c>
      <c r="H1212" s="10" t="s">
        <v>3509</v>
      </c>
      <c r="I1212" s="10" t="s">
        <v>3453</v>
      </c>
    </row>
    <row r="1213" spans="1:9" x14ac:dyDescent="0.15">
      <c r="A1213" s="9">
        <v>1212</v>
      </c>
      <c r="B1213" s="10" t="s">
        <v>9</v>
      </c>
      <c r="C1213" s="10" t="s">
        <v>170</v>
      </c>
      <c r="D1213" s="10" t="s">
        <v>171</v>
      </c>
      <c r="E1213" s="11" t="str">
        <f>+HYPERLINK("http://trademark.i-assist.jp/data/china/image_1900th/78774813.pdf", "78774813")</f>
        <v>78774813</v>
      </c>
      <c r="F1213" s="10" t="s">
        <v>3510</v>
      </c>
      <c r="G1213" s="10" t="s">
        <v>3511</v>
      </c>
      <c r="H1213" s="10" t="s">
        <v>3512</v>
      </c>
      <c r="I1213" s="10" t="s">
        <v>3453</v>
      </c>
    </row>
    <row r="1214" spans="1:9" x14ac:dyDescent="0.15">
      <c r="A1214" s="9">
        <v>1213</v>
      </c>
      <c r="B1214" s="10" t="s">
        <v>9</v>
      </c>
      <c r="C1214" s="10" t="s">
        <v>170</v>
      </c>
      <c r="D1214" s="10" t="s">
        <v>171</v>
      </c>
      <c r="E1214" s="11" t="str">
        <f>+HYPERLINK("http://trademark.i-assist.jp/data/china/image_1900th/78774961.pdf", "78774961")</f>
        <v>78774961</v>
      </c>
      <c r="F1214" s="10" t="s">
        <v>3513</v>
      </c>
      <c r="G1214" s="10" t="s">
        <v>3514</v>
      </c>
      <c r="H1214" s="10" t="s">
        <v>3515</v>
      </c>
      <c r="I1214" s="10" t="s">
        <v>3453</v>
      </c>
    </row>
    <row r="1215" spans="1:9" x14ac:dyDescent="0.15">
      <c r="A1215" s="9">
        <v>1214</v>
      </c>
      <c r="B1215" s="10" t="s">
        <v>9</v>
      </c>
      <c r="C1215" s="10" t="s">
        <v>170</v>
      </c>
      <c r="D1215" s="10" t="s">
        <v>171</v>
      </c>
      <c r="E1215" s="11" t="str">
        <f>+HYPERLINK("http://trademark.i-assist.jp/data/china/image_1900th/78775041.pdf", "78775041")</f>
        <v>78775041</v>
      </c>
      <c r="F1215" s="10" t="s">
        <v>3516</v>
      </c>
      <c r="G1215" s="10" t="s">
        <v>3517</v>
      </c>
      <c r="H1215" s="10" t="s">
        <v>3518</v>
      </c>
      <c r="I1215" s="10" t="s">
        <v>3453</v>
      </c>
    </row>
    <row r="1216" spans="1:9" x14ac:dyDescent="0.15">
      <c r="A1216" s="9">
        <v>1215</v>
      </c>
      <c r="B1216" s="10" t="s">
        <v>9</v>
      </c>
      <c r="C1216" s="10" t="s">
        <v>170</v>
      </c>
      <c r="D1216" s="10" t="s">
        <v>171</v>
      </c>
      <c r="E1216" s="11" t="str">
        <f>+HYPERLINK("http://trademark.i-assist.jp/data/china/image_1900th/78775103.pdf", "78775103")</f>
        <v>78775103</v>
      </c>
      <c r="F1216" s="10" t="s">
        <v>3519</v>
      </c>
      <c r="G1216" s="10" t="s">
        <v>3511</v>
      </c>
      <c r="H1216" s="10" t="s">
        <v>3520</v>
      </c>
      <c r="I1216" s="10" t="s">
        <v>3453</v>
      </c>
    </row>
    <row r="1217" spans="1:9" x14ac:dyDescent="0.15">
      <c r="A1217" s="9">
        <v>1216</v>
      </c>
      <c r="B1217" s="10" t="s">
        <v>9</v>
      </c>
      <c r="C1217" s="10" t="s">
        <v>170</v>
      </c>
      <c r="D1217" s="10" t="s">
        <v>171</v>
      </c>
      <c r="E1217" s="11" t="str">
        <f>+HYPERLINK("http://trademark.i-assist.jp/data/china/image_1900th/78775108.pdf", "78775108")</f>
        <v>78775108</v>
      </c>
      <c r="F1217" s="10" t="s">
        <v>3521</v>
      </c>
      <c r="G1217" s="10" t="s">
        <v>3522</v>
      </c>
      <c r="H1217" s="10" t="s">
        <v>3523</v>
      </c>
      <c r="I1217" s="10" t="s">
        <v>3453</v>
      </c>
    </row>
    <row r="1218" spans="1:9" x14ac:dyDescent="0.15">
      <c r="A1218" s="9">
        <v>1217</v>
      </c>
      <c r="B1218" s="10" t="s">
        <v>9</v>
      </c>
      <c r="C1218" s="10" t="s">
        <v>170</v>
      </c>
      <c r="D1218" s="10" t="s">
        <v>171</v>
      </c>
      <c r="E1218" s="11" t="str">
        <f>+HYPERLINK("http://trademark.i-assist.jp/data/china/image_1900th/78775373.pdf", "78775373")</f>
        <v>78775373</v>
      </c>
      <c r="F1218" s="10" t="s">
        <v>3524</v>
      </c>
      <c r="G1218" s="10" t="s">
        <v>3525</v>
      </c>
      <c r="H1218" s="10" t="s">
        <v>3526</v>
      </c>
      <c r="I1218" s="10" t="s">
        <v>3453</v>
      </c>
    </row>
    <row r="1219" spans="1:9" x14ac:dyDescent="0.15">
      <c r="A1219" s="9">
        <v>1218</v>
      </c>
      <c r="B1219" s="10" t="s">
        <v>9</v>
      </c>
      <c r="C1219" s="10" t="s">
        <v>170</v>
      </c>
      <c r="D1219" s="10" t="s">
        <v>171</v>
      </c>
      <c r="E1219" s="11" t="str">
        <f>+HYPERLINK("http://trademark.i-assist.jp/data/china/image_1900th/78775431.pdf", "78775431")</f>
        <v>78775431</v>
      </c>
      <c r="F1219" s="10" t="s">
        <v>3527</v>
      </c>
      <c r="G1219" s="10" t="s">
        <v>3528</v>
      </c>
      <c r="H1219" s="10" t="s">
        <v>3529</v>
      </c>
      <c r="I1219" s="10" t="s">
        <v>3453</v>
      </c>
    </row>
    <row r="1220" spans="1:9" x14ac:dyDescent="0.15">
      <c r="A1220" s="9">
        <v>1219</v>
      </c>
      <c r="B1220" s="10" t="s">
        <v>9</v>
      </c>
      <c r="C1220" s="10" t="s">
        <v>170</v>
      </c>
      <c r="D1220" s="10" t="s">
        <v>171</v>
      </c>
      <c r="E1220" s="11" t="str">
        <f>+HYPERLINK("http://trademark.i-assist.jp/data/china/image_1900th/78775574.pdf", "78775574")</f>
        <v>78775574</v>
      </c>
      <c r="F1220" s="10" t="s">
        <v>3530</v>
      </c>
      <c r="G1220" s="10" t="s">
        <v>3531</v>
      </c>
      <c r="H1220" s="10" t="s">
        <v>3532</v>
      </c>
      <c r="I1220" s="10" t="s">
        <v>3453</v>
      </c>
    </row>
    <row r="1221" spans="1:9" x14ac:dyDescent="0.15">
      <c r="A1221" s="9">
        <v>1220</v>
      </c>
      <c r="B1221" s="10" t="s">
        <v>9</v>
      </c>
      <c r="C1221" s="10" t="s">
        <v>170</v>
      </c>
      <c r="D1221" s="10" t="s">
        <v>171</v>
      </c>
      <c r="E1221" s="11" t="str">
        <f>+HYPERLINK("http://trademark.i-assist.jp/data/china/image_1900th/78775582.pdf", "78775582")</f>
        <v>78775582</v>
      </c>
      <c r="F1221" s="10" t="s">
        <v>3533</v>
      </c>
      <c r="G1221" s="10" t="s">
        <v>3534</v>
      </c>
      <c r="H1221" s="10" t="s">
        <v>3535</v>
      </c>
      <c r="I1221" s="10" t="s">
        <v>3453</v>
      </c>
    </row>
    <row r="1222" spans="1:9" x14ac:dyDescent="0.15">
      <c r="A1222" s="9">
        <v>1221</v>
      </c>
      <c r="B1222" s="10" t="s">
        <v>9</v>
      </c>
      <c r="C1222" s="10" t="s">
        <v>170</v>
      </c>
      <c r="D1222" s="10" t="s">
        <v>171</v>
      </c>
      <c r="E1222" s="11" t="str">
        <f>+HYPERLINK("http://trademark.i-assist.jp/data/china/image_1900th/78775998.pdf", "78775998")</f>
        <v>78775998</v>
      </c>
      <c r="F1222" s="10" t="s">
        <v>3536</v>
      </c>
      <c r="G1222" s="10" t="s">
        <v>3537</v>
      </c>
      <c r="H1222" s="10" t="s">
        <v>3538</v>
      </c>
      <c r="I1222" s="10" t="s">
        <v>3453</v>
      </c>
    </row>
    <row r="1223" spans="1:9" x14ac:dyDescent="0.15">
      <c r="A1223" s="9">
        <v>1222</v>
      </c>
      <c r="B1223" s="10" t="s">
        <v>9</v>
      </c>
      <c r="C1223" s="10" t="s">
        <v>170</v>
      </c>
      <c r="D1223" s="10" t="s">
        <v>171</v>
      </c>
      <c r="E1223" s="11" t="str">
        <f>+HYPERLINK("http://trademark.i-assist.jp/data/china/image_1900th/78776097.pdf", "78776097")</f>
        <v>78776097</v>
      </c>
      <c r="F1223" s="10" t="s">
        <v>3539</v>
      </c>
      <c r="G1223" s="10" t="s">
        <v>3540</v>
      </c>
      <c r="H1223" s="10" t="s">
        <v>3541</v>
      </c>
      <c r="I1223" s="10" t="s">
        <v>3453</v>
      </c>
    </row>
    <row r="1224" spans="1:9" x14ac:dyDescent="0.15">
      <c r="A1224" s="9">
        <v>1223</v>
      </c>
      <c r="B1224" s="10" t="s">
        <v>9</v>
      </c>
      <c r="C1224" s="10" t="s">
        <v>170</v>
      </c>
      <c r="D1224" s="10" t="s">
        <v>171</v>
      </c>
      <c r="E1224" s="11" t="str">
        <f>+HYPERLINK("http://trademark.i-assist.jp/data/china/image_1900th/78776352.pdf", "78776352")</f>
        <v>78776352</v>
      </c>
      <c r="F1224" s="10" t="s">
        <v>3542</v>
      </c>
      <c r="G1224" s="10" t="s">
        <v>3543</v>
      </c>
      <c r="H1224" s="10" t="s">
        <v>3544</v>
      </c>
      <c r="I1224" s="10" t="s">
        <v>3453</v>
      </c>
    </row>
    <row r="1225" spans="1:9" x14ac:dyDescent="0.15">
      <c r="A1225" s="9">
        <v>1224</v>
      </c>
      <c r="B1225" s="10" t="s">
        <v>9</v>
      </c>
      <c r="C1225" s="10" t="s">
        <v>170</v>
      </c>
      <c r="D1225" s="10" t="s">
        <v>171</v>
      </c>
      <c r="E1225" s="11" t="str">
        <f>+HYPERLINK("http://trademark.i-assist.jp/data/china/image_1900th/78776545.pdf", "78776545")</f>
        <v>78776545</v>
      </c>
      <c r="F1225" s="10" t="s">
        <v>3545</v>
      </c>
      <c r="G1225" s="10" t="s">
        <v>3546</v>
      </c>
      <c r="H1225" s="10" t="s">
        <v>3547</v>
      </c>
      <c r="I1225" s="10" t="s">
        <v>3453</v>
      </c>
    </row>
    <row r="1226" spans="1:9" x14ac:dyDescent="0.15">
      <c r="A1226" s="9">
        <v>1225</v>
      </c>
      <c r="B1226" s="10" t="s">
        <v>9</v>
      </c>
      <c r="C1226" s="10" t="s">
        <v>170</v>
      </c>
      <c r="D1226" s="10" t="s">
        <v>171</v>
      </c>
      <c r="E1226" s="11" t="str">
        <f>+HYPERLINK("http://trademark.i-assist.jp/data/china/image_1900th/78776580.pdf", "78776580")</f>
        <v>78776580</v>
      </c>
      <c r="F1226" s="10" t="s">
        <v>3548</v>
      </c>
      <c r="G1226" s="10" t="s">
        <v>3549</v>
      </c>
      <c r="H1226" s="10" t="s">
        <v>3550</v>
      </c>
      <c r="I1226" s="10" t="s">
        <v>3453</v>
      </c>
    </row>
    <row r="1227" spans="1:9" x14ac:dyDescent="0.15">
      <c r="A1227" s="9">
        <v>1226</v>
      </c>
      <c r="B1227" s="10" t="s">
        <v>9</v>
      </c>
      <c r="C1227" s="10" t="s">
        <v>170</v>
      </c>
      <c r="D1227" s="10" t="s">
        <v>171</v>
      </c>
      <c r="E1227" s="11" t="str">
        <f>+HYPERLINK("http://trademark.i-assist.jp/data/china/image_1900th/78776670.pdf", "78776670")</f>
        <v>78776670</v>
      </c>
      <c r="F1227" s="10" t="s">
        <v>3551</v>
      </c>
      <c r="G1227" s="10" t="s">
        <v>3552</v>
      </c>
      <c r="H1227" s="10" t="s">
        <v>3553</v>
      </c>
      <c r="I1227" s="10" t="s">
        <v>3453</v>
      </c>
    </row>
    <row r="1228" spans="1:9" x14ac:dyDescent="0.15">
      <c r="A1228" s="9">
        <v>1227</v>
      </c>
      <c r="B1228" s="10" t="s">
        <v>9</v>
      </c>
      <c r="C1228" s="10" t="s">
        <v>170</v>
      </c>
      <c r="D1228" s="10" t="s">
        <v>171</v>
      </c>
      <c r="E1228" s="11" t="str">
        <f>+HYPERLINK("http://trademark.i-assist.jp/data/china/image_1900th/78776724.pdf", "78776724")</f>
        <v>78776724</v>
      </c>
      <c r="F1228" s="10" t="s">
        <v>3554</v>
      </c>
      <c r="G1228" s="10" t="s">
        <v>3555</v>
      </c>
      <c r="H1228" s="10" t="s">
        <v>3556</v>
      </c>
      <c r="I1228" s="10" t="s">
        <v>3453</v>
      </c>
    </row>
    <row r="1229" spans="1:9" x14ac:dyDescent="0.15">
      <c r="A1229" s="9">
        <v>1228</v>
      </c>
      <c r="B1229" s="10" t="s">
        <v>9</v>
      </c>
      <c r="C1229" s="10" t="s">
        <v>170</v>
      </c>
      <c r="D1229" s="10" t="s">
        <v>171</v>
      </c>
      <c r="E1229" s="11" t="str">
        <f>+HYPERLINK("http://trademark.i-assist.jp/data/china/image_1900th/78777012.pdf", "78777012")</f>
        <v>78777012</v>
      </c>
      <c r="F1229" s="10" t="s">
        <v>3557</v>
      </c>
      <c r="G1229" s="10" t="s">
        <v>3558</v>
      </c>
      <c r="H1229" s="10" t="s">
        <v>3559</v>
      </c>
      <c r="I1229" s="10" t="s">
        <v>3453</v>
      </c>
    </row>
    <row r="1230" spans="1:9" x14ac:dyDescent="0.15">
      <c r="A1230" s="9">
        <v>1229</v>
      </c>
      <c r="B1230" s="10" t="s">
        <v>9</v>
      </c>
      <c r="C1230" s="10" t="s">
        <v>170</v>
      </c>
      <c r="D1230" s="10" t="s">
        <v>171</v>
      </c>
      <c r="E1230" s="11" t="str">
        <f>+HYPERLINK("http://trademark.i-assist.jp/data/china/image_1900th/78777191.pdf", "78777191")</f>
        <v>78777191</v>
      </c>
      <c r="F1230" s="10" t="s">
        <v>3560</v>
      </c>
      <c r="G1230" s="10" t="s">
        <v>3561</v>
      </c>
      <c r="H1230" s="10" t="s">
        <v>3562</v>
      </c>
      <c r="I1230" s="10" t="s">
        <v>3453</v>
      </c>
    </row>
    <row r="1231" spans="1:9" x14ac:dyDescent="0.15">
      <c r="A1231" s="9">
        <v>1230</v>
      </c>
      <c r="B1231" s="10" t="s">
        <v>9</v>
      </c>
      <c r="C1231" s="10" t="s">
        <v>170</v>
      </c>
      <c r="D1231" s="10" t="s">
        <v>171</v>
      </c>
      <c r="E1231" s="11" t="str">
        <f>+HYPERLINK("http://trademark.i-assist.jp/data/china/image_1900th/78777299.pdf", "78777299")</f>
        <v>78777299</v>
      </c>
      <c r="F1231" s="10" t="s">
        <v>3563</v>
      </c>
      <c r="G1231" s="10" t="s">
        <v>3564</v>
      </c>
      <c r="H1231" s="10" t="s">
        <v>3565</v>
      </c>
      <c r="I1231" s="10" t="s">
        <v>3453</v>
      </c>
    </row>
    <row r="1232" spans="1:9" x14ac:dyDescent="0.15">
      <c r="A1232" s="9">
        <v>1231</v>
      </c>
      <c r="B1232" s="10" t="s">
        <v>9</v>
      </c>
      <c r="C1232" s="10" t="s">
        <v>170</v>
      </c>
      <c r="D1232" s="10" t="s">
        <v>171</v>
      </c>
      <c r="E1232" s="11" t="str">
        <f>+HYPERLINK("http://trademark.i-assist.jp/data/china/image_1900th/78777306.pdf", "78777306")</f>
        <v>78777306</v>
      </c>
      <c r="F1232" s="10" t="s">
        <v>3566</v>
      </c>
      <c r="G1232" s="10" t="s">
        <v>3567</v>
      </c>
      <c r="H1232" s="10" t="s">
        <v>3568</v>
      </c>
      <c r="I1232" s="10" t="s">
        <v>3453</v>
      </c>
    </row>
    <row r="1233" spans="1:9" x14ac:dyDescent="0.15">
      <c r="A1233" s="9">
        <v>1232</v>
      </c>
      <c r="B1233" s="10" t="s">
        <v>9</v>
      </c>
      <c r="C1233" s="10" t="s">
        <v>170</v>
      </c>
      <c r="D1233" s="10" t="s">
        <v>171</v>
      </c>
      <c r="E1233" s="11" t="str">
        <f>+HYPERLINK("http://trademark.i-assist.jp/data/china/image_1900th/78777443.pdf", "78777443")</f>
        <v>78777443</v>
      </c>
      <c r="F1233" s="10" t="s">
        <v>3569</v>
      </c>
      <c r="G1233" s="10" t="s">
        <v>3570</v>
      </c>
      <c r="H1233" s="10" t="s">
        <v>3571</v>
      </c>
      <c r="I1233" s="10" t="s">
        <v>3453</v>
      </c>
    </row>
    <row r="1234" spans="1:9" x14ac:dyDescent="0.15">
      <c r="A1234" s="9">
        <v>1233</v>
      </c>
      <c r="B1234" s="10" t="s">
        <v>9</v>
      </c>
      <c r="C1234" s="10" t="s">
        <v>170</v>
      </c>
      <c r="D1234" s="10" t="s">
        <v>171</v>
      </c>
      <c r="E1234" s="11" t="str">
        <f>+HYPERLINK("http://trademark.i-assist.jp/data/china/image_1900th/78777461.pdf", "78777461")</f>
        <v>78777461</v>
      </c>
      <c r="F1234" s="10" t="s">
        <v>3572</v>
      </c>
      <c r="G1234" s="10" t="s">
        <v>3573</v>
      </c>
      <c r="H1234" s="10" t="s">
        <v>3574</v>
      </c>
      <c r="I1234" s="10" t="s">
        <v>3453</v>
      </c>
    </row>
    <row r="1235" spans="1:9" x14ac:dyDescent="0.15">
      <c r="A1235" s="9">
        <v>1234</v>
      </c>
      <c r="B1235" s="10" t="s">
        <v>9</v>
      </c>
      <c r="C1235" s="10" t="s">
        <v>170</v>
      </c>
      <c r="D1235" s="10" t="s">
        <v>171</v>
      </c>
      <c r="E1235" s="11" t="str">
        <f>+HYPERLINK("http://trademark.i-assist.jp/data/china/image_1900th/78777544.pdf", "78777544")</f>
        <v>78777544</v>
      </c>
      <c r="F1235" s="10" t="s">
        <v>3575</v>
      </c>
      <c r="G1235" s="10" t="s">
        <v>3511</v>
      </c>
      <c r="H1235" s="10" t="s">
        <v>3576</v>
      </c>
      <c r="I1235" s="10" t="s">
        <v>3453</v>
      </c>
    </row>
    <row r="1236" spans="1:9" x14ac:dyDescent="0.15">
      <c r="A1236" s="9">
        <v>1235</v>
      </c>
      <c r="B1236" s="10" t="s">
        <v>9</v>
      </c>
      <c r="C1236" s="10" t="s">
        <v>170</v>
      </c>
      <c r="D1236" s="10" t="s">
        <v>171</v>
      </c>
      <c r="E1236" s="11" t="str">
        <f>+HYPERLINK("http://trademark.i-assist.jp/data/china/image_1900th/78777546.pdf", "78777546")</f>
        <v>78777546</v>
      </c>
      <c r="F1236" s="10" t="s">
        <v>3577</v>
      </c>
      <c r="G1236" s="10" t="s">
        <v>3578</v>
      </c>
      <c r="H1236" s="10" t="s">
        <v>3579</v>
      </c>
      <c r="I1236" s="10" t="s">
        <v>3453</v>
      </c>
    </row>
    <row r="1237" spans="1:9" x14ac:dyDescent="0.15">
      <c r="A1237" s="9">
        <v>1236</v>
      </c>
      <c r="B1237" s="10" t="s">
        <v>9</v>
      </c>
      <c r="C1237" s="10" t="s">
        <v>170</v>
      </c>
      <c r="D1237" s="10" t="s">
        <v>171</v>
      </c>
      <c r="E1237" s="11" t="str">
        <f>+HYPERLINK("http://trademark.i-assist.jp/data/china/image_1900th/78777728.pdf", "78777728")</f>
        <v>78777728</v>
      </c>
      <c r="F1237" s="10" t="s">
        <v>3580</v>
      </c>
      <c r="G1237" s="10" t="s">
        <v>112</v>
      </c>
      <c r="H1237" s="10" t="s">
        <v>3581</v>
      </c>
      <c r="I1237" s="10" t="s">
        <v>3453</v>
      </c>
    </row>
    <row r="1238" spans="1:9" x14ac:dyDescent="0.15">
      <c r="A1238" s="9">
        <v>1237</v>
      </c>
      <c r="B1238" s="10" t="s">
        <v>9</v>
      </c>
      <c r="C1238" s="10" t="s">
        <v>170</v>
      </c>
      <c r="D1238" s="10" t="s">
        <v>171</v>
      </c>
      <c r="E1238" s="11" t="str">
        <f>+HYPERLINK("http://trademark.i-assist.jp/data/china/image_1900th/78778227.pdf", "78778227")</f>
        <v>78778227</v>
      </c>
      <c r="F1238" s="10" t="s">
        <v>3582</v>
      </c>
      <c r="G1238" s="10" t="s">
        <v>3583</v>
      </c>
      <c r="H1238" s="10" t="s">
        <v>3584</v>
      </c>
      <c r="I1238" s="10" t="s">
        <v>3453</v>
      </c>
    </row>
    <row r="1239" spans="1:9" x14ac:dyDescent="0.15">
      <c r="A1239" s="9">
        <v>1238</v>
      </c>
      <c r="B1239" s="10" t="s">
        <v>9</v>
      </c>
      <c r="C1239" s="10" t="s">
        <v>170</v>
      </c>
      <c r="D1239" s="10" t="s">
        <v>171</v>
      </c>
      <c r="E1239" s="11" t="str">
        <f>+HYPERLINK("http://trademark.i-assist.jp/data/china/image_1900th/78778322.pdf", "78778322")</f>
        <v>78778322</v>
      </c>
      <c r="F1239" s="10" t="s">
        <v>3585</v>
      </c>
      <c r="G1239" s="10" t="s">
        <v>3586</v>
      </c>
      <c r="H1239" s="10" t="s">
        <v>3587</v>
      </c>
      <c r="I1239" s="10" t="s">
        <v>3453</v>
      </c>
    </row>
    <row r="1240" spans="1:9" x14ac:dyDescent="0.15">
      <c r="A1240" s="9">
        <v>1239</v>
      </c>
      <c r="B1240" s="10" t="s">
        <v>9</v>
      </c>
      <c r="C1240" s="10" t="s">
        <v>170</v>
      </c>
      <c r="D1240" s="10" t="s">
        <v>171</v>
      </c>
      <c r="E1240" s="11" t="str">
        <f>+HYPERLINK("http://trademark.i-assist.jp/data/china/image_1900th/78778419.pdf", "78778419")</f>
        <v>78778419</v>
      </c>
      <c r="F1240" s="10" t="s">
        <v>3588</v>
      </c>
      <c r="G1240" s="10" t="s">
        <v>112</v>
      </c>
      <c r="H1240" s="10" t="s">
        <v>3589</v>
      </c>
      <c r="I1240" s="10" t="s">
        <v>3453</v>
      </c>
    </row>
    <row r="1241" spans="1:9" x14ac:dyDescent="0.15">
      <c r="A1241" s="9">
        <v>1240</v>
      </c>
      <c r="B1241" s="10" t="s">
        <v>9</v>
      </c>
      <c r="C1241" s="10" t="s">
        <v>170</v>
      </c>
      <c r="D1241" s="10" t="s">
        <v>171</v>
      </c>
      <c r="E1241" s="11" t="str">
        <f>+HYPERLINK("http://trademark.i-assist.jp/data/china/image_1900th/78778435.pdf", "78778435")</f>
        <v>78778435</v>
      </c>
      <c r="F1241" s="10" t="s">
        <v>3590</v>
      </c>
      <c r="G1241" s="10" t="s">
        <v>3591</v>
      </c>
      <c r="H1241" s="10" t="s">
        <v>3592</v>
      </c>
      <c r="I1241" s="10" t="s">
        <v>3453</v>
      </c>
    </row>
    <row r="1242" spans="1:9" x14ac:dyDescent="0.15">
      <c r="A1242" s="9">
        <v>1241</v>
      </c>
      <c r="B1242" s="10" t="s">
        <v>9</v>
      </c>
      <c r="C1242" s="10" t="s">
        <v>170</v>
      </c>
      <c r="D1242" s="10" t="s">
        <v>171</v>
      </c>
      <c r="E1242" s="11" t="str">
        <f>+HYPERLINK("http://trademark.i-assist.jp/data/china/image_1900th/78778579.pdf", "78778579")</f>
        <v>78778579</v>
      </c>
      <c r="F1242" s="10" t="s">
        <v>3593</v>
      </c>
      <c r="G1242" s="10" t="s">
        <v>3594</v>
      </c>
      <c r="H1242" s="10" t="s">
        <v>3595</v>
      </c>
      <c r="I1242" s="10" t="s">
        <v>3453</v>
      </c>
    </row>
    <row r="1243" spans="1:9" x14ac:dyDescent="0.15">
      <c r="A1243" s="9">
        <v>1242</v>
      </c>
      <c r="B1243" s="10" t="s">
        <v>9</v>
      </c>
      <c r="C1243" s="10" t="s">
        <v>170</v>
      </c>
      <c r="D1243" s="10" t="s">
        <v>171</v>
      </c>
      <c r="E1243" s="11" t="str">
        <f>+HYPERLINK("http://trademark.i-assist.jp/data/china/image_1900th/78778604.pdf", "78778604")</f>
        <v>78778604</v>
      </c>
      <c r="F1243" s="10" t="s">
        <v>3596</v>
      </c>
      <c r="G1243" s="10" t="s">
        <v>3597</v>
      </c>
      <c r="H1243" s="10" t="s">
        <v>3598</v>
      </c>
      <c r="I1243" s="10" t="s">
        <v>3453</v>
      </c>
    </row>
    <row r="1244" spans="1:9" x14ac:dyDescent="0.15">
      <c r="A1244" s="9">
        <v>1243</v>
      </c>
      <c r="B1244" s="10" t="s">
        <v>9</v>
      </c>
      <c r="C1244" s="10" t="s">
        <v>170</v>
      </c>
      <c r="D1244" s="10" t="s">
        <v>171</v>
      </c>
      <c r="E1244" s="11" t="str">
        <f>+HYPERLINK("http://trademark.i-assist.jp/data/china/image_1900th/78778765.pdf", "78778765")</f>
        <v>78778765</v>
      </c>
      <c r="F1244" s="10" t="s">
        <v>3599</v>
      </c>
      <c r="G1244" s="10" t="s">
        <v>3600</v>
      </c>
      <c r="H1244" s="10" t="s">
        <v>3601</v>
      </c>
      <c r="I1244" s="10" t="s">
        <v>3453</v>
      </c>
    </row>
    <row r="1245" spans="1:9" x14ac:dyDescent="0.15">
      <c r="A1245" s="9">
        <v>1244</v>
      </c>
      <c r="B1245" s="10" t="s">
        <v>9</v>
      </c>
      <c r="C1245" s="10" t="s">
        <v>170</v>
      </c>
      <c r="D1245" s="10" t="s">
        <v>171</v>
      </c>
      <c r="E1245" s="11" t="str">
        <f>+HYPERLINK("http://trademark.i-assist.jp/data/china/image_1900th/78778917.pdf", "78778917")</f>
        <v>78778917</v>
      </c>
      <c r="F1245" s="10" t="s">
        <v>15</v>
      </c>
      <c r="G1245" s="10" t="s">
        <v>3602</v>
      </c>
      <c r="H1245" s="10" t="s">
        <v>3603</v>
      </c>
      <c r="I1245" s="10" t="s">
        <v>3453</v>
      </c>
    </row>
    <row r="1246" spans="1:9" x14ac:dyDescent="0.15">
      <c r="A1246" s="9">
        <v>1245</v>
      </c>
      <c r="B1246" s="10" t="s">
        <v>9</v>
      </c>
      <c r="C1246" s="10" t="s">
        <v>170</v>
      </c>
      <c r="D1246" s="10" t="s">
        <v>171</v>
      </c>
      <c r="E1246" s="11" t="str">
        <f>+HYPERLINK("http://trademark.i-assist.jp/data/china/image_1900th/78778976.pdf", "78778976")</f>
        <v>78778976</v>
      </c>
      <c r="F1246" s="10" t="s">
        <v>3604</v>
      </c>
      <c r="G1246" s="10" t="s">
        <v>3605</v>
      </c>
      <c r="H1246" s="10" t="s">
        <v>3606</v>
      </c>
      <c r="I1246" s="10" t="s">
        <v>3453</v>
      </c>
    </row>
    <row r="1247" spans="1:9" x14ac:dyDescent="0.15">
      <c r="A1247" s="9">
        <v>1246</v>
      </c>
      <c r="B1247" s="10" t="s">
        <v>9</v>
      </c>
      <c r="C1247" s="10" t="s">
        <v>170</v>
      </c>
      <c r="D1247" s="10" t="s">
        <v>171</v>
      </c>
      <c r="E1247" s="11" t="str">
        <f>+HYPERLINK("http://trademark.i-assist.jp/data/china/image_1900th/78779108.pdf", "78779108")</f>
        <v>78779108</v>
      </c>
      <c r="F1247" s="10" t="s">
        <v>3607</v>
      </c>
      <c r="G1247" s="10" t="s">
        <v>3608</v>
      </c>
      <c r="H1247" s="10" t="s">
        <v>3609</v>
      </c>
      <c r="I1247" s="10" t="s">
        <v>3453</v>
      </c>
    </row>
    <row r="1248" spans="1:9" x14ac:dyDescent="0.15">
      <c r="A1248" s="9">
        <v>1247</v>
      </c>
      <c r="B1248" s="10" t="s">
        <v>9</v>
      </c>
      <c r="C1248" s="10" t="s">
        <v>170</v>
      </c>
      <c r="D1248" s="10" t="s">
        <v>171</v>
      </c>
      <c r="E1248" s="11" t="str">
        <f>+HYPERLINK("http://trademark.i-assist.jp/data/china/image_1900th/78779230.pdf", "78779230")</f>
        <v>78779230</v>
      </c>
      <c r="F1248" s="10" t="s">
        <v>3610</v>
      </c>
      <c r="G1248" s="10" t="s">
        <v>3611</v>
      </c>
      <c r="H1248" s="10" t="s">
        <v>3612</v>
      </c>
      <c r="I1248" s="10" t="s">
        <v>3453</v>
      </c>
    </row>
    <row r="1249" spans="1:9" x14ac:dyDescent="0.15">
      <c r="A1249" s="9">
        <v>1248</v>
      </c>
      <c r="B1249" s="10" t="s">
        <v>9</v>
      </c>
      <c r="C1249" s="10" t="s">
        <v>170</v>
      </c>
      <c r="D1249" s="10" t="s">
        <v>171</v>
      </c>
      <c r="E1249" s="11" t="str">
        <f>+HYPERLINK("http://trademark.i-assist.jp/data/china/image_1900th/78779411.pdf", "78779411")</f>
        <v>78779411</v>
      </c>
      <c r="F1249" s="10" t="s">
        <v>3613</v>
      </c>
      <c r="G1249" s="10" t="s">
        <v>3614</v>
      </c>
      <c r="H1249" s="10" t="s">
        <v>3615</v>
      </c>
      <c r="I1249" s="10" t="s">
        <v>3453</v>
      </c>
    </row>
    <row r="1250" spans="1:9" x14ac:dyDescent="0.15">
      <c r="A1250" s="9">
        <v>1249</v>
      </c>
      <c r="B1250" s="10" t="s">
        <v>9</v>
      </c>
      <c r="C1250" s="10" t="s">
        <v>170</v>
      </c>
      <c r="D1250" s="10" t="s">
        <v>171</v>
      </c>
      <c r="E1250" s="11" t="str">
        <f>+HYPERLINK("http://trademark.i-assist.jp/data/china/image_1900th/78779489.pdf", "78779489")</f>
        <v>78779489</v>
      </c>
      <c r="F1250" s="10" t="s">
        <v>15</v>
      </c>
      <c r="G1250" s="10" t="s">
        <v>3616</v>
      </c>
      <c r="H1250" s="10" t="s">
        <v>3617</v>
      </c>
      <c r="I1250" s="10" t="s">
        <v>3453</v>
      </c>
    </row>
    <row r="1251" spans="1:9" x14ac:dyDescent="0.15">
      <c r="A1251" s="9">
        <v>1250</v>
      </c>
      <c r="B1251" s="10" t="s">
        <v>9</v>
      </c>
      <c r="C1251" s="10" t="s">
        <v>170</v>
      </c>
      <c r="D1251" s="10" t="s">
        <v>171</v>
      </c>
      <c r="E1251" s="11" t="str">
        <f>+HYPERLINK("http://trademark.i-assist.jp/data/china/image_1900th/78779744.pdf", "78779744")</f>
        <v>78779744</v>
      </c>
      <c r="F1251" s="10" t="s">
        <v>3618</v>
      </c>
      <c r="G1251" s="10" t="s">
        <v>3619</v>
      </c>
      <c r="H1251" s="10" t="s">
        <v>3620</v>
      </c>
      <c r="I1251" s="10" t="s">
        <v>3453</v>
      </c>
    </row>
    <row r="1252" spans="1:9" x14ac:dyDescent="0.15">
      <c r="A1252" s="9">
        <v>1251</v>
      </c>
      <c r="B1252" s="10" t="s">
        <v>9</v>
      </c>
      <c r="C1252" s="10" t="s">
        <v>170</v>
      </c>
      <c r="D1252" s="10" t="s">
        <v>171</v>
      </c>
      <c r="E1252" s="11" t="str">
        <f>+HYPERLINK("http://trademark.i-assist.jp/data/china/image_1900th/78779874.pdf", "78779874")</f>
        <v>78779874</v>
      </c>
      <c r="F1252" s="10" t="s">
        <v>3621</v>
      </c>
      <c r="G1252" s="10" t="s">
        <v>3622</v>
      </c>
      <c r="H1252" s="10" t="s">
        <v>3623</v>
      </c>
      <c r="I1252" s="10" t="s">
        <v>3453</v>
      </c>
    </row>
    <row r="1253" spans="1:9" x14ac:dyDescent="0.15">
      <c r="A1253" s="9">
        <v>1252</v>
      </c>
      <c r="B1253" s="10" t="s">
        <v>9</v>
      </c>
      <c r="C1253" s="10" t="s">
        <v>170</v>
      </c>
      <c r="D1253" s="10" t="s">
        <v>171</v>
      </c>
      <c r="E1253" s="11" t="str">
        <f>+HYPERLINK("http://trademark.i-assist.jp/data/china/image_1900th/78780006.pdf", "78780006")</f>
        <v>78780006</v>
      </c>
      <c r="F1253" s="10" t="s">
        <v>3624</v>
      </c>
      <c r="G1253" s="10" t="s">
        <v>3625</v>
      </c>
      <c r="H1253" s="10" t="s">
        <v>3626</v>
      </c>
      <c r="I1253" s="10" t="s">
        <v>3453</v>
      </c>
    </row>
    <row r="1254" spans="1:9" x14ac:dyDescent="0.15">
      <c r="A1254" s="9">
        <v>1253</v>
      </c>
      <c r="B1254" s="10" t="s">
        <v>9</v>
      </c>
      <c r="C1254" s="10" t="s">
        <v>170</v>
      </c>
      <c r="D1254" s="10" t="s">
        <v>171</v>
      </c>
      <c r="E1254" s="11" t="str">
        <f>+HYPERLINK("http://trademark.i-assist.jp/data/china/image_1900th/78780180.pdf", "78780180")</f>
        <v>78780180</v>
      </c>
      <c r="F1254" s="10" t="s">
        <v>3627</v>
      </c>
      <c r="G1254" s="10" t="s">
        <v>3628</v>
      </c>
      <c r="H1254" s="10" t="s">
        <v>3629</v>
      </c>
      <c r="I1254" s="10" t="s">
        <v>3453</v>
      </c>
    </row>
    <row r="1255" spans="1:9" x14ac:dyDescent="0.15">
      <c r="A1255" s="9">
        <v>1254</v>
      </c>
      <c r="B1255" s="10" t="s">
        <v>9</v>
      </c>
      <c r="C1255" s="10" t="s">
        <v>170</v>
      </c>
      <c r="D1255" s="10" t="s">
        <v>171</v>
      </c>
      <c r="E1255" s="11" t="str">
        <f>+HYPERLINK("http://trademark.i-assist.jp/data/china/image_1900th/78780468.pdf", "78780468")</f>
        <v>78780468</v>
      </c>
      <c r="F1255" s="10" t="s">
        <v>3630</v>
      </c>
      <c r="G1255" s="10" t="s">
        <v>3631</v>
      </c>
      <c r="H1255" s="10" t="s">
        <v>3632</v>
      </c>
      <c r="I1255" s="10" t="s">
        <v>3453</v>
      </c>
    </row>
    <row r="1256" spans="1:9" x14ac:dyDescent="0.15">
      <c r="A1256" s="9">
        <v>1255</v>
      </c>
      <c r="B1256" s="10" t="s">
        <v>9</v>
      </c>
      <c r="C1256" s="10" t="s">
        <v>170</v>
      </c>
      <c r="D1256" s="10" t="s">
        <v>171</v>
      </c>
      <c r="E1256" s="11" t="str">
        <f>+HYPERLINK("http://trademark.i-assist.jp/data/china/image_1900th/78780752.pdf", "78780752")</f>
        <v>78780752</v>
      </c>
      <c r="F1256" s="10" t="s">
        <v>15</v>
      </c>
      <c r="G1256" s="10" t="s">
        <v>3633</v>
      </c>
      <c r="H1256" s="10" t="s">
        <v>3634</v>
      </c>
      <c r="I1256" s="10" t="s">
        <v>3453</v>
      </c>
    </row>
    <row r="1257" spans="1:9" x14ac:dyDescent="0.15">
      <c r="A1257" s="9">
        <v>1256</v>
      </c>
      <c r="B1257" s="10" t="s">
        <v>9</v>
      </c>
      <c r="C1257" s="10" t="s">
        <v>170</v>
      </c>
      <c r="D1257" s="10" t="s">
        <v>171</v>
      </c>
      <c r="E1257" s="11" t="str">
        <f>+HYPERLINK("http://trademark.i-assist.jp/data/china/image_1900th/78780839.pdf", "78780839")</f>
        <v>78780839</v>
      </c>
      <c r="F1257" s="10" t="s">
        <v>3635</v>
      </c>
      <c r="G1257" s="10" t="s">
        <v>3636</v>
      </c>
      <c r="H1257" s="10" t="s">
        <v>3637</v>
      </c>
      <c r="I1257" s="10" t="s">
        <v>3453</v>
      </c>
    </row>
    <row r="1258" spans="1:9" x14ac:dyDescent="0.15">
      <c r="A1258" s="9">
        <v>1257</v>
      </c>
      <c r="B1258" s="10" t="s">
        <v>9</v>
      </c>
      <c r="C1258" s="10" t="s">
        <v>170</v>
      </c>
      <c r="D1258" s="10" t="s">
        <v>171</v>
      </c>
      <c r="E1258" s="11" t="str">
        <f>+HYPERLINK("http://trademark.i-assist.jp/data/china/image_1900th/78781227.pdf", "78781227")</f>
        <v>78781227</v>
      </c>
      <c r="F1258" s="10" t="s">
        <v>3638</v>
      </c>
      <c r="G1258" s="10" t="s">
        <v>3639</v>
      </c>
      <c r="H1258" s="10" t="s">
        <v>3640</v>
      </c>
      <c r="I1258" s="10" t="s">
        <v>3453</v>
      </c>
    </row>
    <row r="1259" spans="1:9" x14ac:dyDescent="0.15">
      <c r="A1259" s="9">
        <v>1258</v>
      </c>
      <c r="B1259" s="10" t="s">
        <v>9</v>
      </c>
      <c r="C1259" s="10" t="s">
        <v>170</v>
      </c>
      <c r="D1259" s="10" t="s">
        <v>171</v>
      </c>
      <c r="E1259" s="11" t="str">
        <f>+HYPERLINK("http://trademark.i-assist.jp/data/china/image_1900th/78781426.pdf", "78781426")</f>
        <v>78781426</v>
      </c>
      <c r="F1259" s="10" t="s">
        <v>3641</v>
      </c>
      <c r="G1259" s="10" t="s">
        <v>3642</v>
      </c>
      <c r="H1259" s="10" t="s">
        <v>3643</v>
      </c>
      <c r="I1259" s="10" t="s">
        <v>3453</v>
      </c>
    </row>
    <row r="1260" spans="1:9" x14ac:dyDescent="0.15">
      <c r="A1260" s="9">
        <v>1259</v>
      </c>
      <c r="B1260" s="10" t="s">
        <v>9</v>
      </c>
      <c r="C1260" s="10" t="s">
        <v>170</v>
      </c>
      <c r="D1260" s="10" t="s">
        <v>171</v>
      </c>
      <c r="E1260" s="11" t="str">
        <f>+HYPERLINK("http://trademark.i-assist.jp/data/china/image_1900th/78781438.pdf", "78781438")</f>
        <v>78781438</v>
      </c>
      <c r="F1260" s="10" t="s">
        <v>3644</v>
      </c>
      <c r="G1260" s="10" t="s">
        <v>3645</v>
      </c>
      <c r="H1260" s="10" t="s">
        <v>3646</v>
      </c>
      <c r="I1260" s="10" t="s">
        <v>3453</v>
      </c>
    </row>
    <row r="1261" spans="1:9" x14ac:dyDescent="0.15">
      <c r="A1261" s="9">
        <v>1260</v>
      </c>
      <c r="B1261" s="10" t="s">
        <v>9</v>
      </c>
      <c r="C1261" s="10" t="s">
        <v>170</v>
      </c>
      <c r="D1261" s="10" t="s">
        <v>171</v>
      </c>
      <c r="E1261" s="11" t="str">
        <f>+HYPERLINK("http://trademark.i-assist.jp/data/china/image_1900th/78781589.pdf", "78781589")</f>
        <v>78781589</v>
      </c>
      <c r="F1261" s="10" t="s">
        <v>3647</v>
      </c>
      <c r="G1261" s="10" t="s">
        <v>3648</v>
      </c>
      <c r="H1261" s="10" t="s">
        <v>3649</v>
      </c>
      <c r="I1261" s="10" t="s">
        <v>3453</v>
      </c>
    </row>
    <row r="1262" spans="1:9" x14ac:dyDescent="0.15">
      <c r="A1262" s="9">
        <v>1261</v>
      </c>
      <c r="B1262" s="10" t="s">
        <v>9</v>
      </c>
      <c r="C1262" s="10" t="s">
        <v>170</v>
      </c>
      <c r="D1262" s="10" t="s">
        <v>171</v>
      </c>
      <c r="E1262" s="11" t="str">
        <f>+HYPERLINK("http://trademark.i-assist.jp/data/china/image_1900th/78781616.pdf", "78781616")</f>
        <v>78781616</v>
      </c>
      <c r="F1262" s="10" t="s">
        <v>3650</v>
      </c>
      <c r="G1262" s="10" t="s">
        <v>3651</v>
      </c>
      <c r="H1262" s="10" t="s">
        <v>3652</v>
      </c>
      <c r="I1262" s="10" t="s">
        <v>3453</v>
      </c>
    </row>
    <row r="1263" spans="1:9" x14ac:dyDescent="0.15">
      <c r="A1263" s="9">
        <v>1262</v>
      </c>
      <c r="B1263" s="10" t="s">
        <v>9</v>
      </c>
      <c r="C1263" s="10" t="s">
        <v>170</v>
      </c>
      <c r="D1263" s="10" t="s">
        <v>171</v>
      </c>
      <c r="E1263" s="11" t="str">
        <f>+HYPERLINK("http://trademark.i-assist.jp/data/china/image_1900th/78781844.pdf", "78781844")</f>
        <v>78781844</v>
      </c>
      <c r="F1263" s="10" t="s">
        <v>3653</v>
      </c>
      <c r="G1263" s="10" t="s">
        <v>3522</v>
      </c>
      <c r="H1263" s="10" t="s">
        <v>3654</v>
      </c>
      <c r="I1263" s="10" t="s">
        <v>3453</v>
      </c>
    </row>
    <row r="1264" spans="1:9" x14ac:dyDescent="0.15">
      <c r="A1264" s="9">
        <v>1263</v>
      </c>
      <c r="B1264" s="10" t="s">
        <v>9</v>
      </c>
      <c r="C1264" s="10" t="s">
        <v>170</v>
      </c>
      <c r="D1264" s="10" t="s">
        <v>171</v>
      </c>
      <c r="E1264" s="11" t="str">
        <f>+HYPERLINK("http://trademark.i-assist.jp/data/china/image_1900th/78782070.pdf", "78782070")</f>
        <v>78782070</v>
      </c>
      <c r="F1264" s="10" t="s">
        <v>3655</v>
      </c>
      <c r="G1264" s="10" t="s">
        <v>3656</v>
      </c>
      <c r="H1264" s="10" t="s">
        <v>30</v>
      </c>
      <c r="I1264" s="10" t="s">
        <v>3453</v>
      </c>
    </row>
    <row r="1265" spans="1:9" x14ac:dyDescent="0.15">
      <c r="A1265" s="9">
        <v>1264</v>
      </c>
      <c r="B1265" s="10" t="s">
        <v>9</v>
      </c>
      <c r="C1265" s="10" t="s">
        <v>170</v>
      </c>
      <c r="D1265" s="10" t="s">
        <v>171</v>
      </c>
      <c r="E1265" s="11" t="str">
        <f>+HYPERLINK("http://trademark.i-assist.jp/data/china/image_1900th/78782206.pdf", "78782206")</f>
        <v>78782206</v>
      </c>
      <c r="F1265" s="10" t="s">
        <v>3657</v>
      </c>
      <c r="G1265" s="10" t="s">
        <v>3658</v>
      </c>
      <c r="H1265" s="10" t="s">
        <v>3659</v>
      </c>
      <c r="I1265" s="10" t="s">
        <v>3453</v>
      </c>
    </row>
    <row r="1266" spans="1:9" x14ac:dyDescent="0.15">
      <c r="A1266" s="9">
        <v>1265</v>
      </c>
      <c r="B1266" s="10" t="s">
        <v>9</v>
      </c>
      <c r="C1266" s="10" t="s">
        <v>170</v>
      </c>
      <c r="D1266" s="10" t="s">
        <v>171</v>
      </c>
      <c r="E1266" s="11" t="str">
        <f>+HYPERLINK("http://trademark.i-assist.jp/data/china/image_1900th/78782224.pdf", "78782224")</f>
        <v>78782224</v>
      </c>
      <c r="F1266" s="10" t="s">
        <v>3660</v>
      </c>
      <c r="G1266" s="10" t="s">
        <v>3661</v>
      </c>
      <c r="H1266" s="10" t="s">
        <v>3662</v>
      </c>
      <c r="I1266" s="10" t="s">
        <v>3453</v>
      </c>
    </row>
    <row r="1267" spans="1:9" x14ac:dyDescent="0.15">
      <c r="A1267" s="9">
        <v>1266</v>
      </c>
      <c r="B1267" s="10" t="s">
        <v>9</v>
      </c>
      <c r="C1267" s="10" t="s">
        <v>170</v>
      </c>
      <c r="D1267" s="10" t="s">
        <v>171</v>
      </c>
      <c r="E1267" s="11" t="str">
        <f>+HYPERLINK("http://trademark.i-assist.jp/data/china/image_1900th/78782329.pdf", "78782329")</f>
        <v>78782329</v>
      </c>
      <c r="F1267" s="10" t="s">
        <v>3663</v>
      </c>
      <c r="G1267" s="10" t="s">
        <v>3664</v>
      </c>
      <c r="H1267" s="10" t="s">
        <v>3665</v>
      </c>
      <c r="I1267" s="10" t="s">
        <v>3453</v>
      </c>
    </row>
    <row r="1268" spans="1:9" x14ac:dyDescent="0.15">
      <c r="A1268" s="9">
        <v>1267</v>
      </c>
      <c r="B1268" s="10" t="s">
        <v>9</v>
      </c>
      <c r="C1268" s="10" t="s">
        <v>170</v>
      </c>
      <c r="D1268" s="10" t="s">
        <v>171</v>
      </c>
      <c r="E1268" s="11" t="str">
        <f>+HYPERLINK("http://trademark.i-assist.jp/data/china/image_1900th/78782339.pdf", "78782339")</f>
        <v>78782339</v>
      </c>
      <c r="F1268" s="10" t="s">
        <v>3666</v>
      </c>
      <c r="G1268" s="10" t="s">
        <v>3667</v>
      </c>
      <c r="H1268" s="10" t="s">
        <v>3668</v>
      </c>
      <c r="I1268" s="10" t="s">
        <v>3453</v>
      </c>
    </row>
    <row r="1269" spans="1:9" x14ac:dyDescent="0.15">
      <c r="A1269" s="9">
        <v>1268</v>
      </c>
      <c r="B1269" s="10" t="s">
        <v>9</v>
      </c>
      <c r="C1269" s="10" t="s">
        <v>170</v>
      </c>
      <c r="D1269" s="10" t="s">
        <v>171</v>
      </c>
      <c r="E1269" s="11" t="str">
        <f>+HYPERLINK("http://trademark.i-assist.jp/data/china/image_1900th/78782370.pdf", "78782370")</f>
        <v>78782370</v>
      </c>
      <c r="F1269" s="10" t="s">
        <v>3669</v>
      </c>
      <c r="G1269" s="10" t="s">
        <v>3670</v>
      </c>
      <c r="H1269" s="10" t="s">
        <v>3671</v>
      </c>
      <c r="I1269" s="10" t="s">
        <v>3453</v>
      </c>
    </row>
    <row r="1270" spans="1:9" x14ac:dyDescent="0.15">
      <c r="A1270" s="9">
        <v>1269</v>
      </c>
      <c r="B1270" s="10" t="s">
        <v>9</v>
      </c>
      <c r="C1270" s="10" t="s">
        <v>170</v>
      </c>
      <c r="D1270" s="10" t="s">
        <v>171</v>
      </c>
      <c r="E1270" s="11" t="str">
        <f>+HYPERLINK("http://trademark.i-assist.jp/data/china/image_1900th/78782405.pdf", "78782405")</f>
        <v>78782405</v>
      </c>
      <c r="F1270" s="10" t="s">
        <v>3672</v>
      </c>
      <c r="G1270" s="10" t="s">
        <v>3673</v>
      </c>
      <c r="H1270" s="10" t="s">
        <v>3674</v>
      </c>
      <c r="I1270" s="10" t="s">
        <v>3453</v>
      </c>
    </row>
    <row r="1271" spans="1:9" x14ac:dyDescent="0.15">
      <c r="A1271" s="9">
        <v>1270</v>
      </c>
      <c r="B1271" s="10" t="s">
        <v>9</v>
      </c>
      <c r="C1271" s="10" t="s">
        <v>170</v>
      </c>
      <c r="D1271" s="10" t="s">
        <v>171</v>
      </c>
      <c r="E1271" s="11" t="str">
        <f>+HYPERLINK("http://trademark.i-assist.jp/data/china/image_1900th/78782469.pdf", "78782469")</f>
        <v>78782469</v>
      </c>
      <c r="F1271" s="10" t="s">
        <v>3675</v>
      </c>
      <c r="G1271" s="10" t="s">
        <v>3676</v>
      </c>
      <c r="H1271" s="10" t="s">
        <v>3677</v>
      </c>
      <c r="I1271" s="10" t="s">
        <v>3453</v>
      </c>
    </row>
    <row r="1272" spans="1:9" x14ac:dyDescent="0.15">
      <c r="A1272" s="9">
        <v>1271</v>
      </c>
      <c r="B1272" s="10" t="s">
        <v>9</v>
      </c>
      <c r="C1272" s="10" t="s">
        <v>170</v>
      </c>
      <c r="D1272" s="10" t="s">
        <v>171</v>
      </c>
      <c r="E1272" s="11" t="str">
        <f>+HYPERLINK("http://trademark.i-assist.jp/data/china/image_1900th/78782537.pdf", "78782537")</f>
        <v>78782537</v>
      </c>
      <c r="F1272" s="10" t="s">
        <v>3678</v>
      </c>
      <c r="G1272" s="10" t="s">
        <v>3679</v>
      </c>
      <c r="H1272" s="10" t="s">
        <v>3680</v>
      </c>
      <c r="I1272" s="10" t="s">
        <v>3453</v>
      </c>
    </row>
    <row r="1273" spans="1:9" x14ac:dyDescent="0.15">
      <c r="A1273" s="9">
        <v>1272</v>
      </c>
      <c r="B1273" s="10" t="s">
        <v>9</v>
      </c>
      <c r="C1273" s="10" t="s">
        <v>170</v>
      </c>
      <c r="D1273" s="10" t="s">
        <v>171</v>
      </c>
      <c r="E1273" s="11" t="str">
        <f>+HYPERLINK("http://trademark.i-assist.jp/data/china/image_1900th/78783210.pdf", "78783210")</f>
        <v>78783210</v>
      </c>
      <c r="F1273" s="10" t="s">
        <v>3681</v>
      </c>
      <c r="G1273" s="10" t="s">
        <v>3682</v>
      </c>
      <c r="H1273" s="10" t="s">
        <v>3683</v>
      </c>
      <c r="I1273" s="10" t="s">
        <v>3453</v>
      </c>
    </row>
    <row r="1274" spans="1:9" x14ac:dyDescent="0.15">
      <c r="A1274" s="9">
        <v>1273</v>
      </c>
      <c r="B1274" s="10" t="s">
        <v>9</v>
      </c>
      <c r="C1274" s="10" t="s">
        <v>170</v>
      </c>
      <c r="D1274" s="10" t="s">
        <v>171</v>
      </c>
      <c r="E1274" s="11" t="str">
        <f>+HYPERLINK("http://trademark.i-assist.jp/data/china/image_1900th/78783692.pdf", "78783692")</f>
        <v>78783692</v>
      </c>
      <c r="F1274" s="10" t="s">
        <v>3684</v>
      </c>
      <c r="G1274" s="10" t="s">
        <v>3685</v>
      </c>
      <c r="H1274" s="10" t="s">
        <v>3686</v>
      </c>
      <c r="I1274" s="10" t="s">
        <v>3453</v>
      </c>
    </row>
    <row r="1275" spans="1:9" x14ac:dyDescent="0.15">
      <c r="A1275" s="9">
        <v>1274</v>
      </c>
      <c r="B1275" s="10" t="s">
        <v>9</v>
      </c>
      <c r="C1275" s="10" t="s">
        <v>170</v>
      </c>
      <c r="D1275" s="10" t="s">
        <v>171</v>
      </c>
      <c r="E1275" s="11" t="str">
        <f>+HYPERLINK("http://trademark.i-assist.jp/data/china/image_1900th/78783718.pdf", "78783718")</f>
        <v>78783718</v>
      </c>
      <c r="F1275" s="10" t="s">
        <v>3687</v>
      </c>
      <c r="G1275" s="10" t="s">
        <v>3688</v>
      </c>
      <c r="H1275" s="10" t="s">
        <v>3689</v>
      </c>
      <c r="I1275" s="10" t="s">
        <v>3453</v>
      </c>
    </row>
    <row r="1276" spans="1:9" x14ac:dyDescent="0.15">
      <c r="A1276" s="9">
        <v>1275</v>
      </c>
      <c r="B1276" s="10" t="s">
        <v>9</v>
      </c>
      <c r="C1276" s="10" t="s">
        <v>170</v>
      </c>
      <c r="D1276" s="10" t="s">
        <v>171</v>
      </c>
      <c r="E1276" s="11" t="str">
        <f>+HYPERLINK("http://trademark.i-assist.jp/data/china/image_1900th/78783974.pdf", "78783974")</f>
        <v>78783974</v>
      </c>
      <c r="F1276" s="10" t="s">
        <v>3690</v>
      </c>
      <c r="G1276" s="10" t="s">
        <v>3691</v>
      </c>
      <c r="H1276" s="10" t="s">
        <v>3692</v>
      </c>
      <c r="I1276" s="10" t="s">
        <v>3453</v>
      </c>
    </row>
    <row r="1277" spans="1:9" x14ac:dyDescent="0.15">
      <c r="A1277" s="9">
        <v>1276</v>
      </c>
      <c r="B1277" s="10" t="s">
        <v>9</v>
      </c>
      <c r="C1277" s="10" t="s">
        <v>170</v>
      </c>
      <c r="D1277" s="10" t="s">
        <v>171</v>
      </c>
      <c r="E1277" s="11" t="str">
        <f>+HYPERLINK("http://trademark.i-assist.jp/data/china/image_1900th/78783980.pdf", "78783980")</f>
        <v>78783980</v>
      </c>
      <c r="F1277" s="10" t="s">
        <v>3693</v>
      </c>
      <c r="G1277" s="10" t="s">
        <v>3694</v>
      </c>
      <c r="H1277" s="10" t="s">
        <v>3695</v>
      </c>
      <c r="I1277" s="10" t="s">
        <v>3453</v>
      </c>
    </row>
    <row r="1278" spans="1:9" x14ac:dyDescent="0.15">
      <c r="A1278" s="9">
        <v>1277</v>
      </c>
      <c r="B1278" s="10" t="s">
        <v>9</v>
      </c>
      <c r="C1278" s="10" t="s">
        <v>170</v>
      </c>
      <c r="D1278" s="10" t="s">
        <v>171</v>
      </c>
      <c r="E1278" s="11" t="str">
        <f>+HYPERLINK("http://trademark.i-assist.jp/data/china/image_1900th/78783999.pdf", "78783999")</f>
        <v>78783999</v>
      </c>
      <c r="F1278" s="10" t="s">
        <v>3696</v>
      </c>
      <c r="G1278" s="10" t="s">
        <v>3697</v>
      </c>
      <c r="H1278" s="10" t="s">
        <v>3698</v>
      </c>
      <c r="I1278" s="10" t="s">
        <v>3453</v>
      </c>
    </row>
    <row r="1279" spans="1:9" x14ac:dyDescent="0.15">
      <c r="A1279" s="9">
        <v>1278</v>
      </c>
      <c r="B1279" s="10" t="s">
        <v>9</v>
      </c>
      <c r="C1279" s="10" t="s">
        <v>170</v>
      </c>
      <c r="D1279" s="10" t="s">
        <v>171</v>
      </c>
      <c r="E1279" s="11" t="str">
        <f>+HYPERLINK("http://trademark.i-assist.jp/data/china/image_1900th/78784214.pdf", "78784214")</f>
        <v>78784214</v>
      </c>
      <c r="F1279" s="10" t="s">
        <v>3699</v>
      </c>
      <c r="G1279" s="10" t="s">
        <v>3700</v>
      </c>
      <c r="H1279" s="10" t="s">
        <v>3701</v>
      </c>
      <c r="I1279" s="10" t="s">
        <v>3453</v>
      </c>
    </row>
    <row r="1280" spans="1:9" x14ac:dyDescent="0.15">
      <c r="A1280" s="9">
        <v>1279</v>
      </c>
      <c r="B1280" s="10" t="s">
        <v>9</v>
      </c>
      <c r="C1280" s="10" t="s">
        <v>170</v>
      </c>
      <c r="D1280" s="10" t="s">
        <v>171</v>
      </c>
      <c r="E1280" s="11" t="str">
        <f>+HYPERLINK("http://trademark.i-assist.jp/data/china/image_1900th/78784456.pdf", "78784456")</f>
        <v>78784456</v>
      </c>
      <c r="F1280" s="10" t="s">
        <v>3702</v>
      </c>
      <c r="G1280" s="10" t="s">
        <v>3703</v>
      </c>
      <c r="H1280" s="10" t="s">
        <v>3704</v>
      </c>
      <c r="I1280" s="10" t="s">
        <v>3453</v>
      </c>
    </row>
    <row r="1281" spans="1:9" x14ac:dyDescent="0.15">
      <c r="A1281" s="9">
        <v>1280</v>
      </c>
      <c r="B1281" s="10" t="s">
        <v>9</v>
      </c>
      <c r="C1281" s="10" t="s">
        <v>170</v>
      </c>
      <c r="D1281" s="10" t="s">
        <v>171</v>
      </c>
      <c r="E1281" s="11" t="str">
        <f>+HYPERLINK("http://trademark.i-assist.jp/data/china/image_1900th/78784624.pdf", "78784624")</f>
        <v>78784624</v>
      </c>
      <c r="F1281" s="10" t="s">
        <v>3705</v>
      </c>
      <c r="G1281" s="10" t="s">
        <v>3706</v>
      </c>
      <c r="H1281" s="10" t="s">
        <v>3707</v>
      </c>
      <c r="I1281" s="10" t="s">
        <v>3453</v>
      </c>
    </row>
    <row r="1282" spans="1:9" x14ac:dyDescent="0.15">
      <c r="A1282" s="9">
        <v>1281</v>
      </c>
      <c r="B1282" s="10" t="s">
        <v>9</v>
      </c>
      <c r="C1282" s="10" t="s">
        <v>170</v>
      </c>
      <c r="D1282" s="10" t="s">
        <v>171</v>
      </c>
      <c r="E1282" s="11" t="str">
        <f>+HYPERLINK("http://trademark.i-assist.jp/data/china/image_1900th/78784973.pdf", "78784973")</f>
        <v>78784973</v>
      </c>
      <c r="F1282" s="10" t="s">
        <v>3708</v>
      </c>
      <c r="G1282" s="10" t="s">
        <v>3709</v>
      </c>
      <c r="H1282" s="10" t="s">
        <v>3710</v>
      </c>
      <c r="I1282" s="10" t="s">
        <v>3453</v>
      </c>
    </row>
    <row r="1283" spans="1:9" x14ac:dyDescent="0.15">
      <c r="A1283" s="9">
        <v>1282</v>
      </c>
      <c r="B1283" s="10" t="s">
        <v>9</v>
      </c>
      <c r="C1283" s="10" t="s">
        <v>170</v>
      </c>
      <c r="D1283" s="10" t="s">
        <v>171</v>
      </c>
      <c r="E1283" s="11" t="str">
        <f>+HYPERLINK("http://trademark.i-assist.jp/data/china/image_1900th/78785205.pdf", "78785205")</f>
        <v>78785205</v>
      </c>
      <c r="F1283" s="10" t="s">
        <v>3711</v>
      </c>
      <c r="G1283" s="10" t="s">
        <v>3712</v>
      </c>
      <c r="H1283" s="10" t="s">
        <v>3713</v>
      </c>
      <c r="I1283" s="10" t="s">
        <v>3453</v>
      </c>
    </row>
    <row r="1284" spans="1:9" x14ac:dyDescent="0.15">
      <c r="A1284" s="9">
        <v>1283</v>
      </c>
      <c r="B1284" s="10" t="s">
        <v>9</v>
      </c>
      <c r="C1284" s="10" t="s">
        <v>170</v>
      </c>
      <c r="D1284" s="10" t="s">
        <v>171</v>
      </c>
      <c r="E1284" s="11" t="str">
        <f>+HYPERLINK("http://trademark.i-assist.jp/data/china/image_1900th/78785248.pdf", "78785248")</f>
        <v>78785248</v>
      </c>
      <c r="F1284" s="10" t="s">
        <v>15</v>
      </c>
      <c r="G1284" s="10" t="s">
        <v>3714</v>
      </c>
      <c r="H1284" s="10" t="s">
        <v>3715</v>
      </c>
      <c r="I1284" s="10" t="s">
        <v>3453</v>
      </c>
    </row>
    <row r="1285" spans="1:9" x14ac:dyDescent="0.15">
      <c r="A1285" s="9">
        <v>1284</v>
      </c>
      <c r="B1285" s="10" t="s">
        <v>9</v>
      </c>
      <c r="C1285" s="10" t="s">
        <v>170</v>
      </c>
      <c r="D1285" s="10" t="s">
        <v>171</v>
      </c>
      <c r="E1285" s="11" t="str">
        <f>+HYPERLINK("http://trademark.i-assist.jp/data/china/image_1900th/78785253.pdf", "78785253")</f>
        <v>78785253</v>
      </c>
      <c r="F1285" s="10" t="s">
        <v>3716</v>
      </c>
      <c r="G1285" s="10" t="s">
        <v>3717</v>
      </c>
      <c r="H1285" s="10" t="s">
        <v>3718</v>
      </c>
      <c r="I1285" s="10" t="s">
        <v>3453</v>
      </c>
    </row>
    <row r="1286" spans="1:9" x14ac:dyDescent="0.15">
      <c r="A1286" s="9">
        <v>1285</v>
      </c>
      <c r="B1286" s="10" t="s">
        <v>9</v>
      </c>
      <c r="C1286" s="10" t="s">
        <v>170</v>
      </c>
      <c r="D1286" s="10" t="s">
        <v>171</v>
      </c>
      <c r="E1286" s="11" t="str">
        <f>+HYPERLINK("http://trademark.i-assist.jp/data/china/image_1900th/78785305.pdf", "78785305")</f>
        <v>78785305</v>
      </c>
      <c r="F1286" s="10" t="s">
        <v>3719</v>
      </c>
      <c r="G1286" s="10" t="s">
        <v>112</v>
      </c>
      <c r="H1286" s="10" t="s">
        <v>3720</v>
      </c>
      <c r="I1286" s="10" t="s">
        <v>3453</v>
      </c>
    </row>
    <row r="1287" spans="1:9" x14ac:dyDescent="0.15">
      <c r="A1287" s="9">
        <v>1286</v>
      </c>
      <c r="B1287" s="10" t="s">
        <v>9</v>
      </c>
      <c r="C1287" s="10" t="s">
        <v>170</v>
      </c>
      <c r="D1287" s="10" t="s">
        <v>171</v>
      </c>
      <c r="E1287" s="11" t="str">
        <f>+HYPERLINK("http://trademark.i-assist.jp/data/china/image_1900th/78785306.pdf", "78785306")</f>
        <v>78785306</v>
      </c>
      <c r="F1287" s="10" t="s">
        <v>3721</v>
      </c>
      <c r="G1287" s="10" t="s">
        <v>3722</v>
      </c>
      <c r="H1287" s="10" t="s">
        <v>3723</v>
      </c>
      <c r="I1287" s="10" t="s">
        <v>3453</v>
      </c>
    </row>
    <row r="1288" spans="1:9" x14ac:dyDescent="0.15">
      <c r="A1288" s="9">
        <v>1287</v>
      </c>
      <c r="B1288" s="10" t="s">
        <v>9</v>
      </c>
      <c r="C1288" s="10" t="s">
        <v>170</v>
      </c>
      <c r="D1288" s="10" t="s">
        <v>171</v>
      </c>
      <c r="E1288" s="11" t="str">
        <f>+HYPERLINK("http://trademark.i-assist.jp/data/china/image_1900th/78785393.pdf", "78785393")</f>
        <v>78785393</v>
      </c>
      <c r="F1288" s="10" t="s">
        <v>3724</v>
      </c>
      <c r="G1288" s="10" t="s">
        <v>3725</v>
      </c>
      <c r="H1288" s="10" t="s">
        <v>3726</v>
      </c>
      <c r="I1288" s="10" t="s">
        <v>3453</v>
      </c>
    </row>
    <row r="1289" spans="1:9" x14ac:dyDescent="0.15">
      <c r="A1289" s="9">
        <v>1288</v>
      </c>
      <c r="B1289" s="10" t="s">
        <v>9</v>
      </c>
      <c r="C1289" s="10" t="s">
        <v>170</v>
      </c>
      <c r="D1289" s="10" t="s">
        <v>171</v>
      </c>
      <c r="E1289" s="11" t="str">
        <f>+HYPERLINK("http://trademark.i-assist.jp/data/china/image_1900th/78785396.pdf", "78785396")</f>
        <v>78785396</v>
      </c>
      <c r="F1289" s="10" t="s">
        <v>3727</v>
      </c>
      <c r="G1289" s="10" t="s">
        <v>3728</v>
      </c>
      <c r="H1289" s="10" t="s">
        <v>3729</v>
      </c>
      <c r="I1289" s="10" t="s">
        <v>3453</v>
      </c>
    </row>
    <row r="1290" spans="1:9" x14ac:dyDescent="0.15">
      <c r="A1290" s="9">
        <v>1289</v>
      </c>
      <c r="B1290" s="10" t="s">
        <v>9</v>
      </c>
      <c r="C1290" s="10" t="s">
        <v>170</v>
      </c>
      <c r="D1290" s="10" t="s">
        <v>171</v>
      </c>
      <c r="E1290" s="11" t="str">
        <f>+HYPERLINK("http://trademark.i-assist.jp/data/china/image_1900th/78785518.pdf", "78785518")</f>
        <v>78785518</v>
      </c>
      <c r="F1290" s="10" t="s">
        <v>3730</v>
      </c>
      <c r="G1290" s="10" t="s">
        <v>3622</v>
      </c>
      <c r="H1290" s="10" t="s">
        <v>3731</v>
      </c>
      <c r="I1290" s="10" t="s">
        <v>3453</v>
      </c>
    </row>
    <row r="1291" spans="1:9" x14ac:dyDescent="0.15">
      <c r="A1291" s="9">
        <v>1290</v>
      </c>
      <c r="B1291" s="10" t="s">
        <v>9</v>
      </c>
      <c r="C1291" s="10" t="s">
        <v>170</v>
      </c>
      <c r="D1291" s="10" t="s">
        <v>171</v>
      </c>
      <c r="E1291" s="11" t="str">
        <f>+HYPERLINK("http://trademark.i-assist.jp/data/china/image_1900th/78785639.pdf", "78785639")</f>
        <v>78785639</v>
      </c>
      <c r="F1291" s="10" t="s">
        <v>3732</v>
      </c>
      <c r="G1291" s="10" t="s">
        <v>3733</v>
      </c>
      <c r="H1291" s="10" t="s">
        <v>3734</v>
      </c>
      <c r="I1291" s="10" t="s">
        <v>3453</v>
      </c>
    </row>
    <row r="1292" spans="1:9" x14ac:dyDescent="0.15">
      <c r="A1292" s="9">
        <v>1291</v>
      </c>
      <c r="B1292" s="10" t="s">
        <v>9</v>
      </c>
      <c r="C1292" s="10" t="s">
        <v>170</v>
      </c>
      <c r="D1292" s="10" t="s">
        <v>171</v>
      </c>
      <c r="E1292" s="11" t="str">
        <f>+HYPERLINK("http://trademark.i-assist.jp/data/china/image_1900th/78785953.pdf", "78785953")</f>
        <v>78785953</v>
      </c>
      <c r="F1292" s="10" t="s">
        <v>3735</v>
      </c>
      <c r="G1292" s="10" t="s">
        <v>3736</v>
      </c>
      <c r="H1292" s="10" t="s">
        <v>3737</v>
      </c>
      <c r="I1292" s="10" t="s">
        <v>3453</v>
      </c>
    </row>
    <row r="1293" spans="1:9" x14ac:dyDescent="0.15">
      <c r="A1293" s="9">
        <v>1292</v>
      </c>
      <c r="B1293" s="10" t="s">
        <v>9</v>
      </c>
      <c r="C1293" s="10" t="s">
        <v>170</v>
      </c>
      <c r="D1293" s="10" t="s">
        <v>171</v>
      </c>
      <c r="E1293" s="11" t="str">
        <f>+HYPERLINK("http://trademark.i-assist.jp/data/china/image_1900th/78786169.pdf", "78786169")</f>
        <v>78786169</v>
      </c>
      <c r="F1293" s="10" t="s">
        <v>3738</v>
      </c>
      <c r="G1293" s="10" t="s">
        <v>3739</v>
      </c>
      <c r="H1293" s="10" t="s">
        <v>3740</v>
      </c>
      <c r="I1293" s="10" t="s">
        <v>3453</v>
      </c>
    </row>
    <row r="1294" spans="1:9" x14ac:dyDescent="0.15">
      <c r="A1294" s="9">
        <v>1293</v>
      </c>
      <c r="B1294" s="10" t="s">
        <v>9</v>
      </c>
      <c r="C1294" s="10" t="s">
        <v>170</v>
      </c>
      <c r="D1294" s="10" t="s">
        <v>171</v>
      </c>
      <c r="E1294" s="11" t="str">
        <f>+HYPERLINK("http://trademark.i-assist.jp/data/china/image_1900th/78786519.pdf", "78786519")</f>
        <v>78786519</v>
      </c>
      <c r="F1294" s="10" t="s">
        <v>3741</v>
      </c>
      <c r="G1294" s="10" t="s">
        <v>3742</v>
      </c>
      <c r="H1294" s="10" t="s">
        <v>3743</v>
      </c>
      <c r="I1294" s="10" t="s">
        <v>3453</v>
      </c>
    </row>
    <row r="1295" spans="1:9" x14ac:dyDescent="0.15">
      <c r="A1295" s="9">
        <v>1294</v>
      </c>
      <c r="B1295" s="10" t="s">
        <v>9</v>
      </c>
      <c r="C1295" s="10" t="s">
        <v>170</v>
      </c>
      <c r="D1295" s="10" t="s">
        <v>171</v>
      </c>
      <c r="E1295" s="11" t="str">
        <f>+HYPERLINK("http://trademark.i-assist.jp/data/china/image_1900th/78786526.pdf", "78786526")</f>
        <v>78786526</v>
      </c>
      <c r="F1295" s="10" t="s">
        <v>3744</v>
      </c>
      <c r="G1295" s="10" t="s">
        <v>3511</v>
      </c>
      <c r="H1295" s="10" t="s">
        <v>3745</v>
      </c>
      <c r="I1295" s="10" t="s">
        <v>3453</v>
      </c>
    </row>
    <row r="1296" spans="1:9" x14ac:dyDescent="0.15">
      <c r="A1296" s="9">
        <v>1295</v>
      </c>
      <c r="B1296" s="10" t="s">
        <v>9</v>
      </c>
      <c r="C1296" s="10" t="s">
        <v>170</v>
      </c>
      <c r="D1296" s="10" t="s">
        <v>171</v>
      </c>
      <c r="E1296" s="11" t="str">
        <f>+HYPERLINK("http://trademark.i-assist.jp/data/china/image_1900th/78786546.pdf", "78786546")</f>
        <v>78786546</v>
      </c>
      <c r="F1296" s="10" t="s">
        <v>3746</v>
      </c>
      <c r="G1296" s="10" t="s">
        <v>3747</v>
      </c>
      <c r="H1296" s="10" t="s">
        <v>3748</v>
      </c>
      <c r="I1296" s="10" t="s">
        <v>3453</v>
      </c>
    </row>
    <row r="1297" spans="1:9" x14ac:dyDescent="0.15">
      <c r="A1297" s="9">
        <v>1296</v>
      </c>
      <c r="B1297" s="10" t="s">
        <v>9</v>
      </c>
      <c r="C1297" s="10" t="s">
        <v>170</v>
      </c>
      <c r="D1297" s="10" t="s">
        <v>171</v>
      </c>
      <c r="E1297" s="11" t="str">
        <f>+HYPERLINK("http://trademark.i-assist.jp/data/china/image_1900th/78786659.pdf", "78786659")</f>
        <v>78786659</v>
      </c>
      <c r="F1297" s="10" t="s">
        <v>15</v>
      </c>
      <c r="G1297" s="10" t="s">
        <v>3749</v>
      </c>
      <c r="H1297" s="10" t="s">
        <v>3750</v>
      </c>
      <c r="I1297" s="10" t="s">
        <v>3453</v>
      </c>
    </row>
    <row r="1298" spans="1:9" x14ac:dyDescent="0.15">
      <c r="A1298" s="9">
        <v>1297</v>
      </c>
      <c r="B1298" s="10" t="s">
        <v>9</v>
      </c>
      <c r="C1298" s="10" t="s">
        <v>170</v>
      </c>
      <c r="D1298" s="10" t="s">
        <v>171</v>
      </c>
      <c r="E1298" s="11" t="str">
        <f>+HYPERLINK("http://trademark.i-assist.jp/data/china/image_1900th/78786722.pdf", "78786722")</f>
        <v>78786722</v>
      </c>
      <c r="F1298" s="10" t="s">
        <v>3751</v>
      </c>
      <c r="G1298" s="10" t="s">
        <v>112</v>
      </c>
      <c r="H1298" s="10" t="s">
        <v>3752</v>
      </c>
      <c r="I1298" s="10" t="s">
        <v>3453</v>
      </c>
    </row>
    <row r="1299" spans="1:9" x14ac:dyDescent="0.15">
      <c r="A1299" s="9">
        <v>1298</v>
      </c>
      <c r="B1299" s="10" t="s">
        <v>9</v>
      </c>
      <c r="C1299" s="10" t="s">
        <v>170</v>
      </c>
      <c r="D1299" s="10" t="s">
        <v>171</v>
      </c>
      <c r="E1299" s="11" t="str">
        <f>+HYPERLINK("http://trademark.i-assist.jp/data/china/image_1900th/78786878.pdf", "78786878")</f>
        <v>78786878</v>
      </c>
      <c r="F1299" s="10" t="s">
        <v>15</v>
      </c>
      <c r="G1299" s="10" t="s">
        <v>3753</v>
      </c>
      <c r="H1299" s="10" t="s">
        <v>3754</v>
      </c>
      <c r="I1299" s="10" t="s">
        <v>3453</v>
      </c>
    </row>
    <row r="1300" spans="1:9" x14ac:dyDescent="0.15">
      <c r="A1300" s="9">
        <v>1299</v>
      </c>
      <c r="B1300" s="10" t="s">
        <v>9</v>
      </c>
      <c r="C1300" s="10" t="s">
        <v>170</v>
      </c>
      <c r="D1300" s="10" t="s">
        <v>171</v>
      </c>
      <c r="E1300" s="11" t="str">
        <f>+HYPERLINK("http://trademark.i-assist.jp/data/china/image_1900th/78786909.pdf", "78786909")</f>
        <v>78786909</v>
      </c>
      <c r="F1300" s="10" t="s">
        <v>3755</v>
      </c>
      <c r="G1300" s="10" t="s">
        <v>3756</v>
      </c>
      <c r="H1300" s="10" t="s">
        <v>3757</v>
      </c>
      <c r="I1300" s="10" t="s">
        <v>3453</v>
      </c>
    </row>
    <row r="1301" spans="1:9" x14ac:dyDescent="0.15">
      <c r="A1301" s="9">
        <v>1300</v>
      </c>
      <c r="B1301" s="10" t="s">
        <v>9</v>
      </c>
      <c r="C1301" s="10" t="s">
        <v>170</v>
      </c>
      <c r="D1301" s="10" t="s">
        <v>171</v>
      </c>
      <c r="E1301" s="11" t="str">
        <f>+HYPERLINK("http://trademark.i-assist.jp/data/china/image_1900th/78787448.pdf", "78787448")</f>
        <v>78787448</v>
      </c>
      <c r="F1301" s="10" t="s">
        <v>3758</v>
      </c>
      <c r="G1301" s="10" t="s">
        <v>3759</v>
      </c>
      <c r="H1301" s="10" t="s">
        <v>3760</v>
      </c>
      <c r="I1301" s="10" t="s">
        <v>3453</v>
      </c>
    </row>
    <row r="1302" spans="1:9" x14ac:dyDescent="0.15">
      <c r="A1302" s="9">
        <v>1301</v>
      </c>
      <c r="B1302" s="10" t="s">
        <v>9</v>
      </c>
      <c r="C1302" s="10" t="s">
        <v>170</v>
      </c>
      <c r="D1302" s="10" t="s">
        <v>171</v>
      </c>
      <c r="E1302" s="11" t="str">
        <f>+HYPERLINK("http://trademark.i-assist.jp/data/china/image_1900th/78787732.pdf", "78787732")</f>
        <v>78787732</v>
      </c>
      <c r="F1302" s="10" t="s">
        <v>3761</v>
      </c>
      <c r="G1302" s="10" t="s">
        <v>3476</v>
      </c>
      <c r="H1302" s="10" t="s">
        <v>3762</v>
      </c>
      <c r="I1302" s="10" t="s">
        <v>3453</v>
      </c>
    </row>
    <row r="1303" spans="1:9" x14ac:dyDescent="0.15">
      <c r="A1303" s="9">
        <v>1302</v>
      </c>
      <c r="B1303" s="10" t="s">
        <v>9</v>
      </c>
      <c r="C1303" s="10" t="s">
        <v>170</v>
      </c>
      <c r="D1303" s="10" t="s">
        <v>171</v>
      </c>
      <c r="E1303" s="11" t="str">
        <f>+HYPERLINK("http://trademark.i-assist.jp/data/china/image_1900th/78787903.pdf", "78787903")</f>
        <v>78787903</v>
      </c>
      <c r="F1303" s="10" t="s">
        <v>15</v>
      </c>
      <c r="G1303" s="10" t="s">
        <v>3763</v>
      </c>
      <c r="H1303" s="10" t="s">
        <v>3764</v>
      </c>
      <c r="I1303" s="10" t="s">
        <v>3453</v>
      </c>
    </row>
    <row r="1304" spans="1:9" x14ac:dyDescent="0.15">
      <c r="A1304" s="9">
        <v>1303</v>
      </c>
      <c r="B1304" s="10" t="s">
        <v>9</v>
      </c>
      <c r="C1304" s="10" t="s">
        <v>170</v>
      </c>
      <c r="D1304" s="10" t="s">
        <v>171</v>
      </c>
      <c r="E1304" s="11" t="str">
        <f>+HYPERLINK("http://trademark.i-assist.jp/data/china/image_1900th/78788050.pdf", "78788050")</f>
        <v>78788050</v>
      </c>
      <c r="F1304" s="10" t="s">
        <v>3765</v>
      </c>
      <c r="G1304" s="10" t="s">
        <v>3766</v>
      </c>
      <c r="H1304" s="10" t="s">
        <v>3767</v>
      </c>
      <c r="I1304" s="10" t="s">
        <v>3453</v>
      </c>
    </row>
    <row r="1305" spans="1:9" x14ac:dyDescent="0.15">
      <c r="A1305" s="9">
        <v>1304</v>
      </c>
      <c r="B1305" s="10" t="s">
        <v>9</v>
      </c>
      <c r="C1305" s="10" t="s">
        <v>170</v>
      </c>
      <c r="D1305" s="10" t="s">
        <v>171</v>
      </c>
      <c r="E1305" s="11" t="str">
        <f>+HYPERLINK("http://trademark.i-assist.jp/data/china/image_1900th/78788057.pdf", "78788057")</f>
        <v>78788057</v>
      </c>
      <c r="F1305" s="10" t="s">
        <v>3768</v>
      </c>
      <c r="G1305" s="10" t="s">
        <v>136</v>
      </c>
      <c r="H1305" s="10" t="s">
        <v>3769</v>
      </c>
      <c r="I1305" s="10" t="s">
        <v>3453</v>
      </c>
    </row>
    <row r="1306" spans="1:9" x14ac:dyDescent="0.15">
      <c r="A1306" s="9">
        <v>1305</v>
      </c>
      <c r="B1306" s="10" t="s">
        <v>9</v>
      </c>
      <c r="C1306" s="10" t="s">
        <v>170</v>
      </c>
      <c r="D1306" s="10" t="s">
        <v>171</v>
      </c>
      <c r="E1306" s="11" t="str">
        <f>+HYPERLINK("http://trademark.i-assist.jp/data/china/image_1900th/78788070.pdf", "78788070")</f>
        <v>78788070</v>
      </c>
      <c r="F1306" s="10" t="s">
        <v>3770</v>
      </c>
      <c r="G1306" s="10" t="s">
        <v>3522</v>
      </c>
      <c r="H1306" s="10" t="s">
        <v>3771</v>
      </c>
      <c r="I1306" s="10" t="s">
        <v>3453</v>
      </c>
    </row>
    <row r="1307" spans="1:9" x14ac:dyDescent="0.15">
      <c r="A1307" s="9">
        <v>1306</v>
      </c>
      <c r="B1307" s="10" t="s">
        <v>9</v>
      </c>
      <c r="C1307" s="10" t="s">
        <v>170</v>
      </c>
      <c r="D1307" s="10" t="s">
        <v>171</v>
      </c>
      <c r="E1307" s="11" t="str">
        <f>+HYPERLINK("http://trademark.i-assist.jp/data/china/image_1900th/78788349.pdf", "78788349")</f>
        <v>78788349</v>
      </c>
      <c r="F1307" s="10" t="s">
        <v>3772</v>
      </c>
      <c r="G1307" s="10" t="s">
        <v>3773</v>
      </c>
      <c r="H1307" s="10" t="s">
        <v>3774</v>
      </c>
      <c r="I1307" s="10" t="s">
        <v>3453</v>
      </c>
    </row>
    <row r="1308" spans="1:9" x14ac:dyDescent="0.15">
      <c r="A1308" s="9">
        <v>1307</v>
      </c>
      <c r="B1308" s="10" t="s">
        <v>9</v>
      </c>
      <c r="C1308" s="10" t="s">
        <v>170</v>
      </c>
      <c r="D1308" s="10" t="s">
        <v>171</v>
      </c>
      <c r="E1308" s="11" t="str">
        <f>+HYPERLINK("http://trademark.i-assist.jp/data/china/image_1900th/78788622.pdf", "78788622")</f>
        <v>78788622</v>
      </c>
      <c r="F1308" s="10" t="s">
        <v>3775</v>
      </c>
      <c r="G1308" s="10" t="s">
        <v>3776</v>
      </c>
      <c r="H1308" s="10" t="s">
        <v>3777</v>
      </c>
      <c r="I1308" s="10" t="s">
        <v>3453</v>
      </c>
    </row>
    <row r="1309" spans="1:9" x14ac:dyDescent="0.15">
      <c r="A1309" s="9">
        <v>1308</v>
      </c>
      <c r="B1309" s="10" t="s">
        <v>9</v>
      </c>
      <c r="C1309" s="10" t="s">
        <v>170</v>
      </c>
      <c r="D1309" s="10" t="s">
        <v>171</v>
      </c>
      <c r="E1309" s="11" t="str">
        <f>+HYPERLINK("http://trademark.i-assist.jp/data/china/image_1900th/78788687.pdf", "78788687")</f>
        <v>78788687</v>
      </c>
      <c r="F1309" s="10" t="s">
        <v>3778</v>
      </c>
      <c r="G1309" s="10" t="s">
        <v>3779</v>
      </c>
      <c r="H1309" s="10" t="s">
        <v>3780</v>
      </c>
      <c r="I1309" s="10" t="s">
        <v>3453</v>
      </c>
    </row>
    <row r="1310" spans="1:9" x14ac:dyDescent="0.15">
      <c r="A1310" s="9">
        <v>1309</v>
      </c>
      <c r="B1310" s="10" t="s">
        <v>9</v>
      </c>
      <c r="C1310" s="10" t="s">
        <v>170</v>
      </c>
      <c r="D1310" s="10" t="s">
        <v>171</v>
      </c>
      <c r="E1310" s="11" t="str">
        <f>+HYPERLINK("http://trademark.i-assist.jp/data/china/image_1900th/78788920.pdf", "78788920")</f>
        <v>78788920</v>
      </c>
      <c r="F1310" s="10" t="s">
        <v>3781</v>
      </c>
      <c r="G1310" s="10" t="s">
        <v>3782</v>
      </c>
      <c r="H1310" s="10" t="s">
        <v>3783</v>
      </c>
      <c r="I1310" s="10" t="s">
        <v>3784</v>
      </c>
    </row>
    <row r="1311" spans="1:9" x14ac:dyDescent="0.15">
      <c r="A1311" s="9">
        <v>1310</v>
      </c>
      <c r="B1311" s="10" t="s">
        <v>9</v>
      </c>
      <c r="C1311" s="10" t="s">
        <v>170</v>
      </c>
      <c r="D1311" s="10" t="s">
        <v>171</v>
      </c>
      <c r="E1311" s="11" t="str">
        <f>+HYPERLINK("http://trademark.i-assist.jp/data/china/image_1900th/78789753.pdf", "78789753")</f>
        <v>78789753</v>
      </c>
      <c r="F1311" s="10" t="s">
        <v>3785</v>
      </c>
      <c r="G1311" s="10" t="s">
        <v>3786</v>
      </c>
      <c r="H1311" s="10" t="s">
        <v>3787</v>
      </c>
      <c r="I1311" s="10" t="s">
        <v>3453</v>
      </c>
    </row>
    <row r="1312" spans="1:9" x14ac:dyDescent="0.15">
      <c r="A1312" s="9">
        <v>1311</v>
      </c>
      <c r="B1312" s="10" t="s">
        <v>9</v>
      </c>
      <c r="C1312" s="10" t="s">
        <v>170</v>
      </c>
      <c r="D1312" s="10" t="s">
        <v>171</v>
      </c>
      <c r="E1312" s="11" t="str">
        <f>+HYPERLINK("http://trademark.i-assist.jp/data/china/image_1900th/78789944.pdf", "78789944")</f>
        <v>78789944</v>
      </c>
      <c r="F1312" s="10" t="s">
        <v>3788</v>
      </c>
      <c r="G1312" s="10" t="s">
        <v>3789</v>
      </c>
      <c r="H1312" s="10" t="s">
        <v>3790</v>
      </c>
      <c r="I1312" s="10" t="s">
        <v>3453</v>
      </c>
    </row>
    <row r="1313" spans="1:9" x14ac:dyDescent="0.15">
      <c r="A1313" s="9">
        <v>1312</v>
      </c>
      <c r="B1313" s="10" t="s">
        <v>9</v>
      </c>
      <c r="C1313" s="10" t="s">
        <v>170</v>
      </c>
      <c r="D1313" s="10" t="s">
        <v>171</v>
      </c>
      <c r="E1313" s="11" t="str">
        <f>+HYPERLINK("http://trademark.i-assist.jp/data/china/image_1900th/78789978.pdf", "78789978")</f>
        <v>78789978</v>
      </c>
      <c r="F1313" s="10" t="s">
        <v>3791</v>
      </c>
      <c r="G1313" s="10" t="s">
        <v>3792</v>
      </c>
      <c r="H1313" s="10" t="s">
        <v>3793</v>
      </c>
      <c r="I1313" s="10" t="s">
        <v>3453</v>
      </c>
    </row>
    <row r="1314" spans="1:9" x14ac:dyDescent="0.15">
      <c r="A1314" s="9">
        <v>1313</v>
      </c>
      <c r="B1314" s="10" t="s">
        <v>9</v>
      </c>
      <c r="C1314" s="10" t="s">
        <v>170</v>
      </c>
      <c r="D1314" s="10" t="s">
        <v>171</v>
      </c>
      <c r="E1314" s="11" t="str">
        <f>+HYPERLINK("http://trademark.i-assist.jp/data/china/image_1900th/78789990.pdf", "78789990")</f>
        <v>78789990</v>
      </c>
      <c r="F1314" s="10" t="s">
        <v>3794</v>
      </c>
      <c r="G1314" s="10" t="s">
        <v>3795</v>
      </c>
      <c r="H1314" s="10" t="s">
        <v>3796</v>
      </c>
      <c r="I1314" s="10" t="s">
        <v>3453</v>
      </c>
    </row>
    <row r="1315" spans="1:9" x14ac:dyDescent="0.15">
      <c r="A1315" s="9">
        <v>1314</v>
      </c>
      <c r="B1315" s="10" t="s">
        <v>9</v>
      </c>
      <c r="C1315" s="10" t="s">
        <v>170</v>
      </c>
      <c r="D1315" s="10" t="s">
        <v>171</v>
      </c>
      <c r="E1315" s="11" t="str">
        <f>+HYPERLINK("http://trademark.i-assist.jp/data/china/image_1900th/78790015.pdf", "78790015")</f>
        <v>78790015</v>
      </c>
      <c r="F1315" s="10" t="s">
        <v>3797</v>
      </c>
      <c r="G1315" s="10" t="s">
        <v>3798</v>
      </c>
      <c r="H1315" s="10" t="s">
        <v>3799</v>
      </c>
      <c r="I1315" s="10" t="s">
        <v>3453</v>
      </c>
    </row>
    <row r="1316" spans="1:9" x14ac:dyDescent="0.15">
      <c r="A1316" s="9">
        <v>1315</v>
      </c>
      <c r="B1316" s="10" t="s">
        <v>9</v>
      </c>
      <c r="C1316" s="10" t="s">
        <v>170</v>
      </c>
      <c r="D1316" s="10" t="s">
        <v>171</v>
      </c>
      <c r="E1316" s="11" t="str">
        <f>+HYPERLINK("http://trademark.i-assist.jp/data/china/image_1900th/78790256.pdf", "78790256")</f>
        <v>78790256</v>
      </c>
      <c r="F1316" s="10" t="s">
        <v>3800</v>
      </c>
      <c r="G1316" s="10" t="s">
        <v>3801</v>
      </c>
      <c r="H1316" s="10" t="s">
        <v>3802</v>
      </c>
      <c r="I1316" s="10" t="s">
        <v>3453</v>
      </c>
    </row>
    <row r="1317" spans="1:9" x14ac:dyDescent="0.15">
      <c r="A1317" s="9">
        <v>1316</v>
      </c>
      <c r="B1317" s="10" t="s">
        <v>9</v>
      </c>
      <c r="C1317" s="10" t="s">
        <v>170</v>
      </c>
      <c r="D1317" s="10" t="s">
        <v>171</v>
      </c>
      <c r="E1317" s="11" t="str">
        <f>+HYPERLINK("http://trademark.i-assist.jp/data/china/image_1900th/78790278.pdf", "78790278")</f>
        <v>78790278</v>
      </c>
      <c r="F1317" s="10" t="s">
        <v>3803</v>
      </c>
      <c r="G1317" s="10" t="s">
        <v>3804</v>
      </c>
      <c r="H1317" s="10" t="s">
        <v>3805</v>
      </c>
      <c r="I1317" s="10" t="s">
        <v>3453</v>
      </c>
    </row>
    <row r="1318" spans="1:9" x14ac:dyDescent="0.15">
      <c r="A1318" s="9">
        <v>1317</v>
      </c>
      <c r="B1318" s="10" t="s">
        <v>9</v>
      </c>
      <c r="C1318" s="10" t="s">
        <v>170</v>
      </c>
      <c r="D1318" s="10" t="s">
        <v>171</v>
      </c>
      <c r="E1318" s="11" t="str">
        <f>+HYPERLINK("http://trademark.i-assist.jp/data/china/image_1900th/78790312.pdf", "78790312")</f>
        <v>78790312</v>
      </c>
      <c r="F1318" s="10" t="s">
        <v>3806</v>
      </c>
      <c r="G1318" s="10" t="s">
        <v>3807</v>
      </c>
      <c r="H1318" s="10" t="s">
        <v>3808</v>
      </c>
      <c r="I1318" s="10" t="s">
        <v>3453</v>
      </c>
    </row>
    <row r="1319" spans="1:9" x14ac:dyDescent="0.15">
      <c r="A1319" s="9">
        <v>1318</v>
      </c>
      <c r="B1319" s="10" t="s">
        <v>9</v>
      </c>
      <c r="C1319" s="10" t="s">
        <v>170</v>
      </c>
      <c r="D1319" s="10" t="s">
        <v>171</v>
      </c>
      <c r="E1319" s="11" t="str">
        <f>+HYPERLINK("http://trademark.i-assist.jp/data/china/image_1900th/78790604.pdf", "78790604")</f>
        <v>78790604</v>
      </c>
      <c r="F1319" s="10" t="s">
        <v>3809</v>
      </c>
      <c r="G1319" s="10" t="s">
        <v>3810</v>
      </c>
      <c r="H1319" s="10" t="s">
        <v>3811</v>
      </c>
      <c r="I1319" s="10" t="s">
        <v>3453</v>
      </c>
    </row>
    <row r="1320" spans="1:9" x14ac:dyDescent="0.15">
      <c r="A1320" s="9">
        <v>1319</v>
      </c>
      <c r="B1320" s="10" t="s">
        <v>9</v>
      </c>
      <c r="C1320" s="10" t="s">
        <v>170</v>
      </c>
      <c r="D1320" s="10" t="s">
        <v>171</v>
      </c>
      <c r="E1320" s="11" t="str">
        <f>+HYPERLINK("http://trademark.i-assist.jp/data/china/image_1900th/78791305.pdf", "78791305")</f>
        <v>78791305</v>
      </c>
      <c r="F1320" s="10" t="s">
        <v>3812</v>
      </c>
      <c r="G1320" s="10" t="s">
        <v>3813</v>
      </c>
      <c r="H1320" s="10" t="s">
        <v>3814</v>
      </c>
      <c r="I1320" s="10" t="s">
        <v>3453</v>
      </c>
    </row>
    <row r="1321" spans="1:9" x14ac:dyDescent="0.15">
      <c r="A1321" s="9">
        <v>1320</v>
      </c>
      <c r="B1321" s="10" t="s">
        <v>9</v>
      </c>
      <c r="C1321" s="10" t="s">
        <v>170</v>
      </c>
      <c r="D1321" s="10" t="s">
        <v>171</v>
      </c>
      <c r="E1321" s="11" t="str">
        <f>+HYPERLINK("http://trademark.i-assist.jp/data/china/image_1900th/78791336.pdf", "78791336")</f>
        <v>78791336</v>
      </c>
      <c r="F1321" s="10" t="s">
        <v>3815</v>
      </c>
      <c r="G1321" s="10" t="s">
        <v>3816</v>
      </c>
      <c r="H1321" s="10" t="s">
        <v>3817</v>
      </c>
      <c r="I1321" s="10" t="s">
        <v>3453</v>
      </c>
    </row>
    <row r="1322" spans="1:9" x14ac:dyDescent="0.15">
      <c r="A1322" s="9">
        <v>1321</v>
      </c>
      <c r="B1322" s="10" t="s">
        <v>9</v>
      </c>
      <c r="C1322" s="10" t="s">
        <v>170</v>
      </c>
      <c r="D1322" s="10" t="s">
        <v>171</v>
      </c>
      <c r="E1322" s="11" t="str">
        <f>+HYPERLINK("http://trademark.i-assist.jp/data/china/image_1900th/78791352.pdf", "78791352")</f>
        <v>78791352</v>
      </c>
      <c r="F1322" s="10" t="s">
        <v>3818</v>
      </c>
      <c r="G1322" s="10" t="s">
        <v>3819</v>
      </c>
      <c r="H1322" s="10" t="s">
        <v>3820</v>
      </c>
      <c r="I1322" s="10" t="s">
        <v>3453</v>
      </c>
    </row>
    <row r="1323" spans="1:9" x14ac:dyDescent="0.15">
      <c r="A1323" s="9">
        <v>1322</v>
      </c>
      <c r="B1323" s="10" t="s">
        <v>9</v>
      </c>
      <c r="C1323" s="10" t="s">
        <v>170</v>
      </c>
      <c r="D1323" s="10" t="s">
        <v>171</v>
      </c>
      <c r="E1323" s="11" t="str">
        <f>+HYPERLINK("http://trademark.i-assist.jp/data/china/image_1900th/78791433.pdf", "78791433")</f>
        <v>78791433</v>
      </c>
      <c r="F1323" s="10" t="s">
        <v>3821</v>
      </c>
      <c r="G1323" s="10" t="s">
        <v>3822</v>
      </c>
      <c r="H1323" s="10" t="s">
        <v>3823</v>
      </c>
      <c r="I1323" s="10" t="s">
        <v>3453</v>
      </c>
    </row>
    <row r="1324" spans="1:9" x14ac:dyDescent="0.15">
      <c r="A1324" s="9">
        <v>1323</v>
      </c>
      <c r="B1324" s="10" t="s">
        <v>9</v>
      </c>
      <c r="C1324" s="10" t="s">
        <v>170</v>
      </c>
      <c r="D1324" s="10" t="s">
        <v>171</v>
      </c>
      <c r="E1324" s="11" t="str">
        <f>+HYPERLINK("http://trademark.i-assist.jp/data/china/image_1900th/78791452.pdf", "78791452")</f>
        <v>78791452</v>
      </c>
      <c r="F1324" s="10" t="s">
        <v>3824</v>
      </c>
      <c r="G1324" s="10" t="s">
        <v>3825</v>
      </c>
      <c r="H1324" s="10" t="s">
        <v>3826</v>
      </c>
      <c r="I1324" s="10" t="s">
        <v>3453</v>
      </c>
    </row>
    <row r="1325" spans="1:9" x14ac:dyDescent="0.15">
      <c r="A1325" s="9">
        <v>1324</v>
      </c>
      <c r="B1325" s="10" t="s">
        <v>9</v>
      </c>
      <c r="C1325" s="10" t="s">
        <v>170</v>
      </c>
      <c r="D1325" s="10" t="s">
        <v>171</v>
      </c>
      <c r="E1325" s="11" t="str">
        <f>+HYPERLINK("http://trademark.i-assist.jp/data/china/image_1900th/78791510.pdf", "78791510")</f>
        <v>78791510</v>
      </c>
      <c r="F1325" s="10" t="s">
        <v>3827</v>
      </c>
      <c r="G1325" s="10" t="s">
        <v>3828</v>
      </c>
      <c r="H1325" s="10" t="s">
        <v>3829</v>
      </c>
      <c r="I1325" s="10" t="s">
        <v>3453</v>
      </c>
    </row>
    <row r="1326" spans="1:9" x14ac:dyDescent="0.15">
      <c r="A1326" s="9">
        <v>1325</v>
      </c>
      <c r="B1326" s="10" t="s">
        <v>9</v>
      </c>
      <c r="C1326" s="10" t="s">
        <v>170</v>
      </c>
      <c r="D1326" s="10" t="s">
        <v>171</v>
      </c>
      <c r="E1326" s="11" t="str">
        <f>+HYPERLINK("http://trademark.i-assist.jp/data/china/image_1900th/78791533.pdf", "78791533")</f>
        <v>78791533</v>
      </c>
      <c r="F1326" s="10" t="s">
        <v>3830</v>
      </c>
      <c r="G1326" s="10" t="s">
        <v>118</v>
      </c>
      <c r="H1326" s="10" t="s">
        <v>3831</v>
      </c>
      <c r="I1326" s="10" t="s">
        <v>3453</v>
      </c>
    </row>
    <row r="1327" spans="1:9" x14ac:dyDescent="0.15">
      <c r="A1327" s="9">
        <v>1326</v>
      </c>
      <c r="B1327" s="10" t="s">
        <v>9</v>
      </c>
      <c r="C1327" s="10" t="s">
        <v>170</v>
      </c>
      <c r="D1327" s="10" t="s">
        <v>171</v>
      </c>
      <c r="E1327" s="11" t="str">
        <f>+HYPERLINK("http://trademark.i-assist.jp/data/china/image_1900th/78791541.pdf", "78791541")</f>
        <v>78791541</v>
      </c>
      <c r="F1327" s="10" t="s">
        <v>3832</v>
      </c>
      <c r="G1327" s="10" t="s">
        <v>3833</v>
      </c>
      <c r="H1327" s="10" t="s">
        <v>3834</v>
      </c>
      <c r="I1327" s="10" t="s">
        <v>3453</v>
      </c>
    </row>
    <row r="1328" spans="1:9" x14ac:dyDescent="0.15">
      <c r="A1328" s="9">
        <v>1327</v>
      </c>
      <c r="B1328" s="10" t="s">
        <v>9</v>
      </c>
      <c r="C1328" s="10" t="s">
        <v>170</v>
      </c>
      <c r="D1328" s="10" t="s">
        <v>171</v>
      </c>
      <c r="E1328" s="11" t="str">
        <f>+HYPERLINK("http://trademark.i-assist.jp/data/china/image_1900th/78791825.pdf", "78791825")</f>
        <v>78791825</v>
      </c>
      <c r="F1328" s="10" t="s">
        <v>3835</v>
      </c>
      <c r="G1328" s="10" t="s">
        <v>3836</v>
      </c>
      <c r="H1328" s="10" t="s">
        <v>3837</v>
      </c>
      <c r="I1328" s="10" t="s">
        <v>3453</v>
      </c>
    </row>
    <row r="1329" spans="1:9" x14ac:dyDescent="0.15">
      <c r="A1329" s="9">
        <v>1328</v>
      </c>
      <c r="B1329" s="10" t="s">
        <v>9</v>
      </c>
      <c r="C1329" s="10" t="s">
        <v>170</v>
      </c>
      <c r="D1329" s="10" t="s">
        <v>171</v>
      </c>
      <c r="E1329" s="11" t="str">
        <f>+HYPERLINK("http://trademark.i-assist.jp/data/china/image_1900th/78792101.pdf", "78792101")</f>
        <v>78792101</v>
      </c>
      <c r="F1329" s="10" t="s">
        <v>3838</v>
      </c>
      <c r="G1329" s="10" t="s">
        <v>3839</v>
      </c>
      <c r="H1329" s="10" t="s">
        <v>3840</v>
      </c>
      <c r="I1329" s="10" t="s">
        <v>3453</v>
      </c>
    </row>
    <row r="1330" spans="1:9" x14ac:dyDescent="0.15">
      <c r="A1330" s="9">
        <v>1329</v>
      </c>
      <c r="B1330" s="10" t="s">
        <v>9</v>
      </c>
      <c r="C1330" s="10" t="s">
        <v>170</v>
      </c>
      <c r="D1330" s="10" t="s">
        <v>171</v>
      </c>
      <c r="E1330" s="11" t="str">
        <f>+HYPERLINK("http://trademark.i-assist.jp/data/china/image_1900th/78792152.pdf", "78792152")</f>
        <v>78792152</v>
      </c>
      <c r="F1330" s="10" t="s">
        <v>3841</v>
      </c>
      <c r="G1330" s="10" t="s">
        <v>118</v>
      </c>
      <c r="H1330" s="10" t="s">
        <v>3842</v>
      </c>
      <c r="I1330" s="10" t="s">
        <v>3453</v>
      </c>
    </row>
    <row r="1331" spans="1:9" x14ac:dyDescent="0.15">
      <c r="A1331" s="9">
        <v>1330</v>
      </c>
      <c r="B1331" s="10" t="s">
        <v>9</v>
      </c>
      <c r="C1331" s="10" t="s">
        <v>170</v>
      </c>
      <c r="D1331" s="10" t="s">
        <v>171</v>
      </c>
      <c r="E1331" s="11" t="str">
        <f>+HYPERLINK("http://trademark.i-assist.jp/data/china/image_1900th/78792704.pdf", "78792704")</f>
        <v>78792704</v>
      </c>
      <c r="F1331" s="10" t="s">
        <v>3843</v>
      </c>
      <c r="G1331" s="10" t="s">
        <v>3789</v>
      </c>
      <c r="H1331" s="10" t="s">
        <v>3844</v>
      </c>
      <c r="I1331" s="10" t="s">
        <v>3453</v>
      </c>
    </row>
    <row r="1332" spans="1:9" x14ac:dyDescent="0.15">
      <c r="A1332" s="9">
        <v>1331</v>
      </c>
      <c r="B1332" s="10" t="s">
        <v>9</v>
      </c>
      <c r="C1332" s="10" t="s">
        <v>170</v>
      </c>
      <c r="D1332" s="10" t="s">
        <v>171</v>
      </c>
      <c r="E1332" s="11" t="str">
        <f>+HYPERLINK("http://trademark.i-assist.jp/data/china/image_1900th/78792719.pdf", "78792719")</f>
        <v>78792719</v>
      </c>
      <c r="F1332" s="10" t="s">
        <v>3845</v>
      </c>
      <c r="G1332" s="10" t="s">
        <v>3789</v>
      </c>
      <c r="H1332" s="10" t="s">
        <v>3846</v>
      </c>
      <c r="I1332" s="10" t="s">
        <v>3453</v>
      </c>
    </row>
    <row r="1333" spans="1:9" x14ac:dyDescent="0.15">
      <c r="A1333" s="9">
        <v>1332</v>
      </c>
      <c r="B1333" s="10" t="s">
        <v>9</v>
      </c>
      <c r="C1333" s="10" t="s">
        <v>170</v>
      </c>
      <c r="D1333" s="10" t="s">
        <v>171</v>
      </c>
      <c r="E1333" s="11" t="str">
        <f>+HYPERLINK("http://trademark.i-assist.jp/data/china/image_1900th/78793158.pdf", "78793158")</f>
        <v>78793158</v>
      </c>
      <c r="F1333" s="10" t="s">
        <v>3847</v>
      </c>
      <c r="G1333" s="10" t="s">
        <v>68</v>
      </c>
      <c r="H1333" s="10" t="s">
        <v>3848</v>
      </c>
      <c r="I1333" s="10" t="s">
        <v>3453</v>
      </c>
    </row>
    <row r="1334" spans="1:9" x14ac:dyDescent="0.15">
      <c r="A1334" s="9">
        <v>1333</v>
      </c>
      <c r="B1334" s="10" t="s">
        <v>9</v>
      </c>
      <c r="C1334" s="10" t="s">
        <v>170</v>
      </c>
      <c r="D1334" s="10" t="s">
        <v>171</v>
      </c>
      <c r="E1334" s="11" t="str">
        <f>+HYPERLINK("http://trademark.i-assist.jp/data/china/image_1900th/78793368.pdf", "78793368")</f>
        <v>78793368</v>
      </c>
      <c r="F1334" s="10" t="s">
        <v>3849</v>
      </c>
      <c r="G1334" s="10" t="s">
        <v>3850</v>
      </c>
      <c r="H1334" s="10" t="s">
        <v>3851</v>
      </c>
      <c r="I1334" s="10" t="s">
        <v>3453</v>
      </c>
    </row>
    <row r="1335" spans="1:9" x14ac:dyDescent="0.15">
      <c r="A1335" s="9">
        <v>1334</v>
      </c>
      <c r="B1335" s="10" t="s">
        <v>9</v>
      </c>
      <c r="C1335" s="10" t="s">
        <v>170</v>
      </c>
      <c r="D1335" s="10" t="s">
        <v>171</v>
      </c>
      <c r="E1335" s="11" t="str">
        <f>+HYPERLINK("http://trademark.i-assist.jp/data/china/image_1900th/78793774.pdf", "78793774")</f>
        <v>78793774</v>
      </c>
      <c r="F1335" s="10" t="s">
        <v>3852</v>
      </c>
      <c r="G1335" s="10" t="s">
        <v>3709</v>
      </c>
      <c r="H1335" s="10" t="s">
        <v>3853</v>
      </c>
      <c r="I1335" s="10" t="s">
        <v>3453</v>
      </c>
    </row>
    <row r="1336" spans="1:9" x14ac:dyDescent="0.15">
      <c r="A1336" s="9">
        <v>1335</v>
      </c>
      <c r="B1336" s="10" t="s">
        <v>9</v>
      </c>
      <c r="C1336" s="10" t="s">
        <v>170</v>
      </c>
      <c r="D1336" s="10" t="s">
        <v>171</v>
      </c>
      <c r="E1336" s="11" t="str">
        <f>+HYPERLINK("http://trademark.i-assist.jp/data/china/image_1900th/78794093.pdf", "78794093")</f>
        <v>78794093</v>
      </c>
      <c r="F1336" s="10" t="s">
        <v>3854</v>
      </c>
      <c r="G1336" s="10" t="s">
        <v>3855</v>
      </c>
      <c r="H1336" s="10" t="s">
        <v>3856</v>
      </c>
      <c r="I1336" s="10" t="s">
        <v>3453</v>
      </c>
    </row>
    <row r="1337" spans="1:9" x14ac:dyDescent="0.15">
      <c r="A1337" s="9">
        <v>1336</v>
      </c>
      <c r="B1337" s="10" t="s">
        <v>9</v>
      </c>
      <c r="C1337" s="10" t="s">
        <v>170</v>
      </c>
      <c r="D1337" s="10" t="s">
        <v>171</v>
      </c>
      <c r="E1337" s="11" t="str">
        <f>+HYPERLINK("http://trademark.i-assist.jp/data/china/image_1900th/78794102.pdf", "78794102")</f>
        <v>78794102</v>
      </c>
      <c r="F1337" s="10" t="s">
        <v>3857</v>
      </c>
      <c r="G1337" s="10" t="s">
        <v>3858</v>
      </c>
      <c r="H1337" s="10" t="s">
        <v>3859</v>
      </c>
      <c r="I1337" s="10" t="s">
        <v>3453</v>
      </c>
    </row>
    <row r="1338" spans="1:9" x14ac:dyDescent="0.15">
      <c r="A1338" s="9">
        <v>1337</v>
      </c>
      <c r="B1338" s="10" t="s">
        <v>9</v>
      </c>
      <c r="C1338" s="10" t="s">
        <v>170</v>
      </c>
      <c r="D1338" s="10" t="s">
        <v>171</v>
      </c>
      <c r="E1338" s="11" t="str">
        <f>+HYPERLINK("http://trademark.i-assist.jp/data/china/image_1900th/78794160.pdf", "78794160")</f>
        <v>78794160</v>
      </c>
      <c r="F1338" s="10" t="s">
        <v>3860</v>
      </c>
      <c r="G1338" s="10" t="s">
        <v>3861</v>
      </c>
      <c r="H1338" s="10" t="s">
        <v>3862</v>
      </c>
      <c r="I1338" s="10" t="s">
        <v>3453</v>
      </c>
    </row>
    <row r="1339" spans="1:9" x14ac:dyDescent="0.15">
      <c r="A1339" s="9">
        <v>1338</v>
      </c>
      <c r="B1339" s="10" t="s">
        <v>9</v>
      </c>
      <c r="C1339" s="10" t="s">
        <v>170</v>
      </c>
      <c r="D1339" s="10" t="s">
        <v>171</v>
      </c>
      <c r="E1339" s="11" t="str">
        <f>+HYPERLINK("http://trademark.i-assist.jp/data/china/image_1900th/78794416.pdf", "78794416")</f>
        <v>78794416</v>
      </c>
      <c r="F1339" s="10" t="s">
        <v>3863</v>
      </c>
      <c r="G1339" s="10" t="s">
        <v>3864</v>
      </c>
      <c r="H1339" s="10" t="s">
        <v>3865</v>
      </c>
      <c r="I1339" s="10" t="s">
        <v>3453</v>
      </c>
    </row>
    <row r="1340" spans="1:9" x14ac:dyDescent="0.15">
      <c r="A1340" s="9">
        <v>1339</v>
      </c>
      <c r="B1340" s="10" t="s">
        <v>9</v>
      </c>
      <c r="C1340" s="10" t="s">
        <v>170</v>
      </c>
      <c r="D1340" s="10" t="s">
        <v>171</v>
      </c>
      <c r="E1340" s="11" t="str">
        <f>+HYPERLINK("http://trademark.i-assist.jp/data/china/image_1900th/78794479.pdf", "78794479")</f>
        <v>78794479</v>
      </c>
      <c r="F1340" s="10" t="s">
        <v>3866</v>
      </c>
      <c r="G1340" s="10" t="s">
        <v>3867</v>
      </c>
      <c r="H1340" s="10" t="s">
        <v>3868</v>
      </c>
      <c r="I1340" s="10" t="s">
        <v>3453</v>
      </c>
    </row>
    <row r="1341" spans="1:9" x14ac:dyDescent="0.15">
      <c r="A1341" s="9">
        <v>1340</v>
      </c>
      <c r="B1341" s="10" t="s">
        <v>9</v>
      </c>
      <c r="C1341" s="10" t="s">
        <v>170</v>
      </c>
      <c r="D1341" s="10" t="s">
        <v>171</v>
      </c>
      <c r="E1341" s="11" t="str">
        <f>+HYPERLINK("http://trademark.i-assist.jp/data/china/image_1900th/78794601.pdf", "78794601")</f>
        <v>78794601</v>
      </c>
      <c r="F1341" s="10" t="s">
        <v>3869</v>
      </c>
      <c r="G1341" s="10" t="s">
        <v>3870</v>
      </c>
      <c r="H1341" s="10" t="s">
        <v>3871</v>
      </c>
      <c r="I1341" s="10" t="s">
        <v>3453</v>
      </c>
    </row>
    <row r="1342" spans="1:9" x14ac:dyDescent="0.15">
      <c r="A1342" s="9">
        <v>1341</v>
      </c>
      <c r="B1342" s="10" t="s">
        <v>9</v>
      </c>
      <c r="C1342" s="10" t="s">
        <v>170</v>
      </c>
      <c r="D1342" s="10" t="s">
        <v>171</v>
      </c>
      <c r="E1342" s="11" t="str">
        <f>+HYPERLINK("http://trademark.i-assist.jp/data/china/image_1900th/78794785.pdf", "78794785")</f>
        <v>78794785</v>
      </c>
      <c r="F1342" s="10" t="s">
        <v>3872</v>
      </c>
      <c r="G1342" s="10" t="s">
        <v>3873</v>
      </c>
      <c r="H1342" s="10" t="s">
        <v>3874</v>
      </c>
      <c r="I1342" s="10" t="s">
        <v>3453</v>
      </c>
    </row>
    <row r="1343" spans="1:9" x14ac:dyDescent="0.15">
      <c r="A1343" s="9">
        <v>1342</v>
      </c>
      <c r="B1343" s="10" t="s">
        <v>9</v>
      </c>
      <c r="C1343" s="10" t="s">
        <v>170</v>
      </c>
      <c r="D1343" s="10" t="s">
        <v>171</v>
      </c>
      <c r="E1343" s="11" t="str">
        <f>+HYPERLINK("http://trademark.i-assist.jp/data/china/image_1900th/78794927.pdf", "78794927")</f>
        <v>78794927</v>
      </c>
      <c r="F1343" s="10" t="s">
        <v>3875</v>
      </c>
      <c r="G1343" s="10" t="s">
        <v>3876</v>
      </c>
      <c r="H1343" s="10" t="s">
        <v>3877</v>
      </c>
      <c r="I1343" s="10" t="s">
        <v>3453</v>
      </c>
    </row>
    <row r="1344" spans="1:9" x14ac:dyDescent="0.15">
      <c r="A1344" s="9">
        <v>1343</v>
      </c>
      <c r="B1344" s="10" t="s">
        <v>9</v>
      </c>
      <c r="C1344" s="10" t="s">
        <v>170</v>
      </c>
      <c r="D1344" s="10" t="s">
        <v>171</v>
      </c>
      <c r="E1344" s="11" t="str">
        <f>+HYPERLINK("http://trademark.i-assist.jp/data/china/image_1900th/78795107.pdf", "78795107")</f>
        <v>78795107</v>
      </c>
      <c r="F1344" s="10" t="s">
        <v>3878</v>
      </c>
      <c r="G1344" s="10" t="s">
        <v>3879</v>
      </c>
      <c r="H1344" s="10" t="s">
        <v>3880</v>
      </c>
      <c r="I1344" s="10" t="s">
        <v>3453</v>
      </c>
    </row>
    <row r="1345" spans="1:9" x14ac:dyDescent="0.15">
      <c r="A1345" s="9">
        <v>1344</v>
      </c>
      <c r="B1345" s="10" t="s">
        <v>9</v>
      </c>
      <c r="C1345" s="10" t="s">
        <v>170</v>
      </c>
      <c r="D1345" s="10" t="s">
        <v>171</v>
      </c>
      <c r="E1345" s="11" t="str">
        <f>+HYPERLINK("http://trademark.i-assist.jp/data/china/image_1900th/78795222.pdf", "78795222")</f>
        <v>78795222</v>
      </c>
      <c r="F1345" s="10" t="s">
        <v>3881</v>
      </c>
      <c r="G1345" s="10" t="s">
        <v>3882</v>
      </c>
      <c r="H1345" s="10" t="s">
        <v>3883</v>
      </c>
      <c r="I1345" s="10" t="s">
        <v>3453</v>
      </c>
    </row>
    <row r="1346" spans="1:9" x14ac:dyDescent="0.15">
      <c r="A1346" s="9">
        <v>1345</v>
      </c>
      <c r="B1346" s="10" t="s">
        <v>9</v>
      </c>
      <c r="C1346" s="10" t="s">
        <v>170</v>
      </c>
      <c r="D1346" s="10" t="s">
        <v>171</v>
      </c>
      <c r="E1346" s="11" t="str">
        <f>+HYPERLINK("http://trademark.i-assist.jp/data/china/image_1900th/78796104.pdf", "78796104")</f>
        <v>78796104</v>
      </c>
      <c r="F1346" s="10" t="s">
        <v>3884</v>
      </c>
      <c r="G1346" s="10" t="s">
        <v>3885</v>
      </c>
      <c r="H1346" s="10" t="s">
        <v>3886</v>
      </c>
      <c r="I1346" s="10" t="s">
        <v>3453</v>
      </c>
    </row>
    <row r="1347" spans="1:9" x14ac:dyDescent="0.15">
      <c r="A1347" s="9">
        <v>1346</v>
      </c>
      <c r="B1347" s="10" t="s">
        <v>9</v>
      </c>
      <c r="C1347" s="10" t="s">
        <v>170</v>
      </c>
      <c r="D1347" s="10" t="s">
        <v>171</v>
      </c>
      <c r="E1347" s="11" t="str">
        <f>+HYPERLINK("http://trademark.i-assist.jp/data/china/image_1900th/78796386.pdf", "78796386")</f>
        <v>78796386</v>
      </c>
      <c r="F1347" s="10" t="s">
        <v>3887</v>
      </c>
      <c r="G1347" s="10" t="s">
        <v>3888</v>
      </c>
      <c r="H1347" s="10" t="s">
        <v>3889</v>
      </c>
      <c r="I1347" s="10" t="s">
        <v>3453</v>
      </c>
    </row>
    <row r="1348" spans="1:9" x14ac:dyDescent="0.15">
      <c r="A1348" s="9">
        <v>1347</v>
      </c>
      <c r="B1348" s="10" t="s">
        <v>9</v>
      </c>
      <c r="C1348" s="10" t="s">
        <v>170</v>
      </c>
      <c r="D1348" s="10" t="s">
        <v>171</v>
      </c>
      <c r="E1348" s="11" t="str">
        <f>+HYPERLINK("http://trademark.i-assist.jp/data/china/image_1900th/78796421.pdf", "78796421")</f>
        <v>78796421</v>
      </c>
      <c r="F1348" s="10" t="s">
        <v>3890</v>
      </c>
      <c r="G1348" s="10" t="s">
        <v>3891</v>
      </c>
      <c r="H1348" s="10" t="s">
        <v>3892</v>
      </c>
      <c r="I1348" s="10" t="s">
        <v>3453</v>
      </c>
    </row>
    <row r="1349" spans="1:9" x14ac:dyDescent="0.15">
      <c r="A1349" s="9">
        <v>1348</v>
      </c>
      <c r="B1349" s="10" t="s">
        <v>9</v>
      </c>
      <c r="C1349" s="10" t="s">
        <v>170</v>
      </c>
      <c r="D1349" s="10" t="s">
        <v>171</v>
      </c>
      <c r="E1349" s="11" t="str">
        <f>+HYPERLINK("http://trademark.i-assist.jp/data/china/image_1900th/78796750.pdf", "78796750")</f>
        <v>78796750</v>
      </c>
      <c r="F1349" s="10" t="s">
        <v>3893</v>
      </c>
      <c r="G1349" s="10" t="s">
        <v>3502</v>
      </c>
      <c r="H1349" s="10" t="s">
        <v>3894</v>
      </c>
      <c r="I1349" s="10" t="s">
        <v>3453</v>
      </c>
    </row>
    <row r="1350" spans="1:9" x14ac:dyDescent="0.15">
      <c r="A1350" s="9">
        <v>1349</v>
      </c>
      <c r="B1350" s="10" t="s">
        <v>9</v>
      </c>
      <c r="C1350" s="10" t="s">
        <v>170</v>
      </c>
      <c r="D1350" s="10" t="s">
        <v>171</v>
      </c>
      <c r="E1350" s="11" t="str">
        <f>+HYPERLINK("http://trademark.i-assist.jp/data/china/image_1900th/78796830.pdf", "78796830")</f>
        <v>78796830</v>
      </c>
      <c r="F1350" s="10" t="s">
        <v>3895</v>
      </c>
      <c r="G1350" s="10" t="s">
        <v>3896</v>
      </c>
      <c r="H1350" s="10" t="s">
        <v>3897</v>
      </c>
      <c r="I1350" s="10" t="s">
        <v>3453</v>
      </c>
    </row>
    <row r="1351" spans="1:9" x14ac:dyDescent="0.15">
      <c r="A1351" s="9">
        <v>1350</v>
      </c>
      <c r="B1351" s="10" t="s">
        <v>9</v>
      </c>
      <c r="C1351" s="10" t="s">
        <v>170</v>
      </c>
      <c r="D1351" s="10" t="s">
        <v>171</v>
      </c>
      <c r="E1351" s="11" t="str">
        <f>+HYPERLINK("http://trademark.i-assist.jp/data/china/image_1900th/78797201.pdf", "78797201")</f>
        <v>78797201</v>
      </c>
      <c r="F1351" s="10" t="s">
        <v>3898</v>
      </c>
      <c r="G1351" s="10" t="s">
        <v>3899</v>
      </c>
      <c r="H1351" s="10" t="s">
        <v>3900</v>
      </c>
      <c r="I1351" s="10" t="s">
        <v>3453</v>
      </c>
    </row>
    <row r="1352" spans="1:9" x14ac:dyDescent="0.15">
      <c r="A1352" s="9">
        <v>1351</v>
      </c>
      <c r="B1352" s="10" t="s">
        <v>9</v>
      </c>
      <c r="C1352" s="10" t="s">
        <v>170</v>
      </c>
      <c r="D1352" s="10" t="s">
        <v>171</v>
      </c>
      <c r="E1352" s="11" t="str">
        <f>+HYPERLINK("http://trademark.i-assist.jp/data/china/image_1900th/78797227.pdf", "78797227")</f>
        <v>78797227</v>
      </c>
      <c r="F1352" s="10" t="s">
        <v>3901</v>
      </c>
      <c r="G1352" s="10" t="s">
        <v>3902</v>
      </c>
      <c r="H1352" s="10" t="s">
        <v>3903</v>
      </c>
      <c r="I1352" s="10" t="s">
        <v>3453</v>
      </c>
    </row>
    <row r="1353" spans="1:9" x14ac:dyDescent="0.15">
      <c r="A1353" s="9">
        <v>1352</v>
      </c>
      <c r="B1353" s="10" t="s">
        <v>9</v>
      </c>
      <c r="C1353" s="10" t="s">
        <v>170</v>
      </c>
      <c r="D1353" s="10" t="s">
        <v>171</v>
      </c>
      <c r="E1353" s="11" t="str">
        <f>+HYPERLINK("http://trademark.i-assist.jp/data/china/image_1900th/78797341.pdf", "78797341")</f>
        <v>78797341</v>
      </c>
      <c r="F1353" s="10" t="s">
        <v>3904</v>
      </c>
      <c r="G1353" s="10" t="s">
        <v>3905</v>
      </c>
      <c r="H1353" s="10" t="s">
        <v>3906</v>
      </c>
      <c r="I1353" s="10" t="s">
        <v>3453</v>
      </c>
    </row>
    <row r="1354" spans="1:9" x14ac:dyDescent="0.15">
      <c r="A1354" s="9">
        <v>1353</v>
      </c>
      <c r="B1354" s="10" t="s">
        <v>9</v>
      </c>
      <c r="C1354" s="10" t="s">
        <v>170</v>
      </c>
      <c r="D1354" s="10" t="s">
        <v>171</v>
      </c>
      <c r="E1354" s="11" t="str">
        <f>+HYPERLINK("http://trademark.i-assist.jp/data/china/image_1900th/78797506.pdf", "78797506")</f>
        <v>78797506</v>
      </c>
      <c r="F1354" s="10" t="s">
        <v>3907</v>
      </c>
      <c r="G1354" s="10" t="s">
        <v>3908</v>
      </c>
      <c r="H1354" s="10" t="s">
        <v>3909</v>
      </c>
      <c r="I1354" s="10" t="s">
        <v>3453</v>
      </c>
    </row>
    <row r="1355" spans="1:9" x14ac:dyDescent="0.15">
      <c r="A1355" s="9">
        <v>1354</v>
      </c>
      <c r="B1355" s="10" t="s">
        <v>9</v>
      </c>
      <c r="C1355" s="10" t="s">
        <v>170</v>
      </c>
      <c r="D1355" s="10" t="s">
        <v>171</v>
      </c>
      <c r="E1355" s="11" t="str">
        <f>+HYPERLINK("http://trademark.i-assist.jp/data/china/image_1900th/78797527.pdf", "78797527")</f>
        <v>78797527</v>
      </c>
      <c r="F1355" s="10" t="s">
        <v>3910</v>
      </c>
      <c r="G1355" s="10" t="s">
        <v>3911</v>
      </c>
      <c r="H1355" s="10" t="s">
        <v>3912</v>
      </c>
      <c r="I1355" s="10" t="s">
        <v>3453</v>
      </c>
    </row>
    <row r="1356" spans="1:9" x14ac:dyDescent="0.15">
      <c r="A1356" s="9">
        <v>1355</v>
      </c>
      <c r="B1356" s="10" t="s">
        <v>9</v>
      </c>
      <c r="C1356" s="10" t="s">
        <v>170</v>
      </c>
      <c r="D1356" s="10" t="s">
        <v>171</v>
      </c>
      <c r="E1356" s="11" t="str">
        <f>+HYPERLINK("http://trademark.i-assist.jp/data/china/image_1900th/78797897.pdf", "78797897")</f>
        <v>78797897</v>
      </c>
      <c r="F1356" s="10" t="s">
        <v>3913</v>
      </c>
      <c r="G1356" s="10" t="s">
        <v>3914</v>
      </c>
      <c r="H1356" s="10" t="s">
        <v>3915</v>
      </c>
      <c r="I1356" s="10" t="s">
        <v>3453</v>
      </c>
    </row>
    <row r="1357" spans="1:9" x14ac:dyDescent="0.15">
      <c r="A1357" s="9">
        <v>1356</v>
      </c>
      <c r="B1357" s="10" t="s">
        <v>9</v>
      </c>
      <c r="C1357" s="10" t="s">
        <v>170</v>
      </c>
      <c r="D1357" s="10" t="s">
        <v>171</v>
      </c>
      <c r="E1357" s="11" t="str">
        <f>+HYPERLINK("http://trademark.i-assist.jp/data/china/image_1900th/78797925.pdf", "78797925")</f>
        <v>78797925</v>
      </c>
      <c r="F1357" s="10" t="s">
        <v>3916</v>
      </c>
      <c r="G1357" s="10" t="s">
        <v>3917</v>
      </c>
      <c r="H1357" s="10" t="s">
        <v>3918</v>
      </c>
      <c r="I1357" s="10" t="s">
        <v>3453</v>
      </c>
    </row>
    <row r="1358" spans="1:9" x14ac:dyDescent="0.15">
      <c r="A1358" s="9">
        <v>1357</v>
      </c>
      <c r="B1358" s="10" t="s">
        <v>9</v>
      </c>
      <c r="C1358" s="10" t="s">
        <v>170</v>
      </c>
      <c r="D1358" s="10" t="s">
        <v>171</v>
      </c>
      <c r="E1358" s="11" t="str">
        <f>+HYPERLINK("http://trademark.i-assist.jp/data/china/image_1900th/78797966.pdf", "78797966")</f>
        <v>78797966</v>
      </c>
      <c r="F1358" s="10" t="s">
        <v>3919</v>
      </c>
      <c r="G1358" s="10" t="s">
        <v>114</v>
      </c>
      <c r="H1358" s="10" t="s">
        <v>3920</v>
      </c>
      <c r="I1358" s="10" t="s">
        <v>3453</v>
      </c>
    </row>
    <row r="1359" spans="1:9" x14ac:dyDescent="0.15">
      <c r="A1359" s="9">
        <v>1358</v>
      </c>
      <c r="B1359" s="10" t="s">
        <v>9</v>
      </c>
      <c r="C1359" s="10" t="s">
        <v>170</v>
      </c>
      <c r="D1359" s="10" t="s">
        <v>171</v>
      </c>
      <c r="E1359" s="11" t="str">
        <f>+HYPERLINK("http://trademark.i-assist.jp/data/china/image_1900th/78797986.pdf", "78797986")</f>
        <v>78797986</v>
      </c>
      <c r="F1359" s="10" t="s">
        <v>3921</v>
      </c>
      <c r="G1359" s="10" t="s">
        <v>68</v>
      </c>
      <c r="H1359" s="10" t="s">
        <v>3922</v>
      </c>
      <c r="I1359" s="10" t="s">
        <v>3453</v>
      </c>
    </row>
    <row r="1360" spans="1:9" x14ac:dyDescent="0.15">
      <c r="A1360" s="9">
        <v>1359</v>
      </c>
      <c r="B1360" s="10" t="s">
        <v>9</v>
      </c>
      <c r="C1360" s="10" t="s">
        <v>170</v>
      </c>
      <c r="D1360" s="10" t="s">
        <v>171</v>
      </c>
      <c r="E1360" s="11" t="str">
        <f>+HYPERLINK("http://trademark.i-assist.jp/data/china/image_1900th/78798192.pdf", "78798192")</f>
        <v>78798192</v>
      </c>
      <c r="F1360" s="10" t="s">
        <v>3923</v>
      </c>
      <c r="G1360" s="10" t="s">
        <v>3924</v>
      </c>
      <c r="H1360" s="10" t="s">
        <v>3925</v>
      </c>
      <c r="I1360" s="10" t="s">
        <v>3453</v>
      </c>
    </row>
    <row r="1361" spans="1:9" x14ac:dyDescent="0.15">
      <c r="A1361" s="9">
        <v>1360</v>
      </c>
      <c r="B1361" s="10" t="s">
        <v>9</v>
      </c>
      <c r="C1361" s="10" t="s">
        <v>170</v>
      </c>
      <c r="D1361" s="10" t="s">
        <v>171</v>
      </c>
      <c r="E1361" s="11" t="str">
        <f>+HYPERLINK("http://trademark.i-assist.jp/data/china/image_1900th/78798220.pdf", "78798220")</f>
        <v>78798220</v>
      </c>
      <c r="F1361" s="10" t="s">
        <v>3926</v>
      </c>
      <c r="G1361" s="10" t="s">
        <v>3756</v>
      </c>
      <c r="H1361" s="10" t="s">
        <v>3927</v>
      </c>
      <c r="I1361" s="10" t="s">
        <v>3453</v>
      </c>
    </row>
    <row r="1362" spans="1:9" x14ac:dyDescent="0.15">
      <c r="A1362" s="9">
        <v>1361</v>
      </c>
      <c r="B1362" s="10" t="s">
        <v>9</v>
      </c>
      <c r="C1362" s="10" t="s">
        <v>170</v>
      </c>
      <c r="D1362" s="10" t="s">
        <v>171</v>
      </c>
      <c r="E1362" s="11" t="str">
        <f>+HYPERLINK("http://trademark.i-assist.jp/data/china/image_1900th/78798231.pdf", "78798231")</f>
        <v>78798231</v>
      </c>
      <c r="F1362" s="10" t="s">
        <v>3928</v>
      </c>
      <c r="G1362" s="10" t="s">
        <v>3929</v>
      </c>
      <c r="H1362" s="10" t="s">
        <v>3930</v>
      </c>
      <c r="I1362" s="10" t="s">
        <v>3453</v>
      </c>
    </row>
    <row r="1363" spans="1:9" x14ac:dyDescent="0.15">
      <c r="A1363" s="9">
        <v>1362</v>
      </c>
      <c r="B1363" s="10" t="s">
        <v>9</v>
      </c>
      <c r="C1363" s="10" t="s">
        <v>170</v>
      </c>
      <c r="D1363" s="10" t="s">
        <v>171</v>
      </c>
      <c r="E1363" s="11" t="str">
        <f>+HYPERLINK("http://trademark.i-assist.jp/data/china/image_1900th/78798284.pdf", "78798284")</f>
        <v>78798284</v>
      </c>
      <c r="F1363" s="10" t="s">
        <v>3931</v>
      </c>
      <c r="G1363" s="10" t="s">
        <v>3682</v>
      </c>
      <c r="H1363" s="10" t="s">
        <v>3932</v>
      </c>
      <c r="I1363" s="10" t="s">
        <v>3453</v>
      </c>
    </row>
    <row r="1364" spans="1:9" x14ac:dyDescent="0.15">
      <c r="A1364" s="9">
        <v>1363</v>
      </c>
      <c r="B1364" s="10" t="s">
        <v>9</v>
      </c>
      <c r="C1364" s="10" t="s">
        <v>170</v>
      </c>
      <c r="D1364" s="10" t="s">
        <v>171</v>
      </c>
      <c r="E1364" s="11" t="str">
        <f>+HYPERLINK("http://trademark.i-assist.jp/data/china/image_1900th/78798489.pdf", "78798489")</f>
        <v>78798489</v>
      </c>
      <c r="F1364" s="10" t="s">
        <v>3933</v>
      </c>
      <c r="G1364" s="10" t="s">
        <v>3934</v>
      </c>
      <c r="H1364" s="10" t="s">
        <v>3935</v>
      </c>
      <c r="I1364" s="10" t="s">
        <v>3453</v>
      </c>
    </row>
    <row r="1365" spans="1:9" x14ac:dyDescent="0.15">
      <c r="A1365" s="9">
        <v>1364</v>
      </c>
      <c r="B1365" s="10" t="s">
        <v>9</v>
      </c>
      <c r="C1365" s="10" t="s">
        <v>170</v>
      </c>
      <c r="D1365" s="10" t="s">
        <v>171</v>
      </c>
      <c r="E1365" s="11" t="str">
        <f>+HYPERLINK("http://trademark.i-assist.jp/data/china/image_1900th/78798715.pdf", "78798715")</f>
        <v>78798715</v>
      </c>
      <c r="F1365" s="10" t="s">
        <v>3936</v>
      </c>
      <c r="G1365" s="10" t="s">
        <v>3937</v>
      </c>
      <c r="H1365" s="10" t="s">
        <v>3938</v>
      </c>
      <c r="I1365" s="10" t="s">
        <v>3453</v>
      </c>
    </row>
    <row r="1366" spans="1:9" x14ac:dyDescent="0.15">
      <c r="A1366" s="9">
        <v>1365</v>
      </c>
      <c r="B1366" s="10" t="s">
        <v>9</v>
      </c>
      <c r="C1366" s="10" t="s">
        <v>170</v>
      </c>
      <c r="D1366" s="10" t="s">
        <v>171</v>
      </c>
      <c r="E1366" s="11" t="str">
        <f>+HYPERLINK("http://trademark.i-assist.jp/data/china/image_1900th/78798966.pdf", "78798966")</f>
        <v>78798966</v>
      </c>
      <c r="F1366" s="10" t="s">
        <v>3939</v>
      </c>
      <c r="G1366" s="10" t="s">
        <v>3940</v>
      </c>
      <c r="H1366" s="10" t="s">
        <v>3941</v>
      </c>
      <c r="I1366" s="10" t="s">
        <v>3453</v>
      </c>
    </row>
    <row r="1367" spans="1:9" x14ac:dyDescent="0.15">
      <c r="A1367" s="9">
        <v>1366</v>
      </c>
      <c r="B1367" s="10" t="s">
        <v>9</v>
      </c>
      <c r="C1367" s="10" t="s">
        <v>170</v>
      </c>
      <c r="D1367" s="10" t="s">
        <v>171</v>
      </c>
      <c r="E1367" s="11" t="str">
        <f>+HYPERLINK("http://trademark.i-assist.jp/data/china/image_1900th/78798987.pdf", "78798987")</f>
        <v>78798987</v>
      </c>
      <c r="F1367" s="10" t="s">
        <v>3942</v>
      </c>
      <c r="G1367" s="10" t="s">
        <v>112</v>
      </c>
      <c r="H1367" s="10" t="s">
        <v>3943</v>
      </c>
      <c r="I1367" s="10" t="s">
        <v>3453</v>
      </c>
    </row>
    <row r="1368" spans="1:9" x14ac:dyDescent="0.15">
      <c r="A1368" s="9">
        <v>1367</v>
      </c>
      <c r="B1368" s="10" t="s">
        <v>9</v>
      </c>
      <c r="C1368" s="10" t="s">
        <v>170</v>
      </c>
      <c r="D1368" s="10" t="s">
        <v>171</v>
      </c>
      <c r="E1368" s="11" t="str">
        <f>+HYPERLINK("http://trademark.i-assist.jp/data/china/image_1900th/78799032.pdf", "78799032")</f>
        <v>78799032</v>
      </c>
      <c r="F1368" s="10" t="s">
        <v>3944</v>
      </c>
      <c r="G1368" s="10" t="s">
        <v>3945</v>
      </c>
      <c r="H1368" s="10" t="s">
        <v>3946</v>
      </c>
      <c r="I1368" s="10" t="s">
        <v>3453</v>
      </c>
    </row>
    <row r="1369" spans="1:9" x14ac:dyDescent="0.15">
      <c r="A1369" s="9">
        <v>1368</v>
      </c>
      <c r="B1369" s="10" t="s">
        <v>9</v>
      </c>
      <c r="C1369" s="10" t="s">
        <v>170</v>
      </c>
      <c r="D1369" s="10" t="s">
        <v>171</v>
      </c>
      <c r="E1369" s="11" t="str">
        <f>+HYPERLINK("http://trademark.i-assist.jp/data/china/image_1900th/78799066.pdf", "78799066")</f>
        <v>78799066</v>
      </c>
      <c r="F1369" s="10" t="s">
        <v>3947</v>
      </c>
      <c r="G1369" s="10" t="s">
        <v>3948</v>
      </c>
      <c r="H1369" s="10" t="s">
        <v>3949</v>
      </c>
      <c r="I1369" s="10" t="s">
        <v>3453</v>
      </c>
    </row>
    <row r="1370" spans="1:9" x14ac:dyDescent="0.15">
      <c r="A1370" s="9">
        <v>1369</v>
      </c>
      <c r="B1370" s="10" t="s">
        <v>9</v>
      </c>
      <c r="C1370" s="10" t="s">
        <v>170</v>
      </c>
      <c r="D1370" s="10" t="s">
        <v>171</v>
      </c>
      <c r="E1370" s="11" t="str">
        <f>+HYPERLINK("http://trademark.i-assist.jp/data/china/image_1900th/78799121.pdf", "78799121")</f>
        <v>78799121</v>
      </c>
      <c r="F1370" s="10" t="s">
        <v>3950</v>
      </c>
      <c r="G1370" s="10" t="s">
        <v>3951</v>
      </c>
      <c r="H1370" s="10" t="s">
        <v>3952</v>
      </c>
      <c r="I1370" s="10" t="s">
        <v>3453</v>
      </c>
    </row>
    <row r="1371" spans="1:9" x14ac:dyDescent="0.15">
      <c r="A1371" s="9">
        <v>1370</v>
      </c>
      <c r="B1371" s="10" t="s">
        <v>9</v>
      </c>
      <c r="C1371" s="10" t="s">
        <v>170</v>
      </c>
      <c r="D1371" s="10" t="s">
        <v>171</v>
      </c>
      <c r="E1371" s="11" t="str">
        <f>+HYPERLINK("http://trademark.i-assist.jp/data/china/image_1900th/78799164.pdf", "78799164")</f>
        <v>78799164</v>
      </c>
      <c r="F1371" s="10" t="s">
        <v>3953</v>
      </c>
      <c r="G1371" s="10" t="s">
        <v>3954</v>
      </c>
      <c r="H1371" s="10" t="s">
        <v>3955</v>
      </c>
      <c r="I1371" s="10" t="s">
        <v>3453</v>
      </c>
    </row>
    <row r="1372" spans="1:9" x14ac:dyDescent="0.15">
      <c r="A1372" s="9">
        <v>1371</v>
      </c>
      <c r="B1372" s="10" t="s">
        <v>9</v>
      </c>
      <c r="C1372" s="10" t="s">
        <v>170</v>
      </c>
      <c r="D1372" s="10" t="s">
        <v>171</v>
      </c>
      <c r="E1372" s="11" t="str">
        <f>+HYPERLINK("http://trademark.i-assist.jp/data/china/image_1900th/78799230.pdf", "78799230")</f>
        <v>78799230</v>
      </c>
      <c r="F1372" s="10" t="s">
        <v>3956</v>
      </c>
      <c r="G1372" s="10" t="s">
        <v>3957</v>
      </c>
      <c r="H1372" s="10" t="s">
        <v>3958</v>
      </c>
      <c r="I1372" s="10" t="s">
        <v>3453</v>
      </c>
    </row>
    <row r="1373" spans="1:9" x14ac:dyDescent="0.15">
      <c r="A1373" s="9">
        <v>1372</v>
      </c>
      <c r="B1373" s="10" t="s">
        <v>9</v>
      </c>
      <c r="C1373" s="10" t="s">
        <v>170</v>
      </c>
      <c r="D1373" s="10" t="s">
        <v>171</v>
      </c>
      <c r="E1373" s="11" t="str">
        <f>+HYPERLINK("http://trademark.i-assist.jp/data/china/image_1900th/78799307.pdf", "78799307")</f>
        <v>78799307</v>
      </c>
      <c r="F1373" s="10" t="s">
        <v>3959</v>
      </c>
      <c r="G1373" s="10" t="s">
        <v>3511</v>
      </c>
      <c r="H1373" s="10" t="s">
        <v>3960</v>
      </c>
      <c r="I1373" s="10" t="s">
        <v>3453</v>
      </c>
    </row>
    <row r="1374" spans="1:9" x14ac:dyDescent="0.15">
      <c r="A1374" s="9">
        <v>1373</v>
      </c>
      <c r="B1374" s="10" t="s">
        <v>9</v>
      </c>
      <c r="C1374" s="10" t="s">
        <v>170</v>
      </c>
      <c r="D1374" s="10" t="s">
        <v>171</v>
      </c>
      <c r="E1374" s="11" t="str">
        <f>+HYPERLINK("http://trademark.i-assist.jp/data/china/image_1900th/78799326.pdf", "78799326")</f>
        <v>78799326</v>
      </c>
      <c r="F1374" s="10" t="s">
        <v>3961</v>
      </c>
      <c r="G1374" s="10" t="s">
        <v>3511</v>
      </c>
      <c r="H1374" s="10" t="s">
        <v>3962</v>
      </c>
      <c r="I1374" s="10" t="s">
        <v>3453</v>
      </c>
    </row>
    <row r="1375" spans="1:9" x14ac:dyDescent="0.15">
      <c r="A1375" s="9">
        <v>1374</v>
      </c>
      <c r="B1375" s="10" t="s">
        <v>9</v>
      </c>
      <c r="C1375" s="10" t="s">
        <v>170</v>
      </c>
      <c r="D1375" s="10" t="s">
        <v>171</v>
      </c>
      <c r="E1375" s="11" t="str">
        <f>+HYPERLINK("http://trademark.i-assist.jp/data/china/image_1900th/78799570.pdf", "78799570")</f>
        <v>78799570</v>
      </c>
      <c r="F1375" s="10" t="s">
        <v>3963</v>
      </c>
      <c r="G1375" s="10" t="s">
        <v>3964</v>
      </c>
      <c r="H1375" s="10" t="s">
        <v>3965</v>
      </c>
      <c r="I1375" s="10" t="s">
        <v>3453</v>
      </c>
    </row>
    <row r="1376" spans="1:9" x14ac:dyDescent="0.15">
      <c r="A1376" s="9">
        <v>1375</v>
      </c>
      <c r="B1376" s="10" t="s">
        <v>9</v>
      </c>
      <c r="C1376" s="10" t="s">
        <v>170</v>
      </c>
      <c r="D1376" s="10" t="s">
        <v>171</v>
      </c>
      <c r="E1376" s="11" t="str">
        <f>+HYPERLINK("http://trademark.i-assist.jp/data/china/image_1900th/78799576.pdf", "78799576")</f>
        <v>78799576</v>
      </c>
      <c r="F1376" s="10" t="s">
        <v>3966</v>
      </c>
      <c r="G1376" s="10" t="s">
        <v>3967</v>
      </c>
      <c r="H1376" s="10" t="s">
        <v>3968</v>
      </c>
      <c r="I1376" s="10" t="s">
        <v>3453</v>
      </c>
    </row>
    <row r="1377" spans="1:9" x14ac:dyDescent="0.15">
      <c r="A1377" s="9">
        <v>1376</v>
      </c>
      <c r="B1377" s="10" t="s">
        <v>9</v>
      </c>
      <c r="C1377" s="10" t="s">
        <v>170</v>
      </c>
      <c r="D1377" s="10" t="s">
        <v>171</v>
      </c>
      <c r="E1377" s="11" t="str">
        <f>+HYPERLINK("http://trademark.i-assist.jp/data/china/image_1900th/78799776.pdf", "78799776")</f>
        <v>78799776</v>
      </c>
      <c r="F1377" s="10" t="s">
        <v>3969</v>
      </c>
      <c r="G1377" s="10" t="s">
        <v>3970</v>
      </c>
      <c r="H1377" s="10" t="s">
        <v>3971</v>
      </c>
      <c r="I1377" s="10" t="s">
        <v>3453</v>
      </c>
    </row>
    <row r="1378" spans="1:9" x14ac:dyDescent="0.15">
      <c r="A1378" s="9">
        <v>1377</v>
      </c>
      <c r="B1378" s="10" t="s">
        <v>9</v>
      </c>
      <c r="C1378" s="10" t="s">
        <v>170</v>
      </c>
      <c r="D1378" s="10" t="s">
        <v>171</v>
      </c>
      <c r="E1378" s="11" t="str">
        <f>+HYPERLINK("http://trademark.i-assist.jp/data/china/image_1900th/78799794.pdf", "78799794")</f>
        <v>78799794</v>
      </c>
      <c r="F1378" s="10" t="s">
        <v>3972</v>
      </c>
      <c r="G1378" s="10" t="s">
        <v>3648</v>
      </c>
      <c r="H1378" s="10" t="s">
        <v>3973</v>
      </c>
      <c r="I1378" s="10" t="s">
        <v>3453</v>
      </c>
    </row>
    <row r="1379" spans="1:9" x14ac:dyDescent="0.15">
      <c r="A1379" s="9">
        <v>1378</v>
      </c>
      <c r="B1379" s="10" t="s">
        <v>9</v>
      </c>
      <c r="C1379" s="10" t="s">
        <v>170</v>
      </c>
      <c r="D1379" s="10" t="s">
        <v>171</v>
      </c>
      <c r="E1379" s="11" t="str">
        <f>+HYPERLINK("http://trademark.i-assist.jp/data/china/image_1900th/78800200.pdf", "78800200")</f>
        <v>78800200</v>
      </c>
      <c r="F1379" s="10" t="s">
        <v>3974</v>
      </c>
      <c r="G1379" s="10" t="s">
        <v>3975</v>
      </c>
      <c r="H1379" s="10" t="s">
        <v>3976</v>
      </c>
      <c r="I1379" s="10" t="s">
        <v>3784</v>
      </c>
    </row>
    <row r="1380" spans="1:9" x14ac:dyDescent="0.15">
      <c r="A1380" s="9">
        <v>1379</v>
      </c>
      <c r="B1380" s="10" t="s">
        <v>9</v>
      </c>
      <c r="C1380" s="10" t="s">
        <v>170</v>
      </c>
      <c r="D1380" s="10" t="s">
        <v>171</v>
      </c>
      <c r="E1380" s="11" t="str">
        <f>+HYPERLINK("http://trademark.i-assist.jp/data/china/image_1900th/78800248.pdf", "78800248")</f>
        <v>78800248</v>
      </c>
      <c r="F1380" s="10" t="s">
        <v>3977</v>
      </c>
      <c r="G1380" s="10" t="s">
        <v>3978</v>
      </c>
      <c r="H1380" s="10" t="s">
        <v>3979</v>
      </c>
      <c r="I1380" s="10" t="s">
        <v>3784</v>
      </c>
    </row>
    <row r="1381" spans="1:9" x14ac:dyDescent="0.15">
      <c r="A1381" s="9">
        <v>1380</v>
      </c>
      <c r="B1381" s="10" t="s">
        <v>9</v>
      </c>
      <c r="C1381" s="10" t="s">
        <v>170</v>
      </c>
      <c r="D1381" s="10" t="s">
        <v>171</v>
      </c>
      <c r="E1381" s="11" t="str">
        <f>+HYPERLINK("http://trademark.i-assist.jp/data/china/image_1900th/78800473.pdf", "78800473")</f>
        <v>78800473</v>
      </c>
      <c r="F1381" s="10" t="s">
        <v>3980</v>
      </c>
      <c r="G1381" s="10" t="s">
        <v>3981</v>
      </c>
      <c r="H1381" s="10" t="s">
        <v>3982</v>
      </c>
      <c r="I1381" s="10" t="s">
        <v>3784</v>
      </c>
    </row>
    <row r="1382" spans="1:9" x14ac:dyDescent="0.15">
      <c r="A1382" s="9">
        <v>1381</v>
      </c>
      <c r="B1382" s="10" t="s">
        <v>9</v>
      </c>
      <c r="C1382" s="10" t="s">
        <v>170</v>
      </c>
      <c r="D1382" s="10" t="s">
        <v>171</v>
      </c>
      <c r="E1382" s="11" t="str">
        <f>+HYPERLINK("http://trademark.i-assist.jp/data/china/image_1900th/78801261.pdf", "78801261")</f>
        <v>78801261</v>
      </c>
      <c r="F1382" s="10" t="s">
        <v>3983</v>
      </c>
      <c r="G1382" s="10" t="s">
        <v>3984</v>
      </c>
      <c r="H1382" s="10" t="s">
        <v>3985</v>
      </c>
      <c r="I1382" s="10" t="s">
        <v>3784</v>
      </c>
    </row>
    <row r="1383" spans="1:9" x14ac:dyDescent="0.15">
      <c r="A1383" s="9">
        <v>1382</v>
      </c>
      <c r="B1383" s="10" t="s">
        <v>9</v>
      </c>
      <c r="C1383" s="10" t="s">
        <v>170</v>
      </c>
      <c r="D1383" s="10" t="s">
        <v>171</v>
      </c>
      <c r="E1383" s="11" t="str">
        <f>+HYPERLINK("http://trademark.i-assist.jp/data/china/image_1900th/78801412.pdf", "78801412")</f>
        <v>78801412</v>
      </c>
      <c r="F1383" s="10" t="s">
        <v>3986</v>
      </c>
      <c r="G1383" s="10" t="s">
        <v>3987</v>
      </c>
      <c r="H1383" s="10" t="s">
        <v>3988</v>
      </c>
      <c r="I1383" s="10" t="s">
        <v>3784</v>
      </c>
    </row>
    <row r="1384" spans="1:9" x14ac:dyDescent="0.15">
      <c r="A1384" s="9">
        <v>1383</v>
      </c>
      <c r="B1384" s="10" t="s">
        <v>9</v>
      </c>
      <c r="C1384" s="10" t="s">
        <v>170</v>
      </c>
      <c r="D1384" s="10" t="s">
        <v>171</v>
      </c>
      <c r="E1384" s="11" t="str">
        <f>+HYPERLINK("http://trademark.i-assist.jp/data/china/image_1900th/78801491.pdf", "78801491")</f>
        <v>78801491</v>
      </c>
      <c r="F1384" s="10" t="s">
        <v>3989</v>
      </c>
      <c r="G1384" s="10" t="s">
        <v>3990</v>
      </c>
      <c r="H1384" s="10" t="s">
        <v>3991</v>
      </c>
      <c r="I1384" s="10" t="s">
        <v>3784</v>
      </c>
    </row>
    <row r="1385" spans="1:9" x14ac:dyDescent="0.15">
      <c r="A1385" s="9">
        <v>1384</v>
      </c>
      <c r="B1385" s="10" t="s">
        <v>9</v>
      </c>
      <c r="C1385" s="10" t="s">
        <v>170</v>
      </c>
      <c r="D1385" s="10" t="s">
        <v>171</v>
      </c>
      <c r="E1385" s="11" t="str">
        <f>+HYPERLINK("http://trademark.i-assist.jp/data/china/image_1900th/78801497.pdf", "78801497")</f>
        <v>78801497</v>
      </c>
      <c r="F1385" s="10" t="s">
        <v>3992</v>
      </c>
      <c r="G1385" s="10" t="s">
        <v>3993</v>
      </c>
      <c r="H1385" s="10" t="s">
        <v>3994</v>
      </c>
      <c r="I1385" s="10" t="s">
        <v>3784</v>
      </c>
    </row>
    <row r="1386" spans="1:9" x14ac:dyDescent="0.15">
      <c r="A1386" s="9">
        <v>1385</v>
      </c>
      <c r="B1386" s="10" t="s">
        <v>9</v>
      </c>
      <c r="C1386" s="10" t="s">
        <v>170</v>
      </c>
      <c r="D1386" s="10" t="s">
        <v>171</v>
      </c>
      <c r="E1386" s="11" t="str">
        <f>+HYPERLINK("http://trademark.i-assist.jp/data/china/image_1900th/78801601.pdf", "78801601")</f>
        <v>78801601</v>
      </c>
      <c r="F1386" s="10" t="s">
        <v>3995</v>
      </c>
      <c r="G1386" s="10" t="s">
        <v>3996</v>
      </c>
      <c r="H1386" s="10" t="s">
        <v>3997</v>
      </c>
      <c r="I1386" s="10" t="s">
        <v>3784</v>
      </c>
    </row>
    <row r="1387" spans="1:9" x14ac:dyDescent="0.15">
      <c r="A1387" s="9">
        <v>1386</v>
      </c>
      <c r="B1387" s="10" t="s">
        <v>9</v>
      </c>
      <c r="C1387" s="10" t="s">
        <v>170</v>
      </c>
      <c r="D1387" s="10" t="s">
        <v>171</v>
      </c>
      <c r="E1387" s="11" t="str">
        <f>+HYPERLINK("http://trademark.i-assist.jp/data/china/image_1900th/78801611.pdf", "78801611")</f>
        <v>78801611</v>
      </c>
      <c r="F1387" s="10" t="s">
        <v>3998</v>
      </c>
      <c r="G1387" s="10" t="s">
        <v>3999</v>
      </c>
      <c r="H1387" s="10" t="s">
        <v>4000</v>
      </c>
      <c r="I1387" s="10" t="s">
        <v>3784</v>
      </c>
    </row>
    <row r="1388" spans="1:9" x14ac:dyDescent="0.15">
      <c r="A1388" s="9">
        <v>1387</v>
      </c>
      <c r="B1388" s="10" t="s">
        <v>9</v>
      </c>
      <c r="C1388" s="10" t="s">
        <v>170</v>
      </c>
      <c r="D1388" s="10" t="s">
        <v>171</v>
      </c>
      <c r="E1388" s="11" t="str">
        <f>+HYPERLINK("http://trademark.i-assist.jp/data/china/image_1900th/78801615.pdf", "78801615")</f>
        <v>78801615</v>
      </c>
      <c r="F1388" s="10" t="s">
        <v>4001</v>
      </c>
      <c r="G1388" s="10" t="s">
        <v>4002</v>
      </c>
      <c r="H1388" s="10" t="s">
        <v>4003</v>
      </c>
      <c r="I1388" s="10" t="s">
        <v>3784</v>
      </c>
    </row>
    <row r="1389" spans="1:9" x14ac:dyDescent="0.15">
      <c r="A1389" s="9">
        <v>1388</v>
      </c>
      <c r="B1389" s="10" t="s">
        <v>9</v>
      </c>
      <c r="C1389" s="10" t="s">
        <v>170</v>
      </c>
      <c r="D1389" s="10" t="s">
        <v>171</v>
      </c>
      <c r="E1389" s="11" t="str">
        <f>+HYPERLINK("http://trademark.i-assist.jp/data/china/image_1900th/78801618.pdf", "78801618")</f>
        <v>78801618</v>
      </c>
      <c r="F1389" s="10" t="s">
        <v>4004</v>
      </c>
      <c r="G1389" s="10" t="s">
        <v>4005</v>
      </c>
      <c r="H1389" s="10" t="s">
        <v>4006</v>
      </c>
      <c r="I1389" s="10" t="s">
        <v>3784</v>
      </c>
    </row>
    <row r="1390" spans="1:9" x14ac:dyDescent="0.15">
      <c r="A1390" s="9">
        <v>1389</v>
      </c>
      <c r="B1390" s="10" t="s">
        <v>9</v>
      </c>
      <c r="C1390" s="10" t="s">
        <v>170</v>
      </c>
      <c r="D1390" s="10" t="s">
        <v>171</v>
      </c>
      <c r="E1390" s="11" t="str">
        <f>+HYPERLINK("http://trademark.i-assist.jp/data/china/image_1900th/78801756.pdf", "78801756")</f>
        <v>78801756</v>
      </c>
      <c r="F1390" s="10" t="s">
        <v>4007</v>
      </c>
      <c r="G1390" s="10" t="s">
        <v>4008</v>
      </c>
      <c r="H1390" s="10" t="s">
        <v>4009</v>
      </c>
      <c r="I1390" s="10" t="s">
        <v>3784</v>
      </c>
    </row>
    <row r="1391" spans="1:9" x14ac:dyDescent="0.15">
      <c r="A1391" s="9">
        <v>1390</v>
      </c>
      <c r="B1391" s="10" t="s">
        <v>9</v>
      </c>
      <c r="C1391" s="10" t="s">
        <v>170</v>
      </c>
      <c r="D1391" s="10" t="s">
        <v>171</v>
      </c>
      <c r="E1391" s="11" t="str">
        <f>+HYPERLINK("http://trademark.i-assist.jp/data/china/image_1900th/78802170.pdf", "78802170")</f>
        <v>78802170</v>
      </c>
      <c r="F1391" s="10" t="s">
        <v>4010</v>
      </c>
      <c r="G1391" s="10" t="s">
        <v>4011</v>
      </c>
      <c r="H1391" s="10" t="s">
        <v>4012</v>
      </c>
      <c r="I1391" s="10" t="s">
        <v>3784</v>
      </c>
    </row>
    <row r="1392" spans="1:9" x14ac:dyDescent="0.15">
      <c r="A1392" s="9">
        <v>1391</v>
      </c>
      <c r="B1392" s="10" t="s">
        <v>9</v>
      </c>
      <c r="C1392" s="10" t="s">
        <v>170</v>
      </c>
      <c r="D1392" s="10" t="s">
        <v>171</v>
      </c>
      <c r="E1392" s="11" t="str">
        <f>+HYPERLINK("http://trademark.i-assist.jp/data/china/image_1900th/78802338.pdf", "78802338")</f>
        <v>78802338</v>
      </c>
      <c r="F1392" s="10" t="s">
        <v>4013</v>
      </c>
      <c r="G1392" s="10" t="s">
        <v>1759</v>
      </c>
      <c r="H1392" s="10" t="s">
        <v>4014</v>
      </c>
      <c r="I1392" s="10" t="s">
        <v>3784</v>
      </c>
    </row>
    <row r="1393" spans="1:9" x14ac:dyDescent="0.15">
      <c r="A1393" s="9">
        <v>1392</v>
      </c>
      <c r="B1393" s="10" t="s">
        <v>9</v>
      </c>
      <c r="C1393" s="10" t="s">
        <v>170</v>
      </c>
      <c r="D1393" s="10" t="s">
        <v>171</v>
      </c>
      <c r="E1393" s="11" t="str">
        <f>+HYPERLINK("http://trademark.i-assist.jp/data/china/image_1900th/78802449.pdf", "78802449")</f>
        <v>78802449</v>
      </c>
      <c r="F1393" s="10" t="s">
        <v>4015</v>
      </c>
      <c r="G1393" s="10" t="s">
        <v>4016</v>
      </c>
      <c r="H1393" s="10" t="s">
        <v>4017</v>
      </c>
      <c r="I1393" s="10" t="s">
        <v>3784</v>
      </c>
    </row>
    <row r="1394" spans="1:9" x14ac:dyDescent="0.15">
      <c r="A1394" s="9">
        <v>1393</v>
      </c>
      <c r="B1394" s="10" t="s">
        <v>9</v>
      </c>
      <c r="C1394" s="10" t="s">
        <v>170</v>
      </c>
      <c r="D1394" s="10" t="s">
        <v>171</v>
      </c>
      <c r="E1394" s="11" t="str">
        <f>+HYPERLINK("http://trademark.i-assist.jp/data/china/image_1900th/78802537.pdf", "78802537")</f>
        <v>78802537</v>
      </c>
      <c r="F1394" s="10" t="s">
        <v>4018</v>
      </c>
      <c r="G1394" s="10" t="s">
        <v>4019</v>
      </c>
      <c r="H1394" s="10" t="s">
        <v>4020</v>
      </c>
      <c r="I1394" s="10" t="s">
        <v>3784</v>
      </c>
    </row>
    <row r="1395" spans="1:9" x14ac:dyDescent="0.15">
      <c r="A1395" s="9">
        <v>1394</v>
      </c>
      <c r="B1395" s="10" t="s">
        <v>9</v>
      </c>
      <c r="C1395" s="10" t="s">
        <v>170</v>
      </c>
      <c r="D1395" s="10" t="s">
        <v>171</v>
      </c>
      <c r="E1395" s="11" t="str">
        <f>+HYPERLINK("http://trademark.i-assist.jp/data/china/image_1900th/78802586.pdf", "78802586")</f>
        <v>78802586</v>
      </c>
      <c r="F1395" s="10" t="s">
        <v>4021</v>
      </c>
      <c r="G1395" s="10" t="s">
        <v>4022</v>
      </c>
      <c r="H1395" s="10" t="s">
        <v>4023</v>
      </c>
      <c r="I1395" s="10" t="s">
        <v>3784</v>
      </c>
    </row>
    <row r="1396" spans="1:9" x14ac:dyDescent="0.15">
      <c r="A1396" s="9">
        <v>1395</v>
      </c>
      <c r="B1396" s="10" t="s">
        <v>9</v>
      </c>
      <c r="C1396" s="10" t="s">
        <v>170</v>
      </c>
      <c r="D1396" s="10" t="s">
        <v>171</v>
      </c>
      <c r="E1396" s="11" t="str">
        <f>+HYPERLINK("http://trademark.i-assist.jp/data/china/image_1900th/78802886.pdf", "78802886")</f>
        <v>78802886</v>
      </c>
      <c r="F1396" s="10" t="s">
        <v>4024</v>
      </c>
      <c r="G1396" s="10" t="s">
        <v>4025</v>
      </c>
      <c r="H1396" s="10" t="s">
        <v>4026</v>
      </c>
      <c r="I1396" s="10" t="s">
        <v>3784</v>
      </c>
    </row>
    <row r="1397" spans="1:9" x14ac:dyDescent="0.15">
      <c r="A1397" s="9">
        <v>1396</v>
      </c>
      <c r="B1397" s="10" t="s">
        <v>9</v>
      </c>
      <c r="C1397" s="10" t="s">
        <v>170</v>
      </c>
      <c r="D1397" s="10" t="s">
        <v>171</v>
      </c>
      <c r="E1397" s="11" t="str">
        <f>+HYPERLINK("http://trademark.i-assist.jp/data/china/image_1900th/78802911.pdf", "78802911")</f>
        <v>78802911</v>
      </c>
      <c r="F1397" s="10" t="s">
        <v>4027</v>
      </c>
      <c r="G1397" s="10" t="s">
        <v>4028</v>
      </c>
      <c r="H1397" s="10" t="s">
        <v>4029</v>
      </c>
      <c r="I1397" s="10" t="s">
        <v>3784</v>
      </c>
    </row>
    <row r="1398" spans="1:9" x14ac:dyDescent="0.15">
      <c r="A1398" s="9">
        <v>1397</v>
      </c>
      <c r="B1398" s="10" t="s">
        <v>9</v>
      </c>
      <c r="C1398" s="10" t="s">
        <v>170</v>
      </c>
      <c r="D1398" s="10" t="s">
        <v>171</v>
      </c>
      <c r="E1398" s="11" t="str">
        <f>+HYPERLINK("http://trademark.i-assist.jp/data/china/image_1900th/78803244.pdf", "78803244")</f>
        <v>78803244</v>
      </c>
      <c r="F1398" s="10" t="s">
        <v>4030</v>
      </c>
      <c r="G1398" s="10" t="s">
        <v>4031</v>
      </c>
      <c r="H1398" s="10" t="s">
        <v>4032</v>
      </c>
      <c r="I1398" s="10" t="s">
        <v>3784</v>
      </c>
    </row>
    <row r="1399" spans="1:9" x14ac:dyDescent="0.15">
      <c r="A1399" s="9">
        <v>1398</v>
      </c>
      <c r="B1399" s="10" t="s">
        <v>9</v>
      </c>
      <c r="C1399" s="10" t="s">
        <v>170</v>
      </c>
      <c r="D1399" s="10" t="s">
        <v>171</v>
      </c>
      <c r="E1399" s="11" t="str">
        <f>+HYPERLINK("http://trademark.i-assist.jp/data/china/image_1900th/78803423.pdf", "78803423")</f>
        <v>78803423</v>
      </c>
      <c r="F1399" s="10" t="s">
        <v>4033</v>
      </c>
      <c r="G1399" s="10" t="s">
        <v>4034</v>
      </c>
      <c r="H1399" s="10" t="s">
        <v>4035</v>
      </c>
      <c r="I1399" s="10" t="s">
        <v>3784</v>
      </c>
    </row>
    <row r="1400" spans="1:9" x14ac:dyDescent="0.15">
      <c r="A1400" s="9">
        <v>1399</v>
      </c>
      <c r="B1400" s="10" t="s">
        <v>9</v>
      </c>
      <c r="C1400" s="10" t="s">
        <v>170</v>
      </c>
      <c r="D1400" s="10" t="s">
        <v>171</v>
      </c>
      <c r="E1400" s="11" t="str">
        <f>+HYPERLINK("http://trademark.i-assist.jp/data/china/image_1900th/78803471.pdf", "78803471")</f>
        <v>78803471</v>
      </c>
      <c r="F1400" s="10" t="s">
        <v>4036</v>
      </c>
      <c r="G1400" s="10" t="s">
        <v>4037</v>
      </c>
      <c r="H1400" s="10" t="s">
        <v>4038</v>
      </c>
      <c r="I1400" s="10" t="s">
        <v>3784</v>
      </c>
    </row>
    <row r="1401" spans="1:9" x14ac:dyDescent="0.15">
      <c r="A1401" s="9">
        <v>1400</v>
      </c>
      <c r="B1401" s="10" t="s">
        <v>9</v>
      </c>
      <c r="C1401" s="10" t="s">
        <v>170</v>
      </c>
      <c r="D1401" s="10" t="s">
        <v>171</v>
      </c>
      <c r="E1401" s="11" t="str">
        <f>+HYPERLINK("http://trademark.i-assist.jp/data/china/image_1900th/78803735.pdf", "78803735")</f>
        <v>78803735</v>
      </c>
      <c r="F1401" s="10" t="s">
        <v>4039</v>
      </c>
      <c r="G1401" s="10" t="s">
        <v>4040</v>
      </c>
      <c r="H1401" s="10" t="s">
        <v>4041</v>
      </c>
      <c r="I1401" s="10" t="s">
        <v>3784</v>
      </c>
    </row>
    <row r="1402" spans="1:9" x14ac:dyDescent="0.15">
      <c r="A1402" s="9">
        <v>1401</v>
      </c>
      <c r="B1402" s="10" t="s">
        <v>9</v>
      </c>
      <c r="C1402" s="10" t="s">
        <v>170</v>
      </c>
      <c r="D1402" s="10" t="s">
        <v>171</v>
      </c>
      <c r="E1402" s="11" t="str">
        <f>+HYPERLINK("http://trademark.i-assist.jp/data/china/image_1900th/78803772.pdf", "78803772")</f>
        <v>78803772</v>
      </c>
      <c r="F1402" s="10" t="s">
        <v>4042</v>
      </c>
      <c r="G1402" s="10" t="s">
        <v>4043</v>
      </c>
      <c r="H1402" s="10" t="s">
        <v>4044</v>
      </c>
      <c r="I1402" s="10" t="s">
        <v>3784</v>
      </c>
    </row>
    <row r="1403" spans="1:9" x14ac:dyDescent="0.15">
      <c r="A1403" s="9">
        <v>1402</v>
      </c>
      <c r="B1403" s="10" t="s">
        <v>9</v>
      </c>
      <c r="C1403" s="10" t="s">
        <v>170</v>
      </c>
      <c r="D1403" s="10" t="s">
        <v>171</v>
      </c>
      <c r="E1403" s="11" t="str">
        <f>+HYPERLINK("http://trademark.i-assist.jp/data/china/image_1900th/78803819.pdf", "78803819")</f>
        <v>78803819</v>
      </c>
      <c r="F1403" s="10" t="s">
        <v>4045</v>
      </c>
      <c r="G1403" s="10" t="s">
        <v>4046</v>
      </c>
      <c r="H1403" s="10" t="s">
        <v>4047</v>
      </c>
      <c r="I1403" s="10" t="s">
        <v>3784</v>
      </c>
    </row>
    <row r="1404" spans="1:9" x14ac:dyDescent="0.15">
      <c r="A1404" s="9">
        <v>1403</v>
      </c>
      <c r="B1404" s="10" t="s">
        <v>9</v>
      </c>
      <c r="C1404" s="10" t="s">
        <v>170</v>
      </c>
      <c r="D1404" s="10" t="s">
        <v>171</v>
      </c>
      <c r="E1404" s="11" t="str">
        <f>+HYPERLINK("http://trademark.i-assist.jp/data/china/image_1900th/78803927.pdf", "78803927")</f>
        <v>78803927</v>
      </c>
      <c r="F1404" s="10" t="s">
        <v>4048</v>
      </c>
      <c r="G1404" s="10" t="s">
        <v>1759</v>
      </c>
      <c r="H1404" s="10" t="s">
        <v>4049</v>
      </c>
      <c r="I1404" s="10" t="s">
        <v>3784</v>
      </c>
    </row>
    <row r="1405" spans="1:9" x14ac:dyDescent="0.15">
      <c r="A1405" s="9">
        <v>1404</v>
      </c>
      <c r="B1405" s="10" t="s">
        <v>9</v>
      </c>
      <c r="C1405" s="10" t="s">
        <v>170</v>
      </c>
      <c r="D1405" s="10" t="s">
        <v>171</v>
      </c>
      <c r="E1405" s="11" t="str">
        <f>+HYPERLINK("http://trademark.i-assist.jp/data/china/image_1900th/78804054.pdf", "78804054")</f>
        <v>78804054</v>
      </c>
      <c r="F1405" s="10" t="s">
        <v>4050</v>
      </c>
      <c r="G1405" s="10" t="s">
        <v>4051</v>
      </c>
      <c r="H1405" s="10" t="s">
        <v>4052</v>
      </c>
      <c r="I1405" s="10" t="s">
        <v>3784</v>
      </c>
    </row>
    <row r="1406" spans="1:9" x14ac:dyDescent="0.15">
      <c r="A1406" s="9">
        <v>1405</v>
      </c>
      <c r="B1406" s="10" t="s">
        <v>9</v>
      </c>
      <c r="C1406" s="10" t="s">
        <v>170</v>
      </c>
      <c r="D1406" s="10" t="s">
        <v>171</v>
      </c>
      <c r="E1406" s="11" t="str">
        <f>+HYPERLINK("http://trademark.i-assist.jp/data/china/image_1900th/78804061.pdf", "78804061")</f>
        <v>78804061</v>
      </c>
      <c r="F1406" s="10" t="s">
        <v>4053</v>
      </c>
      <c r="G1406" s="10" t="s">
        <v>4054</v>
      </c>
      <c r="H1406" s="10" t="s">
        <v>4055</v>
      </c>
      <c r="I1406" s="10" t="s">
        <v>3784</v>
      </c>
    </row>
    <row r="1407" spans="1:9" x14ac:dyDescent="0.15">
      <c r="A1407" s="9">
        <v>1406</v>
      </c>
      <c r="B1407" s="10" t="s">
        <v>9</v>
      </c>
      <c r="C1407" s="10" t="s">
        <v>170</v>
      </c>
      <c r="D1407" s="10" t="s">
        <v>171</v>
      </c>
      <c r="E1407" s="11" t="str">
        <f>+HYPERLINK("http://trademark.i-assist.jp/data/china/image_1900th/78804115.pdf", "78804115")</f>
        <v>78804115</v>
      </c>
      <c r="F1407" s="10" t="s">
        <v>4056</v>
      </c>
      <c r="G1407" s="10" t="s">
        <v>4057</v>
      </c>
      <c r="H1407" s="10" t="s">
        <v>4058</v>
      </c>
      <c r="I1407" s="10" t="s">
        <v>3784</v>
      </c>
    </row>
    <row r="1408" spans="1:9" x14ac:dyDescent="0.15">
      <c r="A1408" s="9">
        <v>1407</v>
      </c>
      <c r="B1408" s="10" t="s">
        <v>9</v>
      </c>
      <c r="C1408" s="10" t="s">
        <v>170</v>
      </c>
      <c r="D1408" s="10" t="s">
        <v>171</v>
      </c>
      <c r="E1408" s="11" t="str">
        <f>+HYPERLINK("http://trademark.i-assist.jp/data/china/image_1900th/78804810.pdf", "78804810")</f>
        <v>78804810</v>
      </c>
      <c r="F1408" s="10" t="s">
        <v>4059</v>
      </c>
      <c r="G1408" s="10" t="s">
        <v>4060</v>
      </c>
      <c r="H1408" s="10" t="s">
        <v>4061</v>
      </c>
      <c r="I1408" s="10" t="s">
        <v>3784</v>
      </c>
    </row>
    <row r="1409" spans="1:9" x14ac:dyDescent="0.15">
      <c r="A1409" s="9">
        <v>1408</v>
      </c>
      <c r="B1409" s="10" t="s">
        <v>9</v>
      </c>
      <c r="C1409" s="10" t="s">
        <v>170</v>
      </c>
      <c r="D1409" s="10" t="s">
        <v>171</v>
      </c>
      <c r="E1409" s="11" t="str">
        <f>+HYPERLINK("http://trademark.i-assist.jp/data/china/image_1900th/78805109.pdf", "78805109")</f>
        <v>78805109</v>
      </c>
      <c r="F1409" s="10" t="s">
        <v>4062</v>
      </c>
      <c r="G1409" s="10" t="s">
        <v>4063</v>
      </c>
      <c r="H1409" s="10" t="s">
        <v>4064</v>
      </c>
      <c r="I1409" s="10" t="s">
        <v>3784</v>
      </c>
    </row>
    <row r="1410" spans="1:9" x14ac:dyDescent="0.15">
      <c r="A1410" s="9">
        <v>1409</v>
      </c>
      <c r="B1410" s="10" t="s">
        <v>9</v>
      </c>
      <c r="C1410" s="10" t="s">
        <v>170</v>
      </c>
      <c r="D1410" s="10" t="s">
        <v>171</v>
      </c>
      <c r="E1410" s="11" t="str">
        <f>+HYPERLINK("http://trademark.i-assist.jp/data/china/image_1900th/78805150.pdf", "78805150")</f>
        <v>78805150</v>
      </c>
      <c r="F1410" s="10" t="s">
        <v>4065</v>
      </c>
      <c r="G1410" s="10" t="s">
        <v>4066</v>
      </c>
      <c r="H1410" s="10" t="s">
        <v>4067</v>
      </c>
      <c r="I1410" s="10" t="s">
        <v>3784</v>
      </c>
    </row>
    <row r="1411" spans="1:9" x14ac:dyDescent="0.15">
      <c r="A1411" s="9">
        <v>1410</v>
      </c>
      <c r="B1411" s="10" t="s">
        <v>9</v>
      </c>
      <c r="C1411" s="10" t="s">
        <v>170</v>
      </c>
      <c r="D1411" s="10" t="s">
        <v>171</v>
      </c>
      <c r="E1411" s="11" t="str">
        <f>+HYPERLINK("http://trademark.i-assist.jp/data/china/image_1900th/78805154.pdf", "78805154")</f>
        <v>78805154</v>
      </c>
      <c r="F1411" s="10" t="s">
        <v>4068</v>
      </c>
      <c r="G1411" s="10" t="s">
        <v>4069</v>
      </c>
      <c r="H1411" s="10" t="s">
        <v>4070</v>
      </c>
      <c r="I1411" s="10" t="s">
        <v>3784</v>
      </c>
    </row>
    <row r="1412" spans="1:9" x14ac:dyDescent="0.15">
      <c r="A1412" s="9">
        <v>1411</v>
      </c>
      <c r="B1412" s="10" t="s">
        <v>9</v>
      </c>
      <c r="C1412" s="10" t="s">
        <v>170</v>
      </c>
      <c r="D1412" s="10" t="s">
        <v>171</v>
      </c>
      <c r="E1412" s="11" t="str">
        <f>+HYPERLINK("http://trademark.i-assist.jp/data/china/image_1900th/78805172.pdf", "78805172")</f>
        <v>78805172</v>
      </c>
      <c r="F1412" s="10" t="s">
        <v>4071</v>
      </c>
      <c r="G1412" s="10" t="s">
        <v>4072</v>
      </c>
      <c r="H1412" s="10" t="s">
        <v>4073</v>
      </c>
      <c r="I1412" s="10" t="s">
        <v>3784</v>
      </c>
    </row>
    <row r="1413" spans="1:9" x14ac:dyDescent="0.15">
      <c r="A1413" s="9">
        <v>1412</v>
      </c>
      <c r="B1413" s="10" t="s">
        <v>9</v>
      </c>
      <c r="C1413" s="10" t="s">
        <v>170</v>
      </c>
      <c r="D1413" s="10" t="s">
        <v>171</v>
      </c>
      <c r="E1413" s="11" t="str">
        <f>+HYPERLINK("http://trademark.i-assist.jp/data/china/image_1900th/78805181.pdf", "78805181")</f>
        <v>78805181</v>
      </c>
      <c r="F1413" s="10" t="s">
        <v>4074</v>
      </c>
      <c r="G1413" s="10" t="s">
        <v>4075</v>
      </c>
      <c r="H1413" s="10" t="s">
        <v>4076</v>
      </c>
      <c r="I1413" s="10" t="s">
        <v>3784</v>
      </c>
    </row>
    <row r="1414" spans="1:9" x14ac:dyDescent="0.15">
      <c r="A1414" s="9">
        <v>1413</v>
      </c>
      <c r="B1414" s="10" t="s">
        <v>9</v>
      </c>
      <c r="C1414" s="10" t="s">
        <v>170</v>
      </c>
      <c r="D1414" s="10" t="s">
        <v>171</v>
      </c>
      <c r="E1414" s="11" t="str">
        <f>+HYPERLINK("http://trademark.i-assist.jp/data/china/image_1900th/78805223.pdf", "78805223")</f>
        <v>78805223</v>
      </c>
      <c r="F1414" s="10" t="s">
        <v>4077</v>
      </c>
      <c r="G1414" s="10" t="s">
        <v>4078</v>
      </c>
      <c r="H1414" s="10" t="s">
        <v>4079</v>
      </c>
      <c r="I1414" s="10" t="s">
        <v>3784</v>
      </c>
    </row>
    <row r="1415" spans="1:9" x14ac:dyDescent="0.15">
      <c r="A1415" s="9">
        <v>1414</v>
      </c>
      <c r="B1415" s="10" t="s">
        <v>9</v>
      </c>
      <c r="C1415" s="10" t="s">
        <v>170</v>
      </c>
      <c r="D1415" s="10" t="s">
        <v>171</v>
      </c>
      <c r="E1415" s="11" t="str">
        <f>+HYPERLINK("http://trademark.i-assist.jp/data/china/image_1900th/78805315.pdf", "78805315")</f>
        <v>78805315</v>
      </c>
      <c r="F1415" s="10" t="s">
        <v>4080</v>
      </c>
      <c r="G1415" s="10" t="s">
        <v>4081</v>
      </c>
      <c r="H1415" s="10" t="s">
        <v>4082</v>
      </c>
      <c r="I1415" s="10" t="s">
        <v>3784</v>
      </c>
    </row>
    <row r="1416" spans="1:9" x14ac:dyDescent="0.15">
      <c r="A1416" s="9">
        <v>1415</v>
      </c>
      <c r="B1416" s="10" t="s">
        <v>9</v>
      </c>
      <c r="C1416" s="10" t="s">
        <v>170</v>
      </c>
      <c r="D1416" s="10" t="s">
        <v>171</v>
      </c>
      <c r="E1416" s="11" t="str">
        <f>+HYPERLINK("http://trademark.i-assist.jp/data/china/image_1900th/78805347.pdf", "78805347")</f>
        <v>78805347</v>
      </c>
      <c r="F1416" s="10" t="s">
        <v>4083</v>
      </c>
      <c r="G1416" s="10" t="s">
        <v>4084</v>
      </c>
      <c r="H1416" s="10" t="s">
        <v>4085</v>
      </c>
      <c r="I1416" s="10" t="s">
        <v>3784</v>
      </c>
    </row>
    <row r="1417" spans="1:9" x14ac:dyDescent="0.15">
      <c r="A1417" s="9">
        <v>1416</v>
      </c>
      <c r="B1417" s="10" t="s">
        <v>9</v>
      </c>
      <c r="C1417" s="10" t="s">
        <v>170</v>
      </c>
      <c r="D1417" s="10" t="s">
        <v>171</v>
      </c>
      <c r="E1417" s="11" t="str">
        <f>+HYPERLINK("http://trademark.i-assist.jp/data/china/image_1900th/78805620.pdf", "78805620")</f>
        <v>78805620</v>
      </c>
      <c r="F1417" s="10" t="s">
        <v>4086</v>
      </c>
      <c r="G1417" s="10" t="s">
        <v>4087</v>
      </c>
      <c r="H1417" s="10" t="s">
        <v>4088</v>
      </c>
      <c r="I1417" s="10" t="s">
        <v>3784</v>
      </c>
    </row>
    <row r="1418" spans="1:9" x14ac:dyDescent="0.15">
      <c r="A1418" s="9">
        <v>1417</v>
      </c>
      <c r="B1418" s="10" t="s">
        <v>9</v>
      </c>
      <c r="C1418" s="10" t="s">
        <v>170</v>
      </c>
      <c r="D1418" s="10" t="s">
        <v>171</v>
      </c>
      <c r="E1418" s="11" t="str">
        <f>+HYPERLINK("http://trademark.i-assist.jp/data/china/image_1900th/78805918.pdf", "78805918")</f>
        <v>78805918</v>
      </c>
      <c r="F1418" s="10" t="s">
        <v>4089</v>
      </c>
      <c r="G1418" s="10" t="s">
        <v>4090</v>
      </c>
      <c r="H1418" s="10" t="s">
        <v>4091</v>
      </c>
      <c r="I1418" s="10" t="s">
        <v>3784</v>
      </c>
    </row>
    <row r="1419" spans="1:9" x14ac:dyDescent="0.15">
      <c r="A1419" s="9">
        <v>1418</v>
      </c>
      <c r="B1419" s="10" t="s">
        <v>9</v>
      </c>
      <c r="C1419" s="10" t="s">
        <v>170</v>
      </c>
      <c r="D1419" s="10" t="s">
        <v>171</v>
      </c>
      <c r="E1419" s="11" t="str">
        <f>+HYPERLINK("http://trademark.i-assist.jp/data/china/image_1900th/78805965.pdf", "78805965")</f>
        <v>78805965</v>
      </c>
      <c r="F1419" s="10" t="s">
        <v>4092</v>
      </c>
      <c r="G1419" s="10" t="s">
        <v>4093</v>
      </c>
      <c r="H1419" s="10" t="s">
        <v>4094</v>
      </c>
      <c r="I1419" s="10" t="s">
        <v>3784</v>
      </c>
    </row>
    <row r="1420" spans="1:9" x14ac:dyDescent="0.15">
      <c r="A1420" s="9">
        <v>1419</v>
      </c>
      <c r="B1420" s="10" t="s">
        <v>9</v>
      </c>
      <c r="C1420" s="10" t="s">
        <v>170</v>
      </c>
      <c r="D1420" s="10" t="s">
        <v>171</v>
      </c>
      <c r="E1420" s="11" t="str">
        <f>+HYPERLINK("http://trademark.i-assist.jp/data/china/image_1900th/78806533.pdf", "78806533")</f>
        <v>78806533</v>
      </c>
      <c r="F1420" s="10" t="s">
        <v>4095</v>
      </c>
      <c r="G1420" s="10" t="s">
        <v>4096</v>
      </c>
      <c r="H1420" s="10" t="s">
        <v>4097</v>
      </c>
      <c r="I1420" s="10" t="s">
        <v>3784</v>
      </c>
    </row>
    <row r="1421" spans="1:9" x14ac:dyDescent="0.15">
      <c r="A1421" s="9">
        <v>1420</v>
      </c>
      <c r="B1421" s="10" t="s">
        <v>9</v>
      </c>
      <c r="C1421" s="10" t="s">
        <v>170</v>
      </c>
      <c r="D1421" s="10" t="s">
        <v>171</v>
      </c>
      <c r="E1421" s="11" t="str">
        <f>+HYPERLINK("http://trademark.i-assist.jp/data/china/image_1900th/78806535.pdf", "78806535")</f>
        <v>78806535</v>
      </c>
      <c r="F1421" s="10" t="s">
        <v>4098</v>
      </c>
      <c r="G1421" s="10" t="s">
        <v>4099</v>
      </c>
      <c r="H1421" s="10" t="s">
        <v>4100</v>
      </c>
      <c r="I1421" s="10" t="s">
        <v>3784</v>
      </c>
    </row>
    <row r="1422" spans="1:9" x14ac:dyDescent="0.15">
      <c r="A1422" s="9">
        <v>1421</v>
      </c>
      <c r="B1422" s="10" t="s">
        <v>9</v>
      </c>
      <c r="C1422" s="10" t="s">
        <v>170</v>
      </c>
      <c r="D1422" s="10" t="s">
        <v>171</v>
      </c>
      <c r="E1422" s="11" t="str">
        <f>+HYPERLINK("http://trademark.i-assist.jp/data/china/image_1900th/78806566.pdf", "78806566")</f>
        <v>78806566</v>
      </c>
      <c r="F1422" s="10" t="s">
        <v>4101</v>
      </c>
      <c r="G1422" s="10" t="s">
        <v>4102</v>
      </c>
      <c r="H1422" s="10" t="s">
        <v>4103</v>
      </c>
      <c r="I1422" s="10" t="s">
        <v>3784</v>
      </c>
    </row>
    <row r="1423" spans="1:9" x14ac:dyDescent="0.15">
      <c r="A1423" s="9">
        <v>1422</v>
      </c>
      <c r="B1423" s="10" t="s">
        <v>9</v>
      </c>
      <c r="C1423" s="10" t="s">
        <v>170</v>
      </c>
      <c r="D1423" s="10" t="s">
        <v>171</v>
      </c>
      <c r="E1423" s="11" t="str">
        <f>+HYPERLINK("http://trademark.i-assist.jp/data/china/image_1900th/78806721.pdf", "78806721")</f>
        <v>78806721</v>
      </c>
      <c r="F1423" s="10" t="s">
        <v>4104</v>
      </c>
      <c r="G1423" s="10" t="s">
        <v>4105</v>
      </c>
      <c r="H1423" s="10" t="s">
        <v>4106</v>
      </c>
      <c r="I1423" s="10" t="s">
        <v>3784</v>
      </c>
    </row>
    <row r="1424" spans="1:9" x14ac:dyDescent="0.15">
      <c r="A1424" s="9">
        <v>1423</v>
      </c>
      <c r="B1424" s="10" t="s">
        <v>9</v>
      </c>
      <c r="C1424" s="10" t="s">
        <v>170</v>
      </c>
      <c r="D1424" s="10" t="s">
        <v>171</v>
      </c>
      <c r="E1424" s="11" t="str">
        <f>+HYPERLINK("http://trademark.i-assist.jp/data/china/image_1900th/78806790.pdf", "78806790")</f>
        <v>78806790</v>
      </c>
      <c r="F1424" s="10" t="s">
        <v>4107</v>
      </c>
      <c r="G1424" s="10" t="s">
        <v>4108</v>
      </c>
      <c r="H1424" s="10" t="s">
        <v>4109</v>
      </c>
      <c r="I1424" s="10" t="s">
        <v>3784</v>
      </c>
    </row>
    <row r="1425" spans="1:9" x14ac:dyDescent="0.15">
      <c r="A1425" s="9">
        <v>1424</v>
      </c>
      <c r="B1425" s="10" t="s">
        <v>9</v>
      </c>
      <c r="C1425" s="10" t="s">
        <v>170</v>
      </c>
      <c r="D1425" s="10" t="s">
        <v>171</v>
      </c>
      <c r="E1425" s="11" t="str">
        <f>+HYPERLINK("http://trademark.i-assist.jp/data/china/image_1900th/78807027.pdf", "78807027")</f>
        <v>78807027</v>
      </c>
      <c r="F1425" s="10" t="s">
        <v>4110</v>
      </c>
      <c r="G1425" s="10" t="s">
        <v>4111</v>
      </c>
      <c r="H1425" s="10" t="s">
        <v>4112</v>
      </c>
      <c r="I1425" s="10" t="s">
        <v>3784</v>
      </c>
    </row>
    <row r="1426" spans="1:9" x14ac:dyDescent="0.15">
      <c r="A1426" s="9">
        <v>1425</v>
      </c>
      <c r="B1426" s="10" t="s">
        <v>9</v>
      </c>
      <c r="C1426" s="10" t="s">
        <v>170</v>
      </c>
      <c r="D1426" s="10" t="s">
        <v>171</v>
      </c>
      <c r="E1426" s="11" t="str">
        <f>+HYPERLINK("http://trademark.i-assist.jp/data/china/image_1900th/78807092.pdf", "78807092")</f>
        <v>78807092</v>
      </c>
      <c r="F1426" s="10" t="s">
        <v>4113</v>
      </c>
      <c r="G1426" s="10" t="s">
        <v>4114</v>
      </c>
      <c r="H1426" s="10" t="s">
        <v>4115</v>
      </c>
      <c r="I1426" s="10" t="s">
        <v>3784</v>
      </c>
    </row>
    <row r="1427" spans="1:9" x14ac:dyDescent="0.15">
      <c r="A1427" s="9">
        <v>1426</v>
      </c>
      <c r="B1427" s="10" t="s">
        <v>9</v>
      </c>
      <c r="C1427" s="10" t="s">
        <v>170</v>
      </c>
      <c r="D1427" s="10" t="s">
        <v>171</v>
      </c>
      <c r="E1427" s="11" t="str">
        <f>+HYPERLINK("http://trademark.i-assist.jp/data/china/image_1900th/78807124.pdf", "78807124")</f>
        <v>78807124</v>
      </c>
      <c r="F1427" s="10" t="s">
        <v>4116</v>
      </c>
      <c r="G1427" s="10" t="s">
        <v>3990</v>
      </c>
      <c r="H1427" s="10" t="s">
        <v>4117</v>
      </c>
      <c r="I1427" s="10" t="s">
        <v>3784</v>
      </c>
    </row>
    <row r="1428" spans="1:9" x14ac:dyDescent="0.15">
      <c r="A1428" s="9">
        <v>1427</v>
      </c>
      <c r="B1428" s="10" t="s">
        <v>9</v>
      </c>
      <c r="C1428" s="10" t="s">
        <v>170</v>
      </c>
      <c r="D1428" s="10" t="s">
        <v>171</v>
      </c>
      <c r="E1428" s="11" t="str">
        <f>+HYPERLINK("http://trademark.i-assist.jp/data/china/image_1900th/78807805.pdf", "78807805")</f>
        <v>78807805</v>
      </c>
      <c r="F1428" s="10" t="s">
        <v>4118</v>
      </c>
      <c r="G1428" s="10" t="s">
        <v>4119</v>
      </c>
      <c r="H1428" s="10" t="s">
        <v>4120</v>
      </c>
      <c r="I1428" s="10" t="s">
        <v>3784</v>
      </c>
    </row>
    <row r="1429" spans="1:9" x14ac:dyDescent="0.15">
      <c r="A1429" s="9">
        <v>1428</v>
      </c>
      <c r="B1429" s="10" t="s">
        <v>9</v>
      </c>
      <c r="C1429" s="10" t="s">
        <v>170</v>
      </c>
      <c r="D1429" s="10" t="s">
        <v>171</v>
      </c>
      <c r="E1429" s="11" t="str">
        <f>+HYPERLINK("http://trademark.i-assist.jp/data/china/image_1900th/78807814.pdf", "78807814")</f>
        <v>78807814</v>
      </c>
      <c r="F1429" s="10" t="s">
        <v>4121</v>
      </c>
      <c r="G1429" s="10" t="s">
        <v>4122</v>
      </c>
      <c r="H1429" s="10" t="s">
        <v>4123</v>
      </c>
      <c r="I1429" s="10" t="s">
        <v>3784</v>
      </c>
    </row>
    <row r="1430" spans="1:9" x14ac:dyDescent="0.15">
      <c r="A1430" s="9">
        <v>1429</v>
      </c>
      <c r="B1430" s="10" t="s">
        <v>9</v>
      </c>
      <c r="C1430" s="10" t="s">
        <v>170</v>
      </c>
      <c r="D1430" s="10" t="s">
        <v>171</v>
      </c>
      <c r="E1430" s="11" t="str">
        <f>+HYPERLINK("http://trademark.i-assist.jp/data/china/image_1900th/78808141.pdf", "78808141")</f>
        <v>78808141</v>
      </c>
      <c r="F1430" s="10" t="s">
        <v>4124</v>
      </c>
      <c r="G1430" s="10" t="s">
        <v>4125</v>
      </c>
      <c r="H1430" s="10" t="s">
        <v>4126</v>
      </c>
      <c r="I1430" s="10" t="s">
        <v>3784</v>
      </c>
    </row>
    <row r="1431" spans="1:9" x14ac:dyDescent="0.15">
      <c r="A1431" s="9">
        <v>1430</v>
      </c>
      <c r="B1431" s="10" t="s">
        <v>9</v>
      </c>
      <c r="C1431" s="10" t="s">
        <v>170</v>
      </c>
      <c r="D1431" s="10" t="s">
        <v>171</v>
      </c>
      <c r="E1431" s="11" t="str">
        <f>+HYPERLINK("http://trademark.i-assist.jp/data/china/image_1900th/78808163.pdf", "78808163")</f>
        <v>78808163</v>
      </c>
      <c r="F1431" s="10" t="s">
        <v>4127</v>
      </c>
      <c r="G1431" s="10" t="s">
        <v>4128</v>
      </c>
      <c r="H1431" s="10" t="s">
        <v>4129</v>
      </c>
      <c r="I1431" s="10" t="s">
        <v>3784</v>
      </c>
    </row>
    <row r="1432" spans="1:9" x14ac:dyDescent="0.15">
      <c r="A1432" s="9">
        <v>1431</v>
      </c>
      <c r="B1432" s="10" t="s">
        <v>9</v>
      </c>
      <c r="C1432" s="10" t="s">
        <v>170</v>
      </c>
      <c r="D1432" s="10" t="s">
        <v>171</v>
      </c>
      <c r="E1432" s="11" t="str">
        <f>+HYPERLINK("http://trademark.i-assist.jp/data/china/image_1900th/78808523.pdf", "78808523")</f>
        <v>78808523</v>
      </c>
      <c r="F1432" s="10" t="s">
        <v>4130</v>
      </c>
      <c r="G1432" s="10" t="s">
        <v>4131</v>
      </c>
      <c r="H1432" s="10" t="s">
        <v>4132</v>
      </c>
      <c r="I1432" s="10" t="s">
        <v>3784</v>
      </c>
    </row>
    <row r="1433" spans="1:9" x14ac:dyDescent="0.15">
      <c r="A1433" s="9">
        <v>1432</v>
      </c>
      <c r="B1433" s="10" t="s">
        <v>9</v>
      </c>
      <c r="C1433" s="10" t="s">
        <v>170</v>
      </c>
      <c r="D1433" s="10" t="s">
        <v>171</v>
      </c>
      <c r="E1433" s="11" t="str">
        <f>+HYPERLINK("http://trademark.i-assist.jp/data/china/image_1900th/78808585.pdf", "78808585")</f>
        <v>78808585</v>
      </c>
      <c r="F1433" s="10" t="s">
        <v>4133</v>
      </c>
      <c r="G1433" s="10" t="s">
        <v>4134</v>
      </c>
      <c r="H1433" s="10" t="s">
        <v>4135</v>
      </c>
      <c r="I1433" s="10" t="s">
        <v>3784</v>
      </c>
    </row>
    <row r="1434" spans="1:9" x14ac:dyDescent="0.15">
      <c r="A1434" s="9">
        <v>1433</v>
      </c>
      <c r="B1434" s="10" t="s">
        <v>9</v>
      </c>
      <c r="C1434" s="10" t="s">
        <v>170</v>
      </c>
      <c r="D1434" s="10" t="s">
        <v>171</v>
      </c>
      <c r="E1434" s="11" t="str">
        <f>+HYPERLINK("http://trademark.i-assist.jp/data/china/image_1900th/78808594.pdf", "78808594")</f>
        <v>78808594</v>
      </c>
      <c r="F1434" s="10" t="s">
        <v>4136</v>
      </c>
      <c r="G1434" s="10" t="s">
        <v>4137</v>
      </c>
      <c r="H1434" s="10" t="s">
        <v>4138</v>
      </c>
      <c r="I1434" s="10" t="s">
        <v>3784</v>
      </c>
    </row>
    <row r="1435" spans="1:9" x14ac:dyDescent="0.15">
      <c r="A1435" s="9">
        <v>1434</v>
      </c>
      <c r="B1435" s="10" t="s">
        <v>9</v>
      </c>
      <c r="C1435" s="10" t="s">
        <v>170</v>
      </c>
      <c r="D1435" s="10" t="s">
        <v>171</v>
      </c>
      <c r="E1435" s="11" t="str">
        <f>+HYPERLINK("http://trademark.i-assist.jp/data/china/image_1900th/78808887.pdf", "78808887")</f>
        <v>78808887</v>
      </c>
      <c r="F1435" s="10" t="s">
        <v>4139</v>
      </c>
      <c r="G1435" s="10" t="s">
        <v>4140</v>
      </c>
      <c r="H1435" s="10" t="s">
        <v>4141</v>
      </c>
      <c r="I1435" s="10" t="s">
        <v>3784</v>
      </c>
    </row>
    <row r="1436" spans="1:9" x14ac:dyDescent="0.15">
      <c r="A1436" s="9">
        <v>1435</v>
      </c>
      <c r="B1436" s="10" t="s">
        <v>9</v>
      </c>
      <c r="C1436" s="10" t="s">
        <v>170</v>
      </c>
      <c r="D1436" s="10" t="s">
        <v>171</v>
      </c>
      <c r="E1436" s="11" t="str">
        <f>+HYPERLINK("http://trademark.i-assist.jp/data/china/image_1900th/78809485.pdf", "78809485")</f>
        <v>78809485</v>
      </c>
      <c r="F1436" s="10" t="s">
        <v>4142</v>
      </c>
      <c r="G1436" s="10" t="s">
        <v>4143</v>
      </c>
      <c r="H1436" s="10" t="s">
        <v>4144</v>
      </c>
      <c r="I1436" s="10" t="s">
        <v>3784</v>
      </c>
    </row>
    <row r="1437" spans="1:9" x14ac:dyDescent="0.15">
      <c r="A1437" s="9">
        <v>1436</v>
      </c>
      <c r="B1437" s="10" t="s">
        <v>9</v>
      </c>
      <c r="C1437" s="10" t="s">
        <v>170</v>
      </c>
      <c r="D1437" s="10" t="s">
        <v>171</v>
      </c>
      <c r="E1437" s="11" t="str">
        <f>+HYPERLINK("http://trademark.i-assist.jp/data/china/image_1900th/78809583.pdf", "78809583")</f>
        <v>78809583</v>
      </c>
      <c r="F1437" s="10" t="s">
        <v>4145</v>
      </c>
      <c r="G1437" s="10" t="s">
        <v>4146</v>
      </c>
      <c r="H1437" s="10" t="s">
        <v>4147</v>
      </c>
      <c r="I1437" s="10" t="s">
        <v>3784</v>
      </c>
    </row>
    <row r="1438" spans="1:9" x14ac:dyDescent="0.15">
      <c r="A1438" s="9">
        <v>1437</v>
      </c>
      <c r="B1438" s="10" t="s">
        <v>9</v>
      </c>
      <c r="C1438" s="10" t="s">
        <v>170</v>
      </c>
      <c r="D1438" s="10" t="s">
        <v>171</v>
      </c>
      <c r="E1438" s="11" t="str">
        <f>+HYPERLINK("http://trademark.i-assist.jp/data/china/image_1900th/78809692.pdf", "78809692")</f>
        <v>78809692</v>
      </c>
      <c r="F1438" s="10" t="s">
        <v>4148</v>
      </c>
      <c r="G1438" s="10" t="s">
        <v>4149</v>
      </c>
      <c r="H1438" s="10" t="s">
        <v>4150</v>
      </c>
      <c r="I1438" s="10" t="s">
        <v>3784</v>
      </c>
    </row>
    <row r="1439" spans="1:9" x14ac:dyDescent="0.15">
      <c r="A1439" s="9">
        <v>1438</v>
      </c>
      <c r="B1439" s="10" t="s">
        <v>9</v>
      </c>
      <c r="C1439" s="10" t="s">
        <v>170</v>
      </c>
      <c r="D1439" s="10" t="s">
        <v>171</v>
      </c>
      <c r="E1439" s="11" t="str">
        <f>+HYPERLINK("http://trademark.i-assist.jp/data/china/image_1900th/78809711.pdf", "78809711")</f>
        <v>78809711</v>
      </c>
      <c r="F1439" s="10" t="s">
        <v>4151</v>
      </c>
      <c r="G1439" s="10" t="s">
        <v>4152</v>
      </c>
      <c r="H1439" s="10" t="s">
        <v>4153</v>
      </c>
      <c r="I1439" s="10" t="s">
        <v>3784</v>
      </c>
    </row>
    <row r="1440" spans="1:9" x14ac:dyDescent="0.15">
      <c r="A1440" s="9">
        <v>1439</v>
      </c>
      <c r="B1440" s="10" t="s">
        <v>9</v>
      </c>
      <c r="C1440" s="10" t="s">
        <v>170</v>
      </c>
      <c r="D1440" s="10" t="s">
        <v>171</v>
      </c>
      <c r="E1440" s="11" t="str">
        <f>+HYPERLINK("http://trademark.i-assist.jp/data/china/image_1900th/78809825.pdf", "78809825")</f>
        <v>78809825</v>
      </c>
      <c r="F1440" s="10" t="s">
        <v>4154</v>
      </c>
      <c r="G1440" s="10" t="s">
        <v>4072</v>
      </c>
      <c r="H1440" s="10" t="s">
        <v>4155</v>
      </c>
      <c r="I1440" s="10" t="s">
        <v>3784</v>
      </c>
    </row>
    <row r="1441" spans="1:9" x14ac:dyDescent="0.15">
      <c r="A1441" s="9">
        <v>1440</v>
      </c>
      <c r="B1441" s="10" t="s">
        <v>9</v>
      </c>
      <c r="C1441" s="10" t="s">
        <v>170</v>
      </c>
      <c r="D1441" s="10" t="s">
        <v>171</v>
      </c>
      <c r="E1441" s="11" t="str">
        <f>+HYPERLINK("http://trademark.i-assist.jp/data/china/image_1900th/78809948.pdf", "78809948")</f>
        <v>78809948</v>
      </c>
      <c r="F1441" s="10" t="s">
        <v>4156</v>
      </c>
      <c r="G1441" s="10" t="s">
        <v>4043</v>
      </c>
      <c r="H1441" s="10" t="s">
        <v>4157</v>
      </c>
      <c r="I1441" s="10" t="s">
        <v>3784</v>
      </c>
    </row>
    <row r="1442" spans="1:9" x14ac:dyDescent="0.15">
      <c r="A1442" s="9">
        <v>1441</v>
      </c>
      <c r="B1442" s="10" t="s">
        <v>9</v>
      </c>
      <c r="C1442" s="10" t="s">
        <v>170</v>
      </c>
      <c r="D1442" s="10" t="s">
        <v>171</v>
      </c>
      <c r="E1442" s="11" t="str">
        <f>+HYPERLINK("http://trademark.i-assist.jp/data/china/image_1900th/78810024.pdf", "78810024")</f>
        <v>78810024</v>
      </c>
      <c r="F1442" s="10" t="s">
        <v>4158</v>
      </c>
      <c r="G1442" s="10" t="s">
        <v>1759</v>
      </c>
      <c r="H1442" s="10" t="s">
        <v>4159</v>
      </c>
      <c r="I1442" s="10" t="s">
        <v>3784</v>
      </c>
    </row>
    <row r="1443" spans="1:9" x14ac:dyDescent="0.15">
      <c r="A1443" s="9">
        <v>1442</v>
      </c>
      <c r="B1443" s="10" t="s">
        <v>9</v>
      </c>
      <c r="C1443" s="10" t="s">
        <v>170</v>
      </c>
      <c r="D1443" s="10" t="s">
        <v>171</v>
      </c>
      <c r="E1443" s="11" t="str">
        <f>+HYPERLINK("http://trademark.i-assist.jp/data/china/image_1900th/78810074.pdf", "78810074")</f>
        <v>78810074</v>
      </c>
      <c r="F1443" s="10" t="s">
        <v>4160</v>
      </c>
      <c r="G1443" s="10" t="s">
        <v>4161</v>
      </c>
      <c r="H1443" s="10" t="s">
        <v>4162</v>
      </c>
      <c r="I1443" s="10" t="s">
        <v>3784</v>
      </c>
    </row>
    <row r="1444" spans="1:9" x14ac:dyDescent="0.15">
      <c r="A1444" s="9">
        <v>1443</v>
      </c>
      <c r="B1444" s="10" t="s">
        <v>9</v>
      </c>
      <c r="C1444" s="10" t="s">
        <v>170</v>
      </c>
      <c r="D1444" s="10" t="s">
        <v>171</v>
      </c>
      <c r="E1444" s="11" t="str">
        <f>+HYPERLINK("http://trademark.i-assist.jp/data/china/image_1900th/78810308.pdf", "78810308")</f>
        <v>78810308</v>
      </c>
      <c r="F1444" s="10" t="s">
        <v>4163</v>
      </c>
      <c r="G1444" s="10" t="s">
        <v>4164</v>
      </c>
      <c r="H1444" s="10" t="s">
        <v>4165</v>
      </c>
      <c r="I1444" s="10" t="s">
        <v>3784</v>
      </c>
    </row>
    <row r="1445" spans="1:9" x14ac:dyDescent="0.15">
      <c r="A1445" s="9">
        <v>1444</v>
      </c>
      <c r="B1445" s="10" t="s">
        <v>9</v>
      </c>
      <c r="C1445" s="10" t="s">
        <v>170</v>
      </c>
      <c r="D1445" s="10" t="s">
        <v>171</v>
      </c>
      <c r="E1445" s="11" t="str">
        <f>+HYPERLINK("http://trademark.i-assist.jp/data/china/image_1900th/78810388.pdf", "78810388")</f>
        <v>78810388</v>
      </c>
      <c r="F1445" s="10" t="s">
        <v>4166</v>
      </c>
      <c r="G1445" s="10" t="s">
        <v>4167</v>
      </c>
      <c r="H1445" s="10" t="s">
        <v>4168</v>
      </c>
      <c r="I1445" s="10" t="s">
        <v>3784</v>
      </c>
    </row>
    <row r="1446" spans="1:9" x14ac:dyDescent="0.15">
      <c r="A1446" s="9">
        <v>1445</v>
      </c>
      <c r="B1446" s="10" t="s">
        <v>9</v>
      </c>
      <c r="C1446" s="10" t="s">
        <v>170</v>
      </c>
      <c r="D1446" s="10" t="s">
        <v>171</v>
      </c>
      <c r="E1446" s="11" t="str">
        <f>+HYPERLINK("http://trademark.i-assist.jp/data/china/image_1900th/78810491.pdf", "78810491")</f>
        <v>78810491</v>
      </c>
      <c r="F1446" s="10" t="s">
        <v>4169</v>
      </c>
      <c r="G1446" s="10" t="s">
        <v>4170</v>
      </c>
      <c r="H1446" s="10" t="s">
        <v>4171</v>
      </c>
      <c r="I1446" s="10" t="s">
        <v>3784</v>
      </c>
    </row>
    <row r="1447" spans="1:9" x14ac:dyDescent="0.15">
      <c r="A1447" s="9">
        <v>1446</v>
      </c>
      <c r="B1447" s="10" t="s">
        <v>9</v>
      </c>
      <c r="C1447" s="10" t="s">
        <v>170</v>
      </c>
      <c r="D1447" s="10" t="s">
        <v>171</v>
      </c>
      <c r="E1447" s="11" t="str">
        <f>+HYPERLINK("http://trademark.i-assist.jp/data/china/image_1900th/78810704.pdf", "78810704")</f>
        <v>78810704</v>
      </c>
      <c r="F1447" s="10" t="s">
        <v>4172</v>
      </c>
      <c r="G1447" s="10" t="s">
        <v>4173</v>
      </c>
      <c r="H1447" s="10" t="s">
        <v>4174</v>
      </c>
      <c r="I1447" s="10" t="s">
        <v>3784</v>
      </c>
    </row>
    <row r="1448" spans="1:9" x14ac:dyDescent="0.15">
      <c r="A1448" s="9">
        <v>1447</v>
      </c>
      <c r="B1448" s="10" t="s">
        <v>9</v>
      </c>
      <c r="C1448" s="10" t="s">
        <v>170</v>
      </c>
      <c r="D1448" s="10" t="s">
        <v>171</v>
      </c>
      <c r="E1448" s="11" t="str">
        <f>+HYPERLINK("http://trademark.i-assist.jp/data/china/image_1900th/78810767.pdf", "78810767")</f>
        <v>78810767</v>
      </c>
      <c r="F1448" s="10" t="s">
        <v>4175</v>
      </c>
      <c r="G1448" s="10" t="s">
        <v>4176</v>
      </c>
      <c r="H1448" s="10" t="s">
        <v>4177</v>
      </c>
      <c r="I1448" s="10" t="s">
        <v>3784</v>
      </c>
    </row>
    <row r="1449" spans="1:9" x14ac:dyDescent="0.15">
      <c r="A1449" s="9">
        <v>1448</v>
      </c>
      <c r="B1449" s="10" t="s">
        <v>9</v>
      </c>
      <c r="C1449" s="10" t="s">
        <v>170</v>
      </c>
      <c r="D1449" s="10" t="s">
        <v>171</v>
      </c>
      <c r="E1449" s="11" t="str">
        <f>+HYPERLINK("http://trademark.i-assist.jp/data/china/image_1900th/78810865.pdf", "78810865")</f>
        <v>78810865</v>
      </c>
      <c r="F1449" s="10" t="s">
        <v>4178</v>
      </c>
      <c r="G1449" s="10" t="s">
        <v>4179</v>
      </c>
      <c r="H1449" s="10" t="s">
        <v>4180</v>
      </c>
      <c r="I1449" s="10" t="s">
        <v>3784</v>
      </c>
    </row>
    <row r="1450" spans="1:9" x14ac:dyDescent="0.15">
      <c r="A1450" s="9">
        <v>1449</v>
      </c>
      <c r="B1450" s="10" t="s">
        <v>9</v>
      </c>
      <c r="C1450" s="10" t="s">
        <v>170</v>
      </c>
      <c r="D1450" s="10" t="s">
        <v>171</v>
      </c>
      <c r="E1450" s="11" t="str">
        <f>+HYPERLINK("http://trademark.i-assist.jp/data/china/image_1900th/78810875.pdf", "78810875")</f>
        <v>78810875</v>
      </c>
      <c r="F1450" s="10" t="s">
        <v>4181</v>
      </c>
      <c r="G1450" s="10" t="s">
        <v>4182</v>
      </c>
      <c r="H1450" s="10" t="s">
        <v>4183</v>
      </c>
      <c r="I1450" s="10" t="s">
        <v>3784</v>
      </c>
    </row>
    <row r="1451" spans="1:9" x14ac:dyDescent="0.15">
      <c r="A1451" s="9">
        <v>1450</v>
      </c>
      <c r="B1451" s="10" t="s">
        <v>9</v>
      </c>
      <c r="C1451" s="10" t="s">
        <v>170</v>
      </c>
      <c r="D1451" s="10" t="s">
        <v>171</v>
      </c>
      <c r="E1451" s="11" t="str">
        <f>+HYPERLINK("http://trademark.i-assist.jp/data/china/image_1900th/78810982.pdf", "78810982")</f>
        <v>78810982</v>
      </c>
      <c r="F1451" s="10" t="s">
        <v>4184</v>
      </c>
      <c r="G1451" s="10" t="s">
        <v>3987</v>
      </c>
      <c r="H1451" s="10" t="s">
        <v>4185</v>
      </c>
      <c r="I1451" s="10" t="s">
        <v>3784</v>
      </c>
    </row>
    <row r="1452" spans="1:9" x14ac:dyDescent="0.15">
      <c r="A1452" s="9">
        <v>1451</v>
      </c>
      <c r="B1452" s="10" t="s">
        <v>9</v>
      </c>
      <c r="C1452" s="10" t="s">
        <v>170</v>
      </c>
      <c r="D1452" s="10" t="s">
        <v>171</v>
      </c>
      <c r="E1452" s="11" t="str">
        <f>+HYPERLINK("http://trademark.i-assist.jp/data/china/image_1900th/78811105.pdf", "78811105")</f>
        <v>78811105</v>
      </c>
      <c r="F1452" s="10" t="s">
        <v>4186</v>
      </c>
      <c r="G1452" s="10" t="s">
        <v>4187</v>
      </c>
      <c r="H1452" s="10" t="s">
        <v>4188</v>
      </c>
      <c r="I1452" s="10" t="s">
        <v>3784</v>
      </c>
    </row>
    <row r="1453" spans="1:9" x14ac:dyDescent="0.15">
      <c r="A1453" s="9">
        <v>1452</v>
      </c>
      <c r="B1453" s="10" t="s">
        <v>9</v>
      </c>
      <c r="C1453" s="10" t="s">
        <v>170</v>
      </c>
      <c r="D1453" s="10" t="s">
        <v>171</v>
      </c>
      <c r="E1453" s="11" t="str">
        <f>+HYPERLINK("http://trademark.i-assist.jp/data/china/image_1900th/78811208.pdf", "78811208")</f>
        <v>78811208</v>
      </c>
      <c r="F1453" s="10" t="s">
        <v>4189</v>
      </c>
      <c r="G1453" s="10" t="s">
        <v>4190</v>
      </c>
      <c r="H1453" s="10" t="s">
        <v>4191</v>
      </c>
      <c r="I1453" s="10" t="s">
        <v>3784</v>
      </c>
    </row>
    <row r="1454" spans="1:9" x14ac:dyDescent="0.15">
      <c r="A1454" s="9">
        <v>1453</v>
      </c>
      <c r="B1454" s="10" t="s">
        <v>9</v>
      </c>
      <c r="C1454" s="10" t="s">
        <v>170</v>
      </c>
      <c r="D1454" s="10" t="s">
        <v>171</v>
      </c>
      <c r="E1454" s="11" t="str">
        <f>+HYPERLINK("http://trademark.i-assist.jp/data/china/image_1900th/78811362.pdf", "78811362")</f>
        <v>78811362</v>
      </c>
      <c r="F1454" s="10" t="s">
        <v>4192</v>
      </c>
      <c r="G1454" s="10" t="s">
        <v>4193</v>
      </c>
      <c r="H1454" s="10" t="s">
        <v>4194</v>
      </c>
      <c r="I1454" s="10" t="s">
        <v>3784</v>
      </c>
    </row>
    <row r="1455" spans="1:9" x14ac:dyDescent="0.15">
      <c r="A1455" s="9">
        <v>1454</v>
      </c>
      <c r="B1455" s="10" t="s">
        <v>9</v>
      </c>
      <c r="C1455" s="10" t="s">
        <v>170</v>
      </c>
      <c r="D1455" s="10" t="s">
        <v>171</v>
      </c>
      <c r="E1455" s="11" t="str">
        <f>+HYPERLINK("http://trademark.i-assist.jp/data/china/image_1900th/78811973.pdf", "78811973")</f>
        <v>78811973</v>
      </c>
      <c r="F1455" s="10" t="s">
        <v>4195</v>
      </c>
      <c r="G1455" s="10" t="s">
        <v>4196</v>
      </c>
      <c r="H1455" s="10" t="s">
        <v>4197</v>
      </c>
      <c r="I1455" s="10" t="s">
        <v>3784</v>
      </c>
    </row>
    <row r="1456" spans="1:9" x14ac:dyDescent="0.15">
      <c r="A1456" s="9">
        <v>1455</v>
      </c>
      <c r="B1456" s="10" t="s">
        <v>9</v>
      </c>
      <c r="C1456" s="10" t="s">
        <v>170</v>
      </c>
      <c r="D1456" s="10" t="s">
        <v>171</v>
      </c>
      <c r="E1456" s="11" t="str">
        <f>+HYPERLINK("http://trademark.i-assist.jp/data/china/image_1900th/78812080.pdf", "78812080")</f>
        <v>78812080</v>
      </c>
      <c r="F1456" s="10" t="s">
        <v>15</v>
      </c>
      <c r="G1456" s="10" t="s">
        <v>4198</v>
      </c>
      <c r="H1456" s="10" t="s">
        <v>4199</v>
      </c>
      <c r="I1456" s="10" t="s">
        <v>3784</v>
      </c>
    </row>
    <row r="1457" spans="1:9" x14ac:dyDescent="0.15">
      <c r="A1457" s="9">
        <v>1456</v>
      </c>
      <c r="B1457" s="10" t="s">
        <v>9</v>
      </c>
      <c r="C1457" s="10" t="s">
        <v>170</v>
      </c>
      <c r="D1457" s="10" t="s">
        <v>171</v>
      </c>
      <c r="E1457" s="11" t="str">
        <f>+HYPERLINK("http://trademark.i-assist.jp/data/china/image_1900th/78812125.pdf", "78812125")</f>
        <v>78812125</v>
      </c>
      <c r="F1457" s="10" t="s">
        <v>4200</v>
      </c>
      <c r="G1457" s="10" t="s">
        <v>4201</v>
      </c>
      <c r="H1457" s="10" t="s">
        <v>4202</v>
      </c>
      <c r="I1457" s="10" t="s">
        <v>3784</v>
      </c>
    </row>
    <row r="1458" spans="1:9" x14ac:dyDescent="0.15">
      <c r="A1458" s="9">
        <v>1457</v>
      </c>
      <c r="B1458" s="10" t="s">
        <v>9</v>
      </c>
      <c r="C1458" s="10" t="s">
        <v>170</v>
      </c>
      <c r="D1458" s="10" t="s">
        <v>171</v>
      </c>
      <c r="E1458" s="11" t="str">
        <f>+HYPERLINK("http://trademark.i-assist.jp/data/china/image_1900th/78812321.pdf", "78812321")</f>
        <v>78812321</v>
      </c>
      <c r="F1458" s="10" t="s">
        <v>4203</v>
      </c>
      <c r="G1458" s="10" t="s">
        <v>4204</v>
      </c>
      <c r="H1458" s="10" t="s">
        <v>4205</v>
      </c>
      <c r="I1458" s="10" t="s">
        <v>3784</v>
      </c>
    </row>
    <row r="1459" spans="1:9" x14ac:dyDescent="0.15">
      <c r="A1459" s="9">
        <v>1458</v>
      </c>
      <c r="B1459" s="10" t="s">
        <v>9</v>
      </c>
      <c r="C1459" s="10" t="s">
        <v>170</v>
      </c>
      <c r="D1459" s="10" t="s">
        <v>171</v>
      </c>
      <c r="E1459" s="11" t="str">
        <f>+HYPERLINK("http://trademark.i-assist.jp/data/china/image_1900th/78812362.pdf", "78812362")</f>
        <v>78812362</v>
      </c>
      <c r="F1459" s="10" t="s">
        <v>4206</v>
      </c>
      <c r="G1459" s="10" t="s">
        <v>4207</v>
      </c>
      <c r="H1459" s="10" t="s">
        <v>4208</v>
      </c>
      <c r="I1459" s="10" t="s">
        <v>3784</v>
      </c>
    </row>
    <row r="1460" spans="1:9" x14ac:dyDescent="0.15">
      <c r="A1460" s="9">
        <v>1459</v>
      </c>
      <c r="B1460" s="10" t="s">
        <v>9</v>
      </c>
      <c r="C1460" s="10" t="s">
        <v>170</v>
      </c>
      <c r="D1460" s="10" t="s">
        <v>171</v>
      </c>
      <c r="E1460" s="11" t="str">
        <f>+HYPERLINK("http://trademark.i-assist.jp/data/china/image_1900th/78812367.pdf", "78812367")</f>
        <v>78812367</v>
      </c>
      <c r="F1460" s="10" t="s">
        <v>4209</v>
      </c>
      <c r="G1460" s="10" t="s">
        <v>4210</v>
      </c>
      <c r="H1460" s="10" t="s">
        <v>4211</v>
      </c>
      <c r="I1460" s="10" t="s">
        <v>3784</v>
      </c>
    </row>
    <row r="1461" spans="1:9" x14ac:dyDescent="0.15">
      <c r="A1461" s="9">
        <v>1460</v>
      </c>
      <c r="B1461" s="10" t="s">
        <v>9</v>
      </c>
      <c r="C1461" s="10" t="s">
        <v>170</v>
      </c>
      <c r="D1461" s="10" t="s">
        <v>171</v>
      </c>
      <c r="E1461" s="11" t="str">
        <f>+HYPERLINK("http://trademark.i-assist.jp/data/china/image_1900th/78812392.pdf", "78812392")</f>
        <v>78812392</v>
      </c>
      <c r="F1461" s="10" t="s">
        <v>4212</v>
      </c>
      <c r="G1461" s="10" t="s">
        <v>4213</v>
      </c>
      <c r="H1461" s="10" t="s">
        <v>4214</v>
      </c>
      <c r="I1461" s="10" t="s">
        <v>3784</v>
      </c>
    </row>
    <row r="1462" spans="1:9" x14ac:dyDescent="0.15">
      <c r="A1462" s="9">
        <v>1461</v>
      </c>
      <c r="B1462" s="10" t="s">
        <v>9</v>
      </c>
      <c r="C1462" s="10" t="s">
        <v>170</v>
      </c>
      <c r="D1462" s="10" t="s">
        <v>171</v>
      </c>
      <c r="E1462" s="11" t="str">
        <f>+HYPERLINK("http://trademark.i-assist.jp/data/china/image_1900th/78812408.pdf", "78812408")</f>
        <v>78812408</v>
      </c>
      <c r="F1462" s="10" t="s">
        <v>4215</v>
      </c>
      <c r="G1462" s="10" t="s">
        <v>4216</v>
      </c>
      <c r="H1462" s="10" t="s">
        <v>4217</v>
      </c>
      <c r="I1462" s="10" t="s">
        <v>3784</v>
      </c>
    </row>
    <row r="1463" spans="1:9" x14ac:dyDescent="0.15">
      <c r="A1463" s="9">
        <v>1462</v>
      </c>
      <c r="B1463" s="10" t="s">
        <v>9</v>
      </c>
      <c r="C1463" s="10" t="s">
        <v>170</v>
      </c>
      <c r="D1463" s="10" t="s">
        <v>171</v>
      </c>
      <c r="E1463" s="11" t="str">
        <f>+HYPERLINK("http://trademark.i-assist.jp/data/china/image_1900th/78812556.pdf", "78812556")</f>
        <v>78812556</v>
      </c>
      <c r="F1463" s="10" t="s">
        <v>4218</v>
      </c>
      <c r="G1463" s="10" t="s">
        <v>4219</v>
      </c>
      <c r="H1463" s="10" t="s">
        <v>4220</v>
      </c>
      <c r="I1463" s="10" t="s">
        <v>3784</v>
      </c>
    </row>
    <row r="1464" spans="1:9" x14ac:dyDescent="0.15">
      <c r="A1464" s="9">
        <v>1463</v>
      </c>
      <c r="B1464" s="10" t="s">
        <v>9</v>
      </c>
      <c r="C1464" s="10" t="s">
        <v>170</v>
      </c>
      <c r="D1464" s="10" t="s">
        <v>171</v>
      </c>
      <c r="E1464" s="11" t="str">
        <f>+HYPERLINK("http://trademark.i-assist.jp/data/china/image_1900th/78812601.pdf", "78812601")</f>
        <v>78812601</v>
      </c>
      <c r="F1464" s="10" t="s">
        <v>4221</v>
      </c>
      <c r="G1464" s="10" t="s">
        <v>4222</v>
      </c>
      <c r="H1464" s="10" t="s">
        <v>4223</v>
      </c>
      <c r="I1464" s="10" t="s">
        <v>3784</v>
      </c>
    </row>
    <row r="1465" spans="1:9" x14ac:dyDescent="0.15">
      <c r="A1465" s="9">
        <v>1464</v>
      </c>
      <c r="B1465" s="10" t="s">
        <v>9</v>
      </c>
      <c r="C1465" s="10" t="s">
        <v>170</v>
      </c>
      <c r="D1465" s="10" t="s">
        <v>171</v>
      </c>
      <c r="E1465" s="11" t="str">
        <f>+HYPERLINK("http://trademark.i-assist.jp/data/china/image_1900th/78812776.pdf", "78812776")</f>
        <v>78812776</v>
      </c>
      <c r="F1465" s="10" t="s">
        <v>4224</v>
      </c>
      <c r="G1465" s="10" t="s">
        <v>4225</v>
      </c>
      <c r="H1465" s="10" t="s">
        <v>4226</v>
      </c>
      <c r="I1465" s="10" t="s">
        <v>3784</v>
      </c>
    </row>
    <row r="1466" spans="1:9" x14ac:dyDescent="0.15">
      <c r="A1466" s="9">
        <v>1465</v>
      </c>
      <c r="B1466" s="10" t="s">
        <v>9</v>
      </c>
      <c r="C1466" s="10" t="s">
        <v>170</v>
      </c>
      <c r="D1466" s="10" t="s">
        <v>171</v>
      </c>
      <c r="E1466" s="11" t="str">
        <f>+HYPERLINK("http://trademark.i-assist.jp/data/china/image_1900th/78813018.pdf", "78813018")</f>
        <v>78813018</v>
      </c>
      <c r="F1466" s="10" t="s">
        <v>4227</v>
      </c>
      <c r="G1466" s="10" t="s">
        <v>4228</v>
      </c>
      <c r="H1466" s="10" t="s">
        <v>4229</v>
      </c>
      <c r="I1466" s="10" t="s">
        <v>3784</v>
      </c>
    </row>
    <row r="1467" spans="1:9" x14ac:dyDescent="0.15">
      <c r="A1467" s="9">
        <v>1466</v>
      </c>
      <c r="B1467" s="10" t="s">
        <v>9</v>
      </c>
      <c r="C1467" s="10" t="s">
        <v>170</v>
      </c>
      <c r="D1467" s="10" t="s">
        <v>171</v>
      </c>
      <c r="E1467" s="11" t="str">
        <f>+HYPERLINK("http://trademark.i-assist.jp/data/china/image_1900th/78813190.pdf", "78813190")</f>
        <v>78813190</v>
      </c>
      <c r="F1467" s="10" t="s">
        <v>4230</v>
      </c>
      <c r="G1467" s="10" t="s">
        <v>4231</v>
      </c>
      <c r="H1467" s="10" t="s">
        <v>4232</v>
      </c>
      <c r="I1467" s="10" t="s">
        <v>3784</v>
      </c>
    </row>
    <row r="1468" spans="1:9" x14ac:dyDescent="0.15">
      <c r="A1468" s="9">
        <v>1467</v>
      </c>
      <c r="B1468" s="10" t="s">
        <v>9</v>
      </c>
      <c r="C1468" s="10" t="s">
        <v>170</v>
      </c>
      <c r="D1468" s="10" t="s">
        <v>171</v>
      </c>
      <c r="E1468" s="11" t="str">
        <f>+HYPERLINK("http://trademark.i-assist.jp/data/china/image_1900th/78813225.pdf", "78813225")</f>
        <v>78813225</v>
      </c>
      <c r="F1468" s="10" t="s">
        <v>4233</v>
      </c>
      <c r="G1468" s="10" t="s">
        <v>4234</v>
      </c>
      <c r="H1468" s="10" t="s">
        <v>4235</v>
      </c>
      <c r="I1468" s="10" t="s">
        <v>3784</v>
      </c>
    </row>
    <row r="1469" spans="1:9" x14ac:dyDescent="0.15">
      <c r="A1469" s="9">
        <v>1468</v>
      </c>
      <c r="B1469" s="10" t="s">
        <v>9</v>
      </c>
      <c r="C1469" s="10" t="s">
        <v>170</v>
      </c>
      <c r="D1469" s="10" t="s">
        <v>171</v>
      </c>
      <c r="E1469" s="11" t="str">
        <f>+HYPERLINK("http://trademark.i-assist.jp/data/china/image_1900th/78813456.pdf", "78813456")</f>
        <v>78813456</v>
      </c>
      <c r="F1469" s="10" t="s">
        <v>4236</v>
      </c>
      <c r="G1469" s="10" t="s">
        <v>4237</v>
      </c>
      <c r="H1469" s="10" t="s">
        <v>4238</v>
      </c>
      <c r="I1469" s="10" t="s">
        <v>3784</v>
      </c>
    </row>
    <row r="1470" spans="1:9" x14ac:dyDescent="0.15">
      <c r="A1470" s="9">
        <v>1469</v>
      </c>
      <c r="B1470" s="10" t="s">
        <v>9</v>
      </c>
      <c r="C1470" s="10" t="s">
        <v>170</v>
      </c>
      <c r="D1470" s="10" t="s">
        <v>171</v>
      </c>
      <c r="E1470" s="11" t="str">
        <f>+HYPERLINK("http://trademark.i-assist.jp/data/china/image_1900th/78813464.pdf", "78813464")</f>
        <v>78813464</v>
      </c>
      <c r="F1470" s="10" t="s">
        <v>4239</v>
      </c>
      <c r="G1470" s="10" t="s">
        <v>4240</v>
      </c>
      <c r="H1470" s="10" t="s">
        <v>4241</v>
      </c>
      <c r="I1470" s="10" t="s">
        <v>3784</v>
      </c>
    </row>
    <row r="1471" spans="1:9" x14ac:dyDescent="0.15">
      <c r="A1471" s="9">
        <v>1470</v>
      </c>
      <c r="B1471" s="10" t="s">
        <v>9</v>
      </c>
      <c r="C1471" s="10" t="s">
        <v>170</v>
      </c>
      <c r="D1471" s="10" t="s">
        <v>171</v>
      </c>
      <c r="E1471" s="11" t="str">
        <f>+HYPERLINK("http://trademark.i-assist.jp/data/china/image_1900th/78813485.pdf", "78813485")</f>
        <v>78813485</v>
      </c>
      <c r="F1471" s="10" t="s">
        <v>4242</v>
      </c>
      <c r="G1471" s="10" t="s">
        <v>4243</v>
      </c>
      <c r="H1471" s="10" t="s">
        <v>4244</v>
      </c>
      <c r="I1471" s="10" t="s">
        <v>3784</v>
      </c>
    </row>
    <row r="1472" spans="1:9" x14ac:dyDescent="0.15">
      <c r="A1472" s="9">
        <v>1471</v>
      </c>
      <c r="B1472" s="10" t="s">
        <v>9</v>
      </c>
      <c r="C1472" s="10" t="s">
        <v>170</v>
      </c>
      <c r="D1472" s="10" t="s">
        <v>171</v>
      </c>
      <c r="E1472" s="11" t="str">
        <f>+HYPERLINK("http://trademark.i-assist.jp/data/china/image_1900th/78813519.pdf", "78813519")</f>
        <v>78813519</v>
      </c>
      <c r="F1472" s="10" t="s">
        <v>4245</v>
      </c>
      <c r="G1472" s="10" t="s">
        <v>4246</v>
      </c>
      <c r="H1472" s="10" t="s">
        <v>4247</v>
      </c>
      <c r="I1472" s="10" t="s">
        <v>3784</v>
      </c>
    </row>
    <row r="1473" spans="1:9" x14ac:dyDescent="0.15">
      <c r="A1473" s="9">
        <v>1472</v>
      </c>
      <c r="B1473" s="10" t="s">
        <v>9</v>
      </c>
      <c r="C1473" s="10" t="s">
        <v>170</v>
      </c>
      <c r="D1473" s="10" t="s">
        <v>171</v>
      </c>
      <c r="E1473" s="11" t="str">
        <f>+HYPERLINK("http://trademark.i-assist.jp/data/china/image_1900th/78813723.pdf", "78813723")</f>
        <v>78813723</v>
      </c>
      <c r="F1473" s="10" t="s">
        <v>4248</v>
      </c>
      <c r="G1473" s="10" t="s">
        <v>4249</v>
      </c>
      <c r="H1473" s="10" t="s">
        <v>4250</v>
      </c>
      <c r="I1473" s="10" t="s">
        <v>3784</v>
      </c>
    </row>
    <row r="1474" spans="1:9" x14ac:dyDescent="0.15">
      <c r="A1474" s="9">
        <v>1473</v>
      </c>
      <c r="B1474" s="10" t="s">
        <v>9</v>
      </c>
      <c r="C1474" s="10" t="s">
        <v>170</v>
      </c>
      <c r="D1474" s="10" t="s">
        <v>171</v>
      </c>
      <c r="E1474" s="11" t="str">
        <f>+HYPERLINK("http://trademark.i-assist.jp/data/china/image_1900th/78813959.pdf", "78813959")</f>
        <v>78813959</v>
      </c>
      <c r="F1474" s="10" t="s">
        <v>4251</v>
      </c>
      <c r="G1474" s="10" t="s">
        <v>4252</v>
      </c>
      <c r="H1474" s="10" t="s">
        <v>4253</v>
      </c>
      <c r="I1474" s="10" t="s">
        <v>4254</v>
      </c>
    </row>
    <row r="1475" spans="1:9" x14ac:dyDescent="0.15">
      <c r="A1475" s="9">
        <v>1474</v>
      </c>
      <c r="B1475" s="10" t="s">
        <v>9</v>
      </c>
      <c r="C1475" s="10" t="s">
        <v>170</v>
      </c>
      <c r="D1475" s="10" t="s">
        <v>171</v>
      </c>
      <c r="E1475" s="11" t="str">
        <f>+HYPERLINK("http://trademark.i-assist.jp/data/china/image_1900th/78814069.pdf", "78814069")</f>
        <v>78814069</v>
      </c>
      <c r="F1475" s="10" t="s">
        <v>4255</v>
      </c>
      <c r="G1475" s="10" t="s">
        <v>4108</v>
      </c>
      <c r="H1475" s="10" t="s">
        <v>4256</v>
      </c>
      <c r="I1475" s="10" t="s">
        <v>3784</v>
      </c>
    </row>
    <row r="1476" spans="1:9" x14ac:dyDescent="0.15">
      <c r="A1476" s="9">
        <v>1475</v>
      </c>
      <c r="B1476" s="10" t="s">
        <v>9</v>
      </c>
      <c r="C1476" s="10" t="s">
        <v>170</v>
      </c>
      <c r="D1476" s="10" t="s">
        <v>171</v>
      </c>
      <c r="E1476" s="11" t="str">
        <f>+HYPERLINK("http://trademark.i-assist.jp/data/china/image_1900th/78814483.pdf", "78814483")</f>
        <v>78814483</v>
      </c>
      <c r="F1476" s="10" t="s">
        <v>4257</v>
      </c>
      <c r="G1476" s="10" t="s">
        <v>4258</v>
      </c>
      <c r="H1476" s="10" t="s">
        <v>4259</v>
      </c>
      <c r="I1476" s="10" t="s">
        <v>3784</v>
      </c>
    </row>
    <row r="1477" spans="1:9" x14ac:dyDescent="0.15">
      <c r="A1477" s="9">
        <v>1476</v>
      </c>
      <c r="B1477" s="10" t="s">
        <v>9</v>
      </c>
      <c r="C1477" s="10" t="s">
        <v>170</v>
      </c>
      <c r="D1477" s="10" t="s">
        <v>171</v>
      </c>
      <c r="E1477" s="11" t="str">
        <f>+HYPERLINK("http://trademark.i-assist.jp/data/china/image_1900th/78814497.pdf", "78814497")</f>
        <v>78814497</v>
      </c>
      <c r="F1477" s="10" t="s">
        <v>4260</v>
      </c>
      <c r="G1477" s="10" t="s">
        <v>4261</v>
      </c>
      <c r="H1477" s="10" t="s">
        <v>4262</v>
      </c>
      <c r="I1477" s="10" t="s">
        <v>3784</v>
      </c>
    </row>
    <row r="1478" spans="1:9" x14ac:dyDescent="0.15">
      <c r="A1478" s="9">
        <v>1477</v>
      </c>
      <c r="B1478" s="10" t="s">
        <v>9</v>
      </c>
      <c r="C1478" s="10" t="s">
        <v>170</v>
      </c>
      <c r="D1478" s="10" t="s">
        <v>171</v>
      </c>
      <c r="E1478" s="11" t="str">
        <f>+HYPERLINK("http://trademark.i-assist.jp/data/china/image_1900th/78814700.pdf", "78814700")</f>
        <v>78814700</v>
      </c>
      <c r="F1478" s="10" t="s">
        <v>4263</v>
      </c>
      <c r="G1478" s="10" t="s">
        <v>4264</v>
      </c>
      <c r="H1478" s="10" t="s">
        <v>4265</v>
      </c>
      <c r="I1478" s="10" t="s">
        <v>3784</v>
      </c>
    </row>
    <row r="1479" spans="1:9" x14ac:dyDescent="0.15">
      <c r="A1479" s="9">
        <v>1478</v>
      </c>
      <c r="B1479" s="10" t="s">
        <v>9</v>
      </c>
      <c r="C1479" s="10" t="s">
        <v>170</v>
      </c>
      <c r="D1479" s="10" t="s">
        <v>171</v>
      </c>
      <c r="E1479" s="11" t="str">
        <f>+HYPERLINK("http://trademark.i-assist.jp/data/china/image_1900th/78814741.pdf", "78814741")</f>
        <v>78814741</v>
      </c>
      <c r="F1479" s="10" t="s">
        <v>4266</v>
      </c>
      <c r="G1479" s="10" t="s">
        <v>4267</v>
      </c>
      <c r="H1479" s="10" t="s">
        <v>4268</v>
      </c>
      <c r="I1479" s="10" t="s">
        <v>3784</v>
      </c>
    </row>
    <row r="1480" spans="1:9" x14ac:dyDescent="0.15">
      <c r="A1480" s="9">
        <v>1479</v>
      </c>
      <c r="B1480" s="10" t="s">
        <v>9</v>
      </c>
      <c r="C1480" s="10" t="s">
        <v>170</v>
      </c>
      <c r="D1480" s="10" t="s">
        <v>171</v>
      </c>
      <c r="E1480" s="11" t="str">
        <f>+HYPERLINK("http://trademark.i-assist.jp/data/china/image_1900th/78814771.pdf", "78814771")</f>
        <v>78814771</v>
      </c>
      <c r="F1480" s="10" t="s">
        <v>4269</v>
      </c>
      <c r="G1480" s="10" t="s">
        <v>4270</v>
      </c>
      <c r="H1480" s="10" t="s">
        <v>4271</v>
      </c>
      <c r="I1480" s="10" t="s">
        <v>3784</v>
      </c>
    </row>
    <row r="1481" spans="1:9" x14ac:dyDescent="0.15">
      <c r="A1481" s="9">
        <v>1480</v>
      </c>
      <c r="B1481" s="10" t="s">
        <v>9</v>
      </c>
      <c r="C1481" s="10" t="s">
        <v>170</v>
      </c>
      <c r="D1481" s="10" t="s">
        <v>171</v>
      </c>
      <c r="E1481" s="11" t="str">
        <f>+HYPERLINK("http://trademark.i-assist.jp/data/china/image_1900th/78814861.pdf", "78814861")</f>
        <v>78814861</v>
      </c>
      <c r="F1481" s="10" t="s">
        <v>4272</v>
      </c>
      <c r="G1481" s="10" t="s">
        <v>3987</v>
      </c>
      <c r="H1481" s="10" t="s">
        <v>4273</v>
      </c>
      <c r="I1481" s="10" t="s">
        <v>3784</v>
      </c>
    </row>
    <row r="1482" spans="1:9" x14ac:dyDescent="0.15">
      <c r="A1482" s="9">
        <v>1481</v>
      </c>
      <c r="B1482" s="10" t="s">
        <v>9</v>
      </c>
      <c r="C1482" s="10" t="s">
        <v>170</v>
      </c>
      <c r="D1482" s="10" t="s">
        <v>171</v>
      </c>
      <c r="E1482" s="11" t="str">
        <f>+HYPERLINK("http://trademark.i-assist.jp/data/china/image_1900th/78815004.pdf", "78815004")</f>
        <v>78815004</v>
      </c>
      <c r="F1482" s="10" t="s">
        <v>4274</v>
      </c>
      <c r="G1482" s="10" t="s">
        <v>4275</v>
      </c>
      <c r="H1482" s="10" t="s">
        <v>4276</v>
      </c>
      <c r="I1482" s="10" t="s">
        <v>3784</v>
      </c>
    </row>
    <row r="1483" spans="1:9" x14ac:dyDescent="0.15">
      <c r="A1483" s="9">
        <v>1482</v>
      </c>
      <c r="B1483" s="10" t="s">
        <v>9</v>
      </c>
      <c r="C1483" s="10" t="s">
        <v>170</v>
      </c>
      <c r="D1483" s="10" t="s">
        <v>171</v>
      </c>
      <c r="E1483" s="11" t="str">
        <f>+HYPERLINK("http://trademark.i-assist.jp/data/china/image_1900th/78815113.pdf", "78815113")</f>
        <v>78815113</v>
      </c>
      <c r="F1483" s="10" t="s">
        <v>4277</v>
      </c>
      <c r="G1483" s="10" t="s">
        <v>4278</v>
      </c>
      <c r="H1483" s="10" t="s">
        <v>4279</v>
      </c>
      <c r="I1483" s="10" t="s">
        <v>3784</v>
      </c>
    </row>
    <row r="1484" spans="1:9" x14ac:dyDescent="0.15">
      <c r="A1484" s="9">
        <v>1483</v>
      </c>
      <c r="B1484" s="10" t="s">
        <v>9</v>
      </c>
      <c r="C1484" s="10" t="s">
        <v>170</v>
      </c>
      <c r="D1484" s="10" t="s">
        <v>171</v>
      </c>
      <c r="E1484" s="11" t="str">
        <f>+HYPERLINK("http://trademark.i-assist.jp/data/china/image_1900th/78815560.pdf", "78815560")</f>
        <v>78815560</v>
      </c>
      <c r="F1484" s="10" t="s">
        <v>4280</v>
      </c>
      <c r="G1484" s="10" t="s">
        <v>4281</v>
      </c>
      <c r="H1484" s="10" t="s">
        <v>4282</v>
      </c>
      <c r="I1484" s="10" t="s">
        <v>4254</v>
      </c>
    </row>
    <row r="1485" spans="1:9" x14ac:dyDescent="0.15">
      <c r="A1485" s="9">
        <v>1484</v>
      </c>
      <c r="B1485" s="10" t="s">
        <v>9</v>
      </c>
      <c r="C1485" s="10" t="s">
        <v>170</v>
      </c>
      <c r="D1485" s="10" t="s">
        <v>171</v>
      </c>
      <c r="E1485" s="11" t="str">
        <f>+HYPERLINK("http://trademark.i-assist.jp/data/china/image_1900th/78815622.pdf", "78815622")</f>
        <v>78815622</v>
      </c>
      <c r="F1485" s="10" t="s">
        <v>4283</v>
      </c>
      <c r="G1485" s="10" t="s">
        <v>1759</v>
      </c>
      <c r="H1485" s="10" t="s">
        <v>4284</v>
      </c>
      <c r="I1485" s="10" t="s">
        <v>3784</v>
      </c>
    </row>
    <row r="1486" spans="1:9" x14ac:dyDescent="0.15">
      <c r="A1486" s="9">
        <v>1485</v>
      </c>
      <c r="B1486" s="10" t="s">
        <v>9</v>
      </c>
      <c r="C1486" s="10" t="s">
        <v>170</v>
      </c>
      <c r="D1486" s="10" t="s">
        <v>171</v>
      </c>
      <c r="E1486" s="11" t="str">
        <f>+HYPERLINK("http://trademark.i-assist.jp/data/china/image_1900th/78815631.pdf", "78815631")</f>
        <v>78815631</v>
      </c>
      <c r="F1486" s="10" t="s">
        <v>4285</v>
      </c>
      <c r="G1486" s="10" t="s">
        <v>4286</v>
      </c>
      <c r="H1486" s="10" t="s">
        <v>4287</v>
      </c>
      <c r="I1486" s="10" t="s">
        <v>3784</v>
      </c>
    </row>
    <row r="1487" spans="1:9" x14ac:dyDescent="0.15">
      <c r="A1487" s="9">
        <v>1486</v>
      </c>
      <c r="B1487" s="10" t="s">
        <v>9</v>
      </c>
      <c r="C1487" s="10" t="s">
        <v>170</v>
      </c>
      <c r="D1487" s="10" t="s">
        <v>171</v>
      </c>
      <c r="E1487" s="11" t="str">
        <f>+HYPERLINK("http://trademark.i-assist.jp/data/china/image_1900th/78815706.pdf", "78815706")</f>
        <v>78815706</v>
      </c>
      <c r="F1487" s="10" t="s">
        <v>4288</v>
      </c>
      <c r="G1487" s="10" t="s">
        <v>4289</v>
      </c>
      <c r="H1487" s="10" t="s">
        <v>4290</v>
      </c>
      <c r="I1487" s="10" t="s">
        <v>3784</v>
      </c>
    </row>
    <row r="1488" spans="1:9" x14ac:dyDescent="0.15">
      <c r="A1488" s="9">
        <v>1487</v>
      </c>
      <c r="B1488" s="10" t="s">
        <v>9</v>
      </c>
      <c r="C1488" s="10" t="s">
        <v>170</v>
      </c>
      <c r="D1488" s="10" t="s">
        <v>171</v>
      </c>
      <c r="E1488" s="11" t="str">
        <f>+HYPERLINK("http://trademark.i-assist.jp/data/china/image_1900th/78815824.pdf", "78815824")</f>
        <v>78815824</v>
      </c>
      <c r="F1488" s="10" t="s">
        <v>4291</v>
      </c>
      <c r="G1488" s="10" t="s">
        <v>4292</v>
      </c>
      <c r="H1488" s="10" t="s">
        <v>4293</v>
      </c>
      <c r="I1488" s="10" t="s">
        <v>3784</v>
      </c>
    </row>
    <row r="1489" spans="1:9" x14ac:dyDescent="0.15">
      <c r="A1489" s="9">
        <v>1488</v>
      </c>
      <c r="B1489" s="10" t="s">
        <v>9</v>
      </c>
      <c r="C1489" s="10" t="s">
        <v>170</v>
      </c>
      <c r="D1489" s="10" t="s">
        <v>171</v>
      </c>
      <c r="E1489" s="11" t="str">
        <f>+HYPERLINK("http://trademark.i-assist.jp/data/china/image_1900th/78816018.pdf", "78816018")</f>
        <v>78816018</v>
      </c>
      <c r="F1489" s="10" t="s">
        <v>4294</v>
      </c>
      <c r="G1489" s="10" t="s">
        <v>4295</v>
      </c>
      <c r="H1489" s="10" t="s">
        <v>4296</v>
      </c>
      <c r="I1489" s="10" t="s">
        <v>3784</v>
      </c>
    </row>
    <row r="1490" spans="1:9" x14ac:dyDescent="0.15">
      <c r="A1490" s="9">
        <v>1489</v>
      </c>
      <c r="B1490" s="10" t="s">
        <v>9</v>
      </c>
      <c r="C1490" s="10" t="s">
        <v>170</v>
      </c>
      <c r="D1490" s="10" t="s">
        <v>171</v>
      </c>
      <c r="E1490" s="11" t="str">
        <f>+HYPERLINK("http://trademark.i-assist.jp/data/china/image_1900th/78816127.pdf", "78816127")</f>
        <v>78816127</v>
      </c>
      <c r="F1490" s="10" t="s">
        <v>4297</v>
      </c>
      <c r="G1490" s="10" t="s">
        <v>4298</v>
      </c>
      <c r="H1490" s="10" t="s">
        <v>4299</v>
      </c>
      <c r="I1490" s="10" t="s">
        <v>3784</v>
      </c>
    </row>
    <row r="1491" spans="1:9" x14ac:dyDescent="0.15">
      <c r="A1491" s="9">
        <v>1490</v>
      </c>
      <c r="B1491" s="10" t="s">
        <v>9</v>
      </c>
      <c r="C1491" s="10" t="s">
        <v>170</v>
      </c>
      <c r="D1491" s="10" t="s">
        <v>171</v>
      </c>
      <c r="E1491" s="11" t="str">
        <f>+HYPERLINK("http://trademark.i-assist.jp/data/china/image_1900th/78816138.pdf", "78816138")</f>
        <v>78816138</v>
      </c>
      <c r="F1491" s="10" t="s">
        <v>4300</v>
      </c>
      <c r="G1491" s="10" t="s">
        <v>4301</v>
      </c>
      <c r="H1491" s="10" t="s">
        <v>4302</v>
      </c>
      <c r="I1491" s="10" t="s">
        <v>3784</v>
      </c>
    </row>
    <row r="1492" spans="1:9" x14ac:dyDescent="0.15">
      <c r="A1492" s="9">
        <v>1491</v>
      </c>
      <c r="B1492" s="10" t="s">
        <v>9</v>
      </c>
      <c r="C1492" s="10" t="s">
        <v>170</v>
      </c>
      <c r="D1492" s="10" t="s">
        <v>171</v>
      </c>
      <c r="E1492" s="11" t="str">
        <f>+HYPERLINK("http://trademark.i-assist.jp/data/china/image_1900th/78816162.pdf", "78816162")</f>
        <v>78816162</v>
      </c>
      <c r="F1492" s="10" t="s">
        <v>4303</v>
      </c>
      <c r="G1492" s="10" t="s">
        <v>4304</v>
      </c>
      <c r="H1492" s="10" t="s">
        <v>4305</v>
      </c>
      <c r="I1492" s="10" t="s">
        <v>3784</v>
      </c>
    </row>
    <row r="1493" spans="1:9" x14ac:dyDescent="0.15">
      <c r="A1493" s="9">
        <v>1492</v>
      </c>
      <c r="B1493" s="10" t="s">
        <v>9</v>
      </c>
      <c r="C1493" s="10" t="s">
        <v>170</v>
      </c>
      <c r="D1493" s="10" t="s">
        <v>171</v>
      </c>
      <c r="E1493" s="11" t="str">
        <f>+HYPERLINK("http://trademark.i-assist.jp/data/china/image_1900th/78816165.pdf", "78816165")</f>
        <v>78816165</v>
      </c>
      <c r="F1493" s="10" t="s">
        <v>4306</v>
      </c>
      <c r="G1493" s="10" t="s">
        <v>4307</v>
      </c>
      <c r="H1493" s="10" t="s">
        <v>4308</v>
      </c>
      <c r="I1493" s="10" t="s">
        <v>3784</v>
      </c>
    </row>
    <row r="1494" spans="1:9" x14ac:dyDescent="0.15">
      <c r="A1494" s="9">
        <v>1493</v>
      </c>
      <c r="B1494" s="10" t="s">
        <v>9</v>
      </c>
      <c r="C1494" s="10" t="s">
        <v>170</v>
      </c>
      <c r="D1494" s="10" t="s">
        <v>171</v>
      </c>
      <c r="E1494" s="11" t="str">
        <f>+HYPERLINK("http://trademark.i-assist.jp/data/china/image_1900th/78816391.pdf", "78816391")</f>
        <v>78816391</v>
      </c>
      <c r="F1494" s="10" t="s">
        <v>4309</v>
      </c>
      <c r="G1494" s="10" t="s">
        <v>4310</v>
      </c>
      <c r="H1494" s="10" t="s">
        <v>4311</v>
      </c>
      <c r="I1494" s="10" t="s">
        <v>3784</v>
      </c>
    </row>
    <row r="1495" spans="1:9" x14ac:dyDescent="0.15">
      <c r="A1495" s="9">
        <v>1494</v>
      </c>
      <c r="B1495" s="10" t="s">
        <v>9</v>
      </c>
      <c r="C1495" s="10" t="s">
        <v>170</v>
      </c>
      <c r="D1495" s="10" t="s">
        <v>171</v>
      </c>
      <c r="E1495" s="11" t="str">
        <f>+HYPERLINK("http://trademark.i-assist.jp/data/china/image_1900th/78816419.pdf", "78816419")</f>
        <v>78816419</v>
      </c>
      <c r="F1495" s="10" t="s">
        <v>4312</v>
      </c>
      <c r="G1495" s="10" t="s">
        <v>4099</v>
      </c>
      <c r="H1495" s="10" t="s">
        <v>4313</v>
      </c>
      <c r="I1495" s="10" t="s">
        <v>3784</v>
      </c>
    </row>
    <row r="1496" spans="1:9" x14ac:dyDescent="0.15">
      <c r="A1496" s="9">
        <v>1495</v>
      </c>
      <c r="B1496" s="10" t="s">
        <v>9</v>
      </c>
      <c r="C1496" s="10" t="s">
        <v>170</v>
      </c>
      <c r="D1496" s="10" t="s">
        <v>171</v>
      </c>
      <c r="E1496" s="11" t="str">
        <f>+HYPERLINK("http://trademark.i-assist.jp/data/china/image_1900th/78816818.pdf", "78816818")</f>
        <v>78816818</v>
      </c>
      <c r="F1496" s="10" t="s">
        <v>4314</v>
      </c>
      <c r="G1496" s="10" t="s">
        <v>4315</v>
      </c>
      <c r="H1496" s="10" t="s">
        <v>4316</v>
      </c>
      <c r="I1496" s="10" t="s">
        <v>3784</v>
      </c>
    </row>
    <row r="1497" spans="1:9" x14ac:dyDescent="0.15">
      <c r="A1497" s="9">
        <v>1496</v>
      </c>
      <c r="B1497" s="10" t="s">
        <v>9</v>
      </c>
      <c r="C1497" s="10" t="s">
        <v>170</v>
      </c>
      <c r="D1497" s="10" t="s">
        <v>171</v>
      </c>
      <c r="E1497" s="11" t="str">
        <f>+HYPERLINK("http://trademark.i-assist.jp/data/china/image_1900th/78817171.pdf", "78817171")</f>
        <v>78817171</v>
      </c>
      <c r="F1497" s="10" t="s">
        <v>4317</v>
      </c>
      <c r="G1497" s="10" t="s">
        <v>4318</v>
      </c>
      <c r="H1497" s="10" t="s">
        <v>4319</v>
      </c>
      <c r="I1497" s="10" t="s">
        <v>3784</v>
      </c>
    </row>
    <row r="1498" spans="1:9" x14ac:dyDescent="0.15">
      <c r="A1498" s="9">
        <v>1497</v>
      </c>
      <c r="B1498" s="10" t="s">
        <v>9</v>
      </c>
      <c r="C1498" s="10" t="s">
        <v>170</v>
      </c>
      <c r="D1498" s="10" t="s">
        <v>171</v>
      </c>
      <c r="E1498" s="11" t="str">
        <f>+HYPERLINK("http://trademark.i-assist.jp/data/china/image_1900th/78817490.pdf", "78817490")</f>
        <v>78817490</v>
      </c>
      <c r="F1498" s="10" t="s">
        <v>4320</v>
      </c>
      <c r="G1498" s="10" t="s">
        <v>4321</v>
      </c>
      <c r="H1498" s="10" t="s">
        <v>4322</v>
      </c>
      <c r="I1498" s="10" t="s">
        <v>3784</v>
      </c>
    </row>
    <row r="1499" spans="1:9" x14ac:dyDescent="0.15">
      <c r="A1499" s="9">
        <v>1498</v>
      </c>
      <c r="B1499" s="10" t="s">
        <v>9</v>
      </c>
      <c r="C1499" s="10" t="s">
        <v>170</v>
      </c>
      <c r="D1499" s="10" t="s">
        <v>171</v>
      </c>
      <c r="E1499" s="11" t="str">
        <f>+HYPERLINK("http://trademark.i-assist.jp/data/china/image_1900th/78817745.pdf", "78817745")</f>
        <v>78817745</v>
      </c>
      <c r="F1499" s="10" t="s">
        <v>4323</v>
      </c>
      <c r="G1499" s="10" t="s">
        <v>4324</v>
      </c>
      <c r="H1499" s="10" t="s">
        <v>4325</v>
      </c>
      <c r="I1499" s="10" t="s">
        <v>3784</v>
      </c>
    </row>
    <row r="1500" spans="1:9" x14ac:dyDescent="0.15">
      <c r="A1500" s="9">
        <v>1499</v>
      </c>
      <c r="B1500" s="10" t="s">
        <v>9</v>
      </c>
      <c r="C1500" s="10" t="s">
        <v>170</v>
      </c>
      <c r="D1500" s="10" t="s">
        <v>171</v>
      </c>
      <c r="E1500" s="11" t="str">
        <f>+HYPERLINK("http://trademark.i-assist.jp/data/china/image_1900th/78817813.pdf", "78817813")</f>
        <v>78817813</v>
      </c>
      <c r="F1500" s="10" t="s">
        <v>4326</v>
      </c>
      <c r="G1500" s="10" t="s">
        <v>4327</v>
      </c>
      <c r="H1500" s="10" t="s">
        <v>4328</v>
      </c>
      <c r="I1500" s="10" t="s">
        <v>3784</v>
      </c>
    </row>
    <row r="1501" spans="1:9" x14ac:dyDescent="0.15">
      <c r="A1501" s="9">
        <v>1500</v>
      </c>
      <c r="B1501" s="10" t="s">
        <v>9</v>
      </c>
      <c r="C1501" s="10" t="s">
        <v>170</v>
      </c>
      <c r="D1501" s="10" t="s">
        <v>171</v>
      </c>
      <c r="E1501" s="11" t="str">
        <f>+HYPERLINK("http://trademark.i-assist.jp/data/china/image_1900th/78817894.pdf", "78817894")</f>
        <v>78817894</v>
      </c>
      <c r="F1501" s="10" t="s">
        <v>4329</v>
      </c>
      <c r="G1501" s="10" t="s">
        <v>4222</v>
      </c>
      <c r="H1501" s="10" t="s">
        <v>4330</v>
      </c>
      <c r="I1501" s="10" t="s">
        <v>3784</v>
      </c>
    </row>
    <row r="1502" spans="1:9" x14ac:dyDescent="0.15">
      <c r="A1502" s="9">
        <v>1501</v>
      </c>
      <c r="B1502" s="10" t="s">
        <v>9</v>
      </c>
      <c r="C1502" s="10" t="s">
        <v>170</v>
      </c>
      <c r="D1502" s="10" t="s">
        <v>171</v>
      </c>
      <c r="E1502" s="11" t="str">
        <f>+HYPERLINK("http://trademark.i-assist.jp/data/china/image_1900th/78818565.pdf", "78818565")</f>
        <v>78818565</v>
      </c>
      <c r="F1502" s="10" t="s">
        <v>4331</v>
      </c>
      <c r="G1502" s="10" t="s">
        <v>4072</v>
      </c>
      <c r="H1502" s="10" t="s">
        <v>4332</v>
      </c>
      <c r="I1502" s="10" t="s">
        <v>3784</v>
      </c>
    </row>
    <row r="1503" spans="1:9" x14ac:dyDescent="0.15">
      <c r="A1503" s="9">
        <v>1502</v>
      </c>
      <c r="B1503" s="10" t="s">
        <v>9</v>
      </c>
      <c r="C1503" s="10" t="s">
        <v>170</v>
      </c>
      <c r="D1503" s="10" t="s">
        <v>171</v>
      </c>
      <c r="E1503" s="11" t="str">
        <f>+HYPERLINK("http://trademark.i-assist.jp/data/china/image_1900th/78818676.pdf", "78818676")</f>
        <v>78818676</v>
      </c>
      <c r="F1503" s="10" t="s">
        <v>4333</v>
      </c>
      <c r="G1503" s="10" t="s">
        <v>3978</v>
      </c>
      <c r="H1503" s="10" t="s">
        <v>4334</v>
      </c>
      <c r="I1503" s="10" t="s">
        <v>3784</v>
      </c>
    </row>
    <row r="1504" spans="1:9" x14ac:dyDescent="0.15">
      <c r="A1504" s="9">
        <v>1503</v>
      </c>
      <c r="B1504" s="10" t="s">
        <v>9</v>
      </c>
      <c r="C1504" s="10" t="s">
        <v>170</v>
      </c>
      <c r="D1504" s="10" t="s">
        <v>171</v>
      </c>
      <c r="E1504" s="11" t="str">
        <f>+HYPERLINK("http://trademark.i-assist.jp/data/china/image_1900th/78818807.pdf", "78818807")</f>
        <v>78818807</v>
      </c>
      <c r="F1504" s="10" t="s">
        <v>4335</v>
      </c>
      <c r="G1504" s="10" t="s">
        <v>4336</v>
      </c>
      <c r="H1504" s="10" t="s">
        <v>4337</v>
      </c>
      <c r="I1504" s="10" t="s">
        <v>3784</v>
      </c>
    </row>
    <row r="1505" spans="1:9" x14ac:dyDescent="0.15">
      <c r="A1505" s="9">
        <v>1504</v>
      </c>
      <c r="B1505" s="10" t="s">
        <v>9</v>
      </c>
      <c r="C1505" s="10" t="s">
        <v>170</v>
      </c>
      <c r="D1505" s="10" t="s">
        <v>171</v>
      </c>
      <c r="E1505" s="11" t="str">
        <f>+HYPERLINK("http://trademark.i-assist.jp/data/china/image_1900th/78818823.pdf", "78818823")</f>
        <v>78818823</v>
      </c>
      <c r="F1505" s="10" t="s">
        <v>4338</v>
      </c>
      <c r="G1505" s="10" t="s">
        <v>4339</v>
      </c>
      <c r="H1505" s="10" t="s">
        <v>4340</v>
      </c>
      <c r="I1505" s="10" t="s">
        <v>3784</v>
      </c>
    </row>
    <row r="1506" spans="1:9" x14ac:dyDescent="0.15">
      <c r="A1506" s="9">
        <v>1505</v>
      </c>
      <c r="B1506" s="10" t="s">
        <v>9</v>
      </c>
      <c r="C1506" s="10" t="s">
        <v>170</v>
      </c>
      <c r="D1506" s="10" t="s">
        <v>171</v>
      </c>
      <c r="E1506" s="11" t="str">
        <f>+HYPERLINK("http://trademark.i-assist.jp/data/china/image_1900th/78819181.pdf", "78819181")</f>
        <v>78819181</v>
      </c>
      <c r="F1506" s="10" t="s">
        <v>4341</v>
      </c>
      <c r="G1506" s="10" t="s">
        <v>4342</v>
      </c>
      <c r="H1506" s="10" t="s">
        <v>4343</v>
      </c>
      <c r="I1506" s="10" t="s">
        <v>3784</v>
      </c>
    </row>
    <row r="1507" spans="1:9" x14ac:dyDescent="0.15">
      <c r="A1507" s="9">
        <v>1506</v>
      </c>
      <c r="B1507" s="10" t="s">
        <v>9</v>
      </c>
      <c r="C1507" s="10" t="s">
        <v>170</v>
      </c>
      <c r="D1507" s="10" t="s">
        <v>171</v>
      </c>
      <c r="E1507" s="11" t="str">
        <f>+HYPERLINK("http://trademark.i-assist.jp/data/china/image_1900th/78819221.pdf", "78819221")</f>
        <v>78819221</v>
      </c>
      <c r="F1507" s="10" t="s">
        <v>4344</v>
      </c>
      <c r="G1507" s="10" t="s">
        <v>4345</v>
      </c>
      <c r="H1507" s="10" t="s">
        <v>4346</v>
      </c>
      <c r="I1507" s="10" t="s">
        <v>3784</v>
      </c>
    </row>
    <row r="1508" spans="1:9" x14ac:dyDescent="0.15">
      <c r="A1508" s="9">
        <v>1507</v>
      </c>
      <c r="B1508" s="10" t="s">
        <v>9</v>
      </c>
      <c r="C1508" s="10" t="s">
        <v>170</v>
      </c>
      <c r="D1508" s="10" t="s">
        <v>171</v>
      </c>
      <c r="E1508" s="11" t="str">
        <f>+HYPERLINK("http://trademark.i-assist.jp/data/china/image_1900th/78819578.pdf", "78819578")</f>
        <v>78819578</v>
      </c>
      <c r="F1508" s="10" t="s">
        <v>4347</v>
      </c>
      <c r="G1508" s="10" t="s">
        <v>4348</v>
      </c>
      <c r="H1508" s="10" t="s">
        <v>4349</v>
      </c>
      <c r="I1508" s="10" t="s">
        <v>3784</v>
      </c>
    </row>
    <row r="1509" spans="1:9" x14ac:dyDescent="0.15">
      <c r="A1509" s="9">
        <v>1508</v>
      </c>
      <c r="B1509" s="10" t="s">
        <v>9</v>
      </c>
      <c r="C1509" s="10" t="s">
        <v>170</v>
      </c>
      <c r="D1509" s="10" t="s">
        <v>171</v>
      </c>
      <c r="E1509" s="11" t="str">
        <f>+HYPERLINK("http://trademark.i-assist.jp/data/china/image_1900th/78819592.pdf", "78819592")</f>
        <v>78819592</v>
      </c>
      <c r="F1509" s="10" t="s">
        <v>4350</v>
      </c>
      <c r="G1509" s="10" t="s">
        <v>4351</v>
      </c>
      <c r="H1509" s="10" t="s">
        <v>4352</v>
      </c>
      <c r="I1509" s="10" t="s">
        <v>3784</v>
      </c>
    </row>
    <row r="1510" spans="1:9" x14ac:dyDescent="0.15">
      <c r="A1510" s="9">
        <v>1509</v>
      </c>
      <c r="B1510" s="10" t="s">
        <v>9</v>
      </c>
      <c r="C1510" s="10" t="s">
        <v>170</v>
      </c>
      <c r="D1510" s="10" t="s">
        <v>171</v>
      </c>
      <c r="E1510" s="11" t="str">
        <f>+HYPERLINK("http://trademark.i-assist.jp/data/china/image_1900th/78819705.pdf", "78819705")</f>
        <v>78819705</v>
      </c>
      <c r="F1510" s="10" t="s">
        <v>4353</v>
      </c>
      <c r="G1510" s="10" t="s">
        <v>4354</v>
      </c>
      <c r="H1510" s="10" t="s">
        <v>4355</v>
      </c>
      <c r="I1510" s="10" t="s">
        <v>3784</v>
      </c>
    </row>
    <row r="1511" spans="1:9" x14ac:dyDescent="0.15">
      <c r="A1511" s="9">
        <v>1510</v>
      </c>
      <c r="B1511" s="10" t="s">
        <v>9</v>
      </c>
      <c r="C1511" s="10" t="s">
        <v>170</v>
      </c>
      <c r="D1511" s="10" t="s">
        <v>171</v>
      </c>
      <c r="E1511" s="11" t="str">
        <f>+HYPERLINK("http://trademark.i-assist.jp/data/china/image_1900th/78819743.pdf", "78819743")</f>
        <v>78819743</v>
      </c>
      <c r="F1511" s="10" t="s">
        <v>4356</v>
      </c>
      <c r="G1511" s="10" t="s">
        <v>4105</v>
      </c>
      <c r="H1511" s="10" t="s">
        <v>4357</v>
      </c>
      <c r="I1511" s="10" t="s">
        <v>3784</v>
      </c>
    </row>
    <row r="1512" spans="1:9" x14ac:dyDescent="0.15">
      <c r="A1512" s="9">
        <v>1511</v>
      </c>
      <c r="B1512" s="10" t="s">
        <v>9</v>
      </c>
      <c r="C1512" s="10" t="s">
        <v>170</v>
      </c>
      <c r="D1512" s="10" t="s">
        <v>171</v>
      </c>
      <c r="E1512" s="11" t="str">
        <f>+HYPERLINK("http://trademark.i-assist.jp/data/china/image_1900th/78819795.pdf", "78819795")</f>
        <v>78819795</v>
      </c>
      <c r="F1512" s="10" t="s">
        <v>4358</v>
      </c>
      <c r="G1512" s="10" t="s">
        <v>4359</v>
      </c>
      <c r="H1512" s="10" t="s">
        <v>4360</v>
      </c>
      <c r="I1512" s="10" t="s">
        <v>3784</v>
      </c>
    </row>
    <row r="1513" spans="1:9" x14ac:dyDescent="0.15">
      <c r="A1513" s="9">
        <v>1512</v>
      </c>
      <c r="B1513" s="10" t="s">
        <v>9</v>
      </c>
      <c r="C1513" s="10" t="s">
        <v>170</v>
      </c>
      <c r="D1513" s="10" t="s">
        <v>171</v>
      </c>
      <c r="E1513" s="11" t="str">
        <f>+HYPERLINK("http://trademark.i-assist.jp/data/china/image_1900th/78819938.pdf", "78819938")</f>
        <v>78819938</v>
      </c>
      <c r="F1513" s="10" t="s">
        <v>4361</v>
      </c>
      <c r="G1513" s="10" t="s">
        <v>4362</v>
      </c>
      <c r="H1513" s="10" t="s">
        <v>4363</v>
      </c>
      <c r="I1513" s="10" t="s">
        <v>3784</v>
      </c>
    </row>
    <row r="1514" spans="1:9" x14ac:dyDescent="0.15">
      <c r="A1514" s="9">
        <v>1513</v>
      </c>
      <c r="B1514" s="10" t="s">
        <v>9</v>
      </c>
      <c r="C1514" s="10" t="s">
        <v>170</v>
      </c>
      <c r="D1514" s="10" t="s">
        <v>171</v>
      </c>
      <c r="E1514" s="11" t="str">
        <f>+HYPERLINK("http://trademark.i-assist.jp/data/china/image_1900th/78820069.pdf", "78820069")</f>
        <v>78820069</v>
      </c>
      <c r="F1514" s="10" t="s">
        <v>4364</v>
      </c>
      <c r="G1514" s="10" t="s">
        <v>4176</v>
      </c>
      <c r="H1514" s="10" t="s">
        <v>4365</v>
      </c>
      <c r="I1514" s="10" t="s">
        <v>3784</v>
      </c>
    </row>
    <row r="1515" spans="1:9" x14ac:dyDescent="0.15">
      <c r="A1515" s="9">
        <v>1514</v>
      </c>
      <c r="B1515" s="10" t="s">
        <v>9</v>
      </c>
      <c r="C1515" s="10" t="s">
        <v>170</v>
      </c>
      <c r="D1515" s="10" t="s">
        <v>171</v>
      </c>
      <c r="E1515" s="11" t="str">
        <f>+HYPERLINK("http://trademark.i-assist.jp/data/china/image_1900th/78820089.pdf", "78820089")</f>
        <v>78820089</v>
      </c>
      <c r="F1515" s="10" t="s">
        <v>4366</v>
      </c>
      <c r="G1515" s="10" t="s">
        <v>4367</v>
      </c>
      <c r="H1515" s="10" t="s">
        <v>4368</v>
      </c>
      <c r="I1515" s="10" t="s">
        <v>3784</v>
      </c>
    </row>
    <row r="1516" spans="1:9" x14ac:dyDescent="0.15">
      <c r="A1516" s="9">
        <v>1515</v>
      </c>
      <c r="B1516" s="10" t="s">
        <v>9</v>
      </c>
      <c r="C1516" s="10" t="s">
        <v>170</v>
      </c>
      <c r="D1516" s="10" t="s">
        <v>171</v>
      </c>
      <c r="E1516" s="11" t="str">
        <f>+HYPERLINK("http://trademark.i-assist.jp/data/china/image_1900th/78820347.pdf", "78820347")</f>
        <v>78820347</v>
      </c>
      <c r="F1516" s="10" t="s">
        <v>4369</v>
      </c>
      <c r="G1516" s="10" t="s">
        <v>4370</v>
      </c>
      <c r="H1516" s="10" t="s">
        <v>4371</v>
      </c>
      <c r="I1516" s="10" t="s">
        <v>3784</v>
      </c>
    </row>
    <row r="1517" spans="1:9" x14ac:dyDescent="0.15">
      <c r="A1517" s="9">
        <v>1516</v>
      </c>
      <c r="B1517" s="10" t="s">
        <v>9</v>
      </c>
      <c r="C1517" s="10" t="s">
        <v>170</v>
      </c>
      <c r="D1517" s="10" t="s">
        <v>171</v>
      </c>
      <c r="E1517" s="11" t="str">
        <f>+HYPERLINK("http://trademark.i-assist.jp/data/china/image_1900th/78820348.pdf", "78820348")</f>
        <v>78820348</v>
      </c>
      <c r="F1517" s="10" t="s">
        <v>4372</v>
      </c>
      <c r="G1517" s="10" t="s">
        <v>4373</v>
      </c>
      <c r="H1517" s="10" t="s">
        <v>4374</v>
      </c>
      <c r="I1517" s="10" t="s">
        <v>3784</v>
      </c>
    </row>
    <row r="1518" spans="1:9" x14ac:dyDescent="0.15">
      <c r="A1518" s="9">
        <v>1517</v>
      </c>
      <c r="B1518" s="10" t="s">
        <v>9</v>
      </c>
      <c r="C1518" s="10" t="s">
        <v>170</v>
      </c>
      <c r="D1518" s="10" t="s">
        <v>171</v>
      </c>
      <c r="E1518" s="11" t="str">
        <f>+HYPERLINK("http://trademark.i-assist.jp/data/china/image_1900th/78820398.pdf", "78820398")</f>
        <v>78820398</v>
      </c>
      <c r="F1518" s="10" t="s">
        <v>4375</v>
      </c>
      <c r="G1518" s="10" t="s">
        <v>4376</v>
      </c>
      <c r="H1518" s="10" t="s">
        <v>4377</v>
      </c>
      <c r="I1518" s="10" t="s">
        <v>3784</v>
      </c>
    </row>
    <row r="1519" spans="1:9" x14ac:dyDescent="0.15">
      <c r="A1519" s="9">
        <v>1518</v>
      </c>
      <c r="B1519" s="10" t="s">
        <v>9</v>
      </c>
      <c r="C1519" s="10" t="s">
        <v>170</v>
      </c>
      <c r="D1519" s="10" t="s">
        <v>171</v>
      </c>
      <c r="E1519" s="11" t="str">
        <f>+HYPERLINK("http://trademark.i-assist.jp/data/china/image_1900th/78820413.pdf", "78820413")</f>
        <v>78820413</v>
      </c>
      <c r="F1519" s="10" t="s">
        <v>15</v>
      </c>
      <c r="G1519" s="10" t="s">
        <v>4378</v>
      </c>
      <c r="H1519" s="10" t="s">
        <v>4379</v>
      </c>
      <c r="I1519" s="10" t="s">
        <v>3784</v>
      </c>
    </row>
    <row r="1520" spans="1:9" x14ac:dyDescent="0.15">
      <c r="A1520" s="9">
        <v>1519</v>
      </c>
      <c r="B1520" s="10" t="s">
        <v>9</v>
      </c>
      <c r="C1520" s="10" t="s">
        <v>170</v>
      </c>
      <c r="D1520" s="10" t="s">
        <v>171</v>
      </c>
      <c r="E1520" s="11" t="str">
        <f>+HYPERLINK("http://trademark.i-assist.jp/data/china/image_1900th/78820681.pdf", "78820681")</f>
        <v>78820681</v>
      </c>
      <c r="F1520" s="10" t="s">
        <v>4380</v>
      </c>
      <c r="G1520" s="10" t="s">
        <v>4381</v>
      </c>
      <c r="H1520" s="10" t="s">
        <v>4382</v>
      </c>
      <c r="I1520" s="10" t="s">
        <v>3784</v>
      </c>
    </row>
    <row r="1521" spans="1:9" x14ac:dyDescent="0.15">
      <c r="A1521" s="9">
        <v>1520</v>
      </c>
      <c r="B1521" s="10" t="s">
        <v>9</v>
      </c>
      <c r="C1521" s="10" t="s">
        <v>170</v>
      </c>
      <c r="D1521" s="10" t="s">
        <v>171</v>
      </c>
      <c r="E1521" s="11" t="str">
        <f>+HYPERLINK("http://trademark.i-assist.jp/data/china/image_1900th/78820808.pdf", "78820808")</f>
        <v>78820808</v>
      </c>
      <c r="F1521" s="10" t="s">
        <v>15</v>
      </c>
      <c r="G1521" s="10" t="s">
        <v>4383</v>
      </c>
      <c r="H1521" s="10" t="s">
        <v>4384</v>
      </c>
      <c r="I1521" s="10" t="s">
        <v>3784</v>
      </c>
    </row>
    <row r="1522" spans="1:9" x14ac:dyDescent="0.15">
      <c r="A1522" s="9">
        <v>1521</v>
      </c>
      <c r="B1522" s="10" t="s">
        <v>9</v>
      </c>
      <c r="C1522" s="10" t="s">
        <v>170</v>
      </c>
      <c r="D1522" s="10" t="s">
        <v>171</v>
      </c>
      <c r="E1522" s="11" t="str">
        <f>+HYPERLINK("http://trademark.i-assist.jp/data/china/image_1900th/78820874.pdf", "78820874")</f>
        <v>78820874</v>
      </c>
      <c r="F1522" s="10" t="s">
        <v>4385</v>
      </c>
      <c r="G1522" s="10" t="s">
        <v>4386</v>
      </c>
      <c r="H1522" s="10" t="s">
        <v>4387</v>
      </c>
      <c r="I1522" s="10" t="s">
        <v>3784</v>
      </c>
    </row>
    <row r="1523" spans="1:9" x14ac:dyDescent="0.15">
      <c r="A1523" s="9">
        <v>1522</v>
      </c>
      <c r="B1523" s="10" t="s">
        <v>9</v>
      </c>
      <c r="C1523" s="10" t="s">
        <v>170</v>
      </c>
      <c r="D1523" s="10" t="s">
        <v>171</v>
      </c>
      <c r="E1523" s="11" t="str">
        <f>+HYPERLINK("http://trademark.i-assist.jp/data/china/image_1900th/78821304.pdf", "78821304")</f>
        <v>78821304</v>
      </c>
      <c r="F1523" s="10" t="s">
        <v>4388</v>
      </c>
      <c r="G1523" s="10" t="s">
        <v>4122</v>
      </c>
      <c r="H1523" s="10" t="s">
        <v>4389</v>
      </c>
      <c r="I1523" s="10" t="s">
        <v>3784</v>
      </c>
    </row>
    <row r="1524" spans="1:9" x14ac:dyDescent="0.15">
      <c r="A1524" s="9">
        <v>1523</v>
      </c>
      <c r="B1524" s="10" t="s">
        <v>9</v>
      </c>
      <c r="C1524" s="10" t="s">
        <v>170</v>
      </c>
      <c r="D1524" s="10" t="s">
        <v>171</v>
      </c>
      <c r="E1524" s="11" t="str">
        <f>+HYPERLINK("http://trademark.i-assist.jp/data/china/image_1900th/78821319.pdf", "78821319")</f>
        <v>78821319</v>
      </c>
      <c r="F1524" s="10" t="s">
        <v>4390</v>
      </c>
      <c r="G1524" s="10" t="s">
        <v>123</v>
      </c>
      <c r="H1524" s="10" t="s">
        <v>4391</v>
      </c>
      <c r="I1524" s="10" t="s">
        <v>3784</v>
      </c>
    </row>
    <row r="1525" spans="1:9" x14ac:dyDescent="0.15">
      <c r="A1525" s="9">
        <v>1524</v>
      </c>
      <c r="B1525" s="10" t="s">
        <v>9</v>
      </c>
      <c r="C1525" s="10" t="s">
        <v>170</v>
      </c>
      <c r="D1525" s="10" t="s">
        <v>171</v>
      </c>
      <c r="E1525" s="11" t="str">
        <f>+HYPERLINK("http://trademark.i-assist.jp/data/china/image_1900th/78821622.pdf", "78821622")</f>
        <v>78821622</v>
      </c>
      <c r="F1525" s="10" t="s">
        <v>4392</v>
      </c>
      <c r="G1525" s="10" t="s">
        <v>4393</v>
      </c>
      <c r="H1525" s="10" t="s">
        <v>4394</v>
      </c>
      <c r="I1525" s="10" t="s">
        <v>3784</v>
      </c>
    </row>
    <row r="1526" spans="1:9" x14ac:dyDescent="0.15">
      <c r="A1526" s="9">
        <v>1525</v>
      </c>
      <c r="B1526" s="10" t="s">
        <v>9</v>
      </c>
      <c r="C1526" s="10" t="s">
        <v>170</v>
      </c>
      <c r="D1526" s="10" t="s">
        <v>171</v>
      </c>
      <c r="E1526" s="11" t="str">
        <f>+HYPERLINK("http://trademark.i-assist.jp/data/china/image_1900th/78821661.pdf", "78821661")</f>
        <v>78821661</v>
      </c>
      <c r="F1526" s="10" t="s">
        <v>4395</v>
      </c>
      <c r="G1526" s="10" t="s">
        <v>4396</v>
      </c>
      <c r="H1526" s="10" t="s">
        <v>4397</v>
      </c>
      <c r="I1526" s="10" t="s">
        <v>3784</v>
      </c>
    </row>
    <row r="1527" spans="1:9" x14ac:dyDescent="0.15">
      <c r="A1527" s="9">
        <v>1526</v>
      </c>
      <c r="B1527" s="10" t="s">
        <v>9</v>
      </c>
      <c r="C1527" s="10" t="s">
        <v>170</v>
      </c>
      <c r="D1527" s="10" t="s">
        <v>171</v>
      </c>
      <c r="E1527" s="11" t="str">
        <f>+HYPERLINK("http://trademark.i-assist.jp/data/china/image_1900th/78821777.pdf", "78821777")</f>
        <v>78821777</v>
      </c>
      <c r="F1527" s="10" t="s">
        <v>4398</v>
      </c>
      <c r="G1527" s="10" t="s">
        <v>4399</v>
      </c>
      <c r="H1527" s="10" t="s">
        <v>4400</v>
      </c>
      <c r="I1527" s="10" t="s">
        <v>3784</v>
      </c>
    </row>
    <row r="1528" spans="1:9" x14ac:dyDescent="0.15">
      <c r="A1528" s="9">
        <v>1527</v>
      </c>
      <c r="B1528" s="10" t="s">
        <v>9</v>
      </c>
      <c r="C1528" s="10" t="s">
        <v>170</v>
      </c>
      <c r="D1528" s="10" t="s">
        <v>171</v>
      </c>
      <c r="E1528" s="11" t="str">
        <f>+HYPERLINK("http://trademark.i-assist.jp/data/china/image_1900th/78821793.pdf", "78821793")</f>
        <v>78821793</v>
      </c>
      <c r="F1528" s="10" t="s">
        <v>4401</v>
      </c>
      <c r="G1528" s="10" t="s">
        <v>4402</v>
      </c>
      <c r="H1528" s="10" t="s">
        <v>4403</v>
      </c>
      <c r="I1528" s="10" t="s">
        <v>3784</v>
      </c>
    </row>
    <row r="1529" spans="1:9" x14ac:dyDescent="0.15">
      <c r="A1529" s="9">
        <v>1528</v>
      </c>
      <c r="B1529" s="10" t="s">
        <v>9</v>
      </c>
      <c r="C1529" s="10" t="s">
        <v>170</v>
      </c>
      <c r="D1529" s="10" t="s">
        <v>171</v>
      </c>
      <c r="E1529" s="11" t="str">
        <f>+HYPERLINK("http://trademark.i-assist.jp/data/china/image_1900th/78822082.pdf", "78822082")</f>
        <v>78822082</v>
      </c>
      <c r="F1529" s="10" t="s">
        <v>4404</v>
      </c>
      <c r="G1529" s="10" t="s">
        <v>4405</v>
      </c>
      <c r="H1529" s="10" t="s">
        <v>4406</v>
      </c>
      <c r="I1529" s="10" t="s">
        <v>3784</v>
      </c>
    </row>
    <row r="1530" spans="1:9" x14ac:dyDescent="0.15">
      <c r="A1530" s="9">
        <v>1529</v>
      </c>
      <c r="B1530" s="10" t="s">
        <v>9</v>
      </c>
      <c r="C1530" s="10" t="s">
        <v>170</v>
      </c>
      <c r="D1530" s="10" t="s">
        <v>171</v>
      </c>
      <c r="E1530" s="11" t="str">
        <f>+HYPERLINK("http://trademark.i-assist.jp/data/china/image_1900th/78822084.pdf", "78822084")</f>
        <v>78822084</v>
      </c>
      <c r="F1530" s="10" t="s">
        <v>4407</v>
      </c>
      <c r="G1530" s="10" t="s">
        <v>4087</v>
      </c>
      <c r="H1530" s="10" t="s">
        <v>4408</v>
      </c>
      <c r="I1530" s="10" t="s">
        <v>3784</v>
      </c>
    </row>
    <row r="1531" spans="1:9" x14ac:dyDescent="0.15">
      <c r="A1531" s="9">
        <v>1530</v>
      </c>
      <c r="B1531" s="10" t="s">
        <v>9</v>
      </c>
      <c r="C1531" s="10" t="s">
        <v>170</v>
      </c>
      <c r="D1531" s="10" t="s">
        <v>171</v>
      </c>
      <c r="E1531" s="11" t="str">
        <f>+HYPERLINK("http://trademark.i-assist.jp/data/china/image_1900th/78822330.pdf", "78822330")</f>
        <v>78822330</v>
      </c>
      <c r="F1531" s="10" t="s">
        <v>4409</v>
      </c>
      <c r="G1531" s="10" t="s">
        <v>4410</v>
      </c>
      <c r="H1531" s="10" t="s">
        <v>4411</v>
      </c>
      <c r="I1531" s="10" t="s">
        <v>3784</v>
      </c>
    </row>
    <row r="1532" spans="1:9" x14ac:dyDescent="0.15">
      <c r="A1532" s="9">
        <v>1531</v>
      </c>
      <c r="B1532" s="10" t="s">
        <v>9</v>
      </c>
      <c r="C1532" s="10" t="s">
        <v>170</v>
      </c>
      <c r="D1532" s="10" t="s">
        <v>171</v>
      </c>
      <c r="E1532" s="11" t="str">
        <f>+HYPERLINK("http://trademark.i-assist.jp/data/china/image_1900th/78822403.pdf", "78822403")</f>
        <v>78822403</v>
      </c>
      <c r="F1532" s="10" t="s">
        <v>4412</v>
      </c>
      <c r="G1532" s="10" t="s">
        <v>4413</v>
      </c>
      <c r="H1532" s="10" t="s">
        <v>4414</v>
      </c>
      <c r="I1532" s="10" t="s">
        <v>3784</v>
      </c>
    </row>
    <row r="1533" spans="1:9" x14ac:dyDescent="0.15">
      <c r="A1533" s="9">
        <v>1532</v>
      </c>
      <c r="B1533" s="10" t="s">
        <v>9</v>
      </c>
      <c r="C1533" s="10" t="s">
        <v>170</v>
      </c>
      <c r="D1533" s="10" t="s">
        <v>171</v>
      </c>
      <c r="E1533" s="11" t="str">
        <f>+HYPERLINK("http://trademark.i-assist.jp/data/china/image_1900th/78822579.pdf", "78822579")</f>
        <v>78822579</v>
      </c>
      <c r="F1533" s="10" t="s">
        <v>4415</v>
      </c>
      <c r="G1533" s="10" t="s">
        <v>4034</v>
      </c>
      <c r="H1533" s="10" t="s">
        <v>4416</v>
      </c>
      <c r="I1533" s="10" t="s">
        <v>3784</v>
      </c>
    </row>
    <row r="1534" spans="1:9" x14ac:dyDescent="0.15">
      <c r="A1534" s="9">
        <v>1533</v>
      </c>
      <c r="B1534" s="10" t="s">
        <v>9</v>
      </c>
      <c r="C1534" s="10" t="s">
        <v>170</v>
      </c>
      <c r="D1534" s="10" t="s">
        <v>171</v>
      </c>
      <c r="E1534" s="11" t="str">
        <f>+HYPERLINK("http://trademark.i-assist.jp/data/china/image_1900th/78822584.pdf", "78822584")</f>
        <v>78822584</v>
      </c>
      <c r="F1534" s="10" t="s">
        <v>4417</v>
      </c>
      <c r="G1534" s="10" t="s">
        <v>4034</v>
      </c>
      <c r="H1534" s="10" t="s">
        <v>4418</v>
      </c>
      <c r="I1534" s="10" t="s">
        <v>3784</v>
      </c>
    </row>
    <row r="1535" spans="1:9" x14ac:dyDescent="0.15">
      <c r="A1535" s="9">
        <v>1534</v>
      </c>
      <c r="B1535" s="10" t="s">
        <v>9</v>
      </c>
      <c r="C1535" s="10" t="s">
        <v>170</v>
      </c>
      <c r="D1535" s="10" t="s">
        <v>171</v>
      </c>
      <c r="E1535" s="11" t="str">
        <f>+HYPERLINK("http://trademark.i-assist.jp/data/china/image_1900th/78822611.pdf", "78822611")</f>
        <v>78822611</v>
      </c>
      <c r="F1535" s="10" t="s">
        <v>4419</v>
      </c>
      <c r="G1535" s="10" t="s">
        <v>4420</v>
      </c>
      <c r="H1535" s="10" t="s">
        <v>4421</v>
      </c>
      <c r="I1535" s="10" t="s">
        <v>3784</v>
      </c>
    </row>
    <row r="1536" spans="1:9" x14ac:dyDescent="0.15">
      <c r="A1536" s="9">
        <v>1535</v>
      </c>
      <c r="B1536" s="10" t="s">
        <v>9</v>
      </c>
      <c r="C1536" s="10" t="s">
        <v>170</v>
      </c>
      <c r="D1536" s="10" t="s">
        <v>171</v>
      </c>
      <c r="E1536" s="11" t="str">
        <f>+HYPERLINK("http://trademark.i-assist.jp/data/china/image_1900th/78822621.pdf", "78822621")</f>
        <v>78822621</v>
      </c>
      <c r="F1536" s="10" t="s">
        <v>4422</v>
      </c>
      <c r="G1536" s="10" t="s">
        <v>4072</v>
      </c>
      <c r="H1536" s="10" t="s">
        <v>4423</v>
      </c>
      <c r="I1536" s="10" t="s">
        <v>3784</v>
      </c>
    </row>
    <row r="1537" spans="1:9" x14ac:dyDescent="0.15">
      <c r="A1537" s="9">
        <v>1536</v>
      </c>
      <c r="B1537" s="10" t="s">
        <v>9</v>
      </c>
      <c r="C1537" s="10" t="s">
        <v>170</v>
      </c>
      <c r="D1537" s="10" t="s">
        <v>171</v>
      </c>
      <c r="E1537" s="11" t="str">
        <f>+HYPERLINK("http://trademark.i-assist.jp/data/china/image_1900th/78822941.pdf", "78822941")</f>
        <v>78822941</v>
      </c>
      <c r="F1537" s="10" t="s">
        <v>4424</v>
      </c>
      <c r="G1537" s="10" t="s">
        <v>4425</v>
      </c>
      <c r="H1537" s="10" t="s">
        <v>4426</v>
      </c>
      <c r="I1537" s="10" t="s">
        <v>3784</v>
      </c>
    </row>
    <row r="1538" spans="1:9" x14ac:dyDescent="0.15">
      <c r="A1538" s="9">
        <v>1537</v>
      </c>
      <c r="B1538" s="10" t="s">
        <v>9</v>
      </c>
      <c r="C1538" s="10" t="s">
        <v>170</v>
      </c>
      <c r="D1538" s="10" t="s">
        <v>171</v>
      </c>
      <c r="E1538" s="11" t="str">
        <f>+HYPERLINK("http://trademark.i-assist.jp/data/china/image_1900th/78822969.pdf", "78822969")</f>
        <v>78822969</v>
      </c>
      <c r="F1538" s="10" t="s">
        <v>4427</v>
      </c>
      <c r="G1538" s="10" t="s">
        <v>4428</v>
      </c>
      <c r="H1538" s="10" t="s">
        <v>4429</v>
      </c>
      <c r="I1538" s="10" t="s">
        <v>3784</v>
      </c>
    </row>
    <row r="1539" spans="1:9" x14ac:dyDescent="0.15">
      <c r="A1539" s="9">
        <v>1538</v>
      </c>
      <c r="B1539" s="10" t="s">
        <v>9</v>
      </c>
      <c r="C1539" s="10" t="s">
        <v>170</v>
      </c>
      <c r="D1539" s="10" t="s">
        <v>171</v>
      </c>
      <c r="E1539" s="11" t="str">
        <f>+HYPERLINK("http://trademark.i-assist.jp/data/china/image_1900th/78823010.pdf", "78823010")</f>
        <v>78823010</v>
      </c>
      <c r="F1539" s="10" t="s">
        <v>4430</v>
      </c>
      <c r="G1539" s="10" t="s">
        <v>4225</v>
      </c>
      <c r="H1539" s="10" t="s">
        <v>4431</v>
      </c>
      <c r="I1539" s="10" t="s">
        <v>3784</v>
      </c>
    </row>
    <row r="1540" spans="1:9" x14ac:dyDescent="0.15">
      <c r="A1540" s="9">
        <v>1539</v>
      </c>
      <c r="B1540" s="10" t="s">
        <v>9</v>
      </c>
      <c r="C1540" s="10" t="s">
        <v>170</v>
      </c>
      <c r="D1540" s="10" t="s">
        <v>171</v>
      </c>
      <c r="E1540" s="11" t="str">
        <f>+HYPERLINK("http://trademark.i-assist.jp/data/china/image_1900th/78823157.pdf", "78823157")</f>
        <v>78823157</v>
      </c>
      <c r="F1540" s="10" t="s">
        <v>4432</v>
      </c>
      <c r="G1540" s="10" t="s">
        <v>4240</v>
      </c>
      <c r="H1540" s="10" t="s">
        <v>4433</v>
      </c>
      <c r="I1540" s="10" t="s">
        <v>3784</v>
      </c>
    </row>
    <row r="1541" spans="1:9" x14ac:dyDescent="0.15">
      <c r="A1541" s="9">
        <v>1540</v>
      </c>
      <c r="B1541" s="10" t="s">
        <v>9</v>
      </c>
      <c r="C1541" s="10" t="s">
        <v>170</v>
      </c>
      <c r="D1541" s="10" t="s">
        <v>171</v>
      </c>
      <c r="E1541" s="11" t="str">
        <f>+HYPERLINK("http://trademark.i-assist.jp/data/china/image_1900th/78823200.pdf", "78823200")</f>
        <v>78823200</v>
      </c>
      <c r="F1541" s="10" t="s">
        <v>4434</v>
      </c>
      <c r="G1541" s="10" t="s">
        <v>123</v>
      </c>
      <c r="H1541" s="10" t="s">
        <v>4435</v>
      </c>
      <c r="I1541" s="10" t="s">
        <v>3784</v>
      </c>
    </row>
    <row r="1542" spans="1:9" x14ac:dyDescent="0.15">
      <c r="A1542" s="9">
        <v>1541</v>
      </c>
      <c r="B1542" s="10" t="s">
        <v>9</v>
      </c>
      <c r="C1542" s="10" t="s">
        <v>170</v>
      </c>
      <c r="D1542" s="10" t="s">
        <v>171</v>
      </c>
      <c r="E1542" s="11" t="str">
        <f>+HYPERLINK("http://trademark.i-assist.jp/data/china/image_1900th/78823303.pdf", "78823303")</f>
        <v>78823303</v>
      </c>
      <c r="F1542" s="10" t="s">
        <v>4436</v>
      </c>
      <c r="G1542" s="10" t="s">
        <v>4102</v>
      </c>
      <c r="H1542" s="10" t="s">
        <v>4437</v>
      </c>
      <c r="I1542" s="10" t="s">
        <v>3784</v>
      </c>
    </row>
    <row r="1543" spans="1:9" x14ac:dyDescent="0.15">
      <c r="A1543" s="9">
        <v>1542</v>
      </c>
      <c r="B1543" s="10" t="s">
        <v>9</v>
      </c>
      <c r="C1543" s="10" t="s">
        <v>170</v>
      </c>
      <c r="D1543" s="10" t="s">
        <v>171</v>
      </c>
      <c r="E1543" s="11" t="str">
        <f>+HYPERLINK("http://trademark.i-assist.jp/data/china/image_1900th/78823313.pdf", "78823313")</f>
        <v>78823313</v>
      </c>
      <c r="F1543" s="10" t="s">
        <v>4438</v>
      </c>
      <c r="G1543" s="10" t="s">
        <v>4102</v>
      </c>
      <c r="H1543" s="10" t="s">
        <v>4439</v>
      </c>
      <c r="I1543" s="10" t="s">
        <v>3784</v>
      </c>
    </row>
    <row r="1544" spans="1:9" x14ac:dyDescent="0.15">
      <c r="A1544" s="9">
        <v>1543</v>
      </c>
      <c r="B1544" s="10" t="s">
        <v>9</v>
      </c>
      <c r="C1544" s="10" t="s">
        <v>170</v>
      </c>
      <c r="D1544" s="10" t="s">
        <v>171</v>
      </c>
      <c r="E1544" s="11" t="str">
        <f>+HYPERLINK("http://trademark.i-assist.jp/data/china/image_1900th/78823353.pdf", "78823353")</f>
        <v>78823353</v>
      </c>
      <c r="F1544" s="10" t="s">
        <v>4440</v>
      </c>
      <c r="G1544" s="10" t="s">
        <v>3990</v>
      </c>
      <c r="H1544" s="10" t="s">
        <v>4441</v>
      </c>
      <c r="I1544" s="10" t="s">
        <v>3784</v>
      </c>
    </row>
    <row r="1545" spans="1:9" x14ac:dyDescent="0.15">
      <c r="A1545" s="9">
        <v>1544</v>
      </c>
      <c r="B1545" s="10" t="s">
        <v>9</v>
      </c>
      <c r="C1545" s="10" t="s">
        <v>170</v>
      </c>
      <c r="D1545" s="10" t="s">
        <v>171</v>
      </c>
      <c r="E1545" s="11" t="str">
        <f>+HYPERLINK("http://trademark.i-assist.jp/data/china/image_1900th/78823850.pdf", "78823850")</f>
        <v>78823850</v>
      </c>
      <c r="F1545" s="10" t="s">
        <v>4442</v>
      </c>
      <c r="G1545" s="10" t="s">
        <v>4078</v>
      </c>
      <c r="H1545" s="10" t="s">
        <v>4443</v>
      </c>
      <c r="I1545" s="10" t="s">
        <v>3784</v>
      </c>
    </row>
    <row r="1546" spans="1:9" x14ac:dyDescent="0.15">
      <c r="A1546" s="9">
        <v>1545</v>
      </c>
      <c r="B1546" s="10" t="s">
        <v>9</v>
      </c>
      <c r="C1546" s="10" t="s">
        <v>170</v>
      </c>
      <c r="D1546" s="10" t="s">
        <v>171</v>
      </c>
      <c r="E1546" s="11" t="str">
        <f>+HYPERLINK("http://trademark.i-assist.jp/data/china/image_1900th/78823997.pdf", "78823997")</f>
        <v>78823997</v>
      </c>
      <c r="F1546" s="10" t="s">
        <v>4444</v>
      </c>
      <c r="G1546" s="10" t="s">
        <v>4445</v>
      </c>
      <c r="H1546" s="10" t="s">
        <v>4446</v>
      </c>
      <c r="I1546" s="10" t="s">
        <v>3784</v>
      </c>
    </row>
    <row r="1547" spans="1:9" x14ac:dyDescent="0.15">
      <c r="A1547" s="9">
        <v>1546</v>
      </c>
      <c r="B1547" s="10" t="s">
        <v>9</v>
      </c>
      <c r="C1547" s="10" t="s">
        <v>170</v>
      </c>
      <c r="D1547" s="10" t="s">
        <v>171</v>
      </c>
      <c r="E1547" s="11" t="str">
        <f>+HYPERLINK("http://trademark.i-assist.jp/data/china/image_1900th/78824223.pdf", "78824223")</f>
        <v>78824223</v>
      </c>
      <c r="F1547" s="10" t="s">
        <v>4447</v>
      </c>
      <c r="G1547" s="10" t="s">
        <v>4176</v>
      </c>
      <c r="H1547" s="10" t="s">
        <v>4448</v>
      </c>
      <c r="I1547" s="10" t="s">
        <v>3784</v>
      </c>
    </row>
    <row r="1548" spans="1:9" x14ac:dyDescent="0.15">
      <c r="A1548" s="9">
        <v>1547</v>
      </c>
      <c r="B1548" s="10" t="s">
        <v>9</v>
      </c>
      <c r="C1548" s="10" t="s">
        <v>170</v>
      </c>
      <c r="D1548" s="10" t="s">
        <v>171</v>
      </c>
      <c r="E1548" s="11" t="str">
        <f>+HYPERLINK("http://trademark.i-assist.jp/data/china/image_1900th/78824520.pdf", "78824520")</f>
        <v>78824520</v>
      </c>
      <c r="F1548" s="10" t="s">
        <v>4449</v>
      </c>
      <c r="G1548" s="10" t="s">
        <v>4450</v>
      </c>
      <c r="H1548" s="10" t="s">
        <v>4451</v>
      </c>
      <c r="I1548" s="10" t="s">
        <v>3784</v>
      </c>
    </row>
    <row r="1549" spans="1:9" x14ac:dyDescent="0.15">
      <c r="A1549" s="9">
        <v>1548</v>
      </c>
      <c r="B1549" s="10" t="s">
        <v>9</v>
      </c>
      <c r="C1549" s="10" t="s">
        <v>170</v>
      </c>
      <c r="D1549" s="10" t="s">
        <v>171</v>
      </c>
      <c r="E1549" s="11" t="str">
        <f>+HYPERLINK("http://trademark.i-assist.jp/data/china/image_1900th/78824604.pdf", "78824604")</f>
        <v>78824604</v>
      </c>
      <c r="F1549" s="10" t="s">
        <v>4452</v>
      </c>
      <c r="G1549" s="10" t="s">
        <v>4453</v>
      </c>
      <c r="H1549" s="10" t="s">
        <v>4454</v>
      </c>
      <c r="I1549" s="10" t="s">
        <v>3784</v>
      </c>
    </row>
    <row r="1550" spans="1:9" x14ac:dyDescent="0.15">
      <c r="A1550" s="9">
        <v>1549</v>
      </c>
      <c r="B1550" s="10" t="s">
        <v>9</v>
      </c>
      <c r="C1550" s="10" t="s">
        <v>170</v>
      </c>
      <c r="D1550" s="10" t="s">
        <v>171</v>
      </c>
      <c r="E1550" s="11" t="str">
        <f>+HYPERLINK("http://trademark.i-assist.jp/data/china/image_1900th/78824635.pdf", "78824635")</f>
        <v>78824635</v>
      </c>
      <c r="F1550" s="10" t="s">
        <v>4455</v>
      </c>
      <c r="G1550" s="10" t="s">
        <v>4456</v>
      </c>
      <c r="H1550" s="10" t="s">
        <v>24</v>
      </c>
      <c r="I1550" s="10" t="s">
        <v>3784</v>
      </c>
    </row>
    <row r="1551" spans="1:9" x14ac:dyDescent="0.15">
      <c r="A1551" s="9">
        <v>1550</v>
      </c>
      <c r="B1551" s="10" t="s">
        <v>9</v>
      </c>
      <c r="C1551" s="10" t="s">
        <v>170</v>
      </c>
      <c r="D1551" s="10" t="s">
        <v>171</v>
      </c>
      <c r="E1551" s="11" t="str">
        <f>+HYPERLINK("http://trademark.i-assist.jp/data/china/image_1900th/78824708.pdf", "78824708")</f>
        <v>78824708</v>
      </c>
      <c r="F1551" s="10" t="s">
        <v>4457</v>
      </c>
      <c r="G1551" s="10" t="s">
        <v>119</v>
      </c>
      <c r="H1551" s="10" t="s">
        <v>4458</v>
      </c>
      <c r="I1551" s="10" t="s">
        <v>3784</v>
      </c>
    </row>
    <row r="1552" spans="1:9" x14ac:dyDescent="0.15">
      <c r="A1552" s="9">
        <v>1551</v>
      </c>
      <c r="B1552" s="10" t="s">
        <v>9</v>
      </c>
      <c r="C1552" s="10" t="s">
        <v>170</v>
      </c>
      <c r="D1552" s="10" t="s">
        <v>171</v>
      </c>
      <c r="E1552" s="11" t="str">
        <f>+HYPERLINK("http://trademark.i-assist.jp/data/china/image_1900th/78824744.pdf", "78824744")</f>
        <v>78824744</v>
      </c>
      <c r="F1552" s="10" t="s">
        <v>4459</v>
      </c>
      <c r="G1552" s="10" t="s">
        <v>4460</v>
      </c>
      <c r="H1552" s="10" t="s">
        <v>4461</v>
      </c>
      <c r="I1552" s="10" t="s">
        <v>3784</v>
      </c>
    </row>
    <row r="1553" spans="1:9" x14ac:dyDescent="0.15">
      <c r="A1553" s="9">
        <v>1552</v>
      </c>
      <c r="B1553" s="10" t="s">
        <v>9</v>
      </c>
      <c r="C1553" s="10" t="s">
        <v>170</v>
      </c>
      <c r="D1553" s="10" t="s">
        <v>171</v>
      </c>
      <c r="E1553" s="11" t="str">
        <f>+HYPERLINK("http://trademark.i-assist.jp/data/china/image_1900th/78824802.pdf", "78824802")</f>
        <v>78824802</v>
      </c>
      <c r="F1553" s="10" t="s">
        <v>4462</v>
      </c>
      <c r="G1553" s="10" t="s">
        <v>4376</v>
      </c>
      <c r="H1553" s="10" t="s">
        <v>4463</v>
      </c>
      <c r="I1553" s="10" t="s">
        <v>3784</v>
      </c>
    </row>
    <row r="1554" spans="1:9" x14ac:dyDescent="0.15">
      <c r="A1554" s="9">
        <v>1553</v>
      </c>
      <c r="B1554" s="10" t="s">
        <v>9</v>
      </c>
      <c r="C1554" s="10" t="s">
        <v>170</v>
      </c>
      <c r="D1554" s="10" t="s">
        <v>171</v>
      </c>
      <c r="E1554" s="11" t="str">
        <f>+HYPERLINK("http://trademark.i-assist.jp/data/china/image_1900th/78824932.pdf", "78824932")</f>
        <v>78824932</v>
      </c>
      <c r="F1554" s="10" t="s">
        <v>15</v>
      </c>
      <c r="G1554" s="10" t="s">
        <v>4464</v>
      </c>
      <c r="H1554" s="10" t="s">
        <v>4465</v>
      </c>
      <c r="I1554" s="10" t="s">
        <v>3784</v>
      </c>
    </row>
    <row r="1555" spans="1:9" x14ac:dyDescent="0.15">
      <c r="A1555" s="9">
        <v>1554</v>
      </c>
      <c r="B1555" s="10" t="s">
        <v>9</v>
      </c>
      <c r="C1555" s="10" t="s">
        <v>170</v>
      </c>
      <c r="D1555" s="10" t="s">
        <v>171</v>
      </c>
      <c r="E1555" s="11" t="str">
        <f>+HYPERLINK("http://trademark.i-assist.jp/data/china/image_1900th/78824959.pdf", "78824959")</f>
        <v>78824959</v>
      </c>
      <c r="F1555" s="10" t="s">
        <v>4466</v>
      </c>
      <c r="G1555" s="10" t="s">
        <v>4467</v>
      </c>
      <c r="H1555" s="10" t="s">
        <v>4468</v>
      </c>
      <c r="I1555" s="10" t="s">
        <v>3784</v>
      </c>
    </row>
    <row r="1556" spans="1:9" x14ac:dyDescent="0.15">
      <c r="A1556" s="9">
        <v>1555</v>
      </c>
      <c r="B1556" s="10" t="s">
        <v>9</v>
      </c>
      <c r="C1556" s="10" t="s">
        <v>170</v>
      </c>
      <c r="D1556" s="10" t="s">
        <v>171</v>
      </c>
      <c r="E1556" s="11" t="str">
        <f>+HYPERLINK("http://trademark.i-assist.jp/data/china/image_1900th/78825040.pdf", "78825040")</f>
        <v>78825040</v>
      </c>
      <c r="F1556" s="10" t="s">
        <v>4469</v>
      </c>
      <c r="G1556" s="10" t="s">
        <v>4470</v>
      </c>
      <c r="H1556" s="10" t="s">
        <v>4471</v>
      </c>
      <c r="I1556" s="10" t="s">
        <v>3784</v>
      </c>
    </row>
    <row r="1557" spans="1:9" x14ac:dyDescent="0.15">
      <c r="A1557" s="9">
        <v>1556</v>
      </c>
      <c r="B1557" s="10" t="s">
        <v>9</v>
      </c>
      <c r="C1557" s="10" t="s">
        <v>170</v>
      </c>
      <c r="D1557" s="10" t="s">
        <v>171</v>
      </c>
      <c r="E1557" s="11" t="str">
        <f>+HYPERLINK("http://trademark.i-assist.jp/data/china/image_1900th/78825136.pdf", "78825136")</f>
        <v>78825136</v>
      </c>
      <c r="F1557" s="10" t="s">
        <v>4472</v>
      </c>
      <c r="G1557" s="10" t="s">
        <v>4072</v>
      </c>
      <c r="H1557" s="10" t="s">
        <v>4473</v>
      </c>
      <c r="I1557" s="10" t="s">
        <v>3784</v>
      </c>
    </row>
    <row r="1558" spans="1:9" x14ac:dyDescent="0.15">
      <c r="A1558" s="9">
        <v>1557</v>
      </c>
      <c r="B1558" s="10" t="s">
        <v>9</v>
      </c>
      <c r="C1558" s="10" t="s">
        <v>170</v>
      </c>
      <c r="D1558" s="10" t="s">
        <v>171</v>
      </c>
      <c r="E1558" s="11" t="str">
        <f>+HYPERLINK("http://trademark.i-assist.jp/data/china/image_1900th/78825173.pdf", "78825173")</f>
        <v>78825173</v>
      </c>
      <c r="F1558" s="10" t="s">
        <v>4474</v>
      </c>
      <c r="G1558" s="10" t="s">
        <v>4475</v>
      </c>
      <c r="H1558" s="10" t="s">
        <v>4476</v>
      </c>
      <c r="I1558" s="10" t="s">
        <v>3784</v>
      </c>
    </row>
    <row r="1559" spans="1:9" x14ac:dyDescent="0.15">
      <c r="A1559" s="9">
        <v>1558</v>
      </c>
      <c r="B1559" s="10" t="s">
        <v>9</v>
      </c>
      <c r="C1559" s="10" t="s">
        <v>170</v>
      </c>
      <c r="D1559" s="10" t="s">
        <v>171</v>
      </c>
      <c r="E1559" s="11" t="str">
        <f>+HYPERLINK("http://trademark.i-assist.jp/data/china/image_1900th/78825274.pdf", "78825274")</f>
        <v>78825274</v>
      </c>
      <c r="F1559" s="10" t="s">
        <v>4477</v>
      </c>
      <c r="G1559" s="10" t="s">
        <v>4351</v>
      </c>
      <c r="H1559" s="10" t="s">
        <v>4478</v>
      </c>
      <c r="I1559" s="10" t="s">
        <v>3784</v>
      </c>
    </row>
    <row r="1560" spans="1:9" x14ac:dyDescent="0.15">
      <c r="A1560" s="9">
        <v>1559</v>
      </c>
      <c r="B1560" s="10" t="s">
        <v>9</v>
      </c>
      <c r="C1560" s="10" t="s">
        <v>170</v>
      </c>
      <c r="D1560" s="10" t="s">
        <v>171</v>
      </c>
      <c r="E1560" s="11" t="str">
        <f>+HYPERLINK("http://trademark.i-assist.jp/data/china/image_1900th/78825405.pdf", "78825405")</f>
        <v>78825405</v>
      </c>
      <c r="F1560" s="10" t="s">
        <v>4479</v>
      </c>
      <c r="G1560" s="10" t="s">
        <v>4480</v>
      </c>
      <c r="H1560" s="10" t="s">
        <v>4481</v>
      </c>
      <c r="I1560" s="10" t="s">
        <v>3784</v>
      </c>
    </row>
    <row r="1561" spans="1:9" x14ac:dyDescent="0.15">
      <c r="A1561" s="9">
        <v>1560</v>
      </c>
      <c r="B1561" s="10" t="s">
        <v>9</v>
      </c>
      <c r="C1561" s="10" t="s">
        <v>170</v>
      </c>
      <c r="D1561" s="10" t="s">
        <v>171</v>
      </c>
      <c r="E1561" s="11" t="str">
        <f>+HYPERLINK("http://trademark.i-assist.jp/data/china/image_1900th/78826164.pdf", "78826164")</f>
        <v>78826164</v>
      </c>
      <c r="F1561" s="10" t="s">
        <v>4482</v>
      </c>
      <c r="G1561" s="10" t="s">
        <v>3664</v>
      </c>
      <c r="H1561" s="10" t="s">
        <v>4483</v>
      </c>
      <c r="I1561" s="10" t="s">
        <v>3784</v>
      </c>
    </row>
    <row r="1562" spans="1:9" x14ac:dyDescent="0.15">
      <c r="A1562" s="9">
        <v>1561</v>
      </c>
      <c r="B1562" s="10" t="s">
        <v>9</v>
      </c>
      <c r="C1562" s="10" t="s">
        <v>170</v>
      </c>
      <c r="D1562" s="10" t="s">
        <v>171</v>
      </c>
      <c r="E1562" s="11" t="str">
        <f>+HYPERLINK("http://trademark.i-assist.jp/data/china/image_1900th/78826223.pdf", "78826223")</f>
        <v>78826223</v>
      </c>
      <c r="F1562" s="10" t="s">
        <v>4484</v>
      </c>
      <c r="G1562" s="10" t="s">
        <v>4485</v>
      </c>
      <c r="H1562" s="10" t="s">
        <v>4486</v>
      </c>
      <c r="I1562" s="10" t="s">
        <v>3784</v>
      </c>
    </row>
    <row r="1563" spans="1:9" x14ac:dyDescent="0.15">
      <c r="A1563" s="9">
        <v>1562</v>
      </c>
      <c r="B1563" s="10" t="s">
        <v>9</v>
      </c>
      <c r="C1563" s="10" t="s">
        <v>170</v>
      </c>
      <c r="D1563" s="10" t="s">
        <v>171</v>
      </c>
      <c r="E1563" s="11" t="str">
        <f>+HYPERLINK("http://trademark.i-assist.jp/data/china/image_1900th/78826233.pdf", "78826233")</f>
        <v>78826233</v>
      </c>
      <c r="F1563" s="10" t="s">
        <v>4487</v>
      </c>
      <c r="G1563" s="10" t="s">
        <v>4488</v>
      </c>
      <c r="H1563" s="10" t="s">
        <v>4489</v>
      </c>
      <c r="I1563" s="10" t="s">
        <v>3784</v>
      </c>
    </row>
    <row r="1564" spans="1:9" x14ac:dyDescent="0.15">
      <c r="A1564" s="9">
        <v>1563</v>
      </c>
      <c r="B1564" s="10" t="s">
        <v>9</v>
      </c>
      <c r="C1564" s="10" t="s">
        <v>170</v>
      </c>
      <c r="D1564" s="10" t="s">
        <v>171</v>
      </c>
      <c r="E1564" s="11" t="str">
        <f>+HYPERLINK("http://trademark.i-assist.jp/data/china/image_1900th/78826348.pdf", "78826348")</f>
        <v>78826348</v>
      </c>
      <c r="F1564" s="10" t="s">
        <v>4490</v>
      </c>
      <c r="G1564" s="10" t="s">
        <v>4491</v>
      </c>
      <c r="H1564" s="10" t="s">
        <v>4492</v>
      </c>
      <c r="I1564" s="10" t="s">
        <v>3784</v>
      </c>
    </row>
    <row r="1565" spans="1:9" x14ac:dyDescent="0.15">
      <c r="A1565" s="9">
        <v>1564</v>
      </c>
      <c r="B1565" s="10" t="s">
        <v>9</v>
      </c>
      <c r="C1565" s="10" t="s">
        <v>170</v>
      </c>
      <c r="D1565" s="10" t="s">
        <v>171</v>
      </c>
      <c r="E1565" s="11" t="str">
        <f>+HYPERLINK("http://trademark.i-assist.jp/data/china/image_1900th/78826570.pdf", "78826570")</f>
        <v>78826570</v>
      </c>
      <c r="F1565" s="10" t="s">
        <v>4493</v>
      </c>
      <c r="G1565" s="10" t="s">
        <v>4494</v>
      </c>
      <c r="H1565" s="10" t="s">
        <v>4495</v>
      </c>
      <c r="I1565" s="10" t="s">
        <v>3784</v>
      </c>
    </row>
    <row r="1566" spans="1:9" x14ac:dyDescent="0.15">
      <c r="A1566" s="9">
        <v>1565</v>
      </c>
      <c r="B1566" s="10" t="s">
        <v>9</v>
      </c>
      <c r="C1566" s="10" t="s">
        <v>170</v>
      </c>
      <c r="D1566" s="10" t="s">
        <v>171</v>
      </c>
      <c r="E1566" s="11" t="str">
        <f>+HYPERLINK("http://trademark.i-assist.jp/data/china/image_1900th/78826627.pdf", "78826627")</f>
        <v>78826627</v>
      </c>
      <c r="F1566" s="10" t="s">
        <v>4496</v>
      </c>
      <c r="G1566" s="10" t="s">
        <v>4497</v>
      </c>
      <c r="H1566" s="10" t="s">
        <v>4498</v>
      </c>
      <c r="I1566" s="10" t="s">
        <v>3784</v>
      </c>
    </row>
    <row r="1567" spans="1:9" x14ac:dyDescent="0.15">
      <c r="A1567" s="9">
        <v>1566</v>
      </c>
      <c r="B1567" s="10" t="s">
        <v>9</v>
      </c>
      <c r="C1567" s="10" t="s">
        <v>170</v>
      </c>
      <c r="D1567" s="10" t="s">
        <v>171</v>
      </c>
      <c r="E1567" s="11" t="str">
        <f>+HYPERLINK("http://trademark.i-assist.jp/data/china/image_1900th/78826708.pdf", "78826708")</f>
        <v>78826708</v>
      </c>
      <c r="F1567" s="10" t="s">
        <v>4499</v>
      </c>
      <c r="G1567" s="10" t="s">
        <v>4500</v>
      </c>
      <c r="H1567" s="10" t="s">
        <v>4501</v>
      </c>
      <c r="I1567" s="10" t="s">
        <v>3784</v>
      </c>
    </row>
    <row r="1568" spans="1:9" x14ac:dyDescent="0.15">
      <c r="A1568" s="9">
        <v>1567</v>
      </c>
      <c r="B1568" s="10" t="s">
        <v>9</v>
      </c>
      <c r="C1568" s="10" t="s">
        <v>170</v>
      </c>
      <c r="D1568" s="10" t="s">
        <v>171</v>
      </c>
      <c r="E1568" s="11" t="str">
        <f>+HYPERLINK("http://trademark.i-assist.jp/data/china/image_1900th/78826734.pdf", "78826734")</f>
        <v>78826734</v>
      </c>
      <c r="F1568" s="10" t="s">
        <v>4502</v>
      </c>
      <c r="G1568" s="10" t="s">
        <v>4503</v>
      </c>
      <c r="H1568" s="10" t="s">
        <v>4504</v>
      </c>
      <c r="I1568" s="10" t="s">
        <v>3784</v>
      </c>
    </row>
    <row r="1569" spans="1:9" x14ac:dyDescent="0.15">
      <c r="A1569" s="9">
        <v>1568</v>
      </c>
      <c r="B1569" s="10" t="s">
        <v>9</v>
      </c>
      <c r="C1569" s="10" t="s">
        <v>170</v>
      </c>
      <c r="D1569" s="10" t="s">
        <v>171</v>
      </c>
      <c r="E1569" s="11" t="str">
        <f>+HYPERLINK("http://trademark.i-assist.jp/data/china/image_1900th/78826919.pdf", "78826919")</f>
        <v>78826919</v>
      </c>
      <c r="F1569" s="10" t="s">
        <v>4505</v>
      </c>
      <c r="G1569" s="10" t="s">
        <v>4506</v>
      </c>
      <c r="H1569" s="10" t="s">
        <v>4507</v>
      </c>
      <c r="I1569" s="10" t="s">
        <v>3784</v>
      </c>
    </row>
    <row r="1570" spans="1:9" x14ac:dyDescent="0.15">
      <c r="A1570" s="9">
        <v>1569</v>
      </c>
      <c r="B1570" s="10" t="s">
        <v>9</v>
      </c>
      <c r="C1570" s="10" t="s">
        <v>170</v>
      </c>
      <c r="D1570" s="10" t="s">
        <v>171</v>
      </c>
      <c r="E1570" s="11" t="str">
        <f>+HYPERLINK("http://trademark.i-assist.jp/data/china/image_1900th/78827009.pdf", "78827009")</f>
        <v>78827009</v>
      </c>
      <c r="F1570" s="10" t="s">
        <v>4508</v>
      </c>
      <c r="G1570" s="10" t="s">
        <v>57</v>
      </c>
      <c r="H1570" s="10" t="s">
        <v>4509</v>
      </c>
      <c r="I1570" s="10" t="s">
        <v>3784</v>
      </c>
    </row>
    <row r="1571" spans="1:9" x14ac:dyDescent="0.15">
      <c r="A1571" s="9">
        <v>1570</v>
      </c>
      <c r="B1571" s="10" t="s">
        <v>9</v>
      </c>
      <c r="C1571" s="10" t="s">
        <v>170</v>
      </c>
      <c r="D1571" s="10" t="s">
        <v>171</v>
      </c>
      <c r="E1571" s="11" t="str">
        <f>+HYPERLINK("http://trademark.i-assist.jp/data/china/image_1900th/78827162.pdf", "78827162")</f>
        <v>78827162</v>
      </c>
      <c r="F1571" s="10" t="s">
        <v>4510</v>
      </c>
      <c r="G1571" s="10" t="s">
        <v>4072</v>
      </c>
      <c r="H1571" s="10" t="s">
        <v>4511</v>
      </c>
      <c r="I1571" s="10" t="s">
        <v>3784</v>
      </c>
    </row>
    <row r="1572" spans="1:9" x14ac:dyDescent="0.15">
      <c r="A1572" s="9">
        <v>1571</v>
      </c>
      <c r="B1572" s="10" t="s">
        <v>9</v>
      </c>
      <c r="C1572" s="10" t="s">
        <v>170</v>
      </c>
      <c r="D1572" s="10" t="s">
        <v>171</v>
      </c>
      <c r="E1572" s="11" t="str">
        <f>+HYPERLINK("http://trademark.i-assist.jp/data/china/image_1900th/78827356.pdf", "78827356")</f>
        <v>78827356</v>
      </c>
      <c r="F1572" s="10" t="s">
        <v>4512</v>
      </c>
      <c r="G1572" s="10" t="s">
        <v>4513</v>
      </c>
      <c r="H1572" s="10" t="s">
        <v>4514</v>
      </c>
      <c r="I1572" s="10" t="s">
        <v>3784</v>
      </c>
    </row>
    <row r="1573" spans="1:9" x14ac:dyDescent="0.15">
      <c r="A1573" s="9">
        <v>1572</v>
      </c>
      <c r="B1573" s="10" t="s">
        <v>9</v>
      </c>
      <c r="C1573" s="10" t="s">
        <v>170</v>
      </c>
      <c r="D1573" s="10" t="s">
        <v>171</v>
      </c>
      <c r="E1573" s="11" t="str">
        <f>+HYPERLINK("http://trademark.i-assist.jp/data/china/image_1900th/78827364.pdf", "78827364")</f>
        <v>78827364</v>
      </c>
      <c r="F1573" s="10" t="s">
        <v>4515</v>
      </c>
      <c r="G1573" s="10" t="s">
        <v>4516</v>
      </c>
      <c r="H1573" s="10" t="s">
        <v>4517</v>
      </c>
      <c r="I1573" s="10" t="s">
        <v>3784</v>
      </c>
    </row>
    <row r="1574" spans="1:9" x14ac:dyDescent="0.15">
      <c r="A1574" s="9">
        <v>1573</v>
      </c>
      <c r="B1574" s="10" t="s">
        <v>9</v>
      </c>
      <c r="C1574" s="10" t="s">
        <v>170</v>
      </c>
      <c r="D1574" s="10" t="s">
        <v>171</v>
      </c>
      <c r="E1574" s="11" t="str">
        <f>+HYPERLINK("http://trademark.i-assist.jp/data/china/image_1900th/78827411.pdf", "78827411")</f>
        <v>78827411</v>
      </c>
      <c r="F1574" s="10" t="s">
        <v>15</v>
      </c>
      <c r="G1574" s="10" t="s">
        <v>4518</v>
      </c>
      <c r="H1574" s="10" t="s">
        <v>4519</v>
      </c>
      <c r="I1574" s="10" t="s">
        <v>3784</v>
      </c>
    </row>
    <row r="1575" spans="1:9" x14ac:dyDescent="0.15">
      <c r="A1575" s="9">
        <v>1574</v>
      </c>
      <c r="B1575" s="10" t="s">
        <v>9</v>
      </c>
      <c r="C1575" s="10" t="s">
        <v>170</v>
      </c>
      <c r="D1575" s="10" t="s">
        <v>171</v>
      </c>
      <c r="E1575" s="11" t="str">
        <f>+HYPERLINK("http://trademark.i-assist.jp/data/china/image_1900th/78827467.pdf", "78827467")</f>
        <v>78827467</v>
      </c>
      <c r="F1575" s="10" t="s">
        <v>4520</v>
      </c>
      <c r="G1575" s="10" t="s">
        <v>4521</v>
      </c>
      <c r="H1575" s="10" t="s">
        <v>4522</v>
      </c>
      <c r="I1575" s="10" t="s">
        <v>3784</v>
      </c>
    </row>
    <row r="1576" spans="1:9" x14ac:dyDescent="0.15">
      <c r="A1576" s="9">
        <v>1575</v>
      </c>
      <c r="B1576" s="10" t="s">
        <v>9</v>
      </c>
      <c r="C1576" s="10" t="s">
        <v>170</v>
      </c>
      <c r="D1576" s="10" t="s">
        <v>171</v>
      </c>
      <c r="E1576" s="11" t="str">
        <f>+HYPERLINK("http://trademark.i-assist.jp/data/china/image_1900th/78827503.pdf", "78827503")</f>
        <v>78827503</v>
      </c>
      <c r="F1576" s="10" t="s">
        <v>4523</v>
      </c>
      <c r="G1576" s="10" t="s">
        <v>4524</v>
      </c>
      <c r="H1576" s="10" t="s">
        <v>4525</v>
      </c>
      <c r="I1576" s="10" t="s">
        <v>3784</v>
      </c>
    </row>
    <row r="1577" spans="1:9" x14ac:dyDescent="0.15">
      <c r="A1577" s="9">
        <v>1576</v>
      </c>
      <c r="B1577" s="10" t="s">
        <v>9</v>
      </c>
      <c r="C1577" s="10" t="s">
        <v>170</v>
      </c>
      <c r="D1577" s="10" t="s">
        <v>171</v>
      </c>
      <c r="E1577" s="11" t="str">
        <f>+HYPERLINK("http://trademark.i-assist.jp/data/china/image_1900th/78827773.pdf", "78827773")</f>
        <v>78827773</v>
      </c>
      <c r="F1577" s="10" t="s">
        <v>4526</v>
      </c>
      <c r="G1577" s="10" t="s">
        <v>4527</v>
      </c>
      <c r="H1577" s="10" t="s">
        <v>4528</v>
      </c>
      <c r="I1577" s="10" t="s">
        <v>4254</v>
      </c>
    </row>
    <row r="1578" spans="1:9" x14ac:dyDescent="0.15">
      <c r="A1578" s="9">
        <v>1577</v>
      </c>
      <c r="B1578" s="10" t="s">
        <v>9</v>
      </c>
      <c r="C1578" s="10" t="s">
        <v>170</v>
      </c>
      <c r="D1578" s="10" t="s">
        <v>171</v>
      </c>
      <c r="E1578" s="11" t="str">
        <f>+HYPERLINK("http://trademark.i-assist.jp/data/china/image_1900th/78827821.pdf", "78827821")</f>
        <v>78827821</v>
      </c>
      <c r="F1578" s="10" t="s">
        <v>4529</v>
      </c>
      <c r="G1578" s="10" t="s">
        <v>4530</v>
      </c>
      <c r="H1578" s="10" t="s">
        <v>4531</v>
      </c>
      <c r="I1578" s="10" t="s">
        <v>4254</v>
      </c>
    </row>
    <row r="1579" spans="1:9" x14ac:dyDescent="0.15">
      <c r="A1579" s="9">
        <v>1578</v>
      </c>
      <c r="B1579" s="10" t="s">
        <v>9</v>
      </c>
      <c r="C1579" s="10" t="s">
        <v>170</v>
      </c>
      <c r="D1579" s="10" t="s">
        <v>171</v>
      </c>
      <c r="E1579" s="11" t="str">
        <f>+HYPERLINK("http://trademark.i-assist.jp/data/china/image_1900th/78827835.pdf", "78827835")</f>
        <v>78827835</v>
      </c>
      <c r="F1579" s="10" t="s">
        <v>4532</v>
      </c>
      <c r="G1579" s="10" t="s">
        <v>4533</v>
      </c>
      <c r="H1579" s="10" t="s">
        <v>4534</v>
      </c>
      <c r="I1579" s="10" t="s">
        <v>4254</v>
      </c>
    </row>
    <row r="1580" spans="1:9" x14ac:dyDescent="0.15">
      <c r="A1580" s="9">
        <v>1579</v>
      </c>
      <c r="B1580" s="10" t="s">
        <v>9</v>
      </c>
      <c r="C1580" s="10" t="s">
        <v>170</v>
      </c>
      <c r="D1580" s="10" t="s">
        <v>171</v>
      </c>
      <c r="E1580" s="11" t="str">
        <f>+HYPERLINK("http://trademark.i-assist.jp/data/china/image_1900th/78827963.pdf", "78827963")</f>
        <v>78827963</v>
      </c>
      <c r="F1580" s="10" t="s">
        <v>4535</v>
      </c>
      <c r="G1580" s="10" t="s">
        <v>4536</v>
      </c>
      <c r="H1580" s="10" t="s">
        <v>4537</v>
      </c>
      <c r="I1580" s="10" t="s">
        <v>4254</v>
      </c>
    </row>
    <row r="1581" spans="1:9" x14ac:dyDescent="0.15">
      <c r="A1581" s="9">
        <v>1580</v>
      </c>
      <c r="B1581" s="10" t="s">
        <v>9</v>
      </c>
      <c r="C1581" s="10" t="s">
        <v>170</v>
      </c>
      <c r="D1581" s="10" t="s">
        <v>171</v>
      </c>
      <c r="E1581" s="11" t="str">
        <f>+HYPERLINK("http://trademark.i-assist.jp/data/china/image_1900th/78828007.pdf", "78828007")</f>
        <v>78828007</v>
      </c>
      <c r="F1581" s="10" t="s">
        <v>4538</v>
      </c>
      <c r="G1581" s="10" t="s">
        <v>4539</v>
      </c>
      <c r="H1581" s="10" t="s">
        <v>4540</v>
      </c>
      <c r="I1581" s="10" t="s">
        <v>4254</v>
      </c>
    </row>
    <row r="1582" spans="1:9" x14ac:dyDescent="0.15">
      <c r="A1582" s="9">
        <v>1581</v>
      </c>
      <c r="B1582" s="10" t="s">
        <v>9</v>
      </c>
      <c r="C1582" s="10" t="s">
        <v>170</v>
      </c>
      <c r="D1582" s="10" t="s">
        <v>171</v>
      </c>
      <c r="E1582" s="11" t="str">
        <f>+HYPERLINK("http://trademark.i-assist.jp/data/china/image_1900th/78828100.pdf", "78828100")</f>
        <v>78828100</v>
      </c>
      <c r="F1582" s="10" t="s">
        <v>4541</v>
      </c>
      <c r="G1582" s="10" t="s">
        <v>4542</v>
      </c>
      <c r="H1582" s="10" t="s">
        <v>4543</v>
      </c>
      <c r="I1582" s="10" t="s">
        <v>4254</v>
      </c>
    </row>
    <row r="1583" spans="1:9" x14ac:dyDescent="0.15">
      <c r="A1583" s="9">
        <v>1582</v>
      </c>
      <c r="B1583" s="10" t="s">
        <v>9</v>
      </c>
      <c r="C1583" s="10" t="s">
        <v>170</v>
      </c>
      <c r="D1583" s="10" t="s">
        <v>171</v>
      </c>
      <c r="E1583" s="11" t="str">
        <f>+HYPERLINK("http://trademark.i-assist.jp/data/china/image_1900th/78828395.pdf", "78828395")</f>
        <v>78828395</v>
      </c>
      <c r="F1583" s="10" t="s">
        <v>4544</v>
      </c>
      <c r="G1583" s="10" t="s">
        <v>4545</v>
      </c>
      <c r="H1583" s="10" t="s">
        <v>4546</v>
      </c>
      <c r="I1583" s="10" t="s">
        <v>4254</v>
      </c>
    </row>
    <row r="1584" spans="1:9" x14ac:dyDescent="0.15">
      <c r="A1584" s="9">
        <v>1583</v>
      </c>
      <c r="B1584" s="10" t="s">
        <v>9</v>
      </c>
      <c r="C1584" s="10" t="s">
        <v>170</v>
      </c>
      <c r="D1584" s="10" t="s">
        <v>171</v>
      </c>
      <c r="E1584" s="11" t="str">
        <f>+HYPERLINK("http://trademark.i-assist.jp/data/china/image_1900th/78828431.pdf", "78828431")</f>
        <v>78828431</v>
      </c>
      <c r="F1584" s="10" t="s">
        <v>4547</v>
      </c>
      <c r="G1584" s="10" t="s">
        <v>4548</v>
      </c>
      <c r="H1584" s="10" t="s">
        <v>4549</v>
      </c>
      <c r="I1584" s="10" t="s">
        <v>4254</v>
      </c>
    </row>
    <row r="1585" spans="1:9" x14ac:dyDescent="0.15">
      <c r="A1585" s="9">
        <v>1584</v>
      </c>
      <c r="B1585" s="10" t="s">
        <v>9</v>
      </c>
      <c r="C1585" s="10" t="s">
        <v>170</v>
      </c>
      <c r="D1585" s="10" t="s">
        <v>171</v>
      </c>
      <c r="E1585" s="11" t="str">
        <f>+HYPERLINK("http://trademark.i-assist.jp/data/china/image_1900th/78828643.pdf", "78828643")</f>
        <v>78828643</v>
      </c>
      <c r="F1585" s="10" t="s">
        <v>4550</v>
      </c>
      <c r="G1585" s="10" t="s">
        <v>4551</v>
      </c>
      <c r="H1585" s="10" t="s">
        <v>4552</v>
      </c>
      <c r="I1585" s="10" t="s">
        <v>4254</v>
      </c>
    </row>
    <row r="1586" spans="1:9" x14ac:dyDescent="0.15">
      <c r="A1586" s="9">
        <v>1585</v>
      </c>
      <c r="B1586" s="10" t="s">
        <v>9</v>
      </c>
      <c r="C1586" s="10" t="s">
        <v>170</v>
      </c>
      <c r="D1586" s="10" t="s">
        <v>171</v>
      </c>
      <c r="E1586" s="11" t="str">
        <f>+HYPERLINK("http://trademark.i-assist.jp/data/china/image_1900th/78828705.pdf", "78828705")</f>
        <v>78828705</v>
      </c>
      <c r="F1586" s="10" t="s">
        <v>4553</v>
      </c>
      <c r="G1586" s="10" t="s">
        <v>4554</v>
      </c>
      <c r="H1586" s="10" t="s">
        <v>4555</v>
      </c>
      <c r="I1586" s="10" t="s">
        <v>4254</v>
      </c>
    </row>
    <row r="1587" spans="1:9" x14ac:dyDescent="0.15">
      <c r="A1587" s="9">
        <v>1586</v>
      </c>
      <c r="B1587" s="10" t="s">
        <v>9</v>
      </c>
      <c r="C1587" s="10" t="s">
        <v>170</v>
      </c>
      <c r="D1587" s="10" t="s">
        <v>171</v>
      </c>
      <c r="E1587" s="11" t="str">
        <f>+HYPERLINK("http://trademark.i-assist.jp/data/china/image_1900th/78828805.pdf", "78828805")</f>
        <v>78828805</v>
      </c>
      <c r="F1587" s="10" t="s">
        <v>4556</v>
      </c>
      <c r="G1587" s="10" t="s">
        <v>4557</v>
      </c>
      <c r="H1587" s="10" t="s">
        <v>4555</v>
      </c>
      <c r="I1587" s="10" t="s">
        <v>4254</v>
      </c>
    </row>
    <row r="1588" spans="1:9" x14ac:dyDescent="0.15">
      <c r="A1588" s="9">
        <v>1587</v>
      </c>
      <c r="B1588" s="10" t="s">
        <v>9</v>
      </c>
      <c r="C1588" s="10" t="s">
        <v>170</v>
      </c>
      <c r="D1588" s="10" t="s">
        <v>171</v>
      </c>
      <c r="E1588" s="11" t="str">
        <f>+HYPERLINK("http://trademark.i-assist.jp/data/china/image_1900th/78828890.pdf", "78828890")</f>
        <v>78828890</v>
      </c>
      <c r="F1588" s="10" t="s">
        <v>4558</v>
      </c>
      <c r="G1588" s="10" t="s">
        <v>4559</v>
      </c>
      <c r="H1588" s="10" t="s">
        <v>4560</v>
      </c>
      <c r="I1588" s="10" t="s">
        <v>4254</v>
      </c>
    </row>
    <row r="1589" spans="1:9" x14ac:dyDescent="0.15">
      <c r="A1589" s="9">
        <v>1588</v>
      </c>
      <c r="B1589" s="10" t="s">
        <v>9</v>
      </c>
      <c r="C1589" s="10" t="s">
        <v>170</v>
      </c>
      <c r="D1589" s="10" t="s">
        <v>171</v>
      </c>
      <c r="E1589" s="11" t="str">
        <f>+HYPERLINK("http://trademark.i-assist.jp/data/china/image_1900th/78828906.pdf", "78828906")</f>
        <v>78828906</v>
      </c>
      <c r="F1589" s="10" t="s">
        <v>4561</v>
      </c>
      <c r="G1589" s="10" t="s">
        <v>4562</v>
      </c>
      <c r="H1589" s="10" t="s">
        <v>4563</v>
      </c>
      <c r="I1589" s="10" t="s">
        <v>4254</v>
      </c>
    </row>
    <row r="1590" spans="1:9" x14ac:dyDescent="0.15">
      <c r="A1590" s="9">
        <v>1589</v>
      </c>
      <c r="B1590" s="10" t="s">
        <v>9</v>
      </c>
      <c r="C1590" s="10" t="s">
        <v>170</v>
      </c>
      <c r="D1590" s="10" t="s">
        <v>171</v>
      </c>
      <c r="E1590" s="11" t="str">
        <f>+HYPERLINK("http://trademark.i-assist.jp/data/china/image_1900th/78829470.pdf", "78829470")</f>
        <v>78829470</v>
      </c>
      <c r="F1590" s="10" t="s">
        <v>4564</v>
      </c>
      <c r="G1590" s="10" t="s">
        <v>4565</v>
      </c>
      <c r="H1590" s="10" t="s">
        <v>4566</v>
      </c>
      <c r="I1590" s="10" t="s">
        <v>4254</v>
      </c>
    </row>
    <row r="1591" spans="1:9" x14ac:dyDescent="0.15">
      <c r="A1591" s="9">
        <v>1590</v>
      </c>
      <c r="B1591" s="10" t="s">
        <v>9</v>
      </c>
      <c r="C1591" s="10" t="s">
        <v>170</v>
      </c>
      <c r="D1591" s="10" t="s">
        <v>171</v>
      </c>
      <c r="E1591" s="11" t="str">
        <f>+HYPERLINK("http://trademark.i-assist.jp/data/china/image_1900th/78829484.pdf", "78829484")</f>
        <v>78829484</v>
      </c>
      <c r="F1591" s="10" t="s">
        <v>4567</v>
      </c>
      <c r="G1591" s="10" t="s">
        <v>4568</v>
      </c>
      <c r="H1591" s="10" t="s">
        <v>4569</v>
      </c>
      <c r="I1591" s="10" t="s">
        <v>4254</v>
      </c>
    </row>
    <row r="1592" spans="1:9" x14ac:dyDescent="0.15">
      <c r="A1592" s="9">
        <v>1591</v>
      </c>
      <c r="B1592" s="10" t="s">
        <v>9</v>
      </c>
      <c r="C1592" s="10" t="s">
        <v>170</v>
      </c>
      <c r="D1592" s="10" t="s">
        <v>171</v>
      </c>
      <c r="E1592" s="11" t="str">
        <f>+HYPERLINK("http://trademark.i-assist.jp/data/china/image_1900th/78829602.pdf", "78829602")</f>
        <v>78829602</v>
      </c>
      <c r="F1592" s="10" t="s">
        <v>4570</v>
      </c>
      <c r="G1592" s="10" t="s">
        <v>4571</v>
      </c>
      <c r="H1592" s="10" t="s">
        <v>4572</v>
      </c>
      <c r="I1592" s="10" t="s">
        <v>4254</v>
      </c>
    </row>
    <row r="1593" spans="1:9" x14ac:dyDescent="0.15">
      <c r="A1593" s="9">
        <v>1592</v>
      </c>
      <c r="B1593" s="10" t="s">
        <v>9</v>
      </c>
      <c r="C1593" s="10" t="s">
        <v>170</v>
      </c>
      <c r="D1593" s="10" t="s">
        <v>171</v>
      </c>
      <c r="E1593" s="11" t="str">
        <f>+HYPERLINK("http://trademark.i-assist.jp/data/china/image_1900th/78829693.pdf", "78829693")</f>
        <v>78829693</v>
      </c>
      <c r="F1593" s="10" t="s">
        <v>4573</v>
      </c>
      <c r="G1593" s="10" t="s">
        <v>4574</v>
      </c>
      <c r="H1593" s="10" t="s">
        <v>4575</v>
      </c>
      <c r="I1593" s="10" t="s">
        <v>4254</v>
      </c>
    </row>
    <row r="1594" spans="1:9" x14ac:dyDescent="0.15">
      <c r="A1594" s="9">
        <v>1593</v>
      </c>
      <c r="B1594" s="10" t="s">
        <v>9</v>
      </c>
      <c r="C1594" s="10" t="s">
        <v>170</v>
      </c>
      <c r="D1594" s="10" t="s">
        <v>171</v>
      </c>
      <c r="E1594" s="11" t="str">
        <f>+HYPERLINK("http://trademark.i-assist.jp/data/china/image_1900th/78829769.pdf", "78829769")</f>
        <v>78829769</v>
      </c>
      <c r="F1594" s="10" t="s">
        <v>4576</v>
      </c>
      <c r="G1594" s="10" t="s">
        <v>4577</v>
      </c>
      <c r="H1594" s="10" t="s">
        <v>4578</v>
      </c>
      <c r="I1594" s="10" t="s">
        <v>4254</v>
      </c>
    </row>
    <row r="1595" spans="1:9" x14ac:dyDescent="0.15">
      <c r="A1595" s="9">
        <v>1594</v>
      </c>
      <c r="B1595" s="10" t="s">
        <v>9</v>
      </c>
      <c r="C1595" s="10" t="s">
        <v>170</v>
      </c>
      <c r="D1595" s="10" t="s">
        <v>171</v>
      </c>
      <c r="E1595" s="11" t="str">
        <f>+HYPERLINK("http://trademark.i-assist.jp/data/china/image_1900th/78829822.pdf", "78829822")</f>
        <v>78829822</v>
      </c>
      <c r="F1595" s="10" t="s">
        <v>4579</v>
      </c>
      <c r="G1595" s="10" t="s">
        <v>4580</v>
      </c>
      <c r="H1595" s="10" t="s">
        <v>4581</v>
      </c>
      <c r="I1595" s="10" t="s">
        <v>4254</v>
      </c>
    </row>
    <row r="1596" spans="1:9" x14ac:dyDescent="0.15">
      <c r="A1596" s="9">
        <v>1595</v>
      </c>
      <c r="B1596" s="10" t="s">
        <v>9</v>
      </c>
      <c r="C1596" s="10" t="s">
        <v>170</v>
      </c>
      <c r="D1596" s="10" t="s">
        <v>171</v>
      </c>
      <c r="E1596" s="11" t="str">
        <f>+HYPERLINK("http://trademark.i-assist.jp/data/china/image_1900th/78829898.pdf", "78829898")</f>
        <v>78829898</v>
      </c>
      <c r="F1596" s="10" t="s">
        <v>4582</v>
      </c>
      <c r="G1596" s="10" t="s">
        <v>4583</v>
      </c>
      <c r="H1596" s="10" t="s">
        <v>4584</v>
      </c>
      <c r="I1596" s="10" t="s">
        <v>4254</v>
      </c>
    </row>
    <row r="1597" spans="1:9" x14ac:dyDescent="0.15">
      <c r="A1597" s="9">
        <v>1596</v>
      </c>
      <c r="B1597" s="10" t="s">
        <v>9</v>
      </c>
      <c r="C1597" s="10" t="s">
        <v>170</v>
      </c>
      <c r="D1597" s="10" t="s">
        <v>171</v>
      </c>
      <c r="E1597" s="11" t="str">
        <f>+HYPERLINK("http://trademark.i-assist.jp/data/china/image_1900th/78829923.pdf", "78829923")</f>
        <v>78829923</v>
      </c>
      <c r="F1597" s="10" t="s">
        <v>4585</v>
      </c>
      <c r="G1597" s="10" t="s">
        <v>4586</v>
      </c>
      <c r="H1597" s="10" t="s">
        <v>4587</v>
      </c>
      <c r="I1597" s="10" t="s">
        <v>4254</v>
      </c>
    </row>
    <row r="1598" spans="1:9" x14ac:dyDescent="0.15">
      <c r="A1598" s="9">
        <v>1597</v>
      </c>
      <c r="B1598" s="10" t="s">
        <v>9</v>
      </c>
      <c r="C1598" s="10" t="s">
        <v>170</v>
      </c>
      <c r="D1598" s="10" t="s">
        <v>171</v>
      </c>
      <c r="E1598" s="11" t="str">
        <f>+HYPERLINK("http://trademark.i-assist.jp/data/china/image_1900th/78830023.pdf", "78830023")</f>
        <v>78830023</v>
      </c>
      <c r="F1598" s="10" t="s">
        <v>4588</v>
      </c>
      <c r="G1598" s="10" t="s">
        <v>4589</v>
      </c>
      <c r="H1598" s="10" t="s">
        <v>4590</v>
      </c>
      <c r="I1598" s="10" t="s">
        <v>4254</v>
      </c>
    </row>
    <row r="1599" spans="1:9" x14ac:dyDescent="0.15">
      <c r="A1599" s="9">
        <v>1598</v>
      </c>
      <c r="B1599" s="10" t="s">
        <v>9</v>
      </c>
      <c r="C1599" s="10" t="s">
        <v>170</v>
      </c>
      <c r="D1599" s="10" t="s">
        <v>171</v>
      </c>
      <c r="E1599" s="11" t="str">
        <f>+HYPERLINK("http://trademark.i-assist.jp/data/china/image_1900th/78830115.pdf", "78830115")</f>
        <v>78830115</v>
      </c>
      <c r="F1599" s="10" t="s">
        <v>4591</v>
      </c>
      <c r="G1599" s="10" t="s">
        <v>4592</v>
      </c>
      <c r="H1599" s="10" t="s">
        <v>4593</v>
      </c>
      <c r="I1599" s="10" t="s">
        <v>4254</v>
      </c>
    </row>
    <row r="1600" spans="1:9" x14ac:dyDescent="0.15">
      <c r="A1600" s="9">
        <v>1599</v>
      </c>
      <c r="B1600" s="10" t="s">
        <v>9</v>
      </c>
      <c r="C1600" s="10" t="s">
        <v>170</v>
      </c>
      <c r="D1600" s="10" t="s">
        <v>171</v>
      </c>
      <c r="E1600" s="11" t="str">
        <f>+HYPERLINK("http://trademark.i-assist.jp/data/china/image_1900th/78830254.pdf", "78830254")</f>
        <v>78830254</v>
      </c>
      <c r="F1600" s="10" t="s">
        <v>4594</v>
      </c>
      <c r="G1600" s="10" t="s">
        <v>4595</v>
      </c>
      <c r="H1600" s="10" t="s">
        <v>4596</v>
      </c>
      <c r="I1600" s="10" t="s">
        <v>4254</v>
      </c>
    </row>
    <row r="1601" spans="1:9" x14ac:dyDescent="0.15">
      <c r="A1601" s="9">
        <v>1600</v>
      </c>
      <c r="B1601" s="10" t="s">
        <v>9</v>
      </c>
      <c r="C1601" s="10" t="s">
        <v>170</v>
      </c>
      <c r="D1601" s="10" t="s">
        <v>171</v>
      </c>
      <c r="E1601" s="11" t="str">
        <f>+HYPERLINK("http://trademark.i-assist.jp/data/china/image_1900th/78830315.pdf", "78830315")</f>
        <v>78830315</v>
      </c>
      <c r="F1601" s="10" t="s">
        <v>4597</v>
      </c>
      <c r="G1601" s="10" t="s">
        <v>4598</v>
      </c>
      <c r="H1601" s="10" t="s">
        <v>4599</v>
      </c>
      <c r="I1601" s="10" t="s">
        <v>4254</v>
      </c>
    </row>
    <row r="1602" spans="1:9" x14ac:dyDescent="0.15">
      <c r="A1602" s="9">
        <v>1601</v>
      </c>
      <c r="B1602" s="10" t="s">
        <v>9</v>
      </c>
      <c r="C1602" s="10" t="s">
        <v>170</v>
      </c>
      <c r="D1602" s="10" t="s">
        <v>171</v>
      </c>
      <c r="E1602" s="11" t="str">
        <f>+HYPERLINK("http://trademark.i-assist.jp/data/china/image_1900th/78830332.pdf", "78830332")</f>
        <v>78830332</v>
      </c>
      <c r="F1602" s="10" t="s">
        <v>4600</v>
      </c>
      <c r="G1602" s="10" t="s">
        <v>4601</v>
      </c>
      <c r="H1602" s="10" t="s">
        <v>4602</v>
      </c>
      <c r="I1602" s="10" t="s">
        <v>4254</v>
      </c>
    </row>
    <row r="1603" spans="1:9" x14ac:dyDescent="0.15">
      <c r="A1603" s="9">
        <v>1602</v>
      </c>
      <c r="B1603" s="10" t="s">
        <v>9</v>
      </c>
      <c r="C1603" s="10" t="s">
        <v>170</v>
      </c>
      <c r="D1603" s="10" t="s">
        <v>171</v>
      </c>
      <c r="E1603" s="11" t="str">
        <f>+HYPERLINK("http://trademark.i-assist.jp/data/china/image_1900th/78830528.pdf", "78830528")</f>
        <v>78830528</v>
      </c>
      <c r="F1603" s="10" t="s">
        <v>4603</v>
      </c>
      <c r="G1603" s="10" t="s">
        <v>4604</v>
      </c>
      <c r="H1603" s="10" t="s">
        <v>4605</v>
      </c>
      <c r="I1603" s="10" t="s">
        <v>4254</v>
      </c>
    </row>
    <row r="1604" spans="1:9" x14ac:dyDescent="0.15">
      <c r="A1604" s="9">
        <v>1603</v>
      </c>
      <c r="B1604" s="10" t="s">
        <v>9</v>
      </c>
      <c r="C1604" s="10" t="s">
        <v>170</v>
      </c>
      <c r="D1604" s="10" t="s">
        <v>171</v>
      </c>
      <c r="E1604" s="11" t="str">
        <f>+HYPERLINK("http://trademark.i-assist.jp/data/china/image_1900th/78830577.pdf", "78830577")</f>
        <v>78830577</v>
      </c>
      <c r="F1604" s="10" t="s">
        <v>4606</v>
      </c>
      <c r="G1604" s="10" t="s">
        <v>4607</v>
      </c>
      <c r="H1604" s="10" t="s">
        <v>4608</v>
      </c>
      <c r="I1604" s="10" t="s">
        <v>4254</v>
      </c>
    </row>
    <row r="1605" spans="1:9" x14ac:dyDescent="0.15">
      <c r="A1605" s="9">
        <v>1604</v>
      </c>
      <c r="B1605" s="10" t="s">
        <v>9</v>
      </c>
      <c r="C1605" s="10" t="s">
        <v>170</v>
      </c>
      <c r="D1605" s="10" t="s">
        <v>171</v>
      </c>
      <c r="E1605" s="11" t="str">
        <f>+HYPERLINK("http://trademark.i-assist.jp/data/china/image_1900th/78830678.pdf", "78830678")</f>
        <v>78830678</v>
      </c>
      <c r="F1605" s="10" t="s">
        <v>4609</v>
      </c>
      <c r="G1605" s="10" t="s">
        <v>4252</v>
      </c>
      <c r="H1605" s="10" t="s">
        <v>4610</v>
      </c>
      <c r="I1605" s="10" t="s">
        <v>4254</v>
      </c>
    </row>
    <row r="1606" spans="1:9" x14ac:dyDescent="0.15">
      <c r="A1606" s="9">
        <v>1605</v>
      </c>
      <c r="B1606" s="10" t="s">
        <v>9</v>
      </c>
      <c r="C1606" s="10" t="s">
        <v>170</v>
      </c>
      <c r="D1606" s="10" t="s">
        <v>171</v>
      </c>
      <c r="E1606" s="11" t="str">
        <f>+HYPERLINK("http://trademark.i-assist.jp/data/china/image_1900th/78830702.pdf", "78830702")</f>
        <v>78830702</v>
      </c>
      <c r="F1606" s="10" t="s">
        <v>4611</v>
      </c>
      <c r="G1606" s="10" t="s">
        <v>4612</v>
      </c>
      <c r="H1606" s="10" t="s">
        <v>4613</v>
      </c>
      <c r="I1606" s="10" t="s">
        <v>4254</v>
      </c>
    </row>
    <row r="1607" spans="1:9" x14ac:dyDescent="0.15">
      <c r="A1607" s="9">
        <v>1606</v>
      </c>
      <c r="B1607" s="10" t="s">
        <v>9</v>
      </c>
      <c r="C1607" s="10" t="s">
        <v>170</v>
      </c>
      <c r="D1607" s="10" t="s">
        <v>171</v>
      </c>
      <c r="E1607" s="11" t="str">
        <f>+HYPERLINK("http://trademark.i-assist.jp/data/china/image_1900th/78830751.pdf", "78830751")</f>
        <v>78830751</v>
      </c>
      <c r="F1607" s="10" t="s">
        <v>4614</v>
      </c>
      <c r="G1607" s="10" t="s">
        <v>4615</v>
      </c>
      <c r="H1607" s="10" t="s">
        <v>4616</v>
      </c>
      <c r="I1607" s="10" t="s">
        <v>4254</v>
      </c>
    </row>
    <row r="1608" spans="1:9" x14ac:dyDescent="0.15">
      <c r="A1608" s="9">
        <v>1607</v>
      </c>
      <c r="B1608" s="10" t="s">
        <v>9</v>
      </c>
      <c r="C1608" s="10" t="s">
        <v>170</v>
      </c>
      <c r="D1608" s="10" t="s">
        <v>171</v>
      </c>
      <c r="E1608" s="11" t="str">
        <f>+HYPERLINK("http://trademark.i-assist.jp/data/china/image_1900th/78830817.pdf", "78830817")</f>
        <v>78830817</v>
      </c>
      <c r="F1608" s="10" t="s">
        <v>4617</v>
      </c>
      <c r="G1608" s="10" t="s">
        <v>4554</v>
      </c>
      <c r="H1608" s="10" t="s">
        <v>4618</v>
      </c>
      <c r="I1608" s="10" t="s">
        <v>4254</v>
      </c>
    </row>
    <row r="1609" spans="1:9" x14ac:dyDescent="0.15">
      <c r="A1609" s="9">
        <v>1608</v>
      </c>
      <c r="B1609" s="10" t="s">
        <v>9</v>
      </c>
      <c r="C1609" s="10" t="s">
        <v>170</v>
      </c>
      <c r="D1609" s="10" t="s">
        <v>171</v>
      </c>
      <c r="E1609" s="11" t="str">
        <f>+HYPERLINK("http://trademark.i-assist.jp/data/china/image_1900th/78830887.pdf", "78830887")</f>
        <v>78830887</v>
      </c>
      <c r="F1609" s="10" t="s">
        <v>4619</v>
      </c>
      <c r="G1609" s="10" t="s">
        <v>4620</v>
      </c>
      <c r="H1609" s="10" t="s">
        <v>4621</v>
      </c>
      <c r="I1609" s="10" t="s">
        <v>4254</v>
      </c>
    </row>
    <row r="1610" spans="1:9" x14ac:dyDescent="0.15">
      <c r="A1610" s="9">
        <v>1609</v>
      </c>
      <c r="B1610" s="10" t="s">
        <v>9</v>
      </c>
      <c r="C1610" s="10" t="s">
        <v>170</v>
      </c>
      <c r="D1610" s="10" t="s">
        <v>171</v>
      </c>
      <c r="E1610" s="11" t="str">
        <f>+HYPERLINK("http://trademark.i-assist.jp/data/china/image_1900th/78830888.pdf", "78830888")</f>
        <v>78830888</v>
      </c>
      <c r="F1610" s="10" t="s">
        <v>4622</v>
      </c>
      <c r="G1610" s="10" t="s">
        <v>4623</v>
      </c>
      <c r="H1610" s="10" t="s">
        <v>4624</v>
      </c>
      <c r="I1610" s="10" t="s">
        <v>4254</v>
      </c>
    </row>
    <row r="1611" spans="1:9" x14ac:dyDescent="0.15">
      <c r="A1611" s="9">
        <v>1610</v>
      </c>
      <c r="B1611" s="10" t="s">
        <v>9</v>
      </c>
      <c r="C1611" s="10" t="s">
        <v>170</v>
      </c>
      <c r="D1611" s="10" t="s">
        <v>171</v>
      </c>
      <c r="E1611" s="11" t="str">
        <f>+HYPERLINK("http://trademark.i-assist.jp/data/china/image_1900th/78831374.pdf", "78831374")</f>
        <v>78831374</v>
      </c>
      <c r="F1611" s="10" t="s">
        <v>4625</v>
      </c>
      <c r="G1611" s="10" t="s">
        <v>4626</v>
      </c>
      <c r="H1611" s="10" t="s">
        <v>4627</v>
      </c>
      <c r="I1611" s="10" t="s">
        <v>4254</v>
      </c>
    </row>
    <row r="1612" spans="1:9" x14ac:dyDescent="0.15">
      <c r="A1612" s="9">
        <v>1611</v>
      </c>
      <c r="B1612" s="10" t="s">
        <v>9</v>
      </c>
      <c r="C1612" s="10" t="s">
        <v>170</v>
      </c>
      <c r="D1612" s="10" t="s">
        <v>171</v>
      </c>
      <c r="E1612" s="11" t="str">
        <f>+HYPERLINK("http://trademark.i-assist.jp/data/china/image_1900th/78831405.pdf", "78831405")</f>
        <v>78831405</v>
      </c>
      <c r="F1612" s="10" t="s">
        <v>4628</v>
      </c>
      <c r="G1612" s="10" t="s">
        <v>4629</v>
      </c>
      <c r="H1612" s="10" t="s">
        <v>4630</v>
      </c>
      <c r="I1612" s="10" t="s">
        <v>4254</v>
      </c>
    </row>
    <row r="1613" spans="1:9" x14ac:dyDescent="0.15">
      <c r="A1613" s="9">
        <v>1612</v>
      </c>
      <c r="B1613" s="10" t="s">
        <v>9</v>
      </c>
      <c r="C1613" s="10" t="s">
        <v>170</v>
      </c>
      <c r="D1613" s="10" t="s">
        <v>171</v>
      </c>
      <c r="E1613" s="11" t="str">
        <f>+HYPERLINK("http://trademark.i-assist.jp/data/china/image_1900th/78831421.pdf", "78831421")</f>
        <v>78831421</v>
      </c>
      <c r="F1613" s="10" t="s">
        <v>4631</v>
      </c>
      <c r="G1613" s="10" t="s">
        <v>2773</v>
      </c>
      <c r="H1613" s="10" t="s">
        <v>4632</v>
      </c>
      <c r="I1613" s="10" t="s">
        <v>4254</v>
      </c>
    </row>
    <row r="1614" spans="1:9" x14ac:dyDescent="0.15">
      <c r="A1614" s="9">
        <v>1613</v>
      </c>
      <c r="B1614" s="10" t="s">
        <v>9</v>
      </c>
      <c r="C1614" s="10" t="s">
        <v>170</v>
      </c>
      <c r="D1614" s="10" t="s">
        <v>171</v>
      </c>
      <c r="E1614" s="11" t="str">
        <f>+HYPERLINK("http://trademark.i-assist.jp/data/china/image_1900th/78831465.pdf", "78831465")</f>
        <v>78831465</v>
      </c>
      <c r="F1614" s="10" t="s">
        <v>4633</v>
      </c>
      <c r="G1614" s="10" t="s">
        <v>4634</v>
      </c>
      <c r="H1614" s="10" t="s">
        <v>4635</v>
      </c>
      <c r="I1614" s="10" t="s">
        <v>4254</v>
      </c>
    </row>
    <row r="1615" spans="1:9" x14ac:dyDescent="0.15">
      <c r="A1615" s="9">
        <v>1614</v>
      </c>
      <c r="B1615" s="10" t="s">
        <v>9</v>
      </c>
      <c r="C1615" s="10" t="s">
        <v>170</v>
      </c>
      <c r="D1615" s="10" t="s">
        <v>171</v>
      </c>
      <c r="E1615" s="11" t="str">
        <f>+HYPERLINK("http://trademark.i-assist.jp/data/china/image_1900th/78831550.pdf", "78831550")</f>
        <v>78831550</v>
      </c>
      <c r="F1615" s="10" t="s">
        <v>4636</v>
      </c>
      <c r="G1615" s="10" t="s">
        <v>4637</v>
      </c>
      <c r="H1615" s="10" t="s">
        <v>4638</v>
      </c>
      <c r="I1615" s="10" t="s">
        <v>4254</v>
      </c>
    </row>
    <row r="1616" spans="1:9" x14ac:dyDescent="0.15">
      <c r="A1616" s="9">
        <v>1615</v>
      </c>
      <c r="B1616" s="10" t="s">
        <v>9</v>
      </c>
      <c r="C1616" s="10" t="s">
        <v>170</v>
      </c>
      <c r="D1616" s="10" t="s">
        <v>171</v>
      </c>
      <c r="E1616" s="11" t="str">
        <f>+HYPERLINK("http://trademark.i-assist.jp/data/china/image_1900th/78831572.pdf", "78831572")</f>
        <v>78831572</v>
      </c>
      <c r="F1616" s="10" t="s">
        <v>4639</v>
      </c>
      <c r="G1616" s="10" t="s">
        <v>4548</v>
      </c>
      <c r="H1616" s="10" t="s">
        <v>4640</v>
      </c>
      <c r="I1616" s="10" t="s">
        <v>4254</v>
      </c>
    </row>
    <row r="1617" spans="1:9" x14ac:dyDescent="0.15">
      <c r="A1617" s="9">
        <v>1616</v>
      </c>
      <c r="B1617" s="10" t="s">
        <v>9</v>
      </c>
      <c r="C1617" s="10" t="s">
        <v>170</v>
      </c>
      <c r="D1617" s="10" t="s">
        <v>171</v>
      </c>
      <c r="E1617" s="11" t="str">
        <f>+HYPERLINK("http://trademark.i-assist.jp/data/china/image_1900th/78831574.pdf", "78831574")</f>
        <v>78831574</v>
      </c>
      <c r="F1617" s="10" t="s">
        <v>4641</v>
      </c>
      <c r="G1617" s="10" t="s">
        <v>4548</v>
      </c>
      <c r="H1617" s="10" t="s">
        <v>4642</v>
      </c>
      <c r="I1617" s="10" t="s">
        <v>4254</v>
      </c>
    </row>
    <row r="1618" spans="1:9" x14ac:dyDescent="0.15">
      <c r="A1618" s="9">
        <v>1617</v>
      </c>
      <c r="B1618" s="10" t="s">
        <v>9</v>
      </c>
      <c r="C1618" s="10" t="s">
        <v>170</v>
      </c>
      <c r="D1618" s="10" t="s">
        <v>171</v>
      </c>
      <c r="E1618" s="11" t="str">
        <f>+HYPERLINK("http://trademark.i-assist.jp/data/china/image_1900th/78831595.pdf", "78831595")</f>
        <v>78831595</v>
      </c>
      <c r="F1618" s="10" t="s">
        <v>4643</v>
      </c>
      <c r="G1618" s="10" t="s">
        <v>4644</v>
      </c>
      <c r="H1618" s="10" t="s">
        <v>4645</v>
      </c>
      <c r="I1618" s="10" t="s">
        <v>4254</v>
      </c>
    </row>
    <row r="1619" spans="1:9" x14ac:dyDescent="0.15">
      <c r="A1619" s="9">
        <v>1618</v>
      </c>
      <c r="B1619" s="10" t="s">
        <v>9</v>
      </c>
      <c r="C1619" s="10" t="s">
        <v>170</v>
      </c>
      <c r="D1619" s="10" t="s">
        <v>171</v>
      </c>
      <c r="E1619" s="11" t="str">
        <f>+HYPERLINK("http://trademark.i-assist.jp/data/china/image_1900th/78831613.pdf", "78831613")</f>
        <v>78831613</v>
      </c>
      <c r="F1619" s="10" t="s">
        <v>4646</v>
      </c>
      <c r="G1619" s="10" t="s">
        <v>4647</v>
      </c>
      <c r="H1619" s="10" t="s">
        <v>4648</v>
      </c>
      <c r="I1619" s="10" t="s">
        <v>4254</v>
      </c>
    </row>
    <row r="1620" spans="1:9" x14ac:dyDescent="0.15">
      <c r="A1620" s="9">
        <v>1619</v>
      </c>
      <c r="B1620" s="10" t="s">
        <v>9</v>
      </c>
      <c r="C1620" s="10" t="s">
        <v>170</v>
      </c>
      <c r="D1620" s="10" t="s">
        <v>171</v>
      </c>
      <c r="E1620" s="11" t="str">
        <f>+HYPERLINK("http://trademark.i-assist.jp/data/china/image_1900th/78831696.pdf", "78831696")</f>
        <v>78831696</v>
      </c>
      <c r="F1620" s="10" t="s">
        <v>4649</v>
      </c>
      <c r="G1620" s="10" t="s">
        <v>4650</v>
      </c>
      <c r="H1620" s="10" t="s">
        <v>4651</v>
      </c>
      <c r="I1620" s="10" t="s">
        <v>4254</v>
      </c>
    </row>
    <row r="1621" spans="1:9" x14ac:dyDescent="0.15">
      <c r="A1621" s="9">
        <v>1620</v>
      </c>
      <c r="B1621" s="10" t="s">
        <v>9</v>
      </c>
      <c r="C1621" s="10" t="s">
        <v>170</v>
      </c>
      <c r="D1621" s="10" t="s">
        <v>171</v>
      </c>
      <c r="E1621" s="11" t="str">
        <f>+HYPERLINK("http://trademark.i-assist.jp/data/china/image_1900th/78831740.pdf", "78831740")</f>
        <v>78831740</v>
      </c>
      <c r="F1621" s="10" t="s">
        <v>4652</v>
      </c>
      <c r="G1621" s="10" t="s">
        <v>4653</v>
      </c>
      <c r="H1621" s="10" t="s">
        <v>4654</v>
      </c>
      <c r="I1621" s="10" t="s">
        <v>3453</v>
      </c>
    </row>
    <row r="1622" spans="1:9" x14ac:dyDescent="0.15">
      <c r="A1622" s="9">
        <v>1621</v>
      </c>
      <c r="B1622" s="10" t="s">
        <v>9</v>
      </c>
      <c r="C1622" s="10" t="s">
        <v>170</v>
      </c>
      <c r="D1622" s="10" t="s">
        <v>171</v>
      </c>
      <c r="E1622" s="11" t="str">
        <f>+HYPERLINK("http://trademark.i-assist.jp/data/china/image_1900th/78831797.pdf", "78831797")</f>
        <v>78831797</v>
      </c>
      <c r="F1622" s="10" t="s">
        <v>4655</v>
      </c>
      <c r="G1622" s="10" t="s">
        <v>4656</v>
      </c>
      <c r="H1622" s="10" t="s">
        <v>4657</v>
      </c>
      <c r="I1622" s="10" t="s">
        <v>3453</v>
      </c>
    </row>
    <row r="1623" spans="1:9" x14ac:dyDescent="0.15">
      <c r="A1623" s="9">
        <v>1622</v>
      </c>
      <c r="B1623" s="10" t="s">
        <v>9</v>
      </c>
      <c r="C1623" s="10" t="s">
        <v>170</v>
      </c>
      <c r="D1623" s="10" t="s">
        <v>171</v>
      </c>
      <c r="E1623" s="11" t="str">
        <f>+HYPERLINK("http://trademark.i-assist.jp/data/china/image_1900th/78831999.pdf", "78831999")</f>
        <v>78831999</v>
      </c>
      <c r="F1623" s="10" t="s">
        <v>4658</v>
      </c>
      <c r="G1623" s="10" t="s">
        <v>4659</v>
      </c>
      <c r="H1623" s="10" t="s">
        <v>4660</v>
      </c>
      <c r="I1623" s="10" t="s">
        <v>4254</v>
      </c>
    </row>
    <row r="1624" spans="1:9" x14ac:dyDescent="0.15">
      <c r="A1624" s="9">
        <v>1623</v>
      </c>
      <c r="B1624" s="10" t="s">
        <v>9</v>
      </c>
      <c r="C1624" s="10" t="s">
        <v>170</v>
      </c>
      <c r="D1624" s="10" t="s">
        <v>171</v>
      </c>
      <c r="E1624" s="11" t="str">
        <f>+HYPERLINK("http://trademark.i-assist.jp/data/china/image_1900th/78832022.pdf", "78832022")</f>
        <v>78832022</v>
      </c>
      <c r="F1624" s="10" t="s">
        <v>4661</v>
      </c>
      <c r="G1624" s="10" t="s">
        <v>4662</v>
      </c>
      <c r="H1624" s="10" t="s">
        <v>4663</v>
      </c>
      <c r="I1624" s="10" t="s">
        <v>3453</v>
      </c>
    </row>
    <row r="1625" spans="1:9" x14ac:dyDescent="0.15">
      <c r="A1625" s="9">
        <v>1624</v>
      </c>
      <c r="B1625" s="10" t="s">
        <v>9</v>
      </c>
      <c r="C1625" s="10" t="s">
        <v>170</v>
      </c>
      <c r="D1625" s="10" t="s">
        <v>171</v>
      </c>
      <c r="E1625" s="11" t="str">
        <f>+HYPERLINK("http://trademark.i-assist.jp/data/china/image_1900th/78832033.pdf", "78832033")</f>
        <v>78832033</v>
      </c>
      <c r="F1625" s="10" t="s">
        <v>4664</v>
      </c>
      <c r="G1625" s="10" t="s">
        <v>4662</v>
      </c>
      <c r="H1625" s="10" t="s">
        <v>4665</v>
      </c>
      <c r="I1625" s="10" t="s">
        <v>3453</v>
      </c>
    </row>
    <row r="1626" spans="1:9" x14ac:dyDescent="0.15">
      <c r="A1626" s="9">
        <v>1625</v>
      </c>
      <c r="B1626" s="10" t="s">
        <v>9</v>
      </c>
      <c r="C1626" s="10" t="s">
        <v>170</v>
      </c>
      <c r="D1626" s="10" t="s">
        <v>171</v>
      </c>
      <c r="E1626" s="11" t="str">
        <f>+HYPERLINK("http://trademark.i-assist.jp/data/china/image_1900th/78832124.pdf", "78832124")</f>
        <v>78832124</v>
      </c>
      <c r="F1626" s="10" t="s">
        <v>15</v>
      </c>
      <c r="G1626" s="10" t="s">
        <v>4666</v>
      </c>
      <c r="H1626" s="10" t="s">
        <v>4667</v>
      </c>
      <c r="I1626" s="10" t="s">
        <v>4254</v>
      </c>
    </row>
    <row r="1627" spans="1:9" x14ac:dyDescent="0.15">
      <c r="A1627" s="9">
        <v>1626</v>
      </c>
      <c r="B1627" s="10" t="s">
        <v>9</v>
      </c>
      <c r="C1627" s="10" t="s">
        <v>170</v>
      </c>
      <c r="D1627" s="10" t="s">
        <v>171</v>
      </c>
      <c r="E1627" s="11" t="str">
        <f>+HYPERLINK("http://trademark.i-assist.jp/data/china/image_1900th/78832148.pdf", "78832148")</f>
        <v>78832148</v>
      </c>
      <c r="F1627" s="10" t="s">
        <v>4668</v>
      </c>
      <c r="G1627" s="10" t="s">
        <v>4669</v>
      </c>
      <c r="H1627" s="10" t="s">
        <v>4670</v>
      </c>
      <c r="I1627" s="10" t="s">
        <v>4254</v>
      </c>
    </row>
    <row r="1628" spans="1:9" x14ac:dyDescent="0.15">
      <c r="A1628" s="9">
        <v>1627</v>
      </c>
      <c r="B1628" s="10" t="s">
        <v>9</v>
      </c>
      <c r="C1628" s="10" t="s">
        <v>170</v>
      </c>
      <c r="D1628" s="10" t="s">
        <v>171</v>
      </c>
      <c r="E1628" s="11" t="str">
        <f>+HYPERLINK("http://trademark.i-assist.jp/data/china/image_1900th/78832514.pdf", "78832514")</f>
        <v>78832514</v>
      </c>
      <c r="F1628" s="10" t="s">
        <v>4671</v>
      </c>
      <c r="G1628" s="10" t="s">
        <v>4672</v>
      </c>
      <c r="H1628" s="10" t="s">
        <v>4673</v>
      </c>
      <c r="I1628" s="10" t="s">
        <v>4254</v>
      </c>
    </row>
    <row r="1629" spans="1:9" x14ac:dyDescent="0.15">
      <c r="A1629" s="9">
        <v>1628</v>
      </c>
      <c r="B1629" s="10" t="s">
        <v>9</v>
      </c>
      <c r="C1629" s="10" t="s">
        <v>170</v>
      </c>
      <c r="D1629" s="10" t="s">
        <v>171</v>
      </c>
      <c r="E1629" s="11" t="str">
        <f>+HYPERLINK("http://trademark.i-assist.jp/data/china/image_1900th/78832534.pdf", "78832534")</f>
        <v>78832534</v>
      </c>
      <c r="F1629" s="10" t="s">
        <v>4674</v>
      </c>
      <c r="G1629" s="10" t="s">
        <v>4675</v>
      </c>
      <c r="H1629" s="10" t="s">
        <v>4676</v>
      </c>
      <c r="I1629" s="10" t="s">
        <v>4254</v>
      </c>
    </row>
    <row r="1630" spans="1:9" x14ac:dyDescent="0.15">
      <c r="A1630" s="9">
        <v>1629</v>
      </c>
      <c r="B1630" s="10" t="s">
        <v>9</v>
      </c>
      <c r="C1630" s="10" t="s">
        <v>170</v>
      </c>
      <c r="D1630" s="10" t="s">
        <v>171</v>
      </c>
      <c r="E1630" s="11" t="str">
        <f>+HYPERLINK("http://trademark.i-assist.jp/data/china/image_1900th/78832725.pdf", "78832725")</f>
        <v>78832725</v>
      </c>
      <c r="F1630" s="10" t="s">
        <v>4677</v>
      </c>
      <c r="G1630" s="10" t="s">
        <v>4678</v>
      </c>
      <c r="H1630" s="10" t="s">
        <v>4679</v>
      </c>
      <c r="I1630" s="10" t="s">
        <v>4254</v>
      </c>
    </row>
    <row r="1631" spans="1:9" x14ac:dyDescent="0.15">
      <c r="A1631" s="9">
        <v>1630</v>
      </c>
      <c r="B1631" s="10" t="s">
        <v>9</v>
      </c>
      <c r="C1631" s="10" t="s">
        <v>170</v>
      </c>
      <c r="D1631" s="10" t="s">
        <v>171</v>
      </c>
      <c r="E1631" s="11" t="str">
        <f>+HYPERLINK("http://trademark.i-assist.jp/data/china/image_1900th/78832824.pdf", "78832824")</f>
        <v>78832824</v>
      </c>
      <c r="F1631" s="10" t="s">
        <v>4680</v>
      </c>
      <c r="G1631" s="10" t="s">
        <v>4681</v>
      </c>
      <c r="H1631" s="10" t="s">
        <v>4682</v>
      </c>
      <c r="I1631" s="10" t="s">
        <v>4254</v>
      </c>
    </row>
    <row r="1632" spans="1:9" x14ac:dyDescent="0.15">
      <c r="A1632" s="9">
        <v>1631</v>
      </c>
      <c r="B1632" s="10" t="s">
        <v>9</v>
      </c>
      <c r="C1632" s="10" t="s">
        <v>170</v>
      </c>
      <c r="D1632" s="10" t="s">
        <v>171</v>
      </c>
      <c r="E1632" s="11" t="str">
        <f>+HYPERLINK("http://trademark.i-assist.jp/data/china/image_1900th/78832882.pdf", "78832882")</f>
        <v>78832882</v>
      </c>
      <c r="F1632" s="10" t="s">
        <v>4683</v>
      </c>
      <c r="G1632" s="10" t="s">
        <v>4684</v>
      </c>
      <c r="H1632" s="10" t="s">
        <v>4685</v>
      </c>
      <c r="I1632" s="10" t="s">
        <v>4254</v>
      </c>
    </row>
    <row r="1633" spans="1:9" x14ac:dyDescent="0.15">
      <c r="A1633" s="9">
        <v>1632</v>
      </c>
      <c r="B1633" s="10" t="s">
        <v>9</v>
      </c>
      <c r="C1633" s="10" t="s">
        <v>170</v>
      </c>
      <c r="D1633" s="10" t="s">
        <v>171</v>
      </c>
      <c r="E1633" s="11" t="str">
        <f>+HYPERLINK("http://trademark.i-assist.jp/data/china/image_1900th/78832952.pdf", "78832952")</f>
        <v>78832952</v>
      </c>
      <c r="F1633" s="10" t="s">
        <v>4686</v>
      </c>
      <c r="G1633" s="10" t="s">
        <v>4687</v>
      </c>
      <c r="H1633" s="10" t="s">
        <v>4688</v>
      </c>
      <c r="I1633" s="10" t="s">
        <v>4254</v>
      </c>
    </row>
    <row r="1634" spans="1:9" x14ac:dyDescent="0.15">
      <c r="A1634" s="9">
        <v>1633</v>
      </c>
      <c r="B1634" s="10" t="s">
        <v>9</v>
      </c>
      <c r="C1634" s="10" t="s">
        <v>170</v>
      </c>
      <c r="D1634" s="10" t="s">
        <v>171</v>
      </c>
      <c r="E1634" s="11" t="str">
        <f>+HYPERLINK("http://trademark.i-assist.jp/data/china/image_1900th/78832996.pdf", "78832996")</f>
        <v>78832996</v>
      </c>
      <c r="F1634" s="10" t="s">
        <v>4689</v>
      </c>
      <c r="G1634" s="10" t="s">
        <v>4690</v>
      </c>
      <c r="H1634" s="10" t="s">
        <v>4691</v>
      </c>
      <c r="I1634" s="10" t="s">
        <v>4254</v>
      </c>
    </row>
    <row r="1635" spans="1:9" x14ac:dyDescent="0.15">
      <c r="A1635" s="9">
        <v>1634</v>
      </c>
      <c r="B1635" s="10" t="s">
        <v>9</v>
      </c>
      <c r="C1635" s="10" t="s">
        <v>170</v>
      </c>
      <c r="D1635" s="10" t="s">
        <v>171</v>
      </c>
      <c r="E1635" s="11" t="str">
        <f>+HYPERLINK("http://trademark.i-assist.jp/data/china/image_1900th/78833235.pdf", "78833235")</f>
        <v>78833235</v>
      </c>
      <c r="F1635" s="10" t="s">
        <v>4692</v>
      </c>
      <c r="G1635" s="10" t="s">
        <v>4693</v>
      </c>
      <c r="H1635" s="10" t="s">
        <v>4694</v>
      </c>
      <c r="I1635" s="10" t="s">
        <v>4254</v>
      </c>
    </row>
    <row r="1636" spans="1:9" x14ac:dyDescent="0.15">
      <c r="A1636" s="9">
        <v>1635</v>
      </c>
      <c r="B1636" s="10" t="s">
        <v>9</v>
      </c>
      <c r="C1636" s="10" t="s">
        <v>170</v>
      </c>
      <c r="D1636" s="10" t="s">
        <v>171</v>
      </c>
      <c r="E1636" s="11" t="str">
        <f>+HYPERLINK("http://trademark.i-assist.jp/data/china/image_1900th/78833482.pdf", "78833482")</f>
        <v>78833482</v>
      </c>
      <c r="F1636" s="10" t="s">
        <v>4695</v>
      </c>
      <c r="G1636" s="10" t="s">
        <v>4557</v>
      </c>
      <c r="H1636" s="10" t="s">
        <v>4696</v>
      </c>
      <c r="I1636" s="10" t="s">
        <v>4254</v>
      </c>
    </row>
    <row r="1637" spans="1:9" x14ac:dyDescent="0.15">
      <c r="A1637" s="9">
        <v>1636</v>
      </c>
      <c r="B1637" s="10" t="s">
        <v>9</v>
      </c>
      <c r="C1637" s="10" t="s">
        <v>170</v>
      </c>
      <c r="D1637" s="10" t="s">
        <v>171</v>
      </c>
      <c r="E1637" s="11" t="str">
        <f>+HYPERLINK("http://trademark.i-assist.jp/data/china/image_1900th/78833500.pdf", "78833500")</f>
        <v>78833500</v>
      </c>
      <c r="F1637" s="10" t="s">
        <v>4697</v>
      </c>
      <c r="G1637" s="10" t="s">
        <v>4698</v>
      </c>
      <c r="H1637" s="10" t="s">
        <v>4699</v>
      </c>
      <c r="I1637" s="10" t="s">
        <v>4254</v>
      </c>
    </row>
    <row r="1638" spans="1:9" x14ac:dyDescent="0.15">
      <c r="A1638" s="9">
        <v>1637</v>
      </c>
      <c r="B1638" s="10" t="s">
        <v>9</v>
      </c>
      <c r="C1638" s="10" t="s">
        <v>170</v>
      </c>
      <c r="D1638" s="10" t="s">
        <v>171</v>
      </c>
      <c r="E1638" s="11" t="str">
        <f>+HYPERLINK("http://trademark.i-assist.jp/data/china/image_1900th/78833502.pdf", "78833502")</f>
        <v>78833502</v>
      </c>
      <c r="F1638" s="10" t="s">
        <v>4700</v>
      </c>
      <c r="G1638" s="10" t="s">
        <v>4701</v>
      </c>
      <c r="H1638" s="10" t="s">
        <v>4702</v>
      </c>
      <c r="I1638" s="10" t="s">
        <v>4254</v>
      </c>
    </row>
    <row r="1639" spans="1:9" x14ac:dyDescent="0.15">
      <c r="A1639" s="9">
        <v>1638</v>
      </c>
      <c r="B1639" s="10" t="s">
        <v>9</v>
      </c>
      <c r="C1639" s="10" t="s">
        <v>170</v>
      </c>
      <c r="D1639" s="10" t="s">
        <v>171</v>
      </c>
      <c r="E1639" s="11" t="str">
        <f>+HYPERLINK("http://trademark.i-assist.jp/data/china/image_1900th/78833762.pdf", "78833762")</f>
        <v>78833762</v>
      </c>
      <c r="F1639" s="10" t="s">
        <v>4703</v>
      </c>
      <c r="G1639" s="10" t="s">
        <v>4704</v>
      </c>
      <c r="H1639" s="10" t="s">
        <v>4705</v>
      </c>
      <c r="I1639" s="10" t="s">
        <v>4254</v>
      </c>
    </row>
    <row r="1640" spans="1:9" x14ac:dyDescent="0.15">
      <c r="A1640" s="9">
        <v>1639</v>
      </c>
      <c r="B1640" s="10" t="s">
        <v>9</v>
      </c>
      <c r="C1640" s="10" t="s">
        <v>170</v>
      </c>
      <c r="D1640" s="10" t="s">
        <v>171</v>
      </c>
      <c r="E1640" s="11" t="str">
        <f>+HYPERLINK("http://trademark.i-assist.jp/data/china/image_1900th/78833827.pdf", "78833827")</f>
        <v>78833827</v>
      </c>
      <c r="F1640" s="10" t="s">
        <v>4706</v>
      </c>
      <c r="G1640" s="10" t="s">
        <v>4707</v>
      </c>
      <c r="H1640" s="10" t="s">
        <v>4708</v>
      </c>
      <c r="I1640" s="10" t="s">
        <v>4254</v>
      </c>
    </row>
    <row r="1641" spans="1:9" x14ac:dyDescent="0.15">
      <c r="A1641" s="9">
        <v>1640</v>
      </c>
      <c r="B1641" s="10" t="s">
        <v>9</v>
      </c>
      <c r="C1641" s="10" t="s">
        <v>170</v>
      </c>
      <c r="D1641" s="10" t="s">
        <v>171</v>
      </c>
      <c r="E1641" s="11" t="str">
        <f>+HYPERLINK("http://trademark.i-assist.jp/data/china/image_1900th/78833838.pdf", "78833838")</f>
        <v>78833838</v>
      </c>
      <c r="F1641" s="10" t="s">
        <v>4709</v>
      </c>
      <c r="G1641" s="10" t="s">
        <v>4659</v>
      </c>
      <c r="H1641" s="10" t="s">
        <v>4710</v>
      </c>
      <c r="I1641" s="10" t="s">
        <v>4254</v>
      </c>
    </row>
    <row r="1642" spans="1:9" x14ac:dyDescent="0.15">
      <c r="A1642" s="9">
        <v>1641</v>
      </c>
      <c r="B1642" s="10" t="s">
        <v>9</v>
      </c>
      <c r="C1642" s="10" t="s">
        <v>170</v>
      </c>
      <c r="D1642" s="10" t="s">
        <v>171</v>
      </c>
      <c r="E1642" s="11" t="str">
        <f>+HYPERLINK("http://trademark.i-assist.jp/data/china/image_1900th/78834464.pdf", "78834464")</f>
        <v>78834464</v>
      </c>
      <c r="F1642" s="10" t="s">
        <v>4711</v>
      </c>
      <c r="G1642" s="10" t="s">
        <v>4712</v>
      </c>
      <c r="H1642" s="10" t="s">
        <v>4713</v>
      </c>
      <c r="I1642" s="10" t="s">
        <v>4254</v>
      </c>
    </row>
    <row r="1643" spans="1:9" x14ac:dyDescent="0.15">
      <c r="A1643" s="9">
        <v>1642</v>
      </c>
      <c r="B1643" s="10" t="s">
        <v>9</v>
      </c>
      <c r="C1643" s="10" t="s">
        <v>170</v>
      </c>
      <c r="D1643" s="10" t="s">
        <v>171</v>
      </c>
      <c r="E1643" s="11" t="str">
        <f>+HYPERLINK("http://trademark.i-assist.jp/data/china/image_1900th/78834571.pdf", "78834571")</f>
        <v>78834571</v>
      </c>
      <c r="F1643" s="10" t="s">
        <v>4714</v>
      </c>
      <c r="G1643" s="10" t="s">
        <v>4715</v>
      </c>
      <c r="H1643" s="10" t="s">
        <v>4716</v>
      </c>
      <c r="I1643" s="10" t="s">
        <v>4254</v>
      </c>
    </row>
    <row r="1644" spans="1:9" x14ac:dyDescent="0.15">
      <c r="A1644" s="9">
        <v>1643</v>
      </c>
      <c r="B1644" s="10" t="s">
        <v>9</v>
      </c>
      <c r="C1644" s="10" t="s">
        <v>170</v>
      </c>
      <c r="D1644" s="10" t="s">
        <v>171</v>
      </c>
      <c r="E1644" s="11" t="str">
        <f>+HYPERLINK("http://trademark.i-assist.jp/data/china/image_1900th/78834819.pdf", "78834819")</f>
        <v>78834819</v>
      </c>
      <c r="F1644" s="10" t="s">
        <v>4717</v>
      </c>
      <c r="G1644" s="10" t="s">
        <v>4718</v>
      </c>
      <c r="H1644" s="10" t="s">
        <v>4719</v>
      </c>
      <c r="I1644" s="10" t="s">
        <v>4254</v>
      </c>
    </row>
    <row r="1645" spans="1:9" x14ac:dyDescent="0.15">
      <c r="A1645" s="9">
        <v>1644</v>
      </c>
      <c r="B1645" s="10" t="s">
        <v>9</v>
      </c>
      <c r="C1645" s="10" t="s">
        <v>170</v>
      </c>
      <c r="D1645" s="10" t="s">
        <v>171</v>
      </c>
      <c r="E1645" s="11" t="str">
        <f>+HYPERLINK("http://trademark.i-assist.jp/data/china/image_1900th/78835204.pdf", "78835204")</f>
        <v>78835204</v>
      </c>
      <c r="F1645" s="10" t="s">
        <v>4720</v>
      </c>
      <c r="G1645" s="10" t="s">
        <v>4721</v>
      </c>
      <c r="H1645" s="10" t="s">
        <v>4722</v>
      </c>
      <c r="I1645" s="10" t="s">
        <v>4723</v>
      </c>
    </row>
    <row r="1646" spans="1:9" x14ac:dyDescent="0.15">
      <c r="A1646" s="9">
        <v>1645</v>
      </c>
      <c r="B1646" s="10" t="s">
        <v>9</v>
      </c>
      <c r="C1646" s="10" t="s">
        <v>170</v>
      </c>
      <c r="D1646" s="10" t="s">
        <v>171</v>
      </c>
      <c r="E1646" s="11" t="str">
        <f>+HYPERLINK("http://trademark.i-assist.jp/data/china/image_1900th/78835264.pdf", "78835264")</f>
        <v>78835264</v>
      </c>
      <c r="F1646" s="10" t="s">
        <v>4724</v>
      </c>
      <c r="G1646" s="10" t="s">
        <v>4725</v>
      </c>
      <c r="H1646" s="10" t="s">
        <v>4726</v>
      </c>
      <c r="I1646" s="10" t="s">
        <v>4723</v>
      </c>
    </row>
    <row r="1647" spans="1:9" x14ac:dyDescent="0.15">
      <c r="A1647" s="9">
        <v>1646</v>
      </c>
      <c r="B1647" s="10" t="s">
        <v>9</v>
      </c>
      <c r="C1647" s="10" t="s">
        <v>170</v>
      </c>
      <c r="D1647" s="10" t="s">
        <v>171</v>
      </c>
      <c r="E1647" s="11" t="str">
        <f>+HYPERLINK("http://trademark.i-assist.jp/data/china/image_1900th/78835276.pdf", "78835276")</f>
        <v>78835276</v>
      </c>
      <c r="F1647" s="10" t="s">
        <v>4727</v>
      </c>
      <c r="G1647" s="10" t="s">
        <v>4728</v>
      </c>
      <c r="H1647" s="10" t="s">
        <v>4729</v>
      </c>
      <c r="I1647" s="10" t="s">
        <v>4723</v>
      </c>
    </row>
    <row r="1648" spans="1:9" x14ac:dyDescent="0.15">
      <c r="A1648" s="9">
        <v>1647</v>
      </c>
      <c r="B1648" s="10" t="s">
        <v>9</v>
      </c>
      <c r="C1648" s="10" t="s">
        <v>170</v>
      </c>
      <c r="D1648" s="10" t="s">
        <v>171</v>
      </c>
      <c r="E1648" s="11" t="str">
        <f>+HYPERLINK("http://trademark.i-assist.jp/data/china/image_1900th/78835277.pdf", "78835277")</f>
        <v>78835277</v>
      </c>
      <c r="F1648" s="10" t="s">
        <v>4730</v>
      </c>
      <c r="G1648" s="10" t="s">
        <v>4731</v>
      </c>
      <c r="H1648" s="10" t="s">
        <v>4732</v>
      </c>
      <c r="I1648" s="10" t="s">
        <v>4723</v>
      </c>
    </row>
    <row r="1649" spans="1:9" x14ac:dyDescent="0.15">
      <c r="A1649" s="9">
        <v>1648</v>
      </c>
      <c r="B1649" s="10" t="s">
        <v>9</v>
      </c>
      <c r="C1649" s="10" t="s">
        <v>170</v>
      </c>
      <c r="D1649" s="10" t="s">
        <v>171</v>
      </c>
      <c r="E1649" s="11" t="str">
        <f>+HYPERLINK("http://trademark.i-assist.jp/data/china/image_1900th/78835360.pdf", "78835360")</f>
        <v>78835360</v>
      </c>
      <c r="F1649" s="10" t="s">
        <v>4733</v>
      </c>
      <c r="G1649" s="10" t="s">
        <v>4734</v>
      </c>
      <c r="H1649" s="10" t="s">
        <v>4735</v>
      </c>
      <c r="I1649" s="10" t="s">
        <v>4723</v>
      </c>
    </row>
    <row r="1650" spans="1:9" x14ac:dyDescent="0.15">
      <c r="A1650" s="9">
        <v>1649</v>
      </c>
      <c r="B1650" s="10" t="s">
        <v>9</v>
      </c>
      <c r="C1650" s="10" t="s">
        <v>170</v>
      </c>
      <c r="D1650" s="10" t="s">
        <v>171</v>
      </c>
      <c r="E1650" s="11" t="str">
        <f>+HYPERLINK("http://trademark.i-assist.jp/data/china/image_1900th/78835377.pdf", "78835377")</f>
        <v>78835377</v>
      </c>
      <c r="F1650" s="10" t="s">
        <v>4736</v>
      </c>
      <c r="G1650" s="10" t="s">
        <v>4737</v>
      </c>
      <c r="H1650" s="10" t="s">
        <v>4738</v>
      </c>
      <c r="I1650" s="10" t="s">
        <v>4723</v>
      </c>
    </row>
    <row r="1651" spans="1:9" x14ac:dyDescent="0.15">
      <c r="A1651" s="9">
        <v>1650</v>
      </c>
      <c r="B1651" s="10" t="s">
        <v>9</v>
      </c>
      <c r="C1651" s="10" t="s">
        <v>170</v>
      </c>
      <c r="D1651" s="10" t="s">
        <v>171</v>
      </c>
      <c r="E1651" s="11" t="str">
        <f>+HYPERLINK("http://trademark.i-assist.jp/data/china/image_1900th/78835402.pdf", "78835402")</f>
        <v>78835402</v>
      </c>
      <c r="F1651" s="10" t="s">
        <v>4739</v>
      </c>
      <c r="G1651" s="10" t="s">
        <v>4740</v>
      </c>
      <c r="H1651" s="10" t="s">
        <v>4741</v>
      </c>
      <c r="I1651" s="10" t="s">
        <v>4723</v>
      </c>
    </row>
    <row r="1652" spans="1:9" x14ac:dyDescent="0.15">
      <c r="A1652" s="9">
        <v>1651</v>
      </c>
      <c r="B1652" s="10" t="s">
        <v>9</v>
      </c>
      <c r="C1652" s="10" t="s">
        <v>170</v>
      </c>
      <c r="D1652" s="10" t="s">
        <v>171</v>
      </c>
      <c r="E1652" s="11" t="str">
        <f>+HYPERLINK("http://trademark.i-assist.jp/data/china/image_1900th/78835489.pdf", "78835489")</f>
        <v>78835489</v>
      </c>
      <c r="F1652" s="10" t="s">
        <v>4742</v>
      </c>
      <c r="G1652" s="10" t="s">
        <v>4721</v>
      </c>
      <c r="H1652" s="10" t="s">
        <v>4743</v>
      </c>
      <c r="I1652" s="10" t="s">
        <v>4723</v>
      </c>
    </row>
    <row r="1653" spans="1:9" x14ac:dyDescent="0.15">
      <c r="A1653" s="9">
        <v>1652</v>
      </c>
      <c r="B1653" s="10" t="s">
        <v>9</v>
      </c>
      <c r="C1653" s="10" t="s">
        <v>170</v>
      </c>
      <c r="D1653" s="10" t="s">
        <v>171</v>
      </c>
      <c r="E1653" s="11" t="str">
        <f>+HYPERLINK("http://trademark.i-assist.jp/data/china/image_1900th/78835610.pdf", "78835610")</f>
        <v>78835610</v>
      </c>
      <c r="F1653" s="10" t="s">
        <v>15</v>
      </c>
      <c r="G1653" s="10" t="s">
        <v>4744</v>
      </c>
      <c r="H1653" s="10" t="s">
        <v>4745</v>
      </c>
      <c r="I1653" s="10" t="s">
        <v>4723</v>
      </c>
    </row>
    <row r="1654" spans="1:9" x14ac:dyDescent="0.15">
      <c r="A1654" s="9">
        <v>1653</v>
      </c>
      <c r="B1654" s="10" t="s">
        <v>9</v>
      </c>
      <c r="C1654" s="10" t="s">
        <v>170</v>
      </c>
      <c r="D1654" s="10" t="s">
        <v>171</v>
      </c>
      <c r="E1654" s="11" t="str">
        <f>+HYPERLINK("http://trademark.i-assist.jp/data/china/image_1900th/78835671.pdf", "78835671")</f>
        <v>78835671</v>
      </c>
      <c r="F1654" s="10" t="s">
        <v>4746</v>
      </c>
      <c r="G1654" s="10" t="s">
        <v>4747</v>
      </c>
      <c r="H1654" s="10" t="s">
        <v>4748</v>
      </c>
      <c r="I1654" s="10" t="s">
        <v>4723</v>
      </c>
    </row>
    <row r="1655" spans="1:9" x14ac:dyDescent="0.15">
      <c r="A1655" s="9">
        <v>1654</v>
      </c>
      <c r="B1655" s="10" t="s">
        <v>9</v>
      </c>
      <c r="C1655" s="10" t="s">
        <v>170</v>
      </c>
      <c r="D1655" s="10" t="s">
        <v>171</v>
      </c>
      <c r="E1655" s="11" t="str">
        <f>+HYPERLINK("http://trademark.i-assist.jp/data/china/image_1900th/78835683.pdf", "78835683")</f>
        <v>78835683</v>
      </c>
      <c r="F1655" s="10" t="s">
        <v>4749</v>
      </c>
      <c r="G1655" s="10" t="s">
        <v>4707</v>
      </c>
      <c r="H1655" s="10" t="s">
        <v>4750</v>
      </c>
      <c r="I1655" s="10" t="s">
        <v>4723</v>
      </c>
    </row>
    <row r="1656" spans="1:9" x14ac:dyDescent="0.15">
      <c r="A1656" s="9">
        <v>1655</v>
      </c>
      <c r="B1656" s="10" t="s">
        <v>9</v>
      </c>
      <c r="C1656" s="10" t="s">
        <v>170</v>
      </c>
      <c r="D1656" s="10" t="s">
        <v>171</v>
      </c>
      <c r="E1656" s="11" t="str">
        <f>+HYPERLINK("http://trademark.i-assist.jp/data/china/image_1900th/78835693.pdf", "78835693")</f>
        <v>78835693</v>
      </c>
      <c r="F1656" s="10" t="s">
        <v>4751</v>
      </c>
      <c r="G1656" s="10" t="s">
        <v>4752</v>
      </c>
      <c r="H1656" s="10" t="s">
        <v>4753</v>
      </c>
      <c r="I1656" s="10" t="s">
        <v>4723</v>
      </c>
    </row>
    <row r="1657" spans="1:9" x14ac:dyDescent="0.15">
      <c r="A1657" s="9">
        <v>1656</v>
      </c>
      <c r="B1657" s="10" t="s">
        <v>9</v>
      </c>
      <c r="C1657" s="10" t="s">
        <v>170</v>
      </c>
      <c r="D1657" s="10" t="s">
        <v>171</v>
      </c>
      <c r="E1657" s="11" t="str">
        <f>+HYPERLINK("http://trademark.i-assist.jp/data/china/image_1900th/78835740.pdf", "78835740")</f>
        <v>78835740</v>
      </c>
      <c r="F1657" s="10" t="s">
        <v>4754</v>
      </c>
      <c r="G1657" s="10" t="s">
        <v>4755</v>
      </c>
      <c r="H1657" s="10" t="s">
        <v>4756</v>
      </c>
      <c r="I1657" s="10" t="s">
        <v>4723</v>
      </c>
    </row>
    <row r="1658" spans="1:9" x14ac:dyDescent="0.15">
      <c r="A1658" s="9">
        <v>1657</v>
      </c>
      <c r="B1658" s="10" t="s">
        <v>9</v>
      </c>
      <c r="C1658" s="10" t="s">
        <v>170</v>
      </c>
      <c r="D1658" s="10" t="s">
        <v>171</v>
      </c>
      <c r="E1658" s="11" t="str">
        <f>+HYPERLINK("http://trademark.i-assist.jp/data/china/image_1900th/78835801.pdf", "78835801")</f>
        <v>78835801</v>
      </c>
      <c r="F1658" s="10" t="s">
        <v>4757</v>
      </c>
      <c r="G1658" s="10" t="s">
        <v>4758</v>
      </c>
      <c r="H1658" s="10" t="s">
        <v>4759</v>
      </c>
      <c r="I1658" s="10" t="s">
        <v>4723</v>
      </c>
    </row>
    <row r="1659" spans="1:9" x14ac:dyDescent="0.15">
      <c r="A1659" s="9">
        <v>1658</v>
      </c>
      <c r="B1659" s="10" t="s">
        <v>9</v>
      </c>
      <c r="C1659" s="10" t="s">
        <v>170</v>
      </c>
      <c r="D1659" s="10" t="s">
        <v>171</v>
      </c>
      <c r="E1659" s="11" t="str">
        <f>+HYPERLINK("http://trademark.i-assist.jp/data/china/image_1900th/78835971.pdf", "78835971")</f>
        <v>78835971</v>
      </c>
      <c r="F1659" s="10" t="s">
        <v>4760</v>
      </c>
      <c r="G1659" s="10" t="s">
        <v>4761</v>
      </c>
      <c r="H1659" s="10" t="s">
        <v>4762</v>
      </c>
      <c r="I1659" s="10" t="s">
        <v>4723</v>
      </c>
    </row>
    <row r="1660" spans="1:9" x14ac:dyDescent="0.15">
      <c r="A1660" s="9">
        <v>1659</v>
      </c>
      <c r="B1660" s="10" t="s">
        <v>9</v>
      </c>
      <c r="C1660" s="10" t="s">
        <v>170</v>
      </c>
      <c r="D1660" s="10" t="s">
        <v>171</v>
      </c>
      <c r="E1660" s="11" t="str">
        <f>+HYPERLINK("http://trademark.i-assist.jp/data/china/image_1900th/78835978.pdf", "78835978")</f>
        <v>78835978</v>
      </c>
      <c r="F1660" s="10" t="s">
        <v>4763</v>
      </c>
      <c r="G1660" s="10" t="s">
        <v>4764</v>
      </c>
      <c r="H1660" s="10" t="s">
        <v>4765</v>
      </c>
      <c r="I1660" s="10" t="s">
        <v>4723</v>
      </c>
    </row>
    <row r="1661" spans="1:9" x14ac:dyDescent="0.15">
      <c r="A1661" s="9">
        <v>1660</v>
      </c>
      <c r="B1661" s="10" t="s">
        <v>9</v>
      </c>
      <c r="C1661" s="10" t="s">
        <v>170</v>
      </c>
      <c r="D1661" s="10" t="s">
        <v>171</v>
      </c>
      <c r="E1661" s="11" t="str">
        <f>+HYPERLINK("http://trademark.i-assist.jp/data/china/image_1900th/78835994.pdf", "78835994")</f>
        <v>78835994</v>
      </c>
      <c r="F1661" s="10" t="s">
        <v>4766</v>
      </c>
      <c r="G1661" s="10" t="s">
        <v>4767</v>
      </c>
      <c r="H1661" s="10" t="s">
        <v>4768</v>
      </c>
      <c r="I1661" s="10" t="s">
        <v>4723</v>
      </c>
    </row>
    <row r="1662" spans="1:9" x14ac:dyDescent="0.15">
      <c r="A1662" s="9">
        <v>1661</v>
      </c>
      <c r="B1662" s="10" t="s">
        <v>9</v>
      </c>
      <c r="C1662" s="10" t="s">
        <v>170</v>
      </c>
      <c r="D1662" s="10" t="s">
        <v>171</v>
      </c>
      <c r="E1662" s="11" t="str">
        <f>+HYPERLINK("http://trademark.i-assist.jp/data/china/image_1900th/78836116.pdf", "78836116")</f>
        <v>78836116</v>
      </c>
      <c r="F1662" s="10" t="s">
        <v>4769</v>
      </c>
      <c r="G1662" s="10" t="s">
        <v>4770</v>
      </c>
      <c r="H1662" s="10" t="s">
        <v>4771</v>
      </c>
      <c r="I1662" s="10" t="s">
        <v>4723</v>
      </c>
    </row>
    <row r="1663" spans="1:9" x14ac:dyDescent="0.15">
      <c r="A1663" s="9">
        <v>1662</v>
      </c>
      <c r="B1663" s="10" t="s">
        <v>9</v>
      </c>
      <c r="C1663" s="10" t="s">
        <v>170</v>
      </c>
      <c r="D1663" s="10" t="s">
        <v>171</v>
      </c>
      <c r="E1663" s="11" t="str">
        <f>+HYPERLINK("http://trademark.i-assist.jp/data/china/image_1900th/78836133.pdf", "78836133")</f>
        <v>78836133</v>
      </c>
      <c r="F1663" s="10" t="s">
        <v>4772</v>
      </c>
      <c r="G1663" s="10" t="s">
        <v>4773</v>
      </c>
      <c r="H1663" s="10" t="s">
        <v>4774</v>
      </c>
      <c r="I1663" s="10" t="s">
        <v>4723</v>
      </c>
    </row>
    <row r="1664" spans="1:9" x14ac:dyDescent="0.15">
      <c r="A1664" s="9">
        <v>1663</v>
      </c>
      <c r="B1664" s="10" t="s">
        <v>9</v>
      </c>
      <c r="C1664" s="10" t="s">
        <v>170</v>
      </c>
      <c r="D1664" s="10" t="s">
        <v>171</v>
      </c>
      <c r="E1664" s="11" t="str">
        <f>+HYPERLINK("http://trademark.i-assist.jp/data/china/image_1900th/78836350.pdf", "78836350")</f>
        <v>78836350</v>
      </c>
      <c r="F1664" s="10" t="s">
        <v>4775</v>
      </c>
      <c r="G1664" s="10" t="s">
        <v>4776</v>
      </c>
      <c r="H1664" s="10" t="s">
        <v>4777</v>
      </c>
      <c r="I1664" s="10" t="s">
        <v>4723</v>
      </c>
    </row>
    <row r="1665" spans="1:9" x14ac:dyDescent="0.15">
      <c r="A1665" s="9">
        <v>1664</v>
      </c>
      <c r="B1665" s="10" t="s">
        <v>9</v>
      </c>
      <c r="C1665" s="10" t="s">
        <v>170</v>
      </c>
      <c r="D1665" s="10" t="s">
        <v>171</v>
      </c>
      <c r="E1665" s="11" t="str">
        <f>+HYPERLINK("http://trademark.i-assist.jp/data/china/image_1900th/78836401.pdf", "78836401")</f>
        <v>78836401</v>
      </c>
      <c r="F1665" s="10" t="s">
        <v>4778</v>
      </c>
      <c r="G1665" s="10" t="s">
        <v>4779</v>
      </c>
      <c r="H1665" s="10" t="s">
        <v>4780</v>
      </c>
      <c r="I1665" s="10" t="s">
        <v>4723</v>
      </c>
    </row>
    <row r="1666" spans="1:9" x14ac:dyDescent="0.15">
      <c r="A1666" s="9">
        <v>1665</v>
      </c>
      <c r="B1666" s="10" t="s">
        <v>9</v>
      </c>
      <c r="C1666" s="10" t="s">
        <v>170</v>
      </c>
      <c r="D1666" s="10" t="s">
        <v>171</v>
      </c>
      <c r="E1666" s="11" t="str">
        <f>+HYPERLINK("http://trademark.i-assist.jp/data/china/image_1900th/78836690.pdf", "78836690")</f>
        <v>78836690</v>
      </c>
      <c r="F1666" s="10" t="s">
        <v>4781</v>
      </c>
      <c r="G1666" s="10" t="s">
        <v>4782</v>
      </c>
      <c r="H1666" s="10" t="s">
        <v>4783</v>
      </c>
      <c r="I1666" s="10" t="s">
        <v>4723</v>
      </c>
    </row>
    <row r="1667" spans="1:9" x14ac:dyDescent="0.15">
      <c r="A1667" s="9">
        <v>1666</v>
      </c>
      <c r="B1667" s="10" t="s">
        <v>9</v>
      </c>
      <c r="C1667" s="10" t="s">
        <v>170</v>
      </c>
      <c r="D1667" s="10" t="s">
        <v>171</v>
      </c>
      <c r="E1667" s="11" t="str">
        <f>+HYPERLINK("http://trademark.i-assist.jp/data/china/image_1900th/78836880.pdf", "78836880")</f>
        <v>78836880</v>
      </c>
      <c r="F1667" s="10" t="s">
        <v>4784</v>
      </c>
      <c r="G1667" s="10" t="s">
        <v>4764</v>
      </c>
      <c r="H1667" s="10" t="s">
        <v>4785</v>
      </c>
      <c r="I1667" s="10" t="s">
        <v>4723</v>
      </c>
    </row>
    <row r="1668" spans="1:9" x14ac:dyDescent="0.15">
      <c r="A1668" s="9">
        <v>1667</v>
      </c>
      <c r="B1668" s="10" t="s">
        <v>9</v>
      </c>
      <c r="C1668" s="10" t="s">
        <v>170</v>
      </c>
      <c r="D1668" s="10" t="s">
        <v>171</v>
      </c>
      <c r="E1668" s="11" t="str">
        <f>+HYPERLINK("http://trademark.i-assist.jp/data/china/image_1900th/78836892.pdf", "78836892")</f>
        <v>78836892</v>
      </c>
      <c r="F1668" s="10" t="s">
        <v>4786</v>
      </c>
      <c r="G1668" s="10" t="s">
        <v>4787</v>
      </c>
      <c r="H1668" s="10" t="s">
        <v>4788</v>
      </c>
      <c r="I1668" s="10" t="s">
        <v>4723</v>
      </c>
    </row>
    <row r="1669" spans="1:9" x14ac:dyDescent="0.15">
      <c r="A1669" s="9">
        <v>1668</v>
      </c>
      <c r="B1669" s="10" t="s">
        <v>9</v>
      </c>
      <c r="C1669" s="10" t="s">
        <v>170</v>
      </c>
      <c r="D1669" s="10" t="s">
        <v>171</v>
      </c>
      <c r="E1669" s="11" t="str">
        <f>+HYPERLINK("http://trademark.i-assist.jp/data/china/image_1900th/78836900.pdf", "78836900")</f>
        <v>78836900</v>
      </c>
      <c r="F1669" s="10" t="s">
        <v>4789</v>
      </c>
      <c r="G1669" s="10" t="s">
        <v>4790</v>
      </c>
      <c r="H1669" s="10" t="s">
        <v>4791</v>
      </c>
      <c r="I1669" s="10" t="s">
        <v>4723</v>
      </c>
    </row>
    <row r="1670" spans="1:9" x14ac:dyDescent="0.15">
      <c r="A1670" s="9">
        <v>1669</v>
      </c>
      <c r="B1670" s="10" t="s">
        <v>9</v>
      </c>
      <c r="C1670" s="10" t="s">
        <v>170</v>
      </c>
      <c r="D1670" s="10" t="s">
        <v>171</v>
      </c>
      <c r="E1670" s="11" t="str">
        <f>+HYPERLINK("http://trademark.i-assist.jp/data/china/image_1900th/78836904.pdf", "78836904")</f>
        <v>78836904</v>
      </c>
      <c r="F1670" s="10" t="s">
        <v>4792</v>
      </c>
      <c r="G1670" s="10" t="s">
        <v>4752</v>
      </c>
      <c r="H1670" s="10" t="s">
        <v>4793</v>
      </c>
      <c r="I1670" s="10" t="s">
        <v>4723</v>
      </c>
    </row>
    <row r="1671" spans="1:9" x14ac:dyDescent="0.15">
      <c r="A1671" s="9">
        <v>1670</v>
      </c>
      <c r="B1671" s="10" t="s">
        <v>9</v>
      </c>
      <c r="C1671" s="10" t="s">
        <v>170</v>
      </c>
      <c r="D1671" s="10" t="s">
        <v>171</v>
      </c>
      <c r="E1671" s="11" t="str">
        <f>+HYPERLINK("http://trademark.i-assist.jp/data/china/image_1900th/78837032.pdf", "78837032")</f>
        <v>78837032</v>
      </c>
      <c r="F1671" s="10" t="s">
        <v>4794</v>
      </c>
      <c r="G1671" s="10" t="s">
        <v>4795</v>
      </c>
      <c r="H1671" s="10" t="s">
        <v>4796</v>
      </c>
      <c r="I1671" s="10" t="s">
        <v>4723</v>
      </c>
    </row>
    <row r="1672" spans="1:9" x14ac:dyDescent="0.15">
      <c r="A1672" s="9">
        <v>1671</v>
      </c>
      <c r="B1672" s="10" t="s">
        <v>9</v>
      </c>
      <c r="C1672" s="10" t="s">
        <v>170</v>
      </c>
      <c r="D1672" s="10" t="s">
        <v>171</v>
      </c>
      <c r="E1672" s="11" t="str">
        <f>+HYPERLINK("http://trademark.i-assist.jp/data/china/image_1900th/78837219.pdf", "78837219")</f>
        <v>78837219</v>
      </c>
      <c r="F1672" s="10" t="s">
        <v>4797</v>
      </c>
      <c r="G1672" s="10" t="s">
        <v>4798</v>
      </c>
      <c r="H1672" s="10" t="s">
        <v>4799</v>
      </c>
      <c r="I1672" s="10" t="s">
        <v>4723</v>
      </c>
    </row>
    <row r="1673" spans="1:9" x14ac:dyDescent="0.15">
      <c r="A1673" s="9">
        <v>1672</v>
      </c>
      <c r="B1673" s="10" t="s">
        <v>9</v>
      </c>
      <c r="C1673" s="10" t="s">
        <v>170</v>
      </c>
      <c r="D1673" s="10" t="s">
        <v>171</v>
      </c>
      <c r="E1673" s="11" t="str">
        <f>+HYPERLINK("http://trademark.i-assist.jp/data/china/image_1900th/78837243.pdf", "78837243")</f>
        <v>78837243</v>
      </c>
      <c r="F1673" s="10" t="s">
        <v>4800</v>
      </c>
      <c r="G1673" s="10" t="s">
        <v>4782</v>
      </c>
      <c r="H1673" s="10" t="s">
        <v>4801</v>
      </c>
      <c r="I1673" s="10" t="s">
        <v>4723</v>
      </c>
    </row>
    <row r="1674" spans="1:9" x14ac:dyDescent="0.15">
      <c r="A1674" s="9">
        <v>1673</v>
      </c>
      <c r="B1674" s="10" t="s">
        <v>9</v>
      </c>
      <c r="C1674" s="10" t="s">
        <v>170</v>
      </c>
      <c r="D1674" s="10" t="s">
        <v>171</v>
      </c>
      <c r="E1674" s="11" t="str">
        <f>+HYPERLINK("http://trademark.i-assist.jp/data/china/image_1900th/78837337.pdf", "78837337")</f>
        <v>78837337</v>
      </c>
      <c r="F1674" s="10" t="s">
        <v>4802</v>
      </c>
      <c r="G1674" s="10" t="s">
        <v>4803</v>
      </c>
      <c r="H1674" s="10" t="s">
        <v>4804</v>
      </c>
      <c r="I1674" s="10" t="s">
        <v>4723</v>
      </c>
    </row>
    <row r="1675" spans="1:9" x14ac:dyDescent="0.15">
      <c r="A1675" s="9">
        <v>1674</v>
      </c>
      <c r="B1675" s="10" t="s">
        <v>9</v>
      </c>
      <c r="C1675" s="10" t="s">
        <v>170</v>
      </c>
      <c r="D1675" s="10" t="s">
        <v>171</v>
      </c>
      <c r="E1675" s="11" t="str">
        <f>+HYPERLINK("http://trademark.i-assist.jp/data/china/image_1900th/78837493.pdf", "78837493")</f>
        <v>78837493</v>
      </c>
      <c r="F1675" s="10" t="s">
        <v>4805</v>
      </c>
      <c r="G1675" s="10" t="s">
        <v>4806</v>
      </c>
      <c r="H1675" s="10" t="s">
        <v>4807</v>
      </c>
      <c r="I1675" s="10" t="s">
        <v>4723</v>
      </c>
    </row>
    <row r="1676" spans="1:9" x14ac:dyDescent="0.15">
      <c r="A1676" s="9">
        <v>1675</v>
      </c>
      <c r="B1676" s="10" t="s">
        <v>9</v>
      </c>
      <c r="C1676" s="10" t="s">
        <v>170</v>
      </c>
      <c r="D1676" s="10" t="s">
        <v>171</v>
      </c>
      <c r="E1676" s="11" t="str">
        <f>+HYPERLINK("http://trademark.i-assist.jp/data/china/image_1900th/78837742.pdf", "78837742")</f>
        <v>78837742</v>
      </c>
      <c r="F1676" s="10" t="s">
        <v>4808</v>
      </c>
      <c r="G1676" s="10" t="s">
        <v>4809</v>
      </c>
      <c r="H1676" s="10" t="s">
        <v>4810</v>
      </c>
      <c r="I1676" s="10" t="s">
        <v>4723</v>
      </c>
    </row>
    <row r="1677" spans="1:9" x14ac:dyDescent="0.15">
      <c r="A1677" s="9">
        <v>1676</v>
      </c>
      <c r="B1677" s="10" t="s">
        <v>9</v>
      </c>
      <c r="C1677" s="10" t="s">
        <v>170</v>
      </c>
      <c r="D1677" s="10" t="s">
        <v>171</v>
      </c>
      <c r="E1677" s="11" t="str">
        <f>+HYPERLINK("http://trademark.i-assist.jp/data/china/image_1900th/78838056.pdf", "78838056")</f>
        <v>78838056</v>
      </c>
      <c r="F1677" s="10" t="s">
        <v>4811</v>
      </c>
      <c r="G1677" s="10" t="s">
        <v>4812</v>
      </c>
      <c r="H1677" s="10" t="s">
        <v>4813</v>
      </c>
      <c r="I1677" s="10" t="s">
        <v>4814</v>
      </c>
    </row>
    <row r="1678" spans="1:9" x14ac:dyDescent="0.15">
      <c r="A1678" s="9">
        <v>1677</v>
      </c>
      <c r="B1678" s="10" t="s">
        <v>9</v>
      </c>
      <c r="C1678" s="10" t="s">
        <v>170</v>
      </c>
      <c r="D1678" s="10" t="s">
        <v>171</v>
      </c>
      <c r="E1678" s="11" t="str">
        <f>+HYPERLINK("http://trademark.i-assist.jp/data/china/image_1900th/78838143.pdf", "78838143")</f>
        <v>78838143</v>
      </c>
      <c r="F1678" s="10" t="s">
        <v>4815</v>
      </c>
      <c r="G1678" s="10" t="s">
        <v>4816</v>
      </c>
      <c r="H1678" s="10" t="s">
        <v>4817</v>
      </c>
      <c r="I1678" s="10" t="s">
        <v>4814</v>
      </c>
    </row>
    <row r="1679" spans="1:9" x14ac:dyDescent="0.15">
      <c r="A1679" s="9">
        <v>1678</v>
      </c>
      <c r="B1679" s="10" t="s">
        <v>9</v>
      </c>
      <c r="C1679" s="10" t="s">
        <v>170</v>
      </c>
      <c r="D1679" s="10" t="s">
        <v>171</v>
      </c>
      <c r="E1679" s="11" t="str">
        <f>+HYPERLINK("http://trademark.i-assist.jp/data/china/image_1900th/78838295.pdf", "78838295")</f>
        <v>78838295</v>
      </c>
      <c r="F1679" s="10" t="s">
        <v>4818</v>
      </c>
      <c r="G1679" s="10" t="s">
        <v>4819</v>
      </c>
      <c r="H1679" s="10" t="s">
        <v>4820</v>
      </c>
      <c r="I1679" s="10" t="s">
        <v>4814</v>
      </c>
    </row>
    <row r="1680" spans="1:9" x14ac:dyDescent="0.15">
      <c r="A1680" s="9">
        <v>1679</v>
      </c>
      <c r="B1680" s="10" t="s">
        <v>9</v>
      </c>
      <c r="C1680" s="10" t="s">
        <v>170</v>
      </c>
      <c r="D1680" s="10" t="s">
        <v>171</v>
      </c>
      <c r="E1680" s="11" t="str">
        <f>+HYPERLINK("http://trademark.i-assist.jp/data/china/image_1900th/78838496.pdf", "78838496")</f>
        <v>78838496</v>
      </c>
      <c r="F1680" s="10" t="s">
        <v>4821</v>
      </c>
      <c r="G1680" s="10" t="s">
        <v>4822</v>
      </c>
      <c r="H1680" s="10" t="s">
        <v>4823</v>
      </c>
      <c r="I1680" s="10" t="s">
        <v>4814</v>
      </c>
    </row>
    <row r="1681" spans="1:9" x14ac:dyDescent="0.15">
      <c r="A1681" s="9">
        <v>1680</v>
      </c>
      <c r="B1681" s="10" t="s">
        <v>9</v>
      </c>
      <c r="C1681" s="10" t="s">
        <v>170</v>
      </c>
      <c r="D1681" s="10" t="s">
        <v>171</v>
      </c>
      <c r="E1681" s="11" t="str">
        <f>+HYPERLINK("http://trademark.i-assist.jp/data/china/image_1900th/78838647.pdf", "78838647")</f>
        <v>78838647</v>
      </c>
      <c r="F1681" s="10" t="s">
        <v>4824</v>
      </c>
      <c r="G1681" s="10" t="s">
        <v>4825</v>
      </c>
      <c r="H1681" s="10" t="s">
        <v>4826</v>
      </c>
      <c r="I1681" s="10" t="s">
        <v>4814</v>
      </c>
    </row>
    <row r="1682" spans="1:9" x14ac:dyDescent="0.15">
      <c r="A1682" s="9">
        <v>1681</v>
      </c>
      <c r="B1682" s="10" t="s">
        <v>9</v>
      </c>
      <c r="C1682" s="10" t="s">
        <v>170</v>
      </c>
      <c r="D1682" s="10" t="s">
        <v>171</v>
      </c>
      <c r="E1682" s="11" t="str">
        <f>+HYPERLINK("http://trademark.i-assist.jp/data/china/image_1900th/78838735.pdf", "78838735")</f>
        <v>78838735</v>
      </c>
      <c r="F1682" s="10" t="s">
        <v>4827</v>
      </c>
      <c r="G1682" s="10" t="s">
        <v>4828</v>
      </c>
      <c r="H1682" s="10" t="s">
        <v>4829</v>
      </c>
      <c r="I1682" s="10" t="s">
        <v>4814</v>
      </c>
    </row>
    <row r="1683" spans="1:9" x14ac:dyDescent="0.15">
      <c r="A1683" s="9">
        <v>1682</v>
      </c>
      <c r="B1683" s="10" t="s">
        <v>9</v>
      </c>
      <c r="C1683" s="10" t="s">
        <v>170</v>
      </c>
      <c r="D1683" s="10" t="s">
        <v>171</v>
      </c>
      <c r="E1683" s="11" t="str">
        <f>+HYPERLINK("http://trademark.i-assist.jp/data/china/image_1900th/78838988.pdf", "78838988")</f>
        <v>78838988</v>
      </c>
      <c r="F1683" s="10" t="s">
        <v>4830</v>
      </c>
      <c r="G1683" s="10" t="s">
        <v>4831</v>
      </c>
      <c r="H1683" s="10" t="s">
        <v>4832</v>
      </c>
      <c r="I1683" s="10" t="s">
        <v>4814</v>
      </c>
    </row>
    <row r="1684" spans="1:9" x14ac:dyDescent="0.15">
      <c r="A1684" s="9">
        <v>1683</v>
      </c>
      <c r="B1684" s="10" t="s">
        <v>9</v>
      </c>
      <c r="C1684" s="10" t="s">
        <v>170</v>
      </c>
      <c r="D1684" s="10" t="s">
        <v>171</v>
      </c>
      <c r="E1684" s="11" t="str">
        <f>+HYPERLINK("http://trademark.i-assist.jp/data/china/image_1900th/78839081.pdf", "78839081")</f>
        <v>78839081</v>
      </c>
      <c r="F1684" s="10" t="s">
        <v>4833</v>
      </c>
      <c r="G1684" s="10" t="s">
        <v>4834</v>
      </c>
      <c r="H1684" s="10" t="s">
        <v>4835</v>
      </c>
      <c r="I1684" s="10" t="s">
        <v>4814</v>
      </c>
    </row>
    <row r="1685" spans="1:9" x14ac:dyDescent="0.15">
      <c r="A1685" s="9">
        <v>1684</v>
      </c>
      <c r="B1685" s="10" t="s">
        <v>9</v>
      </c>
      <c r="C1685" s="10" t="s">
        <v>170</v>
      </c>
      <c r="D1685" s="10" t="s">
        <v>171</v>
      </c>
      <c r="E1685" s="11" t="str">
        <f>+HYPERLINK("http://trademark.i-assist.jp/data/china/image_1900th/78839179.pdf", "78839179")</f>
        <v>78839179</v>
      </c>
      <c r="F1685" s="10" t="s">
        <v>4836</v>
      </c>
      <c r="G1685" s="10" t="s">
        <v>4837</v>
      </c>
      <c r="H1685" s="10" t="s">
        <v>4838</v>
      </c>
      <c r="I1685" s="10" t="s">
        <v>4814</v>
      </c>
    </row>
    <row r="1686" spans="1:9" x14ac:dyDescent="0.15">
      <c r="A1686" s="9">
        <v>1685</v>
      </c>
      <c r="B1686" s="10" t="s">
        <v>9</v>
      </c>
      <c r="C1686" s="10" t="s">
        <v>170</v>
      </c>
      <c r="D1686" s="10" t="s">
        <v>171</v>
      </c>
      <c r="E1686" s="11" t="str">
        <f>+HYPERLINK("http://trademark.i-assist.jp/data/china/image_1900th/78839528.pdf", "78839528")</f>
        <v>78839528</v>
      </c>
      <c r="F1686" s="10" t="s">
        <v>4839</v>
      </c>
      <c r="G1686" s="10" t="s">
        <v>4840</v>
      </c>
      <c r="H1686" s="10" t="s">
        <v>4841</v>
      </c>
      <c r="I1686" s="10" t="s">
        <v>4814</v>
      </c>
    </row>
    <row r="1687" spans="1:9" x14ac:dyDescent="0.15">
      <c r="A1687" s="9">
        <v>1686</v>
      </c>
      <c r="B1687" s="10" t="s">
        <v>9</v>
      </c>
      <c r="C1687" s="10" t="s">
        <v>170</v>
      </c>
      <c r="D1687" s="10" t="s">
        <v>171</v>
      </c>
      <c r="E1687" s="11" t="str">
        <f>+HYPERLINK("http://trademark.i-assist.jp/data/china/image_1900th/78839597.pdf", "78839597")</f>
        <v>78839597</v>
      </c>
      <c r="F1687" s="10" t="s">
        <v>4842</v>
      </c>
      <c r="G1687" s="10" t="s">
        <v>4843</v>
      </c>
      <c r="H1687" s="10" t="s">
        <v>4844</v>
      </c>
      <c r="I1687" s="10" t="s">
        <v>4814</v>
      </c>
    </row>
    <row r="1688" spans="1:9" x14ac:dyDescent="0.15">
      <c r="A1688" s="9">
        <v>1687</v>
      </c>
      <c r="B1688" s="10" t="s">
        <v>9</v>
      </c>
      <c r="C1688" s="10" t="s">
        <v>170</v>
      </c>
      <c r="D1688" s="10" t="s">
        <v>171</v>
      </c>
      <c r="E1688" s="11" t="str">
        <f>+HYPERLINK("http://trademark.i-assist.jp/data/china/image_1900th/78839841.pdf", "78839841")</f>
        <v>78839841</v>
      </c>
      <c r="F1688" s="10" t="s">
        <v>4845</v>
      </c>
      <c r="G1688" s="10" t="s">
        <v>4846</v>
      </c>
      <c r="H1688" s="10" t="s">
        <v>4847</v>
      </c>
      <c r="I1688" s="10" t="s">
        <v>4814</v>
      </c>
    </row>
    <row r="1689" spans="1:9" x14ac:dyDescent="0.15">
      <c r="A1689" s="9">
        <v>1688</v>
      </c>
      <c r="B1689" s="10" t="s">
        <v>9</v>
      </c>
      <c r="C1689" s="10" t="s">
        <v>170</v>
      </c>
      <c r="D1689" s="10" t="s">
        <v>171</v>
      </c>
      <c r="E1689" s="11" t="str">
        <f>+HYPERLINK("http://trademark.i-assist.jp/data/china/image_1900th/78840238.pdf", "78840238")</f>
        <v>78840238</v>
      </c>
      <c r="F1689" s="10" t="s">
        <v>4848</v>
      </c>
      <c r="G1689" s="10" t="s">
        <v>4849</v>
      </c>
      <c r="H1689" s="10" t="s">
        <v>4850</v>
      </c>
      <c r="I1689" s="10" t="s">
        <v>4814</v>
      </c>
    </row>
    <row r="1690" spans="1:9" x14ac:dyDescent="0.15">
      <c r="A1690" s="9">
        <v>1689</v>
      </c>
      <c r="B1690" s="10" t="s">
        <v>9</v>
      </c>
      <c r="C1690" s="10" t="s">
        <v>170</v>
      </c>
      <c r="D1690" s="10" t="s">
        <v>171</v>
      </c>
      <c r="E1690" s="11" t="str">
        <f>+HYPERLINK("http://trademark.i-assist.jp/data/china/image_1900th/78840404.pdf", "78840404")</f>
        <v>78840404</v>
      </c>
      <c r="F1690" s="10" t="s">
        <v>4851</v>
      </c>
      <c r="G1690" s="10" t="s">
        <v>4852</v>
      </c>
      <c r="H1690" s="10" t="s">
        <v>4853</v>
      </c>
      <c r="I1690" s="10" t="s">
        <v>4814</v>
      </c>
    </row>
    <row r="1691" spans="1:9" x14ac:dyDescent="0.15">
      <c r="A1691" s="9">
        <v>1690</v>
      </c>
      <c r="B1691" s="10" t="s">
        <v>9</v>
      </c>
      <c r="C1691" s="10" t="s">
        <v>170</v>
      </c>
      <c r="D1691" s="10" t="s">
        <v>171</v>
      </c>
      <c r="E1691" s="11" t="str">
        <f>+HYPERLINK("http://trademark.i-assist.jp/data/china/image_1900th/78840557.pdf", "78840557")</f>
        <v>78840557</v>
      </c>
      <c r="F1691" s="10" t="s">
        <v>15</v>
      </c>
      <c r="G1691" s="10" t="s">
        <v>4854</v>
      </c>
      <c r="H1691" s="10" t="s">
        <v>4855</v>
      </c>
      <c r="I1691" s="10" t="s">
        <v>4814</v>
      </c>
    </row>
    <row r="1692" spans="1:9" x14ac:dyDescent="0.15">
      <c r="A1692" s="9">
        <v>1691</v>
      </c>
      <c r="B1692" s="10" t="s">
        <v>9</v>
      </c>
      <c r="C1692" s="10" t="s">
        <v>170</v>
      </c>
      <c r="D1692" s="10" t="s">
        <v>171</v>
      </c>
      <c r="E1692" s="11" t="str">
        <f>+HYPERLINK("http://trademark.i-assist.jp/data/china/image_1900th/78840627.pdf", "78840627")</f>
        <v>78840627</v>
      </c>
      <c r="F1692" s="10" t="s">
        <v>4856</v>
      </c>
      <c r="G1692" s="10" t="s">
        <v>4857</v>
      </c>
      <c r="H1692" s="10" t="s">
        <v>4858</v>
      </c>
      <c r="I1692" s="10" t="s">
        <v>4814</v>
      </c>
    </row>
    <row r="1693" spans="1:9" x14ac:dyDescent="0.15">
      <c r="A1693" s="9">
        <v>1692</v>
      </c>
      <c r="B1693" s="10" t="s">
        <v>9</v>
      </c>
      <c r="C1693" s="10" t="s">
        <v>170</v>
      </c>
      <c r="D1693" s="10" t="s">
        <v>171</v>
      </c>
      <c r="E1693" s="11" t="str">
        <f>+HYPERLINK("http://trademark.i-assist.jp/data/china/image_1900th/78840736.pdf", "78840736")</f>
        <v>78840736</v>
      </c>
      <c r="F1693" s="10" t="s">
        <v>4859</v>
      </c>
      <c r="G1693" s="10" t="s">
        <v>4857</v>
      </c>
      <c r="H1693" s="10" t="s">
        <v>4860</v>
      </c>
      <c r="I1693" s="10" t="s">
        <v>4814</v>
      </c>
    </row>
    <row r="1694" spans="1:9" x14ac:dyDescent="0.15">
      <c r="A1694" s="9">
        <v>1693</v>
      </c>
      <c r="B1694" s="10" t="s">
        <v>9</v>
      </c>
      <c r="C1694" s="10" t="s">
        <v>170</v>
      </c>
      <c r="D1694" s="10" t="s">
        <v>171</v>
      </c>
      <c r="E1694" s="11" t="str">
        <f>+HYPERLINK("http://trademark.i-assist.jp/data/china/image_1900th/78840778.pdf", "78840778")</f>
        <v>78840778</v>
      </c>
      <c r="F1694" s="10" t="s">
        <v>4861</v>
      </c>
      <c r="G1694" s="10" t="s">
        <v>4857</v>
      </c>
      <c r="H1694" s="10" t="s">
        <v>4862</v>
      </c>
      <c r="I1694" s="10" t="s">
        <v>4814</v>
      </c>
    </row>
    <row r="1695" spans="1:9" x14ac:dyDescent="0.15">
      <c r="A1695" s="9">
        <v>1694</v>
      </c>
      <c r="B1695" s="10" t="s">
        <v>9</v>
      </c>
      <c r="C1695" s="10" t="s">
        <v>170</v>
      </c>
      <c r="D1695" s="10" t="s">
        <v>171</v>
      </c>
      <c r="E1695" s="11" t="str">
        <f>+HYPERLINK("http://trademark.i-assist.jp/data/china/image_1900th/78840857.pdf", "78840857")</f>
        <v>78840857</v>
      </c>
      <c r="F1695" s="10" t="s">
        <v>4863</v>
      </c>
      <c r="G1695" s="10" t="s">
        <v>4864</v>
      </c>
      <c r="H1695" s="10" t="s">
        <v>4865</v>
      </c>
      <c r="I1695" s="10" t="s">
        <v>4814</v>
      </c>
    </row>
    <row r="1696" spans="1:9" x14ac:dyDescent="0.15">
      <c r="A1696" s="9">
        <v>1695</v>
      </c>
      <c r="B1696" s="10" t="s">
        <v>9</v>
      </c>
      <c r="C1696" s="10" t="s">
        <v>170</v>
      </c>
      <c r="D1696" s="10" t="s">
        <v>171</v>
      </c>
      <c r="E1696" s="11" t="str">
        <f>+HYPERLINK("http://trademark.i-assist.jp/data/china/image_1900th/78841076.pdf", "78841076")</f>
        <v>78841076</v>
      </c>
      <c r="F1696" s="10" t="s">
        <v>4866</v>
      </c>
      <c r="G1696" s="10" t="s">
        <v>4867</v>
      </c>
      <c r="H1696" s="10" t="s">
        <v>4868</v>
      </c>
      <c r="I1696" s="10" t="s">
        <v>4814</v>
      </c>
    </row>
    <row r="1697" spans="1:9" x14ac:dyDescent="0.15">
      <c r="A1697" s="9">
        <v>1696</v>
      </c>
      <c r="B1697" s="10" t="s">
        <v>9</v>
      </c>
      <c r="C1697" s="10" t="s">
        <v>170</v>
      </c>
      <c r="D1697" s="10" t="s">
        <v>171</v>
      </c>
      <c r="E1697" s="11" t="str">
        <f>+HYPERLINK("http://trademark.i-assist.jp/data/china/image_1900th/78841156.pdf", "78841156")</f>
        <v>78841156</v>
      </c>
      <c r="F1697" s="10" t="s">
        <v>4869</v>
      </c>
      <c r="G1697" s="10" t="s">
        <v>4825</v>
      </c>
      <c r="H1697" s="10" t="s">
        <v>4870</v>
      </c>
      <c r="I1697" s="10" t="s">
        <v>4814</v>
      </c>
    </row>
    <row r="1698" spans="1:9" x14ac:dyDescent="0.15">
      <c r="A1698" s="9">
        <v>1697</v>
      </c>
      <c r="B1698" s="10" t="s">
        <v>9</v>
      </c>
      <c r="C1698" s="10" t="s">
        <v>170</v>
      </c>
      <c r="D1698" s="10" t="s">
        <v>171</v>
      </c>
      <c r="E1698" s="11" t="str">
        <f>+HYPERLINK("http://trademark.i-assist.jp/data/china/image_1900th/78841465.pdf", "78841465")</f>
        <v>78841465</v>
      </c>
      <c r="F1698" s="10" t="s">
        <v>15</v>
      </c>
      <c r="G1698" s="10" t="s">
        <v>4871</v>
      </c>
      <c r="H1698" s="10" t="s">
        <v>4872</v>
      </c>
      <c r="I1698" s="10" t="s">
        <v>4814</v>
      </c>
    </row>
    <row r="1699" spans="1:9" x14ac:dyDescent="0.15">
      <c r="A1699" s="9">
        <v>1698</v>
      </c>
      <c r="B1699" s="10" t="s">
        <v>9</v>
      </c>
      <c r="C1699" s="10" t="s">
        <v>170</v>
      </c>
      <c r="D1699" s="10" t="s">
        <v>171</v>
      </c>
      <c r="E1699" s="11" t="str">
        <f>+HYPERLINK("http://trademark.i-assist.jp/data/china/image_1900th/78841597.pdf", "78841597")</f>
        <v>78841597</v>
      </c>
      <c r="F1699" s="10" t="s">
        <v>4873</v>
      </c>
      <c r="G1699" s="10" t="s">
        <v>4874</v>
      </c>
      <c r="H1699" s="10" t="s">
        <v>4875</v>
      </c>
      <c r="I1699" s="10" t="s">
        <v>4814</v>
      </c>
    </row>
    <row r="1700" spans="1:9" x14ac:dyDescent="0.15">
      <c r="A1700" s="9">
        <v>1699</v>
      </c>
      <c r="B1700" s="10" t="s">
        <v>9</v>
      </c>
      <c r="C1700" s="10" t="s">
        <v>170</v>
      </c>
      <c r="D1700" s="10" t="s">
        <v>171</v>
      </c>
      <c r="E1700" s="11" t="str">
        <f>+HYPERLINK("http://trademark.i-assist.jp/data/china/image_1900th/78841844.pdf", "78841844")</f>
        <v>78841844</v>
      </c>
      <c r="F1700" s="10" t="s">
        <v>4876</v>
      </c>
      <c r="G1700" s="10" t="s">
        <v>4877</v>
      </c>
      <c r="H1700" s="10" t="s">
        <v>4878</v>
      </c>
      <c r="I1700" s="10" t="s">
        <v>4814</v>
      </c>
    </row>
    <row r="1701" spans="1:9" x14ac:dyDescent="0.15">
      <c r="A1701" s="9">
        <v>1700</v>
      </c>
      <c r="B1701" s="10" t="s">
        <v>9</v>
      </c>
      <c r="C1701" s="10" t="s">
        <v>170</v>
      </c>
      <c r="D1701" s="10" t="s">
        <v>171</v>
      </c>
      <c r="E1701" s="11" t="str">
        <f>+HYPERLINK("http://trademark.i-assist.jp/data/china/image_1900th/78841911.pdf", "78841911")</f>
        <v>78841911</v>
      </c>
      <c r="F1701" s="10" t="s">
        <v>4879</v>
      </c>
      <c r="G1701" s="10" t="s">
        <v>4880</v>
      </c>
      <c r="H1701" s="10" t="s">
        <v>4881</v>
      </c>
      <c r="I1701" s="10" t="s">
        <v>4814</v>
      </c>
    </row>
    <row r="1702" spans="1:9" x14ac:dyDescent="0.15">
      <c r="A1702" s="9">
        <v>1701</v>
      </c>
      <c r="B1702" s="10" t="s">
        <v>9</v>
      </c>
      <c r="C1702" s="10" t="s">
        <v>170</v>
      </c>
      <c r="D1702" s="10" t="s">
        <v>171</v>
      </c>
      <c r="E1702" s="11" t="str">
        <f>+HYPERLINK("http://trademark.i-assist.jp/data/china/image_1900th/78842009.pdf", "78842009")</f>
        <v>78842009</v>
      </c>
      <c r="F1702" s="10" t="s">
        <v>4882</v>
      </c>
      <c r="G1702" s="10" t="s">
        <v>78</v>
      </c>
      <c r="H1702" s="10" t="s">
        <v>4883</v>
      </c>
      <c r="I1702" s="10" t="s">
        <v>4814</v>
      </c>
    </row>
    <row r="1703" spans="1:9" x14ac:dyDescent="0.15">
      <c r="A1703" s="9">
        <v>1702</v>
      </c>
      <c r="B1703" s="10" t="s">
        <v>9</v>
      </c>
      <c r="C1703" s="10" t="s">
        <v>170</v>
      </c>
      <c r="D1703" s="10" t="s">
        <v>171</v>
      </c>
      <c r="E1703" s="11" t="str">
        <f>+HYPERLINK("http://trademark.i-assist.jp/data/china/image_1900th/78842675.pdf", "78842675")</f>
        <v>78842675</v>
      </c>
      <c r="F1703" s="10" t="s">
        <v>4884</v>
      </c>
      <c r="G1703" s="10" t="s">
        <v>4885</v>
      </c>
      <c r="H1703" s="10" t="s">
        <v>4886</v>
      </c>
      <c r="I1703" s="10" t="s">
        <v>4814</v>
      </c>
    </row>
    <row r="1704" spans="1:9" x14ac:dyDescent="0.15">
      <c r="A1704" s="9">
        <v>1703</v>
      </c>
      <c r="B1704" s="10" t="s">
        <v>9</v>
      </c>
      <c r="C1704" s="10" t="s">
        <v>170</v>
      </c>
      <c r="D1704" s="10" t="s">
        <v>171</v>
      </c>
      <c r="E1704" s="11" t="str">
        <f>+HYPERLINK("http://trademark.i-assist.jp/data/china/image_1900th/78842849.pdf", "78842849")</f>
        <v>78842849</v>
      </c>
      <c r="F1704" s="10" t="s">
        <v>4887</v>
      </c>
      <c r="G1704" s="10" t="s">
        <v>4888</v>
      </c>
      <c r="H1704" s="10" t="s">
        <v>4889</v>
      </c>
      <c r="I1704" s="10" t="s">
        <v>4814</v>
      </c>
    </row>
    <row r="1705" spans="1:9" x14ac:dyDescent="0.15">
      <c r="A1705" s="9">
        <v>1704</v>
      </c>
      <c r="B1705" s="10" t="s">
        <v>9</v>
      </c>
      <c r="C1705" s="10" t="s">
        <v>170</v>
      </c>
      <c r="D1705" s="10" t="s">
        <v>171</v>
      </c>
      <c r="E1705" s="11" t="str">
        <f>+HYPERLINK("http://trademark.i-assist.jp/data/china/image_1900th/78843040.pdf", "78843040")</f>
        <v>78843040</v>
      </c>
      <c r="F1705" s="10" t="s">
        <v>4890</v>
      </c>
      <c r="G1705" s="10" t="s">
        <v>4891</v>
      </c>
      <c r="H1705" s="10" t="s">
        <v>4892</v>
      </c>
      <c r="I1705" s="10" t="s">
        <v>4814</v>
      </c>
    </row>
    <row r="1706" spans="1:9" x14ac:dyDescent="0.15">
      <c r="A1706" s="9">
        <v>1705</v>
      </c>
      <c r="B1706" s="10" t="s">
        <v>9</v>
      </c>
      <c r="C1706" s="10" t="s">
        <v>170</v>
      </c>
      <c r="D1706" s="10" t="s">
        <v>171</v>
      </c>
      <c r="E1706" s="11" t="str">
        <f>+HYPERLINK("http://trademark.i-assist.jp/data/china/image_1900th/78843694.pdf", "78843694")</f>
        <v>78843694</v>
      </c>
      <c r="F1706" s="10" t="s">
        <v>4893</v>
      </c>
      <c r="G1706" s="10" t="s">
        <v>4894</v>
      </c>
      <c r="H1706" s="10" t="s">
        <v>4895</v>
      </c>
      <c r="I1706" s="10" t="s">
        <v>4814</v>
      </c>
    </row>
    <row r="1707" spans="1:9" x14ac:dyDescent="0.15">
      <c r="A1707" s="9">
        <v>1706</v>
      </c>
      <c r="B1707" s="10" t="s">
        <v>9</v>
      </c>
      <c r="C1707" s="10" t="s">
        <v>170</v>
      </c>
      <c r="D1707" s="10" t="s">
        <v>171</v>
      </c>
      <c r="E1707" s="11" t="str">
        <f>+HYPERLINK("http://trademark.i-assist.jp/data/china/image_1900th/78844147.pdf", "78844147")</f>
        <v>78844147</v>
      </c>
      <c r="F1707" s="10" t="s">
        <v>4896</v>
      </c>
      <c r="G1707" s="10" t="s">
        <v>4897</v>
      </c>
      <c r="H1707" s="10" t="s">
        <v>4898</v>
      </c>
      <c r="I1707" s="10" t="s">
        <v>4814</v>
      </c>
    </row>
    <row r="1708" spans="1:9" x14ac:dyDescent="0.15">
      <c r="A1708" s="9">
        <v>1707</v>
      </c>
      <c r="B1708" s="10" t="s">
        <v>9</v>
      </c>
      <c r="C1708" s="10" t="s">
        <v>170</v>
      </c>
      <c r="D1708" s="10" t="s">
        <v>171</v>
      </c>
      <c r="E1708" s="11" t="str">
        <f>+HYPERLINK("http://trademark.i-assist.jp/data/china/image_1900th/78844307.pdf", "78844307")</f>
        <v>78844307</v>
      </c>
      <c r="F1708" s="10" t="s">
        <v>4899</v>
      </c>
      <c r="G1708" s="10" t="s">
        <v>4900</v>
      </c>
      <c r="H1708" s="10" t="s">
        <v>4901</v>
      </c>
      <c r="I1708" s="10" t="s">
        <v>4814</v>
      </c>
    </row>
    <row r="1709" spans="1:9" x14ac:dyDescent="0.15">
      <c r="A1709" s="9">
        <v>1708</v>
      </c>
      <c r="B1709" s="10" t="s">
        <v>9</v>
      </c>
      <c r="C1709" s="10" t="s">
        <v>170</v>
      </c>
      <c r="D1709" s="10" t="s">
        <v>171</v>
      </c>
      <c r="E1709" s="11" t="str">
        <f>+HYPERLINK("http://trademark.i-assist.jp/data/china/image_1900th/78844760.pdf", "78844760")</f>
        <v>78844760</v>
      </c>
      <c r="F1709" s="10" t="s">
        <v>4902</v>
      </c>
      <c r="G1709" s="10" t="s">
        <v>4903</v>
      </c>
      <c r="H1709" s="10" t="s">
        <v>4904</v>
      </c>
      <c r="I1709" s="10" t="s">
        <v>4814</v>
      </c>
    </row>
    <row r="1710" spans="1:9" x14ac:dyDescent="0.15">
      <c r="A1710" s="9">
        <v>1709</v>
      </c>
      <c r="B1710" s="10" t="s">
        <v>9</v>
      </c>
      <c r="C1710" s="10" t="s">
        <v>170</v>
      </c>
      <c r="D1710" s="10" t="s">
        <v>171</v>
      </c>
      <c r="E1710" s="11" t="str">
        <f>+HYPERLINK("http://trademark.i-assist.jp/data/china/image_1900th/78844786.pdf", "78844786")</f>
        <v>78844786</v>
      </c>
      <c r="F1710" s="10" t="s">
        <v>4905</v>
      </c>
      <c r="G1710" s="10" t="s">
        <v>4825</v>
      </c>
      <c r="H1710" s="10" t="s">
        <v>4906</v>
      </c>
      <c r="I1710" s="10" t="s">
        <v>4814</v>
      </c>
    </row>
    <row r="1711" spans="1:9" x14ac:dyDescent="0.15">
      <c r="A1711" s="9">
        <v>1710</v>
      </c>
      <c r="B1711" s="10" t="s">
        <v>9</v>
      </c>
      <c r="C1711" s="10" t="s">
        <v>170</v>
      </c>
      <c r="D1711" s="10" t="s">
        <v>171</v>
      </c>
      <c r="E1711" s="11" t="str">
        <f>+HYPERLINK("http://trademark.i-assist.jp/data/china/image_1900th/78844821.pdf", "78844821")</f>
        <v>78844821</v>
      </c>
      <c r="F1711" s="10" t="s">
        <v>4907</v>
      </c>
      <c r="G1711" s="10" t="s">
        <v>4825</v>
      </c>
      <c r="H1711" s="10" t="s">
        <v>4908</v>
      </c>
      <c r="I1711" s="10" t="s">
        <v>4814</v>
      </c>
    </row>
    <row r="1712" spans="1:9" x14ac:dyDescent="0.15">
      <c r="A1712" s="9">
        <v>1711</v>
      </c>
      <c r="B1712" s="10" t="s">
        <v>9</v>
      </c>
      <c r="C1712" s="10" t="s">
        <v>170</v>
      </c>
      <c r="D1712" s="10" t="s">
        <v>171</v>
      </c>
      <c r="E1712" s="11" t="str">
        <f>+HYPERLINK("http://trademark.i-assist.jp/data/china/image_1900th/78844862.pdf", "78844862")</f>
        <v>78844862</v>
      </c>
      <c r="F1712" s="10" t="s">
        <v>4909</v>
      </c>
      <c r="G1712" s="10" t="s">
        <v>4910</v>
      </c>
      <c r="H1712" s="10" t="s">
        <v>4911</v>
      </c>
      <c r="I1712" s="10" t="s">
        <v>4814</v>
      </c>
    </row>
    <row r="1713" spans="1:9" x14ac:dyDescent="0.15">
      <c r="A1713" s="9">
        <v>1712</v>
      </c>
      <c r="B1713" s="10" t="s">
        <v>9</v>
      </c>
      <c r="C1713" s="10" t="s">
        <v>170</v>
      </c>
      <c r="D1713" s="10" t="s">
        <v>171</v>
      </c>
      <c r="E1713" s="11" t="str">
        <f>+HYPERLINK("http://trademark.i-assist.jp/data/china/image_1900th/78845010.pdf", "78845010")</f>
        <v>78845010</v>
      </c>
      <c r="F1713" s="10" t="s">
        <v>4912</v>
      </c>
      <c r="G1713" s="10" t="s">
        <v>4913</v>
      </c>
      <c r="H1713" s="10" t="s">
        <v>4914</v>
      </c>
      <c r="I1713" s="10" t="s">
        <v>4814</v>
      </c>
    </row>
    <row r="1714" spans="1:9" x14ac:dyDescent="0.15">
      <c r="A1714" s="9">
        <v>1713</v>
      </c>
      <c r="B1714" s="10" t="s">
        <v>9</v>
      </c>
      <c r="C1714" s="10" t="s">
        <v>170</v>
      </c>
      <c r="D1714" s="10" t="s">
        <v>171</v>
      </c>
      <c r="E1714" s="11" t="str">
        <f>+HYPERLINK("http://trademark.i-assist.jp/data/china/image_1900th/78845369.pdf", "78845369")</f>
        <v>78845369</v>
      </c>
      <c r="F1714" s="10" t="s">
        <v>4915</v>
      </c>
      <c r="G1714" s="10" t="s">
        <v>4916</v>
      </c>
      <c r="H1714" s="10" t="s">
        <v>4917</v>
      </c>
      <c r="I1714" s="10" t="s">
        <v>4814</v>
      </c>
    </row>
    <row r="1715" spans="1:9" x14ac:dyDescent="0.15">
      <c r="A1715" s="9">
        <v>1714</v>
      </c>
      <c r="B1715" s="10" t="s">
        <v>9</v>
      </c>
      <c r="C1715" s="10" t="s">
        <v>170</v>
      </c>
      <c r="D1715" s="10" t="s">
        <v>171</v>
      </c>
      <c r="E1715" s="11" t="str">
        <f>+HYPERLINK("http://trademark.i-assist.jp/data/china/image_1900th/78845425.pdf", "78845425")</f>
        <v>78845425</v>
      </c>
      <c r="F1715" s="10" t="s">
        <v>4918</v>
      </c>
      <c r="G1715" s="10" t="s">
        <v>4910</v>
      </c>
      <c r="H1715" s="10" t="s">
        <v>4919</v>
      </c>
      <c r="I1715" s="10" t="s">
        <v>4814</v>
      </c>
    </row>
    <row r="1716" spans="1:9" x14ac:dyDescent="0.15">
      <c r="A1716" s="9">
        <v>1715</v>
      </c>
      <c r="B1716" s="10" t="s">
        <v>9</v>
      </c>
      <c r="C1716" s="10" t="s">
        <v>170</v>
      </c>
      <c r="D1716" s="10" t="s">
        <v>171</v>
      </c>
      <c r="E1716" s="11" t="str">
        <f>+HYPERLINK("http://trademark.i-assist.jp/data/china/image_1900th/78845726.pdf", "78845726")</f>
        <v>78845726</v>
      </c>
      <c r="F1716" s="10" t="s">
        <v>4920</v>
      </c>
      <c r="G1716" s="10" t="s">
        <v>129</v>
      </c>
      <c r="H1716" s="10" t="s">
        <v>4921</v>
      </c>
      <c r="I1716" s="10" t="s">
        <v>4814</v>
      </c>
    </row>
    <row r="1717" spans="1:9" x14ac:dyDescent="0.15">
      <c r="A1717" s="9">
        <v>1716</v>
      </c>
      <c r="B1717" s="10" t="s">
        <v>9</v>
      </c>
      <c r="C1717" s="10" t="s">
        <v>170</v>
      </c>
      <c r="D1717" s="10" t="s">
        <v>171</v>
      </c>
      <c r="E1717" s="11" t="str">
        <f>+HYPERLINK("http://trademark.i-assist.jp/data/china/image_1900th/78845754.pdf", "78845754")</f>
        <v>78845754</v>
      </c>
      <c r="F1717" s="10" t="s">
        <v>4922</v>
      </c>
      <c r="G1717" s="10" t="s">
        <v>4923</v>
      </c>
      <c r="H1717" s="10" t="s">
        <v>4924</v>
      </c>
      <c r="I1717" s="10" t="s">
        <v>4814</v>
      </c>
    </row>
    <row r="1718" spans="1:9" x14ac:dyDescent="0.15">
      <c r="A1718" s="9">
        <v>1717</v>
      </c>
      <c r="B1718" s="10" t="s">
        <v>9</v>
      </c>
      <c r="C1718" s="10" t="s">
        <v>170</v>
      </c>
      <c r="D1718" s="10" t="s">
        <v>171</v>
      </c>
      <c r="E1718" s="11" t="str">
        <f>+HYPERLINK("http://trademark.i-assist.jp/data/china/image_1900th/78845980.pdf", "78845980")</f>
        <v>78845980</v>
      </c>
      <c r="F1718" s="10" t="s">
        <v>4925</v>
      </c>
      <c r="G1718" s="10" t="s">
        <v>4926</v>
      </c>
      <c r="H1718" s="10" t="s">
        <v>30</v>
      </c>
      <c r="I1718" s="10" t="s">
        <v>4814</v>
      </c>
    </row>
    <row r="1719" spans="1:9" x14ac:dyDescent="0.15">
      <c r="A1719" s="9">
        <v>1718</v>
      </c>
      <c r="B1719" s="10" t="s">
        <v>9</v>
      </c>
      <c r="C1719" s="10" t="s">
        <v>170</v>
      </c>
      <c r="D1719" s="10" t="s">
        <v>171</v>
      </c>
      <c r="E1719" s="11" t="str">
        <f>+HYPERLINK("http://trademark.i-assist.jp/data/china/image_1900th/78846043.pdf", "78846043")</f>
        <v>78846043</v>
      </c>
      <c r="F1719" s="10" t="s">
        <v>4927</v>
      </c>
      <c r="G1719" s="10" t="s">
        <v>4928</v>
      </c>
      <c r="H1719" s="10" t="s">
        <v>4929</v>
      </c>
      <c r="I1719" s="10" t="s">
        <v>4814</v>
      </c>
    </row>
    <row r="1720" spans="1:9" x14ac:dyDescent="0.15">
      <c r="A1720" s="9">
        <v>1719</v>
      </c>
      <c r="B1720" s="10" t="s">
        <v>9</v>
      </c>
      <c r="C1720" s="10" t="s">
        <v>170</v>
      </c>
      <c r="D1720" s="10" t="s">
        <v>171</v>
      </c>
      <c r="E1720" s="11" t="str">
        <f>+HYPERLINK("http://trademark.i-assist.jp/data/china/image_1900th/78846067.pdf", "78846067")</f>
        <v>78846067</v>
      </c>
      <c r="F1720" s="10" t="s">
        <v>4930</v>
      </c>
      <c r="G1720" s="10" t="s">
        <v>4931</v>
      </c>
      <c r="H1720" s="10" t="s">
        <v>4932</v>
      </c>
      <c r="I1720" s="10" t="s">
        <v>4814</v>
      </c>
    </row>
    <row r="1721" spans="1:9" x14ac:dyDescent="0.15">
      <c r="A1721" s="9">
        <v>1720</v>
      </c>
      <c r="B1721" s="10" t="s">
        <v>9</v>
      </c>
      <c r="C1721" s="10" t="s">
        <v>170</v>
      </c>
      <c r="D1721" s="10" t="s">
        <v>171</v>
      </c>
      <c r="E1721" s="11" t="str">
        <f>+HYPERLINK("http://trademark.i-assist.jp/data/china/image_1900th/78846195.pdf", "78846195")</f>
        <v>78846195</v>
      </c>
      <c r="F1721" s="10" t="s">
        <v>4933</v>
      </c>
      <c r="G1721" s="10" t="s">
        <v>4934</v>
      </c>
      <c r="H1721" s="10" t="s">
        <v>4935</v>
      </c>
      <c r="I1721" s="10" t="s">
        <v>4814</v>
      </c>
    </row>
    <row r="1722" spans="1:9" x14ac:dyDescent="0.15">
      <c r="A1722" s="9">
        <v>1721</v>
      </c>
      <c r="B1722" s="10" t="s">
        <v>9</v>
      </c>
      <c r="C1722" s="10" t="s">
        <v>170</v>
      </c>
      <c r="D1722" s="10" t="s">
        <v>171</v>
      </c>
      <c r="E1722" s="11" t="str">
        <f>+HYPERLINK("http://trademark.i-assist.jp/data/china/image_1900th/78846252.pdf", "78846252")</f>
        <v>78846252</v>
      </c>
      <c r="F1722" s="10" t="s">
        <v>4936</v>
      </c>
      <c r="G1722" s="10" t="s">
        <v>158</v>
      </c>
      <c r="H1722" s="10" t="s">
        <v>4937</v>
      </c>
      <c r="I1722" s="10" t="s">
        <v>4814</v>
      </c>
    </row>
    <row r="1723" spans="1:9" x14ac:dyDescent="0.15">
      <c r="A1723" s="9">
        <v>1722</v>
      </c>
      <c r="B1723" s="10" t="s">
        <v>9</v>
      </c>
      <c r="C1723" s="10" t="s">
        <v>170</v>
      </c>
      <c r="D1723" s="10" t="s">
        <v>171</v>
      </c>
      <c r="E1723" s="11" t="str">
        <f>+HYPERLINK("http://trademark.i-assist.jp/data/china/image_1900th/78846747.pdf", "78846747")</f>
        <v>78846747</v>
      </c>
      <c r="F1723" s="10" t="s">
        <v>4938</v>
      </c>
      <c r="G1723" s="10" t="s">
        <v>4939</v>
      </c>
      <c r="H1723" s="10" t="s">
        <v>4940</v>
      </c>
      <c r="I1723" s="10" t="s">
        <v>4814</v>
      </c>
    </row>
    <row r="1724" spans="1:9" x14ac:dyDescent="0.15">
      <c r="A1724" s="9">
        <v>1723</v>
      </c>
      <c r="B1724" s="10" t="s">
        <v>9</v>
      </c>
      <c r="C1724" s="10" t="s">
        <v>170</v>
      </c>
      <c r="D1724" s="10" t="s">
        <v>171</v>
      </c>
      <c r="E1724" s="11" t="str">
        <f>+HYPERLINK("http://trademark.i-assist.jp/data/china/image_1900th/78846763.pdf", "78846763")</f>
        <v>78846763</v>
      </c>
      <c r="F1724" s="10" t="s">
        <v>4941</v>
      </c>
      <c r="G1724" s="10" t="s">
        <v>4942</v>
      </c>
      <c r="H1724" s="10" t="s">
        <v>4943</v>
      </c>
      <c r="I1724" s="10" t="s">
        <v>4814</v>
      </c>
    </row>
    <row r="1725" spans="1:9" x14ac:dyDescent="0.15">
      <c r="A1725" s="9">
        <v>1724</v>
      </c>
      <c r="B1725" s="10" t="s">
        <v>9</v>
      </c>
      <c r="C1725" s="10" t="s">
        <v>170</v>
      </c>
      <c r="D1725" s="10" t="s">
        <v>171</v>
      </c>
      <c r="E1725" s="11" t="str">
        <f>+HYPERLINK("http://trademark.i-assist.jp/data/china/image_1900th/78846781.pdf", "78846781")</f>
        <v>78846781</v>
      </c>
      <c r="F1725" s="10" t="s">
        <v>4944</v>
      </c>
      <c r="G1725" s="10" t="s">
        <v>4945</v>
      </c>
      <c r="H1725" s="10" t="s">
        <v>4946</v>
      </c>
      <c r="I1725" s="10" t="s">
        <v>4814</v>
      </c>
    </row>
    <row r="1726" spans="1:9" x14ac:dyDescent="0.15">
      <c r="A1726" s="9">
        <v>1725</v>
      </c>
      <c r="B1726" s="10" t="s">
        <v>9</v>
      </c>
      <c r="C1726" s="10" t="s">
        <v>170</v>
      </c>
      <c r="D1726" s="10" t="s">
        <v>171</v>
      </c>
      <c r="E1726" s="11" t="str">
        <f>+HYPERLINK("http://trademark.i-assist.jp/data/china/image_1900th/78846950.pdf", "78846950")</f>
        <v>78846950</v>
      </c>
      <c r="F1726" s="10" t="s">
        <v>4947</v>
      </c>
      <c r="G1726" s="10" t="s">
        <v>4948</v>
      </c>
      <c r="H1726" s="10" t="s">
        <v>4949</v>
      </c>
      <c r="I1726" s="10" t="s">
        <v>4814</v>
      </c>
    </row>
    <row r="1727" spans="1:9" x14ac:dyDescent="0.15">
      <c r="A1727" s="9">
        <v>1726</v>
      </c>
      <c r="B1727" s="10" t="s">
        <v>9</v>
      </c>
      <c r="C1727" s="10" t="s">
        <v>170</v>
      </c>
      <c r="D1727" s="10" t="s">
        <v>171</v>
      </c>
      <c r="E1727" s="11" t="str">
        <f>+HYPERLINK("http://trademark.i-assist.jp/data/china/image_1900th/78846960.pdf", "78846960")</f>
        <v>78846960</v>
      </c>
      <c r="F1727" s="10" t="s">
        <v>4950</v>
      </c>
      <c r="G1727" s="10" t="s">
        <v>112</v>
      </c>
      <c r="H1727" s="10" t="s">
        <v>4951</v>
      </c>
      <c r="I1727" s="10" t="s">
        <v>4814</v>
      </c>
    </row>
    <row r="1728" spans="1:9" x14ac:dyDescent="0.15">
      <c r="A1728" s="9">
        <v>1727</v>
      </c>
      <c r="B1728" s="10" t="s">
        <v>9</v>
      </c>
      <c r="C1728" s="10" t="s">
        <v>170</v>
      </c>
      <c r="D1728" s="10" t="s">
        <v>171</v>
      </c>
      <c r="E1728" s="11" t="str">
        <f>+HYPERLINK("http://trademark.i-assist.jp/data/china/image_1900th/78846967.pdf", "78846967")</f>
        <v>78846967</v>
      </c>
      <c r="F1728" s="10" t="s">
        <v>4952</v>
      </c>
      <c r="G1728" s="10" t="s">
        <v>4948</v>
      </c>
      <c r="H1728" s="10" t="s">
        <v>4953</v>
      </c>
      <c r="I1728" s="10" t="s">
        <v>4814</v>
      </c>
    </row>
    <row r="1729" spans="1:9" x14ac:dyDescent="0.15">
      <c r="A1729" s="9">
        <v>1728</v>
      </c>
      <c r="B1729" s="10" t="s">
        <v>9</v>
      </c>
      <c r="C1729" s="10" t="s">
        <v>170</v>
      </c>
      <c r="D1729" s="10" t="s">
        <v>171</v>
      </c>
      <c r="E1729" s="11" t="str">
        <f>+HYPERLINK("http://trademark.i-assist.jp/data/china/image_1900th/78846981.pdf", "78846981")</f>
        <v>78846981</v>
      </c>
      <c r="F1729" s="10" t="s">
        <v>4954</v>
      </c>
      <c r="G1729" s="10" t="s">
        <v>4948</v>
      </c>
      <c r="H1729" s="10" t="s">
        <v>4955</v>
      </c>
      <c r="I1729" s="10" t="s">
        <v>4814</v>
      </c>
    </row>
    <row r="1730" spans="1:9" x14ac:dyDescent="0.15">
      <c r="A1730" s="9">
        <v>1729</v>
      </c>
      <c r="B1730" s="10" t="s">
        <v>9</v>
      </c>
      <c r="C1730" s="10" t="s">
        <v>170</v>
      </c>
      <c r="D1730" s="10" t="s">
        <v>171</v>
      </c>
      <c r="E1730" s="11" t="str">
        <f>+HYPERLINK("http://trademark.i-assist.jp/data/china/image_1900th/78846989.pdf", "78846989")</f>
        <v>78846989</v>
      </c>
      <c r="F1730" s="10" t="s">
        <v>4956</v>
      </c>
      <c r="G1730" s="10" t="s">
        <v>4957</v>
      </c>
      <c r="H1730" s="10" t="s">
        <v>4958</v>
      </c>
      <c r="I1730" s="10" t="s">
        <v>4814</v>
      </c>
    </row>
    <row r="1731" spans="1:9" x14ac:dyDescent="0.15">
      <c r="A1731" s="9">
        <v>1730</v>
      </c>
      <c r="B1731" s="10" t="s">
        <v>9</v>
      </c>
      <c r="C1731" s="10" t="s">
        <v>170</v>
      </c>
      <c r="D1731" s="10" t="s">
        <v>171</v>
      </c>
      <c r="E1731" s="11" t="str">
        <f>+HYPERLINK("http://trademark.i-assist.jp/data/china/image_1900th/78846993.pdf", "78846993")</f>
        <v>78846993</v>
      </c>
      <c r="F1731" s="10" t="s">
        <v>4959</v>
      </c>
      <c r="G1731" s="10" t="s">
        <v>4960</v>
      </c>
      <c r="H1731" s="10" t="s">
        <v>4961</v>
      </c>
      <c r="I1731" s="10" t="s">
        <v>4814</v>
      </c>
    </row>
    <row r="1732" spans="1:9" x14ac:dyDescent="0.15">
      <c r="A1732" s="9">
        <v>1731</v>
      </c>
      <c r="B1732" s="10" t="s">
        <v>9</v>
      </c>
      <c r="C1732" s="10" t="s">
        <v>170</v>
      </c>
      <c r="D1732" s="10" t="s">
        <v>171</v>
      </c>
      <c r="E1732" s="11" t="str">
        <f>+HYPERLINK("http://trademark.i-assist.jp/data/china/image_1900th/78847051.pdf", "78847051")</f>
        <v>78847051</v>
      </c>
      <c r="F1732" s="10" t="s">
        <v>4962</v>
      </c>
      <c r="G1732" s="10" t="s">
        <v>4963</v>
      </c>
      <c r="H1732" s="10" t="s">
        <v>4964</v>
      </c>
      <c r="I1732" s="10" t="s">
        <v>4814</v>
      </c>
    </row>
    <row r="1733" spans="1:9" x14ac:dyDescent="0.15">
      <c r="A1733" s="9">
        <v>1732</v>
      </c>
      <c r="B1733" s="10" t="s">
        <v>9</v>
      </c>
      <c r="C1733" s="10" t="s">
        <v>170</v>
      </c>
      <c r="D1733" s="10" t="s">
        <v>171</v>
      </c>
      <c r="E1733" s="11" t="str">
        <f>+HYPERLINK("http://trademark.i-assist.jp/data/china/image_1900th/78847275.pdf", "78847275")</f>
        <v>78847275</v>
      </c>
      <c r="F1733" s="10" t="s">
        <v>4965</v>
      </c>
      <c r="G1733" s="10" t="s">
        <v>4966</v>
      </c>
      <c r="H1733" s="10" t="s">
        <v>4967</v>
      </c>
      <c r="I1733" s="10" t="s">
        <v>4814</v>
      </c>
    </row>
    <row r="1734" spans="1:9" x14ac:dyDescent="0.15">
      <c r="A1734" s="9">
        <v>1733</v>
      </c>
      <c r="B1734" s="10" t="s">
        <v>9</v>
      </c>
      <c r="C1734" s="10" t="s">
        <v>170</v>
      </c>
      <c r="D1734" s="10" t="s">
        <v>171</v>
      </c>
      <c r="E1734" s="11" t="str">
        <f>+HYPERLINK("http://trademark.i-assist.jp/data/china/image_1900th/78847286.pdf", "78847286")</f>
        <v>78847286</v>
      </c>
      <c r="F1734" s="10" t="s">
        <v>15</v>
      </c>
      <c r="G1734" s="10" t="s">
        <v>4968</v>
      </c>
      <c r="H1734" s="10" t="s">
        <v>4969</v>
      </c>
      <c r="I1734" s="10" t="s">
        <v>4814</v>
      </c>
    </row>
    <row r="1735" spans="1:9" x14ac:dyDescent="0.15">
      <c r="A1735" s="9">
        <v>1734</v>
      </c>
      <c r="B1735" s="10" t="s">
        <v>9</v>
      </c>
      <c r="C1735" s="10" t="s">
        <v>170</v>
      </c>
      <c r="D1735" s="10" t="s">
        <v>171</v>
      </c>
      <c r="E1735" s="11" t="str">
        <f>+HYPERLINK("http://trademark.i-assist.jp/data/china/image_1900th/78847287.pdf", "78847287")</f>
        <v>78847287</v>
      </c>
      <c r="F1735" s="10" t="s">
        <v>4970</v>
      </c>
      <c r="G1735" s="10" t="s">
        <v>4971</v>
      </c>
      <c r="H1735" s="10" t="s">
        <v>4972</v>
      </c>
      <c r="I1735" s="10" t="s">
        <v>4814</v>
      </c>
    </row>
    <row r="1736" spans="1:9" x14ac:dyDescent="0.15">
      <c r="A1736" s="9">
        <v>1735</v>
      </c>
      <c r="B1736" s="10" t="s">
        <v>9</v>
      </c>
      <c r="C1736" s="10" t="s">
        <v>170</v>
      </c>
      <c r="D1736" s="10" t="s">
        <v>171</v>
      </c>
      <c r="E1736" s="11" t="str">
        <f>+HYPERLINK("http://trademark.i-assist.jp/data/china/image_1900th/78847326.pdf", "78847326")</f>
        <v>78847326</v>
      </c>
      <c r="F1736" s="10" t="s">
        <v>4973</v>
      </c>
      <c r="G1736" s="10" t="s">
        <v>4974</v>
      </c>
      <c r="H1736" s="10" t="s">
        <v>24</v>
      </c>
      <c r="I1736" s="10" t="s">
        <v>4814</v>
      </c>
    </row>
    <row r="1737" spans="1:9" x14ac:dyDescent="0.15">
      <c r="A1737" s="9">
        <v>1736</v>
      </c>
      <c r="B1737" s="10" t="s">
        <v>9</v>
      </c>
      <c r="C1737" s="10" t="s">
        <v>170</v>
      </c>
      <c r="D1737" s="10" t="s">
        <v>171</v>
      </c>
      <c r="E1737" s="11" t="str">
        <f>+HYPERLINK("http://trademark.i-assist.jp/data/china/image_1900th/78847374.pdf", "78847374")</f>
        <v>78847374</v>
      </c>
      <c r="F1737" s="10" t="s">
        <v>4975</v>
      </c>
      <c r="G1737" s="10" t="s">
        <v>4976</v>
      </c>
      <c r="H1737" s="10" t="s">
        <v>4977</v>
      </c>
      <c r="I1737" s="10" t="s">
        <v>4814</v>
      </c>
    </row>
    <row r="1738" spans="1:9" x14ac:dyDescent="0.15">
      <c r="A1738" s="9">
        <v>1737</v>
      </c>
      <c r="B1738" s="10" t="s">
        <v>9</v>
      </c>
      <c r="C1738" s="10" t="s">
        <v>170</v>
      </c>
      <c r="D1738" s="10" t="s">
        <v>171</v>
      </c>
      <c r="E1738" s="11" t="str">
        <f>+HYPERLINK("http://trademark.i-assist.jp/data/china/image_1900th/78847461.pdf", "78847461")</f>
        <v>78847461</v>
      </c>
      <c r="F1738" s="10" t="s">
        <v>4978</v>
      </c>
      <c r="G1738" s="10" t="s">
        <v>4979</v>
      </c>
      <c r="H1738" s="10" t="s">
        <v>4980</v>
      </c>
      <c r="I1738" s="10" t="s">
        <v>4814</v>
      </c>
    </row>
    <row r="1739" spans="1:9" x14ac:dyDescent="0.15">
      <c r="A1739" s="9">
        <v>1738</v>
      </c>
      <c r="B1739" s="10" t="s">
        <v>9</v>
      </c>
      <c r="C1739" s="10" t="s">
        <v>170</v>
      </c>
      <c r="D1739" s="10" t="s">
        <v>171</v>
      </c>
      <c r="E1739" s="11" t="str">
        <f>+HYPERLINK("http://trademark.i-assist.jp/data/china/image_1900th/78847696.pdf", "78847696")</f>
        <v>78847696</v>
      </c>
      <c r="F1739" s="10" t="s">
        <v>4981</v>
      </c>
      <c r="G1739" s="10" t="s">
        <v>140</v>
      </c>
      <c r="H1739" s="10" t="s">
        <v>4982</v>
      </c>
      <c r="I1739" s="10" t="s">
        <v>4814</v>
      </c>
    </row>
    <row r="1740" spans="1:9" x14ac:dyDescent="0.15">
      <c r="A1740" s="9">
        <v>1739</v>
      </c>
      <c r="B1740" s="10" t="s">
        <v>9</v>
      </c>
      <c r="C1740" s="10" t="s">
        <v>170</v>
      </c>
      <c r="D1740" s="10" t="s">
        <v>171</v>
      </c>
      <c r="E1740" s="11" t="str">
        <f>+HYPERLINK("http://trademark.i-assist.jp/data/china/image_1900th/78848046.pdf", "78848046")</f>
        <v>78848046</v>
      </c>
      <c r="F1740" s="10" t="s">
        <v>4983</v>
      </c>
      <c r="G1740" s="10" t="s">
        <v>4984</v>
      </c>
      <c r="H1740" s="10" t="s">
        <v>4985</v>
      </c>
      <c r="I1740" s="10" t="s">
        <v>4814</v>
      </c>
    </row>
    <row r="1741" spans="1:9" x14ac:dyDescent="0.15">
      <c r="A1741" s="9">
        <v>1740</v>
      </c>
      <c r="B1741" s="10" t="s">
        <v>9</v>
      </c>
      <c r="C1741" s="10" t="s">
        <v>170</v>
      </c>
      <c r="D1741" s="10" t="s">
        <v>171</v>
      </c>
      <c r="E1741" s="11" t="str">
        <f>+HYPERLINK("http://trademark.i-assist.jp/data/china/image_1900th/78848071.pdf", "78848071")</f>
        <v>78848071</v>
      </c>
      <c r="F1741" s="10" t="s">
        <v>4986</v>
      </c>
      <c r="G1741" s="10" t="s">
        <v>100</v>
      </c>
      <c r="H1741" s="10" t="s">
        <v>4987</v>
      </c>
      <c r="I1741" s="10" t="s">
        <v>4814</v>
      </c>
    </row>
    <row r="1742" spans="1:9" x14ac:dyDescent="0.15">
      <c r="A1742" s="9">
        <v>1741</v>
      </c>
      <c r="B1742" s="10" t="s">
        <v>9</v>
      </c>
      <c r="C1742" s="10" t="s">
        <v>170</v>
      </c>
      <c r="D1742" s="10" t="s">
        <v>171</v>
      </c>
      <c r="E1742" s="11" t="str">
        <f>+HYPERLINK("http://trademark.i-assist.jp/data/china/image_1900th/78848492.pdf", "78848492")</f>
        <v>78848492</v>
      </c>
      <c r="F1742" s="10" t="s">
        <v>4988</v>
      </c>
      <c r="G1742" s="10" t="s">
        <v>4989</v>
      </c>
      <c r="H1742" s="10" t="s">
        <v>4990</v>
      </c>
      <c r="I1742" s="10" t="s">
        <v>4814</v>
      </c>
    </row>
    <row r="1743" spans="1:9" x14ac:dyDescent="0.15">
      <c r="A1743" s="9">
        <v>1742</v>
      </c>
      <c r="B1743" s="10" t="s">
        <v>9</v>
      </c>
      <c r="C1743" s="10" t="s">
        <v>170</v>
      </c>
      <c r="D1743" s="10" t="s">
        <v>171</v>
      </c>
      <c r="E1743" s="11" t="str">
        <f>+HYPERLINK("http://trademark.i-assist.jp/data/china/image_1900th/78848842.pdf", "78848842")</f>
        <v>78848842</v>
      </c>
      <c r="F1743" s="10" t="s">
        <v>4991</v>
      </c>
      <c r="G1743" s="10" t="s">
        <v>4992</v>
      </c>
      <c r="H1743" s="10" t="s">
        <v>4993</v>
      </c>
      <c r="I1743" s="10" t="s">
        <v>4814</v>
      </c>
    </row>
    <row r="1744" spans="1:9" x14ac:dyDescent="0.15">
      <c r="A1744" s="9">
        <v>1743</v>
      </c>
      <c r="B1744" s="10" t="s">
        <v>9</v>
      </c>
      <c r="C1744" s="10" t="s">
        <v>170</v>
      </c>
      <c r="D1744" s="10" t="s">
        <v>171</v>
      </c>
      <c r="E1744" s="11" t="str">
        <f>+HYPERLINK("http://trademark.i-assist.jp/data/china/image_1900th/78848913.pdf", "78848913")</f>
        <v>78848913</v>
      </c>
      <c r="F1744" s="10" t="s">
        <v>4994</v>
      </c>
      <c r="G1744" s="10" t="s">
        <v>4995</v>
      </c>
      <c r="H1744" s="10" t="s">
        <v>4996</v>
      </c>
      <c r="I1744" s="10" t="s">
        <v>4814</v>
      </c>
    </row>
    <row r="1745" spans="1:9" x14ac:dyDescent="0.15">
      <c r="A1745" s="9">
        <v>1744</v>
      </c>
      <c r="B1745" s="10" t="s">
        <v>9</v>
      </c>
      <c r="C1745" s="10" t="s">
        <v>170</v>
      </c>
      <c r="D1745" s="10" t="s">
        <v>171</v>
      </c>
      <c r="E1745" s="11" t="str">
        <f>+HYPERLINK("http://trademark.i-assist.jp/data/china/image_1900th/78848948.pdf", "78848948")</f>
        <v>78848948</v>
      </c>
      <c r="F1745" s="10" t="s">
        <v>4997</v>
      </c>
      <c r="G1745" s="10" t="s">
        <v>4998</v>
      </c>
      <c r="H1745" s="10" t="s">
        <v>4999</v>
      </c>
      <c r="I1745" s="10" t="s">
        <v>4814</v>
      </c>
    </row>
    <row r="1746" spans="1:9" x14ac:dyDescent="0.15">
      <c r="A1746" s="9">
        <v>1745</v>
      </c>
      <c r="B1746" s="10" t="s">
        <v>9</v>
      </c>
      <c r="C1746" s="10" t="s">
        <v>170</v>
      </c>
      <c r="D1746" s="10" t="s">
        <v>171</v>
      </c>
      <c r="E1746" s="11" t="str">
        <f>+HYPERLINK("http://trademark.i-assist.jp/data/china/image_1900th/78849001.pdf", "78849001")</f>
        <v>78849001</v>
      </c>
      <c r="F1746" s="10" t="s">
        <v>5000</v>
      </c>
      <c r="G1746" s="10" t="s">
        <v>5001</v>
      </c>
      <c r="H1746" s="10" t="s">
        <v>5002</v>
      </c>
      <c r="I1746" s="10" t="s">
        <v>4814</v>
      </c>
    </row>
    <row r="1747" spans="1:9" x14ac:dyDescent="0.15">
      <c r="A1747" s="9">
        <v>1746</v>
      </c>
      <c r="B1747" s="10" t="s">
        <v>9</v>
      </c>
      <c r="C1747" s="10" t="s">
        <v>170</v>
      </c>
      <c r="D1747" s="10" t="s">
        <v>171</v>
      </c>
      <c r="E1747" s="11" t="str">
        <f>+HYPERLINK("http://trademark.i-assist.jp/data/china/image_1900th/78849070.pdf", "78849070")</f>
        <v>78849070</v>
      </c>
      <c r="F1747" s="10" t="s">
        <v>5003</v>
      </c>
      <c r="G1747" s="10" t="s">
        <v>5004</v>
      </c>
      <c r="H1747" s="10" t="s">
        <v>5005</v>
      </c>
      <c r="I1747" s="10" t="s">
        <v>4814</v>
      </c>
    </row>
    <row r="1748" spans="1:9" x14ac:dyDescent="0.15">
      <c r="A1748" s="9">
        <v>1747</v>
      </c>
      <c r="B1748" s="10" t="s">
        <v>9</v>
      </c>
      <c r="C1748" s="10" t="s">
        <v>170</v>
      </c>
      <c r="D1748" s="10" t="s">
        <v>171</v>
      </c>
      <c r="E1748" s="11" t="str">
        <f>+HYPERLINK("http://trademark.i-assist.jp/data/china/image_1900th/78849274.pdf", "78849274")</f>
        <v>78849274</v>
      </c>
      <c r="F1748" s="10" t="s">
        <v>5006</v>
      </c>
      <c r="G1748" s="10" t="s">
        <v>2945</v>
      </c>
      <c r="H1748" s="10" t="s">
        <v>5007</v>
      </c>
      <c r="I1748" s="10" t="s">
        <v>4814</v>
      </c>
    </row>
    <row r="1749" spans="1:9" x14ac:dyDescent="0.15">
      <c r="A1749" s="9">
        <v>1748</v>
      </c>
      <c r="B1749" s="10" t="s">
        <v>9</v>
      </c>
      <c r="C1749" s="10" t="s">
        <v>170</v>
      </c>
      <c r="D1749" s="10" t="s">
        <v>171</v>
      </c>
      <c r="E1749" s="11" t="str">
        <f>+HYPERLINK("http://trademark.i-assist.jp/data/china/image_1900th/78849325.pdf", "78849325")</f>
        <v>78849325</v>
      </c>
      <c r="F1749" s="10" t="s">
        <v>5008</v>
      </c>
      <c r="G1749" s="10" t="s">
        <v>164</v>
      </c>
      <c r="H1749" s="10" t="s">
        <v>5009</v>
      </c>
      <c r="I1749" s="10" t="s">
        <v>4814</v>
      </c>
    </row>
    <row r="1750" spans="1:9" x14ac:dyDescent="0.15">
      <c r="A1750" s="9">
        <v>1749</v>
      </c>
      <c r="B1750" s="10" t="s">
        <v>9</v>
      </c>
      <c r="C1750" s="10" t="s">
        <v>170</v>
      </c>
      <c r="D1750" s="10" t="s">
        <v>171</v>
      </c>
      <c r="E1750" s="11" t="str">
        <f>+HYPERLINK("http://trademark.i-assist.jp/data/china/image_1900th/78849441.pdf", "78849441")</f>
        <v>78849441</v>
      </c>
      <c r="F1750" s="10" t="s">
        <v>5010</v>
      </c>
      <c r="G1750" s="10" t="s">
        <v>5011</v>
      </c>
      <c r="H1750" s="10" t="s">
        <v>5012</v>
      </c>
      <c r="I1750" s="10" t="s">
        <v>4814</v>
      </c>
    </row>
    <row r="1751" spans="1:9" x14ac:dyDescent="0.15">
      <c r="A1751" s="9">
        <v>1750</v>
      </c>
      <c r="B1751" s="10" t="s">
        <v>9</v>
      </c>
      <c r="C1751" s="10" t="s">
        <v>170</v>
      </c>
      <c r="D1751" s="10" t="s">
        <v>171</v>
      </c>
      <c r="E1751" s="11" t="str">
        <f>+HYPERLINK("http://trademark.i-assist.jp/data/china/image_1900th/78849473.pdf", "78849473")</f>
        <v>78849473</v>
      </c>
      <c r="F1751" s="10" t="s">
        <v>5013</v>
      </c>
      <c r="G1751" s="10" t="s">
        <v>5014</v>
      </c>
      <c r="H1751" s="10" t="s">
        <v>5015</v>
      </c>
      <c r="I1751" s="10" t="s">
        <v>4814</v>
      </c>
    </row>
    <row r="1752" spans="1:9" x14ac:dyDescent="0.15">
      <c r="A1752" s="9">
        <v>1751</v>
      </c>
      <c r="B1752" s="10" t="s">
        <v>9</v>
      </c>
      <c r="C1752" s="10" t="s">
        <v>170</v>
      </c>
      <c r="D1752" s="10" t="s">
        <v>171</v>
      </c>
      <c r="E1752" s="11" t="str">
        <f>+HYPERLINK("http://trademark.i-assist.jp/data/china/image_1900th/78849502.pdf", "78849502")</f>
        <v>78849502</v>
      </c>
      <c r="F1752" s="10" t="s">
        <v>15</v>
      </c>
      <c r="G1752" s="10" t="s">
        <v>4854</v>
      </c>
      <c r="H1752" s="10" t="s">
        <v>5016</v>
      </c>
      <c r="I1752" s="10" t="s">
        <v>4814</v>
      </c>
    </row>
    <row r="1753" spans="1:9" x14ac:dyDescent="0.15">
      <c r="A1753" s="9">
        <v>1752</v>
      </c>
      <c r="B1753" s="10" t="s">
        <v>9</v>
      </c>
      <c r="C1753" s="10" t="s">
        <v>170</v>
      </c>
      <c r="D1753" s="10" t="s">
        <v>171</v>
      </c>
      <c r="E1753" s="11" t="str">
        <f>+HYPERLINK("http://trademark.i-assist.jp/data/china/image_1900th/78849573.pdf", "78849573")</f>
        <v>78849573</v>
      </c>
      <c r="F1753" s="10" t="s">
        <v>5017</v>
      </c>
      <c r="G1753" s="10" t="s">
        <v>5018</v>
      </c>
      <c r="H1753" s="10" t="s">
        <v>5019</v>
      </c>
      <c r="I1753" s="10" t="s">
        <v>4814</v>
      </c>
    </row>
    <row r="1754" spans="1:9" x14ac:dyDescent="0.15">
      <c r="A1754" s="9">
        <v>1753</v>
      </c>
      <c r="B1754" s="10" t="s">
        <v>9</v>
      </c>
      <c r="C1754" s="10" t="s">
        <v>170</v>
      </c>
      <c r="D1754" s="10" t="s">
        <v>171</v>
      </c>
      <c r="E1754" s="11" t="str">
        <f>+HYPERLINK("http://trademark.i-assist.jp/data/china/image_1900th/78849637.pdf", "78849637")</f>
        <v>78849637</v>
      </c>
      <c r="F1754" s="10" t="s">
        <v>5020</v>
      </c>
      <c r="G1754" s="10" t="s">
        <v>5021</v>
      </c>
      <c r="H1754" s="10" t="s">
        <v>5022</v>
      </c>
      <c r="I1754" s="10" t="s">
        <v>4814</v>
      </c>
    </row>
    <row r="1755" spans="1:9" x14ac:dyDescent="0.15">
      <c r="A1755" s="9">
        <v>1754</v>
      </c>
      <c r="B1755" s="10" t="s">
        <v>9</v>
      </c>
      <c r="C1755" s="10" t="s">
        <v>170</v>
      </c>
      <c r="D1755" s="10" t="s">
        <v>171</v>
      </c>
      <c r="E1755" s="11" t="str">
        <f>+HYPERLINK("http://trademark.i-assist.jp/data/china/image_1900th/78849699.pdf", "78849699")</f>
        <v>78849699</v>
      </c>
      <c r="F1755" s="10" t="s">
        <v>5023</v>
      </c>
      <c r="G1755" s="10" t="s">
        <v>5024</v>
      </c>
      <c r="H1755" s="10" t="s">
        <v>5025</v>
      </c>
      <c r="I1755" s="10" t="s">
        <v>4814</v>
      </c>
    </row>
    <row r="1756" spans="1:9" x14ac:dyDescent="0.15">
      <c r="A1756" s="9">
        <v>1755</v>
      </c>
      <c r="B1756" s="10" t="s">
        <v>9</v>
      </c>
      <c r="C1756" s="10" t="s">
        <v>170</v>
      </c>
      <c r="D1756" s="10" t="s">
        <v>171</v>
      </c>
      <c r="E1756" s="11" t="str">
        <f>+HYPERLINK("http://trademark.i-assist.jp/data/china/image_1900th/78849704.pdf", "78849704")</f>
        <v>78849704</v>
      </c>
      <c r="F1756" s="10" t="s">
        <v>5026</v>
      </c>
      <c r="G1756" s="10" t="s">
        <v>5027</v>
      </c>
      <c r="H1756" s="10" t="s">
        <v>5028</v>
      </c>
      <c r="I1756" s="10" t="s">
        <v>4814</v>
      </c>
    </row>
    <row r="1757" spans="1:9" x14ac:dyDescent="0.15">
      <c r="A1757" s="9">
        <v>1756</v>
      </c>
      <c r="B1757" s="10" t="s">
        <v>9</v>
      </c>
      <c r="C1757" s="10" t="s">
        <v>170</v>
      </c>
      <c r="D1757" s="10" t="s">
        <v>171</v>
      </c>
      <c r="E1757" s="11" t="str">
        <f>+HYPERLINK("http://trademark.i-assist.jp/data/china/image_1900th/78849765.pdf", "78849765")</f>
        <v>78849765</v>
      </c>
      <c r="F1757" s="10" t="s">
        <v>5029</v>
      </c>
      <c r="G1757" s="10" t="s">
        <v>3700</v>
      </c>
      <c r="H1757" s="10" t="s">
        <v>5030</v>
      </c>
      <c r="I1757" s="10" t="s">
        <v>4814</v>
      </c>
    </row>
    <row r="1758" spans="1:9" x14ac:dyDescent="0.15">
      <c r="A1758" s="9">
        <v>1757</v>
      </c>
      <c r="B1758" s="10" t="s">
        <v>9</v>
      </c>
      <c r="C1758" s="10" t="s">
        <v>170</v>
      </c>
      <c r="D1758" s="10" t="s">
        <v>171</v>
      </c>
      <c r="E1758" s="11" t="str">
        <f>+HYPERLINK("http://trademark.i-assist.jp/data/china/image_1900th/78849779.pdf", "78849779")</f>
        <v>78849779</v>
      </c>
      <c r="F1758" s="10" t="s">
        <v>5031</v>
      </c>
      <c r="G1758" s="10" t="s">
        <v>5032</v>
      </c>
      <c r="H1758" s="10" t="s">
        <v>5033</v>
      </c>
      <c r="I1758" s="10" t="s">
        <v>4814</v>
      </c>
    </row>
    <row r="1759" spans="1:9" x14ac:dyDescent="0.15">
      <c r="A1759" s="9">
        <v>1758</v>
      </c>
      <c r="B1759" s="10" t="s">
        <v>9</v>
      </c>
      <c r="C1759" s="10" t="s">
        <v>170</v>
      </c>
      <c r="D1759" s="10" t="s">
        <v>171</v>
      </c>
      <c r="E1759" s="11" t="str">
        <f>+HYPERLINK("http://trademark.i-assist.jp/data/china/image_1900th/78849802.pdf", "78849802")</f>
        <v>78849802</v>
      </c>
      <c r="F1759" s="10" t="s">
        <v>5034</v>
      </c>
      <c r="G1759" s="10" t="s">
        <v>5035</v>
      </c>
      <c r="H1759" s="10" t="s">
        <v>5036</v>
      </c>
      <c r="I1759" s="10" t="s">
        <v>4814</v>
      </c>
    </row>
    <row r="1760" spans="1:9" x14ac:dyDescent="0.15">
      <c r="A1760" s="9">
        <v>1759</v>
      </c>
      <c r="B1760" s="10" t="s">
        <v>9</v>
      </c>
      <c r="C1760" s="10" t="s">
        <v>170</v>
      </c>
      <c r="D1760" s="10" t="s">
        <v>171</v>
      </c>
      <c r="E1760" s="11" t="str">
        <f>+HYPERLINK("http://trademark.i-assist.jp/data/china/image_1900th/78850050.pdf", "78850050")</f>
        <v>78850050</v>
      </c>
      <c r="F1760" s="10" t="s">
        <v>5037</v>
      </c>
      <c r="G1760" s="10" t="s">
        <v>5038</v>
      </c>
      <c r="H1760" s="10" t="s">
        <v>5039</v>
      </c>
      <c r="I1760" s="10" t="s">
        <v>4814</v>
      </c>
    </row>
    <row r="1761" spans="1:9" x14ac:dyDescent="0.15">
      <c r="A1761" s="9">
        <v>1760</v>
      </c>
      <c r="B1761" s="10" t="s">
        <v>9</v>
      </c>
      <c r="C1761" s="10" t="s">
        <v>170</v>
      </c>
      <c r="D1761" s="10" t="s">
        <v>171</v>
      </c>
      <c r="E1761" s="11" t="str">
        <f>+HYPERLINK("http://trademark.i-assist.jp/data/china/image_1900th/78850308.pdf", "78850308")</f>
        <v>78850308</v>
      </c>
      <c r="F1761" s="10" t="s">
        <v>5040</v>
      </c>
      <c r="G1761" s="10" t="s">
        <v>5041</v>
      </c>
      <c r="H1761" s="10" t="s">
        <v>5042</v>
      </c>
      <c r="I1761" s="10" t="s">
        <v>4814</v>
      </c>
    </row>
    <row r="1762" spans="1:9" x14ac:dyDescent="0.15">
      <c r="A1762" s="9">
        <v>1761</v>
      </c>
      <c r="B1762" s="10" t="s">
        <v>9</v>
      </c>
      <c r="C1762" s="10" t="s">
        <v>170</v>
      </c>
      <c r="D1762" s="10" t="s">
        <v>171</v>
      </c>
      <c r="E1762" s="11" t="str">
        <f>+HYPERLINK("http://trademark.i-assist.jp/data/china/image_1900th/78850527.pdf", "78850527")</f>
        <v>78850527</v>
      </c>
      <c r="F1762" s="10" t="s">
        <v>5043</v>
      </c>
      <c r="G1762" s="10" t="s">
        <v>5044</v>
      </c>
      <c r="H1762" s="10" t="s">
        <v>5045</v>
      </c>
      <c r="I1762" s="10" t="s">
        <v>4814</v>
      </c>
    </row>
    <row r="1763" spans="1:9" x14ac:dyDescent="0.15">
      <c r="A1763" s="9">
        <v>1762</v>
      </c>
      <c r="B1763" s="10" t="s">
        <v>9</v>
      </c>
      <c r="C1763" s="10" t="s">
        <v>170</v>
      </c>
      <c r="D1763" s="10" t="s">
        <v>171</v>
      </c>
      <c r="E1763" s="11" t="str">
        <f>+HYPERLINK("http://trademark.i-assist.jp/data/china/image_1900th/78850545.pdf", "78850545")</f>
        <v>78850545</v>
      </c>
      <c r="F1763" s="10" t="s">
        <v>5046</v>
      </c>
      <c r="G1763" s="10" t="s">
        <v>5047</v>
      </c>
      <c r="H1763" s="10" t="s">
        <v>5048</v>
      </c>
      <c r="I1763" s="10" t="s">
        <v>4814</v>
      </c>
    </row>
    <row r="1764" spans="1:9" x14ac:dyDescent="0.15">
      <c r="A1764" s="9">
        <v>1763</v>
      </c>
      <c r="B1764" s="10" t="s">
        <v>9</v>
      </c>
      <c r="C1764" s="10" t="s">
        <v>170</v>
      </c>
      <c r="D1764" s="10" t="s">
        <v>171</v>
      </c>
      <c r="E1764" s="11" t="str">
        <f>+HYPERLINK("http://trademark.i-assist.jp/data/china/image_1900th/78850592.pdf", "78850592")</f>
        <v>78850592</v>
      </c>
      <c r="F1764" s="10" t="s">
        <v>5049</v>
      </c>
      <c r="G1764" s="10" t="s">
        <v>5035</v>
      </c>
      <c r="H1764" s="10" t="s">
        <v>5050</v>
      </c>
      <c r="I1764" s="10" t="s">
        <v>4814</v>
      </c>
    </row>
    <row r="1765" spans="1:9" x14ac:dyDescent="0.15">
      <c r="A1765" s="9">
        <v>1764</v>
      </c>
      <c r="B1765" s="10" t="s">
        <v>9</v>
      </c>
      <c r="C1765" s="10" t="s">
        <v>170</v>
      </c>
      <c r="D1765" s="10" t="s">
        <v>171</v>
      </c>
      <c r="E1765" s="11" t="str">
        <f>+HYPERLINK("http://trademark.i-assist.jp/data/china/image_1900th/78850696.pdf", "78850696")</f>
        <v>78850696</v>
      </c>
      <c r="F1765" s="10" t="s">
        <v>15</v>
      </c>
      <c r="G1765" s="10" t="s">
        <v>5051</v>
      </c>
      <c r="H1765" s="10" t="s">
        <v>5052</v>
      </c>
      <c r="I1765" s="10" t="s">
        <v>4814</v>
      </c>
    </row>
    <row r="1766" spans="1:9" x14ac:dyDescent="0.15">
      <c r="A1766" s="9">
        <v>1765</v>
      </c>
      <c r="B1766" s="10" t="s">
        <v>9</v>
      </c>
      <c r="C1766" s="10" t="s">
        <v>170</v>
      </c>
      <c r="D1766" s="10" t="s">
        <v>171</v>
      </c>
      <c r="E1766" s="11" t="str">
        <f>+HYPERLINK("http://trademark.i-assist.jp/data/china/image_1900th/78850718.pdf", "78850718")</f>
        <v>78850718</v>
      </c>
      <c r="F1766" s="10" t="s">
        <v>5053</v>
      </c>
      <c r="G1766" s="10" t="s">
        <v>5054</v>
      </c>
      <c r="H1766" s="10" t="s">
        <v>5055</v>
      </c>
      <c r="I1766" s="10" t="s">
        <v>4814</v>
      </c>
    </row>
    <row r="1767" spans="1:9" x14ac:dyDescent="0.15">
      <c r="A1767" s="9">
        <v>1766</v>
      </c>
      <c r="B1767" s="10" t="s">
        <v>9</v>
      </c>
      <c r="C1767" s="10" t="s">
        <v>170</v>
      </c>
      <c r="D1767" s="10" t="s">
        <v>171</v>
      </c>
      <c r="E1767" s="11" t="str">
        <f>+HYPERLINK("http://trademark.i-assist.jp/data/china/image_1900th/78851023.pdf", "78851023")</f>
        <v>78851023</v>
      </c>
      <c r="F1767" s="10" t="s">
        <v>5056</v>
      </c>
      <c r="G1767" s="10" t="s">
        <v>5057</v>
      </c>
      <c r="H1767" s="10" t="s">
        <v>5058</v>
      </c>
      <c r="I1767" s="10" t="s">
        <v>4814</v>
      </c>
    </row>
    <row r="1768" spans="1:9" x14ac:dyDescent="0.15">
      <c r="A1768" s="9">
        <v>1767</v>
      </c>
      <c r="B1768" s="10" t="s">
        <v>9</v>
      </c>
      <c r="C1768" s="10" t="s">
        <v>170</v>
      </c>
      <c r="D1768" s="10" t="s">
        <v>171</v>
      </c>
      <c r="E1768" s="11" t="str">
        <f>+HYPERLINK("http://trademark.i-assist.jp/data/china/image_1900th/78851046.pdf", "78851046")</f>
        <v>78851046</v>
      </c>
      <c r="F1768" s="10" t="s">
        <v>5059</v>
      </c>
      <c r="G1768" s="10" t="s">
        <v>4971</v>
      </c>
      <c r="H1768" s="10" t="s">
        <v>5060</v>
      </c>
      <c r="I1768" s="10" t="s">
        <v>4814</v>
      </c>
    </row>
    <row r="1769" spans="1:9" x14ac:dyDescent="0.15">
      <c r="A1769" s="9">
        <v>1768</v>
      </c>
      <c r="B1769" s="10" t="s">
        <v>9</v>
      </c>
      <c r="C1769" s="10" t="s">
        <v>170</v>
      </c>
      <c r="D1769" s="10" t="s">
        <v>171</v>
      </c>
      <c r="E1769" s="11" t="str">
        <f>+HYPERLINK("http://trademark.i-assist.jp/data/china/image_1900th/78851150.pdf", "78851150")</f>
        <v>78851150</v>
      </c>
      <c r="F1769" s="10" t="s">
        <v>5061</v>
      </c>
      <c r="G1769" s="10" t="s">
        <v>4022</v>
      </c>
      <c r="H1769" s="10" t="s">
        <v>5062</v>
      </c>
      <c r="I1769" s="10" t="s">
        <v>4814</v>
      </c>
    </row>
    <row r="1770" spans="1:9" x14ac:dyDescent="0.15">
      <c r="A1770" s="9">
        <v>1769</v>
      </c>
      <c r="B1770" s="10" t="s">
        <v>9</v>
      </c>
      <c r="C1770" s="10" t="s">
        <v>170</v>
      </c>
      <c r="D1770" s="10" t="s">
        <v>171</v>
      </c>
      <c r="E1770" s="11" t="str">
        <f>+HYPERLINK("http://trademark.i-assist.jp/data/china/image_1900th/78851554.pdf", "78851554")</f>
        <v>78851554</v>
      </c>
      <c r="F1770" s="10" t="s">
        <v>5063</v>
      </c>
      <c r="G1770" s="10" t="s">
        <v>5064</v>
      </c>
      <c r="H1770" s="10" t="s">
        <v>5065</v>
      </c>
      <c r="I1770" s="10" t="s">
        <v>4814</v>
      </c>
    </row>
    <row r="1771" spans="1:9" x14ac:dyDescent="0.15">
      <c r="A1771" s="9">
        <v>1770</v>
      </c>
      <c r="B1771" s="10" t="s">
        <v>9</v>
      </c>
      <c r="C1771" s="10" t="s">
        <v>170</v>
      </c>
      <c r="D1771" s="10" t="s">
        <v>171</v>
      </c>
      <c r="E1771" s="11" t="str">
        <f>+HYPERLINK("http://trademark.i-assist.jp/data/china/image_1900th/78852182.pdf", "78852182")</f>
        <v>78852182</v>
      </c>
      <c r="F1771" s="10" t="s">
        <v>5066</v>
      </c>
      <c r="G1771" s="10" t="s">
        <v>4971</v>
      </c>
      <c r="H1771" s="10" t="s">
        <v>5067</v>
      </c>
      <c r="I1771" s="10" t="s">
        <v>4814</v>
      </c>
    </row>
    <row r="1772" spans="1:9" x14ac:dyDescent="0.15">
      <c r="A1772" s="9">
        <v>1771</v>
      </c>
      <c r="B1772" s="10" t="s">
        <v>9</v>
      </c>
      <c r="C1772" s="10" t="s">
        <v>170</v>
      </c>
      <c r="D1772" s="10" t="s">
        <v>171</v>
      </c>
      <c r="E1772" s="11" t="str">
        <f>+HYPERLINK("http://trademark.i-assist.jp/data/china/image_1900th/78852289.pdf", "78852289")</f>
        <v>78852289</v>
      </c>
      <c r="F1772" s="10" t="s">
        <v>5068</v>
      </c>
      <c r="G1772" s="10" t="s">
        <v>142</v>
      </c>
      <c r="H1772" s="10" t="s">
        <v>5069</v>
      </c>
      <c r="I1772" s="10" t="s">
        <v>4814</v>
      </c>
    </row>
    <row r="1773" spans="1:9" x14ac:dyDescent="0.15">
      <c r="A1773" s="9">
        <v>1772</v>
      </c>
      <c r="B1773" s="10" t="s">
        <v>9</v>
      </c>
      <c r="C1773" s="10" t="s">
        <v>170</v>
      </c>
      <c r="D1773" s="10" t="s">
        <v>171</v>
      </c>
      <c r="E1773" s="11" t="str">
        <f>+HYPERLINK("http://trademark.i-assist.jp/data/china/image_1900th/78852331.pdf", "78852331")</f>
        <v>78852331</v>
      </c>
      <c r="F1773" s="10" t="s">
        <v>5070</v>
      </c>
      <c r="G1773" s="10" t="s">
        <v>4979</v>
      </c>
      <c r="H1773" s="10" t="s">
        <v>5071</v>
      </c>
      <c r="I1773" s="10" t="s">
        <v>4814</v>
      </c>
    </row>
    <row r="1774" spans="1:9" x14ac:dyDescent="0.15">
      <c r="A1774" s="9">
        <v>1773</v>
      </c>
      <c r="B1774" s="10" t="s">
        <v>9</v>
      </c>
      <c r="C1774" s="10" t="s">
        <v>170</v>
      </c>
      <c r="D1774" s="10" t="s">
        <v>171</v>
      </c>
      <c r="E1774" s="11" t="str">
        <f>+HYPERLINK("http://trademark.i-assist.jp/data/china/image_1900th/78852363.pdf", "78852363")</f>
        <v>78852363</v>
      </c>
      <c r="F1774" s="10" t="s">
        <v>5072</v>
      </c>
      <c r="G1774" s="10" t="s">
        <v>5073</v>
      </c>
      <c r="H1774" s="10" t="s">
        <v>5074</v>
      </c>
      <c r="I1774" s="10" t="s">
        <v>4814</v>
      </c>
    </row>
    <row r="1775" spans="1:9" x14ac:dyDescent="0.15">
      <c r="A1775" s="9">
        <v>1774</v>
      </c>
      <c r="B1775" s="10" t="s">
        <v>9</v>
      </c>
      <c r="C1775" s="10" t="s">
        <v>170</v>
      </c>
      <c r="D1775" s="10" t="s">
        <v>171</v>
      </c>
      <c r="E1775" s="11" t="str">
        <f>+HYPERLINK("http://trademark.i-assist.jp/data/china/image_1900th/78852373.pdf", "78852373")</f>
        <v>78852373</v>
      </c>
      <c r="F1775" s="10" t="s">
        <v>5075</v>
      </c>
      <c r="G1775" s="10" t="s">
        <v>5076</v>
      </c>
      <c r="H1775" s="10" t="s">
        <v>5077</v>
      </c>
      <c r="I1775" s="10" t="s">
        <v>4814</v>
      </c>
    </row>
    <row r="1776" spans="1:9" x14ac:dyDescent="0.15">
      <c r="A1776" s="9">
        <v>1775</v>
      </c>
      <c r="B1776" s="10" t="s">
        <v>9</v>
      </c>
      <c r="C1776" s="10" t="s">
        <v>170</v>
      </c>
      <c r="D1776" s="10" t="s">
        <v>171</v>
      </c>
      <c r="E1776" s="11" t="str">
        <f>+HYPERLINK("http://trademark.i-assist.jp/data/china/image_1900th/78852577.pdf", "78852577")</f>
        <v>78852577</v>
      </c>
      <c r="F1776" s="10" t="s">
        <v>5078</v>
      </c>
      <c r="G1776" s="10" t="s">
        <v>5079</v>
      </c>
      <c r="H1776" s="10" t="s">
        <v>5080</v>
      </c>
      <c r="I1776" s="10" t="s">
        <v>4814</v>
      </c>
    </row>
    <row r="1777" spans="1:9" x14ac:dyDescent="0.15">
      <c r="A1777" s="9">
        <v>1776</v>
      </c>
      <c r="B1777" s="10" t="s">
        <v>9</v>
      </c>
      <c r="C1777" s="10" t="s">
        <v>170</v>
      </c>
      <c r="D1777" s="10" t="s">
        <v>171</v>
      </c>
      <c r="E1777" s="11" t="str">
        <f>+HYPERLINK("http://trademark.i-assist.jp/data/china/image_1900th/78852824.pdf", "78852824")</f>
        <v>78852824</v>
      </c>
      <c r="F1777" s="10" t="s">
        <v>5081</v>
      </c>
      <c r="G1777" s="10" t="s">
        <v>3396</v>
      </c>
      <c r="H1777" s="10" t="s">
        <v>5082</v>
      </c>
      <c r="I1777" s="10" t="s">
        <v>4814</v>
      </c>
    </row>
    <row r="1778" spans="1:9" x14ac:dyDescent="0.15">
      <c r="A1778" s="9">
        <v>1777</v>
      </c>
      <c r="B1778" s="10" t="s">
        <v>9</v>
      </c>
      <c r="C1778" s="10" t="s">
        <v>170</v>
      </c>
      <c r="D1778" s="10" t="s">
        <v>171</v>
      </c>
      <c r="E1778" s="11" t="str">
        <f>+HYPERLINK("http://trademark.i-assist.jp/data/china/image_1900th/78852997.pdf", "78852997")</f>
        <v>78852997</v>
      </c>
      <c r="F1778" s="10" t="s">
        <v>2379</v>
      </c>
      <c r="G1778" s="10" t="s">
        <v>5083</v>
      </c>
      <c r="H1778" s="10" t="s">
        <v>5084</v>
      </c>
      <c r="I1778" s="10" t="s">
        <v>4814</v>
      </c>
    </row>
    <row r="1779" spans="1:9" x14ac:dyDescent="0.15">
      <c r="A1779" s="9">
        <v>1778</v>
      </c>
      <c r="B1779" s="10" t="s">
        <v>9</v>
      </c>
      <c r="C1779" s="10" t="s">
        <v>170</v>
      </c>
      <c r="D1779" s="10" t="s">
        <v>171</v>
      </c>
      <c r="E1779" s="11" t="str">
        <f>+HYPERLINK("http://trademark.i-assist.jp/data/china/image_1900th/78853013.pdf", "78853013")</f>
        <v>78853013</v>
      </c>
      <c r="F1779" s="10" t="s">
        <v>5085</v>
      </c>
      <c r="G1779" s="10" t="s">
        <v>5086</v>
      </c>
      <c r="H1779" s="10" t="s">
        <v>5087</v>
      </c>
      <c r="I1779" s="10" t="s">
        <v>4814</v>
      </c>
    </row>
    <row r="1780" spans="1:9" x14ac:dyDescent="0.15">
      <c r="A1780" s="9">
        <v>1779</v>
      </c>
      <c r="B1780" s="10" t="s">
        <v>9</v>
      </c>
      <c r="C1780" s="10" t="s">
        <v>170</v>
      </c>
      <c r="D1780" s="10" t="s">
        <v>171</v>
      </c>
      <c r="E1780" s="11" t="str">
        <f>+HYPERLINK("http://trademark.i-assist.jp/data/china/image_1900th/78853035.pdf", "78853035")</f>
        <v>78853035</v>
      </c>
      <c r="F1780" s="10" t="s">
        <v>5088</v>
      </c>
      <c r="G1780" s="10" t="s">
        <v>5089</v>
      </c>
      <c r="H1780" s="10" t="s">
        <v>5090</v>
      </c>
      <c r="I1780" s="10" t="s">
        <v>4814</v>
      </c>
    </row>
    <row r="1781" spans="1:9" x14ac:dyDescent="0.15">
      <c r="A1781" s="9">
        <v>1780</v>
      </c>
      <c r="B1781" s="10" t="s">
        <v>9</v>
      </c>
      <c r="C1781" s="10" t="s">
        <v>170</v>
      </c>
      <c r="D1781" s="10" t="s">
        <v>171</v>
      </c>
      <c r="E1781" s="11" t="str">
        <f>+HYPERLINK("http://trademark.i-assist.jp/data/china/image_1900th/78853134.pdf", "78853134")</f>
        <v>78853134</v>
      </c>
      <c r="F1781" s="10" t="s">
        <v>5091</v>
      </c>
      <c r="G1781" s="10" t="s">
        <v>5092</v>
      </c>
      <c r="H1781" s="10" t="s">
        <v>5093</v>
      </c>
      <c r="I1781" s="10" t="s">
        <v>4814</v>
      </c>
    </row>
    <row r="1782" spans="1:9" x14ac:dyDescent="0.15">
      <c r="A1782" s="9">
        <v>1781</v>
      </c>
      <c r="B1782" s="10" t="s">
        <v>9</v>
      </c>
      <c r="C1782" s="10" t="s">
        <v>170</v>
      </c>
      <c r="D1782" s="10" t="s">
        <v>171</v>
      </c>
      <c r="E1782" s="11" t="str">
        <f>+HYPERLINK("http://trademark.i-assist.jp/data/china/image_1900th/78853220.pdf", "78853220")</f>
        <v>78853220</v>
      </c>
      <c r="F1782" s="10" t="s">
        <v>5094</v>
      </c>
      <c r="G1782" s="10" t="s">
        <v>5095</v>
      </c>
      <c r="H1782" s="10" t="s">
        <v>5096</v>
      </c>
      <c r="I1782" s="10" t="s">
        <v>4814</v>
      </c>
    </row>
    <row r="1783" spans="1:9" x14ac:dyDescent="0.15">
      <c r="A1783" s="9">
        <v>1782</v>
      </c>
      <c r="B1783" s="10" t="s">
        <v>9</v>
      </c>
      <c r="C1783" s="10" t="s">
        <v>170</v>
      </c>
      <c r="D1783" s="10" t="s">
        <v>171</v>
      </c>
      <c r="E1783" s="11" t="str">
        <f>+HYPERLINK("http://trademark.i-assist.jp/data/china/image_1900th/78853310.pdf", "78853310")</f>
        <v>78853310</v>
      </c>
      <c r="F1783" s="10" t="s">
        <v>5097</v>
      </c>
      <c r="G1783" s="10" t="s">
        <v>4934</v>
      </c>
      <c r="H1783" s="10" t="s">
        <v>5098</v>
      </c>
      <c r="I1783" s="10" t="s">
        <v>4814</v>
      </c>
    </row>
    <row r="1784" spans="1:9" x14ac:dyDescent="0.15">
      <c r="A1784" s="9">
        <v>1783</v>
      </c>
      <c r="B1784" s="10" t="s">
        <v>9</v>
      </c>
      <c r="C1784" s="10" t="s">
        <v>170</v>
      </c>
      <c r="D1784" s="10" t="s">
        <v>171</v>
      </c>
      <c r="E1784" s="11" t="str">
        <f>+HYPERLINK("http://trademark.i-assist.jp/data/china/image_1900th/78853372.pdf", "78853372")</f>
        <v>78853372</v>
      </c>
      <c r="F1784" s="10" t="s">
        <v>5099</v>
      </c>
      <c r="G1784" s="10" t="s">
        <v>5100</v>
      </c>
      <c r="H1784" s="10" t="s">
        <v>5101</v>
      </c>
      <c r="I1784" s="10" t="s">
        <v>4814</v>
      </c>
    </row>
    <row r="1785" spans="1:9" x14ac:dyDescent="0.15">
      <c r="A1785" s="9">
        <v>1784</v>
      </c>
      <c r="B1785" s="10" t="s">
        <v>9</v>
      </c>
      <c r="C1785" s="10" t="s">
        <v>170</v>
      </c>
      <c r="D1785" s="10" t="s">
        <v>171</v>
      </c>
      <c r="E1785" s="11" t="str">
        <f>+HYPERLINK("http://trademark.i-assist.jp/data/china/image_1900th/78853604.pdf", "78853604")</f>
        <v>78853604</v>
      </c>
      <c r="F1785" s="10" t="s">
        <v>5102</v>
      </c>
      <c r="G1785" s="10" t="s">
        <v>5103</v>
      </c>
      <c r="H1785" s="10" t="s">
        <v>5104</v>
      </c>
      <c r="I1785" s="10" t="s">
        <v>4814</v>
      </c>
    </row>
    <row r="1786" spans="1:9" x14ac:dyDescent="0.15">
      <c r="A1786" s="9">
        <v>1785</v>
      </c>
      <c r="B1786" s="10" t="s">
        <v>9</v>
      </c>
      <c r="C1786" s="10" t="s">
        <v>170</v>
      </c>
      <c r="D1786" s="10" t="s">
        <v>171</v>
      </c>
      <c r="E1786" s="11" t="str">
        <f>+HYPERLINK("http://trademark.i-assist.jp/data/china/image_1900th/78853610.pdf", "78853610")</f>
        <v>78853610</v>
      </c>
      <c r="F1786" s="10" t="s">
        <v>5105</v>
      </c>
      <c r="G1786" s="10" t="s">
        <v>5106</v>
      </c>
      <c r="H1786" s="10" t="s">
        <v>5107</v>
      </c>
      <c r="I1786" s="10" t="s">
        <v>4814</v>
      </c>
    </row>
    <row r="1787" spans="1:9" x14ac:dyDescent="0.15">
      <c r="A1787" s="9">
        <v>1786</v>
      </c>
      <c r="B1787" s="10" t="s">
        <v>9</v>
      </c>
      <c r="C1787" s="10" t="s">
        <v>170</v>
      </c>
      <c r="D1787" s="10" t="s">
        <v>171</v>
      </c>
      <c r="E1787" s="11" t="str">
        <f>+HYPERLINK("http://trademark.i-assist.jp/data/china/image_1900th/78853611.pdf", "78853611")</f>
        <v>78853611</v>
      </c>
      <c r="F1787" s="10" t="s">
        <v>5108</v>
      </c>
      <c r="G1787" s="10" t="s">
        <v>5109</v>
      </c>
      <c r="H1787" s="10" t="s">
        <v>5110</v>
      </c>
      <c r="I1787" s="10" t="s">
        <v>4814</v>
      </c>
    </row>
    <row r="1788" spans="1:9" x14ac:dyDescent="0.15">
      <c r="A1788" s="9">
        <v>1787</v>
      </c>
      <c r="B1788" s="10" t="s">
        <v>9</v>
      </c>
      <c r="C1788" s="10" t="s">
        <v>170</v>
      </c>
      <c r="D1788" s="10" t="s">
        <v>171</v>
      </c>
      <c r="E1788" s="11" t="str">
        <f>+HYPERLINK("http://trademark.i-assist.jp/data/china/image_1900th/78853705.pdf", "78853705")</f>
        <v>78853705</v>
      </c>
      <c r="F1788" s="10" t="s">
        <v>5111</v>
      </c>
      <c r="G1788" s="10" t="s">
        <v>5112</v>
      </c>
      <c r="H1788" s="10" t="s">
        <v>30</v>
      </c>
      <c r="I1788" s="10" t="s">
        <v>4814</v>
      </c>
    </row>
    <row r="1789" spans="1:9" x14ac:dyDescent="0.15">
      <c r="A1789" s="9">
        <v>1788</v>
      </c>
      <c r="B1789" s="10" t="s">
        <v>9</v>
      </c>
      <c r="C1789" s="10" t="s">
        <v>170</v>
      </c>
      <c r="D1789" s="10" t="s">
        <v>171</v>
      </c>
      <c r="E1789" s="11" t="str">
        <f>+HYPERLINK("http://trademark.i-assist.jp/data/china/image_1900th/78853958.pdf", "78853958")</f>
        <v>78853958</v>
      </c>
      <c r="F1789" s="10" t="s">
        <v>5113</v>
      </c>
      <c r="G1789" s="10" t="s">
        <v>5114</v>
      </c>
      <c r="H1789" s="10" t="s">
        <v>5115</v>
      </c>
      <c r="I1789" s="10" t="s">
        <v>4814</v>
      </c>
    </row>
    <row r="1790" spans="1:9" x14ac:dyDescent="0.15">
      <c r="A1790" s="9">
        <v>1789</v>
      </c>
      <c r="B1790" s="10" t="s">
        <v>9</v>
      </c>
      <c r="C1790" s="10" t="s">
        <v>170</v>
      </c>
      <c r="D1790" s="10" t="s">
        <v>171</v>
      </c>
      <c r="E1790" s="11" t="str">
        <f>+HYPERLINK("http://trademark.i-assist.jp/data/china/image_1900th/78853985.pdf", "78853985")</f>
        <v>78853985</v>
      </c>
      <c r="F1790" s="10" t="s">
        <v>5116</v>
      </c>
      <c r="G1790" s="10" t="s">
        <v>5117</v>
      </c>
      <c r="H1790" s="10" t="s">
        <v>5118</v>
      </c>
      <c r="I1790" s="10" t="s">
        <v>4814</v>
      </c>
    </row>
    <row r="1791" spans="1:9" x14ac:dyDescent="0.15">
      <c r="A1791" s="9">
        <v>1790</v>
      </c>
      <c r="B1791" s="10" t="s">
        <v>9</v>
      </c>
      <c r="C1791" s="10" t="s">
        <v>170</v>
      </c>
      <c r="D1791" s="10" t="s">
        <v>171</v>
      </c>
      <c r="E1791" s="11" t="str">
        <f>+HYPERLINK("http://trademark.i-assist.jp/data/china/image_1900th/78853990.pdf", "78853990")</f>
        <v>78853990</v>
      </c>
      <c r="F1791" s="10" t="s">
        <v>5119</v>
      </c>
      <c r="G1791" s="10" t="s">
        <v>5120</v>
      </c>
      <c r="H1791" s="10" t="s">
        <v>5121</v>
      </c>
      <c r="I1791" s="10" t="s">
        <v>4814</v>
      </c>
    </row>
    <row r="1792" spans="1:9" x14ac:dyDescent="0.15">
      <c r="A1792" s="9">
        <v>1791</v>
      </c>
      <c r="B1792" s="10" t="s">
        <v>9</v>
      </c>
      <c r="C1792" s="10" t="s">
        <v>170</v>
      </c>
      <c r="D1792" s="10" t="s">
        <v>171</v>
      </c>
      <c r="E1792" s="11" t="str">
        <f>+HYPERLINK("http://trademark.i-assist.jp/data/china/image_1900th/78854044.pdf", "78854044")</f>
        <v>78854044</v>
      </c>
      <c r="F1792" s="10" t="s">
        <v>5122</v>
      </c>
      <c r="G1792" s="10" t="s">
        <v>5123</v>
      </c>
      <c r="H1792" s="10" t="s">
        <v>5124</v>
      </c>
      <c r="I1792" s="10" t="s">
        <v>4814</v>
      </c>
    </row>
    <row r="1793" spans="1:9" x14ac:dyDescent="0.15">
      <c r="A1793" s="9">
        <v>1792</v>
      </c>
      <c r="B1793" s="10" t="s">
        <v>9</v>
      </c>
      <c r="C1793" s="10" t="s">
        <v>170</v>
      </c>
      <c r="D1793" s="10" t="s">
        <v>171</v>
      </c>
      <c r="E1793" s="11" t="str">
        <f>+HYPERLINK("http://trademark.i-assist.jp/data/china/image_1900th/78854097.pdf", "78854097")</f>
        <v>78854097</v>
      </c>
      <c r="F1793" s="10" t="s">
        <v>5125</v>
      </c>
      <c r="G1793" s="10" t="s">
        <v>5126</v>
      </c>
      <c r="H1793" s="10" t="s">
        <v>5127</v>
      </c>
      <c r="I1793" s="10" t="s">
        <v>4814</v>
      </c>
    </row>
    <row r="1794" spans="1:9" x14ac:dyDescent="0.15">
      <c r="A1794" s="9">
        <v>1793</v>
      </c>
      <c r="B1794" s="10" t="s">
        <v>9</v>
      </c>
      <c r="C1794" s="10" t="s">
        <v>170</v>
      </c>
      <c r="D1794" s="10" t="s">
        <v>171</v>
      </c>
      <c r="E1794" s="11" t="str">
        <f>+HYPERLINK("http://trademark.i-assist.jp/data/china/image_1900th/78854188.pdf", "78854188")</f>
        <v>78854188</v>
      </c>
      <c r="F1794" s="10" t="s">
        <v>5128</v>
      </c>
      <c r="G1794" s="10" t="s">
        <v>4825</v>
      </c>
      <c r="H1794" s="10" t="s">
        <v>5129</v>
      </c>
      <c r="I1794" s="10" t="s">
        <v>4814</v>
      </c>
    </row>
    <row r="1795" spans="1:9" x14ac:dyDescent="0.15">
      <c r="A1795" s="9">
        <v>1794</v>
      </c>
      <c r="B1795" s="10" t="s">
        <v>9</v>
      </c>
      <c r="C1795" s="10" t="s">
        <v>170</v>
      </c>
      <c r="D1795" s="10" t="s">
        <v>171</v>
      </c>
      <c r="E1795" s="11" t="str">
        <f>+HYPERLINK("http://trademark.i-assist.jp/data/china/image_1900th/78854231.pdf", "78854231")</f>
        <v>78854231</v>
      </c>
      <c r="F1795" s="10" t="s">
        <v>5130</v>
      </c>
      <c r="G1795" s="10" t="s">
        <v>5131</v>
      </c>
      <c r="H1795" s="10" t="s">
        <v>5132</v>
      </c>
      <c r="I1795" s="10" t="s">
        <v>4814</v>
      </c>
    </row>
    <row r="1796" spans="1:9" x14ac:dyDescent="0.15">
      <c r="A1796" s="9">
        <v>1795</v>
      </c>
      <c r="B1796" s="10" t="s">
        <v>9</v>
      </c>
      <c r="C1796" s="10" t="s">
        <v>170</v>
      </c>
      <c r="D1796" s="10" t="s">
        <v>171</v>
      </c>
      <c r="E1796" s="11" t="str">
        <f>+HYPERLINK("http://trademark.i-assist.jp/data/china/image_1900th/78854400.pdf", "78854400")</f>
        <v>78854400</v>
      </c>
      <c r="F1796" s="10" t="s">
        <v>5133</v>
      </c>
      <c r="G1796" s="10" t="s">
        <v>5004</v>
      </c>
      <c r="H1796" s="10" t="s">
        <v>5134</v>
      </c>
      <c r="I1796" s="10" t="s">
        <v>4814</v>
      </c>
    </row>
    <row r="1797" spans="1:9" x14ac:dyDescent="0.15">
      <c r="A1797" s="9">
        <v>1796</v>
      </c>
      <c r="B1797" s="10" t="s">
        <v>9</v>
      </c>
      <c r="C1797" s="10" t="s">
        <v>170</v>
      </c>
      <c r="D1797" s="10" t="s">
        <v>171</v>
      </c>
      <c r="E1797" s="11" t="str">
        <f>+HYPERLINK("http://trademark.i-assist.jp/data/china/image_1900th/78854442.pdf", "78854442")</f>
        <v>78854442</v>
      </c>
      <c r="F1797" s="10" t="s">
        <v>5135</v>
      </c>
      <c r="G1797" s="10" t="s">
        <v>5136</v>
      </c>
      <c r="H1797" s="10" t="s">
        <v>5137</v>
      </c>
      <c r="I1797" s="10" t="s">
        <v>4814</v>
      </c>
    </row>
    <row r="1798" spans="1:9" x14ac:dyDescent="0.15">
      <c r="A1798" s="9">
        <v>1797</v>
      </c>
      <c r="B1798" s="10" t="s">
        <v>9</v>
      </c>
      <c r="C1798" s="10" t="s">
        <v>170</v>
      </c>
      <c r="D1798" s="10" t="s">
        <v>171</v>
      </c>
      <c r="E1798" s="11" t="str">
        <f>+HYPERLINK("http://trademark.i-assist.jp/data/china/image_1900th/78854844.pdf", "78854844")</f>
        <v>78854844</v>
      </c>
      <c r="F1798" s="10" t="s">
        <v>5138</v>
      </c>
      <c r="G1798" s="10" t="s">
        <v>5139</v>
      </c>
      <c r="H1798" s="10" t="s">
        <v>5140</v>
      </c>
      <c r="I1798" s="10" t="s">
        <v>4814</v>
      </c>
    </row>
    <row r="1799" spans="1:9" x14ac:dyDescent="0.15">
      <c r="A1799" s="9">
        <v>1798</v>
      </c>
      <c r="B1799" s="10" t="s">
        <v>9</v>
      </c>
      <c r="C1799" s="10" t="s">
        <v>170</v>
      </c>
      <c r="D1799" s="10" t="s">
        <v>171</v>
      </c>
      <c r="E1799" s="11" t="str">
        <f>+HYPERLINK("http://trademark.i-assist.jp/data/china/image_1900th/78854879.pdf", "78854879")</f>
        <v>78854879</v>
      </c>
      <c r="F1799" s="10" t="s">
        <v>5141</v>
      </c>
      <c r="G1799" s="10" t="s">
        <v>5142</v>
      </c>
      <c r="H1799" s="10" t="s">
        <v>5143</v>
      </c>
      <c r="I1799" s="10" t="s">
        <v>4814</v>
      </c>
    </row>
    <row r="1800" spans="1:9" x14ac:dyDescent="0.15">
      <c r="A1800" s="9">
        <v>1799</v>
      </c>
      <c r="B1800" s="10" t="s">
        <v>9</v>
      </c>
      <c r="C1800" s="10" t="s">
        <v>170</v>
      </c>
      <c r="D1800" s="10" t="s">
        <v>171</v>
      </c>
      <c r="E1800" s="11" t="str">
        <f>+HYPERLINK("http://trademark.i-assist.jp/data/china/image_1900th/78855002.pdf", "78855002")</f>
        <v>78855002</v>
      </c>
      <c r="F1800" s="10" t="s">
        <v>5144</v>
      </c>
      <c r="G1800" s="10" t="s">
        <v>4874</v>
      </c>
      <c r="H1800" s="10" t="s">
        <v>5145</v>
      </c>
      <c r="I1800" s="10" t="s">
        <v>4814</v>
      </c>
    </row>
    <row r="1801" spans="1:9" x14ac:dyDescent="0.15">
      <c r="A1801" s="9">
        <v>1800</v>
      </c>
      <c r="B1801" s="10" t="s">
        <v>9</v>
      </c>
      <c r="C1801" s="10" t="s">
        <v>170</v>
      </c>
      <c r="D1801" s="10" t="s">
        <v>171</v>
      </c>
      <c r="E1801" s="11" t="str">
        <f>+HYPERLINK("http://trademark.i-assist.jp/data/china/image_1900th/78855235.pdf", "78855235")</f>
        <v>78855235</v>
      </c>
      <c r="F1801" s="10" t="s">
        <v>5146</v>
      </c>
      <c r="G1801" s="10" t="s">
        <v>5147</v>
      </c>
      <c r="H1801" s="10" t="s">
        <v>5148</v>
      </c>
      <c r="I1801" s="10" t="s">
        <v>4814</v>
      </c>
    </row>
    <row r="1802" spans="1:9" x14ac:dyDescent="0.15">
      <c r="A1802" s="9">
        <v>1801</v>
      </c>
      <c r="B1802" s="10" t="s">
        <v>9</v>
      </c>
      <c r="C1802" s="10" t="s">
        <v>170</v>
      </c>
      <c r="D1802" s="10" t="s">
        <v>171</v>
      </c>
      <c r="E1802" s="11" t="str">
        <f>+HYPERLINK("http://trademark.i-assist.jp/data/china/image_1900th/78855551.pdf", "78855551")</f>
        <v>78855551</v>
      </c>
      <c r="F1802" s="10" t="s">
        <v>5149</v>
      </c>
      <c r="G1802" s="10" t="s">
        <v>5150</v>
      </c>
      <c r="H1802" s="10" t="s">
        <v>5151</v>
      </c>
      <c r="I1802" s="10" t="s">
        <v>4814</v>
      </c>
    </row>
    <row r="1803" spans="1:9" x14ac:dyDescent="0.15">
      <c r="A1803" s="9">
        <v>1802</v>
      </c>
      <c r="B1803" s="10" t="s">
        <v>9</v>
      </c>
      <c r="C1803" s="10" t="s">
        <v>170</v>
      </c>
      <c r="D1803" s="10" t="s">
        <v>171</v>
      </c>
      <c r="E1803" s="11" t="str">
        <f>+HYPERLINK("http://trademark.i-assist.jp/data/china/image_1900th/78855611.pdf", "78855611")</f>
        <v>78855611</v>
      </c>
      <c r="F1803" s="10" t="s">
        <v>5152</v>
      </c>
      <c r="G1803" s="10" t="s">
        <v>5153</v>
      </c>
      <c r="H1803" s="10" t="s">
        <v>5154</v>
      </c>
      <c r="I1803" s="10" t="s">
        <v>4814</v>
      </c>
    </row>
    <row r="1804" spans="1:9" x14ac:dyDescent="0.15">
      <c r="A1804" s="9">
        <v>1803</v>
      </c>
      <c r="B1804" s="10" t="s">
        <v>9</v>
      </c>
      <c r="C1804" s="10" t="s">
        <v>170</v>
      </c>
      <c r="D1804" s="10" t="s">
        <v>171</v>
      </c>
      <c r="E1804" s="11" t="str">
        <f>+HYPERLINK("http://trademark.i-assist.jp/data/china/image_1900th/78855619.pdf", "78855619")</f>
        <v>78855619</v>
      </c>
      <c r="F1804" s="10" t="s">
        <v>5155</v>
      </c>
      <c r="G1804" s="10" t="s">
        <v>5156</v>
      </c>
      <c r="H1804" s="10" t="s">
        <v>5157</v>
      </c>
      <c r="I1804" s="10" t="s">
        <v>4814</v>
      </c>
    </row>
    <row r="1805" spans="1:9" x14ac:dyDescent="0.15">
      <c r="A1805" s="9">
        <v>1804</v>
      </c>
      <c r="B1805" s="10" t="s">
        <v>9</v>
      </c>
      <c r="C1805" s="10" t="s">
        <v>170</v>
      </c>
      <c r="D1805" s="10" t="s">
        <v>171</v>
      </c>
      <c r="E1805" s="11" t="str">
        <f>+HYPERLINK("http://trademark.i-assist.jp/data/china/image_1900th/78855626.pdf", "78855626")</f>
        <v>78855626</v>
      </c>
      <c r="F1805" s="10" t="s">
        <v>5158</v>
      </c>
      <c r="G1805" s="10" t="s">
        <v>5159</v>
      </c>
      <c r="H1805" s="10" t="s">
        <v>5160</v>
      </c>
      <c r="I1805" s="10" t="s">
        <v>4814</v>
      </c>
    </row>
    <row r="1806" spans="1:9" x14ac:dyDescent="0.15">
      <c r="A1806" s="9">
        <v>1805</v>
      </c>
      <c r="B1806" s="10" t="s">
        <v>9</v>
      </c>
      <c r="C1806" s="10" t="s">
        <v>170</v>
      </c>
      <c r="D1806" s="10" t="s">
        <v>171</v>
      </c>
      <c r="E1806" s="11" t="str">
        <f>+HYPERLINK("http://trademark.i-assist.jp/data/china/image_1900th/78855713.pdf", "78855713")</f>
        <v>78855713</v>
      </c>
      <c r="F1806" s="10" t="s">
        <v>5161</v>
      </c>
      <c r="G1806" s="10" t="s">
        <v>5162</v>
      </c>
      <c r="H1806" s="10" t="s">
        <v>5163</v>
      </c>
      <c r="I1806" s="10" t="s">
        <v>4814</v>
      </c>
    </row>
    <row r="1807" spans="1:9" x14ac:dyDescent="0.15">
      <c r="A1807" s="9">
        <v>1806</v>
      </c>
      <c r="B1807" s="10" t="s">
        <v>9</v>
      </c>
      <c r="C1807" s="10" t="s">
        <v>170</v>
      </c>
      <c r="D1807" s="10" t="s">
        <v>171</v>
      </c>
      <c r="E1807" s="11" t="str">
        <f>+HYPERLINK("http://trademark.i-assist.jp/data/china/image_1900th/78855910.pdf", "78855910")</f>
        <v>78855910</v>
      </c>
      <c r="F1807" s="10" t="s">
        <v>5164</v>
      </c>
      <c r="G1807" s="10" t="s">
        <v>78</v>
      </c>
      <c r="H1807" s="10" t="s">
        <v>5165</v>
      </c>
      <c r="I1807" s="10" t="s">
        <v>4814</v>
      </c>
    </row>
    <row r="1808" spans="1:9" x14ac:dyDescent="0.15">
      <c r="A1808" s="9">
        <v>1807</v>
      </c>
      <c r="B1808" s="10" t="s">
        <v>9</v>
      </c>
      <c r="C1808" s="10" t="s">
        <v>170</v>
      </c>
      <c r="D1808" s="10" t="s">
        <v>171</v>
      </c>
      <c r="E1808" s="11" t="str">
        <f>+HYPERLINK("http://trademark.i-assist.jp/data/china/image_1900th/78856136.pdf", "78856136")</f>
        <v>78856136</v>
      </c>
      <c r="F1808" s="10" t="s">
        <v>5166</v>
      </c>
      <c r="G1808" s="10" t="s">
        <v>5167</v>
      </c>
      <c r="H1808" s="10" t="s">
        <v>5168</v>
      </c>
      <c r="I1808" s="10" t="s">
        <v>4814</v>
      </c>
    </row>
    <row r="1809" spans="1:9" x14ac:dyDescent="0.15">
      <c r="A1809" s="9">
        <v>1808</v>
      </c>
      <c r="B1809" s="10" t="s">
        <v>9</v>
      </c>
      <c r="C1809" s="10" t="s">
        <v>170</v>
      </c>
      <c r="D1809" s="10" t="s">
        <v>171</v>
      </c>
      <c r="E1809" s="11" t="str">
        <f>+HYPERLINK("http://trademark.i-assist.jp/data/china/image_1900th/78856297.pdf", "78856297")</f>
        <v>78856297</v>
      </c>
      <c r="F1809" s="10" t="s">
        <v>5169</v>
      </c>
      <c r="G1809" s="10" t="s">
        <v>5170</v>
      </c>
      <c r="H1809" s="10" t="s">
        <v>5171</v>
      </c>
      <c r="I1809" s="10" t="s">
        <v>4814</v>
      </c>
    </row>
    <row r="1810" spans="1:9" x14ac:dyDescent="0.15">
      <c r="A1810" s="9">
        <v>1809</v>
      </c>
      <c r="B1810" s="10" t="s">
        <v>9</v>
      </c>
      <c r="C1810" s="10" t="s">
        <v>170</v>
      </c>
      <c r="D1810" s="10" t="s">
        <v>171</v>
      </c>
      <c r="E1810" s="11" t="str">
        <f>+HYPERLINK("http://trademark.i-assist.jp/data/china/image_1900th/78856476.pdf", "78856476")</f>
        <v>78856476</v>
      </c>
      <c r="F1810" s="10" t="s">
        <v>5172</v>
      </c>
      <c r="G1810" s="10" t="s">
        <v>5173</v>
      </c>
      <c r="H1810" s="10" t="s">
        <v>5174</v>
      </c>
      <c r="I1810" s="10" t="s">
        <v>4814</v>
      </c>
    </row>
    <row r="1811" spans="1:9" x14ac:dyDescent="0.15">
      <c r="A1811" s="9">
        <v>1810</v>
      </c>
      <c r="B1811" s="10" t="s">
        <v>9</v>
      </c>
      <c r="C1811" s="10" t="s">
        <v>170</v>
      </c>
      <c r="D1811" s="10" t="s">
        <v>171</v>
      </c>
      <c r="E1811" s="11" t="str">
        <f>+HYPERLINK("http://trademark.i-assist.jp/data/china/image_1900th/78856579.pdf", "78856579")</f>
        <v>78856579</v>
      </c>
      <c r="F1811" s="10" t="s">
        <v>5175</v>
      </c>
      <c r="G1811" s="10" t="s">
        <v>4910</v>
      </c>
      <c r="H1811" s="10" t="s">
        <v>5176</v>
      </c>
      <c r="I1811" s="10" t="s">
        <v>4814</v>
      </c>
    </row>
    <row r="1812" spans="1:9" x14ac:dyDescent="0.15">
      <c r="A1812" s="9">
        <v>1811</v>
      </c>
      <c r="B1812" s="10" t="s">
        <v>9</v>
      </c>
      <c r="C1812" s="10" t="s">
        <v>170</v>
      </c>
      <c r="D1812" s="10" t="s">
        <v>171</v>
      </c>
      <c r="E1812" s="11" t="str">
        <f>+HYPERLINK("http://trademark.i-assist.jp/data/china/image_1900th/78856644.pdf", "78856644")</f>
        <v>78856644</v>
      </c>
      <c r="F1812" s="10" t="s">
        <v>5177</v>
      </c>
      <c r="G1812" s="10" t="s">
        <v>5178</v>
      </c>
      <c r="H1812" s="10" t="s">
        <v>5179</v>
      </c>
      <c r="I1812" s="10" t="s">
        <v>4814</v>
      </c>
    </row>
    <row r="1813" spans="1:9" x14ac:dyDescent="0.15">
      <c r="A1813" s="9">
        <v>1812</v>
      </c>
      <c r="B1813" s="10" t="s">
        <v>9</v>
      </c>
      <c r="C1813" s="10" t="s">
        <v>170</v>
      </c>
      <c r="D1813" s="10" t="s">
        <v>171</v>
      </c>
      <c r="E1813" s="11" t="str">
        <f>+HYPERLINK("http://trademark.i-assist.jp/data/china/image_1900th/78856869.pdf", "78856869")</f>
        <v>78856869</v>
      </c>
      <c r="F1813" s="10" t="s">
        <v>5180</v>
      </c>
      <c r="G1813" s="10" t="s">
        <v>5181</v>
      </c>
      <c r="H1813" s="10" t="s">
        <v>5182</v>
      </c>
      <c r="I1813" s="10" t="s">
        <v>4814</v>
      </c>
    </row>
    <row r="1814" spans="1:9" x14ac:dyDescent="0.15">
      <c r="A1814" s="9">
        <v>1813</v>
      </c>
      <c r="B1814" s="10" t="s">
        <v>9</v>
      </c>
      <c r="C1814" s="10" t="s">
        <v>170</v>
      </c>
      <c r="D1814" s="10" t="s">
        <v>171</v>
      </c>
      <c r="E1814" s="11" t="str">
        <f>+HYPERLINK("http://trademark.i-assist.jp/data/china/image_1900th/78856955.pdf", "78856955")</f>
        <v>78856955</v>
      </c>
      <c r="F1814" s="10" t="s">
        <v>5183</v>
      </c>
      <c r="G1814" s="10" t="s">
        <v>5021</v>
      </c>
      <c r="H1814" s="10" t="s">
        <v>5184</v>
      </c>
      <c r="I1814" s="10" t="s">
        <v>4814</v>
      </c>
    </row>
    <row r="1815" spans="1:9" x14ac:dyDescent="0.15">
      <c r="A1815" s="9">
        <v>1814</v>
      </c>
      <c r="B1815" s="10" t="s">
        <v>9</v>
      </c>
      <c r="C1815" s="10" t="s">
        <v>170</v>
      </c>
      <c r="D1815" s="10" t="s">
        <v>171</v>
      </c>
      <c r="E1815" s="11" t="str">
        <f>+HYPERLINK("http://trademark.i-assist.jp/data/china/image_1900th/78857251.pdf", "78857251")</f>
        <v>78857251</v>
      </c>
      <c r="F1815" s="10" t="s">
        <v>5185</v>
      </c>
      <c r="G1815" s="10" t="s">
        <v>5186</v>
      </c>
      <c r="H1815" s="10" t="s">
        <v>5187</v>
      </c>
      <c r="I1815" s="10" t="s">
        <v>4814</v>
      </c>
    </row>
    <row r="1816" spans="1:9" x14ac:dyDescent="0.15">
      <c r="A1816" s="9">
        <v>1815</v>
      </c>
      <c r="B1816" s="10" t="s">
        <v>9</v>
      </c>
      <c r="C1816" s="10" t="s">
        <v>170</v>
      </c>
      <c r="D1816" s="10" t="s">
        <v>171</v>
      </c>
      <c r="E1816" s="11" t="str">
        <f>+HYPERLINK("http://trademark.i-assist.jp/data/china/image_1900th/78857412.pdf", "78857412")</f>
        <v>78857412</v>
      </c>
      <c r="F1816" s="10" t="s">
        <v>5188</v>
      </c>
      <c r="G1816" s="10" t="s">
        <v>5189</v>
      </c>
      <c r="H1816" s="10" t="s">
        <v>5190</v>
      </c>
      <c r="I1816" s="10" t="s">
        <v>4814</v>
      </c>
    </row>
    <row r="1817" spans="1:9" x14ac:dyDescent="0.15">
      <c r="A1817" s="9">
        <v>1816</v>
      </c>
      <c r="B1817" s="10" t="s">
        <v>9</v>
      </c>
      <c r="C1817" s="10" t="s">
        <v>170</v>
      </c>
      <c r="D1817" s="10" t="s">
        <v>171</v>
      </c>
      <c r="E1817" s="11" t="str">
        <f>+HYPERLINK("http://trademark.i-assist.jp/data/china/image_1900th/78857536.pdf", "78857536")</f>
        <v>78857536</v>
      </c>
      <c r="F1817" s="10" t="s">
        <v>5191</v>
      </c>
      <c r="G1817" s="10" t="s">
        <v>5192</v>
      </c>
      <c r="H1817" s="10" t="s">
        <v>5193</v>
      </c>
      <c r="I1817" s="10" t="s">
        <v>4814</v>
      </c>
    </row>
    <row r="1818" spans="1:9" x14ac:dyDescent="0.15">
      <c r="A1818" s="9">
        <v>1817</v>
      </c>
      <c r="B1818" s="10" t="s">
        <v>9</v>
      </c>
      <c r="C1818" s="10" t="s">
        <v>170</v>
      </c>
      <c r="D1818" s="10" t="s">
        <v>171</v>
      </c>
      <c r="E1818" s="11" t="str">
        <f>+HYPERLINK("http://trademark.i-assist.jp/data/china/image_1900th/78857681.pdf", "78857681")</f>
        <v>78857681</v>
      </c>
      <c r="F1818" s="10" t="s">
        <v>5194</v>
      </c>
      <c r="G1818" s="10" t="s">
        <v>5195</v>
      </c>
      <c r="H1818" s="10" t="s">
        <v>5196</v>
      </c>
      <c r="I1818" s="10" t="s">
        <v>4814</v>
      </c>
    </row>
    <row r="1819" spans="1:9" x14ac:dyDescent="0.15">
      <c r="A1819" s="9">
        <v>1818</v>
      </c>
      <c r="B1819" s="10" t="s">
        <v>9</v>
      </c>
      <c r="C1819" s="10" t="s">
        <v>170</v>
      </c>
      <c r="D1819" s="10" t="s">
        <v>171</v>
      </c>
      <c r="E1819" s="11" t="str">
        <f>+HYPERLINK("http://trademark.i-assist.jp/data/china/image_1900th/78857803.pdf", "78857803")</f>
        <v>78857803</v>
      </c>
      <c r="F1819" s="10" t="s">
        <v>5197</v>
      </c>
      <c r="G1819" s="10" t="s">
        <v>5021</v>
      </c>
      <c r="H1819" s="10" t="s">
        <v>5198</v>
      </c>
      <c r="I1819" s="10" t="s">
        <v>4814</v>
      </c>
    </row>
    <row r="1820" spans="1:9" x14ac:dyDescent="0.15">
      <c r="A1820" s="9">
        <v>1819</v>
      </c>
      <c r="B1820" s="10" t="s">
        <v>9</v>
      </c>
      <c r="C1820" s="10" t="s">
        <v>170</v>
      </c>
      <c r="D1820" s="10" t="s">
        <v>171</v>
      </c>
      <c r="E1820" s="11" t="str">
        <f>+HYPERLINK("http://trademark.i-assist.jp/data/china/image_1900th/78857928.pdf", "78857928")</f>
        <v>78857928</v>
      </c>
      <c r="F1820" s="10" t="s">
        <v>5199</v>
      </c>
      <c r="G1820" s="10" t="s">
        <v>5200</v>
      </c>
      <c r="H1820" s="10" t="s">
        <v>5201</v>
      </c>
      <c r="I1820" s="10" t="s">
        <v>4814</v>
      </c>
    </row>
    <row r="1821" spans="1:9" x14ac:dyDescent="0.15">
      <c r="A1821" s="9">
        <v>1820</v>
      </c>
      <c r="B1821" s="10" t="s">
        <v>9</v>
      </c>
      <c r="C1821" s="10" t="s">
        <v>170</v>
      </c>
      <c r="D1821" s="10" t="s">
        <v>171</v>
      </c>
      <c r="E1821" s="11" t="str">
        <f>+HYPERLINK("http://trademark.i-assist.jp/data/china/image_1900th/78858192.pdf", "78858192")</f>
        <v>78858192</v>
      </c>
      <c r="F1821" s="10" t="s">
        <v>5202</v>
      </c>
      <c r="G1821" s="10" t="s">
        <v>5156</v>
      </c>
      <c r="H1821" s="10" t="s">
        <v>5203</v>
      </c>
      <c r="I1821" s="10" t="s">
        <v>4814</v>
      </c>
    </row>
    <row r="1822" spans="1:9" x14ac:dyDescent="0.15">
      <c r="A1822" s="9">
        <v>1821</v>
      </c>
      <c r="B1822" s="10" t="s">
        <v>9</v>
      </c>
      <c r="C1822" s="10" t="s">
        <v>170</v>
      </c>
      <c r="D1822" s="10" t="s">
        <v>171</v>
      </c>
      <c r="E1822" s="11" t="str">
        <f>+HYPERLINK("http://trademark.i-assist.jp/data/china/image_1900th/78858231.pdf", "78858231")</f>
        <v>78858231</v>
      </c>
      <c r="F1822" s="10" t="s">
        <v>5204</v>
      </c>
      <c r="G1822" s="10" t="s">
        <v>5205</v>
      </c>
      <c r="H1822" s="10" t="s">
        <v>5206</v>
      </c>
      <c r="I1822" s="10" t="s">
        <v>4814</v>
      </c>
    </row>
    <row r="1823" spans="1:9" x14ac:dyDescent="0.15">
      <c r="A1823" s="9">
        <v>1822</v>
      </c>
      <c r="B1823" s="10" t="s">
        <v>9</v>
      </c>
      <c r="C1823" s="10" t="s">
        <v>170</v>
      </c>
      <c r="D1823" s="10" t="s">
        <v>171</v>
      </c>
      <c r="E1823" s="11" t="str">
        <f>+HYPERLINK("http://trademark.i-assist.jp/data/china/image_1900th/78858438.pdf", "78858438")</f>
        <v>78858438</v>
      </c>
      <c r="F1823" s="10" t="s">
        <v>5207</v>
      </c>
      <c r="G1823" s="10" t="s">
        <v>5208</v>
      </c>
      <c r="H1823" s="10" t="s">
        <v>5209</v>
      </c>
      <c r="I1823" s="10" t="s">
        <v>4814</v>
      </c>
    </row>
    <row r="1824" spans="1:9" x14ac:dyDescent="0.15">
      <c r="A1824" s="9">
        <v>1823</v>
      </c>
      <c r="B1824" s="10" t="s">
        <v>9</v>
      </c>
      <c r="C1824" s="10" t="s">
        <v>170</v>
      </c>
      <c r="D1824" s="10" t="s">
        <v>171</v>
      </c>
      <c r="E1824" s="11" t="str">
        <f>+HYPERLINK("http://trademark.i-assist.jp/data/china/image_1900th/78858469.pdf", "78858469")</f>
        <v>78858469</v>
      </c>
      <c r="F1824" s="10" t="s">
        <v>5210</v>
      </c>
      <c r="G1824" s="10" t="s">
        <v>5211</v>
      </c>
      <c r="H1824" s="10" t="s">
        <v>5212</v>
      </c>
      <c r="I1824" s="10" t="s">
        <v>4814</v>
      </c>
    </row>
    <row r="1825" spans="1:9" x14ac:dyDescent="0.15">
      <c r="A1825" s="9">
        <v>1824</v>
      </c>
      <c r="B1825" s="10" t="s">
        <v>9</v>
      </c>
      <c r="C1825" s="10" t="s">
        <v>170</v>
      </c>
      <c r="D1825" s="10" t="s">
        <v>171</v>
      </c>
      <c r="E1825" s="11" t="str">
        <f>+HYPERLINK("http://trademark.i-assist.jp/data/china/image_1900th/78858488.pdf", "78858488")</f>
        <v>78858488</v>
      </c>
      <c r="F1825" s="10" t="s">
        <v>5213</v>
      </c>
      <c r="G1825" s="10" t="s">
        <v>5214</v>
      </c>
      <c r="H1825" s="10" t="s">
        <v>5215</v>
      </c>
      <c r="I1825" s="10" t="s">
        <v>4814</v>
      </c>
    </row>
    <row r="1826" spans="1:9" x14ac:dyDescent="0.15">
      <c r="A1826" s="9">
        <v>1825</v>
      </c>
      <c r="B1826" s="10" t="s">
        <v>9</v>
      </c>
      <c r="C1826" s="10" t="s">
        <v>170</v>
      </c>
      <c r="D1826" s="10" t="s">
        <v>171</v>
      </c>
      <c r="E1826" s="11" t="str">
        <f>+HYPERLINK("http://trademark.i-assist.jp/data/china/image_1900th/78858566.pdf", "78858566")</f>
        <v>78858566</v>
      </c>
      <c r="F1826" s="10" t="s">
        <v>15</v>
      </c>
      <c r="G1826" s="10" t="s">
        <v>5216</v>
      </c>
      <c r="H1826" s="10" t="s">
        <v>5217</v>
      </c>
      <c r="I1826" s="10" t="s">
        <v>4814</v>
      </c>
    </row>
    <row r="1827" spans="1:9" x14ac:dyDescent="0.15">
      <c r="A1827" s="9">
        <v>1826</v>
      </c>
      <c r="B1827" s="10" t="s">
        <v>9</v>
      </c>
      <c r="C1827" s="10" t="s">
        <v>170</v>
      </c>
      <c r="D1827" s="10" t="s">
        <v>171</v>
      </c>
      <c r="E1827" s="11" t="str">
        <f>+HYPERLINK("http://trademark.i-assist.jp/data/china/image_1900th/78858969.pdf", "78858969")</f>
        <v>78858969</v>
      </c>
      <c r="F1827" s="10" t="s">
        <v>5218</v>
      </c>
      <c r="G1827" s="10" t="s">
        <v>4825</v>
      </c>
      <c r="H1827" s="10" t="s">
        <v>5219</v>
      </c>
      <c r="I1827" s="10" t="s">
        <v>4814</v>
      </c>
    </row>
    <row r="1828" spans="1:9" x14ac:dyDescent="0.15">
      <c r="A1828" s="9">
        <v>1827</v>
      </c>
      <c r="B1828" s="10" t="s">
        <v>9</v>
      </c>
      <c r="C1828" s="10" t="s">
        <v>170</v>
      </c>
      <c r="D1828" s="10" t="s">
        <v>171</v>
      </c>
      <c r="E1828" s="11" t="str">
        <f>+HYPERLINK("http://trademark.i-assist.jp/data/china/image_1900th/78859141.pdf", "78859141")</f>
        <v>78859141</v>
      </c>
      <c r="F1828" s="10" t="s">
        <v>5220</v>
      </c>
      <c r="G1828" s="10" t="s">
        <v>5221</v>
      </c>
      <c r="H1828" s="10" t="s">
        <v>5222</v>
      </c>
      <c r="I1828" s="10" t="s">
        <v>4814</v>
      </c>
    </row>
    <row r="1829" spans="1:9" x14ac:dyDescent="0.15">
      <c r="A1829" s="9">
        <v>1828</v>
      </c>
      <c r="B1829" s="10" t="s">
        <v>9</v>
      </c>
      <c r="C1829" s="10" t="s">
        <v>170</v>
      </c>
      <c r="D1829" s="10" t="s">
        <v>171</v>
      </c>
      <c r="E1829" s="11" t="str">
        <f>+HYPERLINK("http://trademark.i-assist.jp/data/china/image_1900th/78859185.pdf", "78859185")</f>
        <v>78859185</v>
      </c>
      <c r="F1829" s="10" t="s">
        <v>5223</v>
      </c>
      <c r="G1829" s="10" t="s">
        <v>5224</v>
      </c>
      <c r="H1829" s="10" t="s">
        <v>5225</v>
      </c>
      <c r="I1829" s="10" t="s">
        <v>4814</v>
      </c>
    </row>
    <row r="1830" spans="1:9" x14ac:dyDescent="0.15">
      <c r="A1830" s="9">
        <v>1829</v>
      </c>
      <c r="B1830" s="10" t="s">
        <v>9</v>
      </c>
      <c r="C1830" s="10" t="s">
        <v>170</v>
      </c>
      <c r="D1830" s="10" t="s">
        <v>171</v>
      </c>
      <c r="E1830" s="11" t="str">
        <f>+HYPERLINK("http://trademark.i-assist.jp/data/china/image_1900th/78859374.pdf", "78859374")</f>
        <v>78859374</v>
      </c>
      <c r="F1830" s="10" t="s">
        <v>5226</v>
      </c>
      <c r="G1830" s="10" t="s">
        <v>5227</v>
      </c>
      <c r="H1830" s="10" t="s">
        <v>5228</v>
      </c>
      <c r="I1830" s="10" t="s">
        <v>4814</v>
      </c>
    </row>
    <row r="1831" spans="1:9" x14ac:dyDescent="0.15">
      <c r="A1831" s="9">
        <v>1830</v>
      </c>
      <c r="B1831" s="10" t="s">
        <v>9</v>
      </c>
      <c r="C1831" s="10" t="s">
        <v>170</v>
      </c>
      <c r="D1831" s="10" t="s">
        <v>171</v>
      </c>
      <c r="E1831" s="11" t="str">
        <f>+HYPERLINK("http://trademark.i-assist.jp/data/china/image_1900th/78859473.pdf", "78859473")</f>
        <v>78859473</v>
      </c>
      <c r="F1831" s="10" t="s">
        <v>5229</v>
      </c>
      <c r="G1831" s="10" t="s">
        <v>5230</v>
      </c>
      <c r="H1831" s="10" t="s">
        <v>5231</v>
      </c>
      <c r="I1831" s="10" t="s">
        <v>4814</v>
      </c>
    </row>
    <row r="1832" spans="1:9" x14ac:dyDescent="0.15">
      <c r="A1832" s="9">
        <v>1831</v>
      </c>
      <c r="B1832" s="10" t="s">
        <v>9</v>
      </c>
      <c r="C1832" s="10" t="s">
        <v>170</v>
      </c>
      <c r="D1832" s="10" t="s">
        <v>171</v>
      </c>
      <c r="E1832" s="11" t="str">
        <f>+HYPERLINK("http://trademark.i-assist.jp/data/china/image_1900th/78859609.pdf", "78859609")</f>
        <v>78859609</v>
      </c>
      <c r="F1832" s="10" t="s">
        <v>5232</v>
      </c>
      <c r="G1832" s="10" t="s">
        <v>5233</v>
      </c>
      <c r="H1832" s="10" t="s">
        <v>5234</v>
      </c>
      <c r="I1832" s="10" t="s">
        <v>4814</v>
      </c>
    </row>
    <row r="1833" spans="1:9" x14ac:dyDescent="0.15">
      <c r="A1833" s="9">
        <v>1832</v>
      </c>
      <c r="B1833" s="10" t="s">
        <v>9</v>
      </c>
      <c r="C1833" s="10" t="s">
        <v>170</v>
      </c>
      <c r="D1833" s="10" t="s">
        <v>171</v>
      </c>
      <c r="E1833" s="11" t="str">
        <f>+HYPERLINK("http://trademark.i-assist.jp/data/china/image_1900th/78859664.pdf", "78859664")</f>
        <v>78859664</v>
      </c>
      <c r="F1833" s="10" t="s">
        <v>5235</v>
      </c>
      <c r="G1833" s="10" t="s">
        <v>5236</v>
      </c>
      <c r="H1833" s="10" t="s">
        <v>5237</v>
      </c>
      <c r="I1833" s="10" t="s">
        <v>4814</v>
      </c>
    </row>
    <row r="1834" spans="1:9" x14ac:dyDescent="0.15">
      <c r="A1834" s="9">
        <v>1833</v>
      </c>
      <c r="B1834" s="10" t="s">
        <v>9</v>
      </c>
      <c r="C1834" s="10" t="s">
        <v>170</v>
      </c>
      <c r="D1834" s="10" t="s">
        <v>171</v>
      </c>
      <c r="E1834" s="11" t="str">
        <f>+HYPERLINK("http://trademark.i-assist.jp/data/china/image_1900th/78860010.pdf", "78860010")</f>
        <v>78860010</v>
      </c>
      <c r="F1834" s="10" t="s">
        <v>5238</v>
      </c>
      <c r="G1834" s="10" t="s">
        <v>5239</v>
      </c>
      <c r="H1834" s="10" t="s">
        <v>5240</v>
      </c>
      <c r="I1834" s="10" t="s">
        <v>4814</v>
      </c>
    </row>
    <row r="1835" spans="1:9" x14ac:dyDescent="0.15">
      <c r="A1835" s="9">
        <v>1834</v>
      </c>
      <c r="B1835" s="10" t="s">
        <v>9</v>
      </c>
      <c r="C1835" s="10" t="s">
        <v>170</v>
      </c>
      <c r="D1835" s="10" t="s">
        <v>171</v>
      </c>
      <c r="E1835" s="11" t="str">
        <f>+HYPERLINK("http://trademark.i-assist.jp/data/china/image_1900th/78860262.pdf", "78860262")</f>
        <v>78860262</v>
      </c>
      <c r="F1835" s="10" t="s">
        <v>5241</v>
      </c>
      <c r="G1835" s="10" t="s">
        <v>4960</v>
      </c>
      <c r="H1835" s="10" t="s">
        <v>5242</v>
      </c>
      <c r="I1835" s="10" t="s">
        <v>4814</v>
      </c>
    </row>
    <row r="1836" spans="1:9" x14ac:dyDescent="0.15">
      <c r="A1836" s="9">
        <v>1835</v>
      </c>
      <c r="B1836" s="10" t="s">
        <v>9</v>
      </c>
      <c r="C1836" s="10" t="s">
        <v>170</v>
      </c>
      <c r="D1836" s="10" t="s">
        <v>171</v>
      </c>
      <c r="E1836" s="11" t="str">
        <f>+HYPERLINK("http://trademark.i-assist.jp/data/china/image_1900th/78860453.pdf", "78860453")</f>
        <v>78860453</v>
      </c>
      <c r="F1836" s="10" t="s">
        <v>5243</v>
      </c>
      <c r="G1836" s="10" t="s">
        <v>5244</v>
      </c>
      <c r="H1836" s="10" t="s">
        <v>5245</v>
      </c>
      <c r="I1836" s="10" t="s">
        <v>4814</v>
      </c>
    </row>
    <row r="1837" spans="1:9" x14ac:dyDescent="0.15">
      <c r="A1837" s="9">
        <v>1836</v>
      </c>
      <c r="B1837" s="10" t="s">
        <v>9</v>
      </c>
      <c r="C1837" s="10" t="s">
        <v>170</v>
      </c>
      <c r="D1837" s="10" t="s">
        <v>171</v>
      </c>
      <c r="E1837" s="11" t="str">
        <f>+HYPERLINK("http://trademark.i-assist.jp/data/china/image_1900th/78860603.pdf", "78860603")</f>
        <v>78860603</v>
      </c>
      <c r="F1837" s="10" t="s">
        <v>5246</v>
      </c>
      <c r="G1837" s="10" t="s">
        <v>4849</v>
      </c>
      <c r="H1837" s="10" t="s">
        <v>5247</v>
      </c>
      <c r="I1837" s="10" t="s">
        <v>4814</v>
      </c>
    </row>
    <row r="1838" spans="1:9" x14ac:dyDescent="0.15">
      <c r="A1838" s="9">
        <v>1837</v>
      </c>
      <c r="B1838" s="10" t="s">
        <v>9</v>
      </c>
      <c r="C1838" s="10" t="s">
        <v>170</v>
      </c>
      <c r="D1838" s="10" t="s">
        <v>171</v>
      </c>
      <c r="E1838" s="11" t="str">
        <f>+HYPERLINK("http://trademark.i-assist.jp/data/china/image_1900th/78860665.pdf", "78860665")</f>
        <v>78860665</v>
      </c>
      <c r="F1838" s="10" t="s">
        <v>5248</v>
      </c>
      <c r="G1838" s="10" t="s">
        <v>5249</v>
      </c>
      <c r="H1838" s="10" t="s">
        <v>5250</v>
      </c>
      <c r="I1838" s="10" t="s">
        <v>4814</v>
      </c>
    </row>
    <row r="1839" spans="1:9" x14ac:dyDescent="0.15">
      <c r="A1839" s="9">
        <v>1838</v>
      </c>
      <c r="B1839" s="10" t="s">
        <v>9</v>
      </c>
      <c r="C1839" s="10" t="s">
        <v>170</v>
      </c>
      <c r="D1839" s="10" t="s">
        <v>171</v>
      </c>
      <c r="E1839" s="11" t="str">
        <f>+HYPERLINK("http://trademark.i-assist.jp/data/china/image_1900th/78860765.pdf", "78860765")</f>
        <v>78860765</v>
      </c>
      <c r="F1839" s="10" t="s">
        <v>5251</v>
      </c>
      <c r="G1839" s="10" t="s">
        <v>5252</v>
      </c>
      <c r="H1839" s="10" t="s">
        <v>5253</v>
      </c>
      <c r="I1839" s="10" t="s">
        <v>4814</v>
      </c>
    </row>
    <row r="1840" spans="1:9" x14ac:dyDescent="0.15">
      <c r="A1840" s="9">
        <v>1839</v>
      </c>
      <c r="B1840" s="10" t="s">
        <v>9</v>
      </c>
      <c r="C1840" s="10" t="s">
        <v>170</v>
      </c>
      <c r="D1840" s="10" t="s">
        <v>171</v>
      </c>
      <c r="E1840" s="11" t="str">
        <f>+HYPERLINK("http://trademark.i-assist.jp/data/china/image_1900th/78860783.pdf", "78860783")</f>
        <v>78860783</v>
      </c>
      <c r="F1840" s="10" t="s">
        <v>5254</v>
      </c>
      <c r="G1840" s="10" t="s">
        <v>5227</v>
      </c>
      <c r="H1840" s="10" t="s">
        <v>5255</v>
      </c>
      <c r="I1840" s="10" t="s">
        <v>4814</v>
      </c>
    </row>
    <row r="1841" spans="1:9" x14ac:dyDescent="0.15">
      <c r="A1841" s="9">
        <v>1840</v>
      </c>
      <c r="B1841" s="10" t="s">
        <v>9</v>
      </c>
      <c r="C1841" s="10" t="s">
        <v>170</v>
      </c>
      <c r="D1841" s="10" t="s">
        <v>171</v>
      </c>
      <c r="E1841" s="11" t="str">
        <f>+HYPERLINK("http://trademark.i-assist.jp/data/china/image_1900th/78861241.pdf", "78861241")</f>
        <v>78861241</v>
      </c>
      <c r="F1841" s="10" t="s">
        <v>5256</v>
      </c>
      <c r="G1841" s="10" t="s">
        <v>5257</v>
      </c>
      <c r="H1841" s="10" t="s">
        <v>5258</v>
      </c>
      <c r="I1841" s="10" t="s">
        <v>4814</v>
      </c>
    </row>
    <row r="1842" spans="1:9" x14ac:dyDescent="0.15">
      <c r="A1842" s="9">
        <v>1841</v>
      </c>
      <c r="B1842" s="10" t="s">
        <v>9</v>
      </c>
      <c r="C1842" s="10" t="s">
        <v>170</v>
      </c>
      <c r="D1842" s="10" t="s">
        <v>171</v>
      </c>
      <c r="E1842" s="11" t="str">
        <f>+HYPERLINK("http://trademark.i-assist.jp/data/china/image_1900th/78861250.pdf", "78861250")</f>
        <v>78861250</v>
      </c>
      <c r="F1842" s="10" t="s">
        <v>5259</v>
      </c>
      <c r="G1842" s="10" t="s">
        <v>5260</v>
      </c>
      <c r="H1842" s="10" t="s">
        <v>5261</v>
      </c>
      <c r="I1842" s="10" t="s">
        <v>4814</v>
      </c>
    </row>
    <row r="1843" spans="1:9" x14ac:dyDescent="0.15">
      <c r="A1843" s="9">
        <v>1842</v>
      </c>
      <c r="B1843" s="10" t="s">
        <v>9</v>
      </c>
      <c r="C1843" s="10" t="s">
        <v>170</v>
      </c>
      <c r="D1843" s="10" t="s">
        <v>171</v>
      </c>
      <c r="E1843" s="11" t="str">
        <f>+HYPERLINK("http://trademark.i-assist.jp/data/china/image_1900th/78861438.pdf", "78861438")</f>
        <v>78861438</v>
      </c>
      <c r="F1843" s="10" t="s">
        <v>5262</v>
      </c>
      <c r="G1843" s="10" t="s">
        <v>5123</v>
      </c>
      <c r="H1843" s="10" t="s">
        <v>5263</v>
      </c>
      <c r="I1843" s="10" t="s">
        <v>4814</v>
      </c>
    </row>
    <row r="1844" spans="1:9" x14ac:dyDescent="0.15">
      <c r="A1844" s="9">
        <v>1843</v>
      </c>
      <c r="B1844" s="10" t="s">
        <v>9</v>
      </c>
      <c r="C1844" s="10" t="s">
        <v>170</v>
      </c>
      <c r="D1844" s="10" t="s">
        <v>171</v>
      </c>
      <c r="E1844" s="11" t="str">
        <f>+HYPERLINK("http://trademark.i-assist.jp/data/china/image_1900th/78861676.pdf", "78861676")</f>
        <v>78861676</v>
      </c>
      <c r="F1844" s="10" t="s">
        <v>5264</v>
      </c>
      <c r="G1844" s="10" t="s">
        <v>5265</v>
      </c>
      <c r="H1844" s="10" t="s">
        <v>5266</v>
      </c>
      <c r="I1844" s="10" t="s">
        <v>4814</v>
      </c>
    </row>
    <row r="1845" spans="1:9" x14ac:dyDescent="0.15">
      <c r="A1845" s="9">
        <v>1844</v>
      </c>
      <c r="B1845" s="10" t="s">
        <v>9</v>
      </c>
      <c r="C1845" s="10" t="s">
        <v>170</v>
      </c>
      <c r="D1845" s="10" t="s">
        <v>171</v>
      </c>
      <c r="E1845" s="11" t="str">
        <f>+HYPERLINK("http://trademark.i-assist.jp/data/china/image_1900th/78861914.pdf", "78861914")</f>
        <v>78861914</v>
      </c>
      <c r="F1845" s="10" t="s">
        <v>5267</v>
      </c>
      <c r="G1845" s="10" t="s">
        <v>5268</v>
      </c>
      <c r="H1845" s="10" t="s">
        <v>5269</v>
      </c>
      <c r="I1845" s="10" t="s">
        <v>4814</v>
      </c>
    </row>
    <row r="1846" spans="1:9" x14ac:dyDescent="0.15">
      <c r="A1846" s="9">
        <v>1845</v>
      </c>
      <c r="B1846" s="10" t="s">
        <v>9</v>
      </c>
      <c r="C1846" s="10" t="s">
        <v>170</v>
      </c>
      <c r="D1846" s="10" t="s">
        <v>171</v>
      </c>
      <c r="E1846" s="11" t="str">
        <f>+HYPERLINK("http://trademark.i-assist.jp/data/china/image_1900th/78861927.pdf", "78861927")</f>
        <v>78861927</v>
      </c>
      <c r="F1846" s="10" t="s">
        <v>5270</v>
      </c>
      <c r="G1846" s="10" t="s">
        <v>5271</v>
      </c>
      <c r="H1846" s="10" t="s">
        <v>5272</v>
      </c>
      <c r="I1846" s="10" t="s">
        <v>4814</v>
      </c>
    </row>
    <row r="1847" spans="1:9" x14ac:dyDescent="0.15">
      <c r="A1847" s="9">
        <v>1846</v>
      </c>
      <c r="B1847" s="10" t="s">
        <v>9</v>
      </c>
      <c r="C1847" s="10" t="s">
        <v>170</v>
      </c>
      <c r="D1847" s="10" t="s">
        <v>171</v>
      </c>
      <c r="E1847" s="11" t="str">
        <f>+HYPERLINK("http://trademark.i-assist.jp/data/china/image_1900th/78862236.pdf", "78862236")</f>
        <v>78862236</v>
      </c>
      <c r="F1847" s="10" t="s">
        <v>15</v>
      </c>
      <c r="G1847" s="10" t="s">
        <v>5273</v>
      </c>
      <c r="H1847" s="10" t="s">
        <v>5274</v>
      </c>
      <c r="I1847" s="10" t="s">
        <v>4814</v>
      </c>
    </row>
    <row r="1848" spans="1:9" x14ac:dyDescent="0.15">
      <c r="A1848" s="9">
        <v>1847</v>
      </c>
      <c r="B1848" s="10" t="s">
        <v>9</v>
      </c>
      <c r="C1848" s="10" t="s">
        <v>170</v>
      </c>
      <c r="D1848" s="10" t="s">
        <v>171</v>
      </c>
      <c r="E1848" s="11" t="str">
        <f>+HYPERLINK("http://trademark.i-assist.jp/data/china/image_1900th/78862267.pdf", "78862267")</f>
        <v>78862267</v>
      </c>
      <c r="F1848" s="10" t="s">
        <v>5275</v>
      </c>
      <c r="G1848" s="10" t="s">
        <v>5276</v>
      </c>
      <c r="H1848" s="10" t="s">
        <v>5277</v>
      </c>
      <c r="I1848" s="10" t="s">
        <v>4814</v>
      </c>
    </row>
    <row r="1849" spans="1:9" x14ac:dyDescent="0.15">
      <c r="A1849" s="9">
        <v>1848</v>
      </c>
      <c r="B1849" s="10" t="s">
        <v>9</v>
      </c>
      <c r="C1849" s="10" t="s">
        <v>170</v>
      </c>
      <c r="D1849" s="10" t="s">
        <v>171</v>
      </c>
      <c r="E1849" s="11" t="str">
        <f>+HYPERLINK("http://trademark.i-assist.jp/data/china/image_1900th/78862343.pdf", "78862343")</f>
        <v>78862343</v>
      </c>
      <c r="F1849" s="10" t="s">
        <v>5278</v>
      </c>
      <c r="G1849" s="10" t="s">
        <v>5279</v>
      </c>
      <c r="H1849" s="10" t="s">
        <v>5280</v>
      </c>
      <c r="I1849" s="10" t="s">
        <v>4814</v>
      </c>
    </row>
    <row r="1850" spans="1:9" x14ac:dyDescent="0.15">
      <c r="A1850" s="9">
        <v>1849</v>
      </c>
      <c r="B1850" s="10" t="s">
        <v>9</v>
      </c>
      <c r="C1850" s="10" t="s">
        <v>170</v>
      </c>
      <c r="D1850" s="10" t="s">
        <v>171</v>
      </c>
      <c r="E1850" s="11" t="str">
        <f>+HYPERLINK("http://trademark.i-assist.jp/data/china/image_1900th/78862369.pdf", "78862369")</f>
        <v>78862369</v>
      </c>
      <c r="F1850" s="10" t="s">
        <v>5281</v>
      </c>
      <c r="G1850" s="10" t="s">
        <v>5282</v>
      </c>
      <c r="H1850" s="10" t="s">
        <v>5283</v>
      </c>
      <c r="I1850" s="10" t="s">
        <v>4814</v>
      </c>
    </row>
    <row r="1851" spans="1:9" x14ac:dyDescent="0.15">
      <c r="A1851" s="9">
        <v>1850</v>
      </c>
      <c r="B1851" s="10" t="s">
        <v>9</v>
      </c>
      <c r="C1851" s="10" t="s">
        <v>170</v>
      </c>
      <c r="D1851" s="10" t="s">
        <v>171</v>
      </c>
      <c r="E1851" s="11" t="str">
        <f>+HYPERLINK("http://trademark.i-assist.jp/data/china/image_1900th/78862388.pdf", "78862388")</f>
        <v>78862388</v>
      </c>
      <c r="F1851" s="10" t="s">
        <v>5284</v>
      </c>
      <c r="G1851" s="10" t="s">
        <v>142</v>
      </c>
      <c r="H1851" s="10" t="s">
        <v>5285</v>
      </c>
      <c r="I1851" s="10" t="s">
        <v>4814</v>
      </c>
    </row>
    <row r="1852" spans="1:9" x14ac:dyDescent="0.15">
      <c r="A1852" s="9">
        <v>1851</v>
      </c>
      <c r="B1852" s="10" t="s">
        <v>9</v>
      </c>
      <c r="C1852" s="10" t="s">
        <v>170</v>
      </c>
      <c r="D1852" s="10" t="s">
        <v>171</v>
      </c>
      <c r="E1852" s="11" t="str">
        <f>+HYPERLINK("http://trademark.i-assist.jp/data/china/image_1900th/78862521.pdf", "78862521")</f>
        <v>78862521</v>
      </c>
      <c r="F1852" s="10" t="s">
        <v>5286</v>
      </c>
      <c r="G1852" s="10" t="s">
        <v>5287</v>
      </c>
      <c r="H1852" s="10" t="s">
        <v>5288</v>
      </c>
      <c r="I1852" s="10" t="s">
        <v>4814</v>
      </c>
    </row>
    <row r="1853" spans="1:9" x14ac:dyDescent="0.15">
      <c r="A1853" s="9">
        <v>1852</v>
      </c>
      <c r="B1853" s="10" t="s">
        <v>9</v>
      </c>
      <c r="C1853" s="10" t="s">
        <v>170</v>
      </c>
      <c r="D1853" s="10" t="s">
        <v>171</v>
      </c>
      <c r="E1853" s="11" t="str">
        <f>+HYPERLINK("http://trademark.i-assist.jp/data/china/image_1900th/78862857.pdf", "78862857")</f>
        <v>78862857</v>
      </c>
      <c r="F1853" s="10" t="s">
        <v>5289</v>
      </c>
      <c r="G1853" s="10" t="s">
        <v>5290</v>
      </c>
      <c r="H1853" s="10" t="s">
        <v>5291</v>
      </c>
      <c r="I1853" s="10" t="s">
        <v>4814</v>
      </c>
    </row>
    <row r="1854" spans="1:9" x14ac:dyDescent="0.15">
      <c r="A1854" s="9">
        <v>1853</v>
      </c>
      <c r="B1854" s="10" t="s">
        <v>9</v>
      </c>
      <c r="C1854" s="10" t="s">
        <v>170</v>
      </c>
      <c r="D1854" s="10" t="s">
        <v>171</v>
      </c>
      <c r="E1854" s="11" t="str">
        <f>+HYPERLINK("http://trademark.i-assist.jp/data/china/image_1900th/78863152.pdf", "78863152")</f>
        <v>78863152</v>
      </c>
      <c r="F1854" s="10" t="s">
        <v>5292</v>
      </c>
      <c r="G1854" s="10" t="s">
        <v>4945</v>
      </c>
      <c r="H1854" s="10" t="s">
        <v>5293</v>
      </c>
      <c r="I1854" s="10" t="s">
        <v>4814</v>
      </c>
    </row>
    <row r="1855" spans="1:9" x14ac:dyDescent="0.15">
      <c r="A1855" s="9">
        <v>1854</v>
      </c>
      <c r="B1855" s="10" t="s">
        <v>9</v>
      </c>
      <c r="C1855" s="10" t="s">
        <v>170</v>
      </c>
      <c r="D1855" s="10" t="s">
        <v>171</v>
      </c>
      <c r="E1855" s="11" t="str">
        <f>+HYPERLINK("http://trademark.i-assist.jp/data/china/image_1900th/78863257.pdf", "78863257")</f>
        <v>78863257</v>
      </c>
      <c r="F1855" s="10" t="s">
        <v>5294</v>
      </c>
      <c r="G1855" s="10" t="s">
        <v>4825</v>
      </c>
      <c r="H1855" s="10" t="s">
        <v>5295</v>
      </c>
      <c r="I1855" s="10" t="s">
        <v>4814</v>
      </c>
    </row>
    <row r="1856" spans="1:9" x14ac:dyDescent="0.15">
      <c r="A1856" s="9">
        <v>1855</v>
      </c>
      <c r="B1856" s="10" t="s">
        <v>9</v>
      </c>
      <c r="C1856" s="10" t="s">
        <v>170</v>
      </c>
      <c r="D1856" s="10" t="s">
        <v>171</v>
      </c>
      <c r="E1856" s="11" t="str">
        <f>+HYPERLINK("http://trademark.i-assist.jp/data/china/image_1900th/78863312.pdf", "78863312")</f>
        <v>78863312</v>
      </c>
      <c r="F1856" s="10" t="s">
        <v>5296</v>
      </c>
      <c r="G1856" s="10" t="s">
        <v>4948</v>
      </c>
      <c r="H1856" s="10" t="s">
        <v>5297</v>
      </c>
      <c r="I1856" s="10" t="s">
        <v>4814</v>
      </c>
    </row>
    <row r="1857" spans="1:9" x14ac:dyDescent="0.15">
      <c r="A1857" s="9">
        <v>1856</v>
      </c>
      <c r="B1857" s="10" t="s">
        <v>9</v>
      </c>
      <c r="C1857" s="10" t="s">
        <v>170</v>
      </c>
      <c r="D1857" s="10" t="s">
        <v>171</v>
      </c>
      <c r="E1857" s="11" t="str">
        <f>+HYPERLINK("http://trademark.i-assist.jp/data/china/image_1900th/78863367.pdf", "78863367")</f>
        <v>78863367</v>
      </c>
      <c r="F1857" s="10" t="s">
        <v>5298</v>
      </c>
      <c r="G1857" s="10" t="s">
        <v>5299</v>
      </c>
      <c r="H1857" s="10" t="s">
        <v>5300</v>
      </c>
      <c r="I1857" s="10" t="s">
        <v>4814</v>
      </c>
    </row>
    <row r="1858" spans="1:9" x14ac:dyDescent="0.15">
      <c r="A1858" s="9">
        <v>1857</v>
      </c>
      <c r="B1858" s="10" t="s">
        <v>9</v>
      </c>
      <c r="C1858" s="10" t="s">
        <v>170</v>
      </c>
      <c r="D1858" s="10" t="s">
        <v>171</v>
      </c>
      <c r="E1858" s="11" t="str">
        <f>+HYPERLINK("http://trademark.i-assist.jp/data/china/image_1900th/78863431.pdf", "78863431")</f>
        <v>78863431</v>
      </c>
      <c r="F1858" s="10" t="s">
        <v>5301</v>
      </c>
      <c r="G1858" s="10" t="s">
        <v>5302</v>
      </c>
      <c r="H1858" s="10" t="s">
        <v>5303</v>
      </c>
      <c r="I1858" s="10" t="s">
        <v>4814</v>
      </c>
    </row>
    <row r="1859" spans="1:9" x14ac:dyDescent="0.15">
      <c r="A1859" s="9">
        <v>1858</v>
      </c>
      <c r="B1859" s="10" t="s">
        <v>9</v>
      </c>
      <c r="C1859" s="10" t="s">
        <v>170</v>
      </c>
      <c r="D1859" s="10" t="s">
        <v>171</v>
      </c>
      <c r="E1859" s="11" t="str">
        <f>+HYPERLINK("http://trademark.i-assist.jp/data/china/image_1900th/78863820.pdf", "78863820")</f>
        <v>78863820</v>
      </c>
      <c r="F1859" s="10" t="s">
        <v>5304</v>
      </c>
      <c r="G1859" s="10" t="s">
        <v>5147</v>
      </c>
      <c r="H1859" s="10" t="s">
        <v>5305</v>
      </c>
      <c r="I1859" s="10" t="s">
        <v>4814</v>
      </c>
    </row>
    <row r="1860" spans="1:9" x14ac:dyDescent="0.15">
      <c r="A1860" s="9">
        <v>1859</v>
      </c>
      <c r="B1860" s="10" t="s">
        <v>9</v>
      </c>
      <c r="C1860" s="10" t="s">
        <v>170</v>
      </c>
      <c r="D1860" s="10" t="s">
        <v>171</v>
      </c>
      <c r="E1860" s="11" t="str">
        <f>+HYPERLINK("http://trademark.i-assist.jp/data/china/image_1900th/78863991.pdf", "78863991")</f>
        <v>78863991</v>
      </c>
      <c r="F1860" s="10" t="s">
        <v>5306</v>
      </c>
      <c r="G1860" s="10" t="s">
        <v>5004</v>
      </c>
      <c r="H1860" s="10" t="s">
        <v>5307</v>
      </c>
      <c r="I1860" s="10" t="s">
        <v>4814</v>
      </c>
    </row>
    <row r="1861" spans="1:9" x14ac:dyDescent="0.15">
      <c r="A1861" s="9">
        <v>1860</v>
      </c>
      <c r="B1861" s="10" t="s">
        <v>9</v>
      </c>
      <c r="C1861" s="10" t="s">
        <v>170</v>
      </c>
      <c r="D1861" s="10" t="s">
        <v>171</v>
      </c>
      <c r="E1861" s="11" t="str">
        <f>+HYPERLINK("http://trademark.i-assist.jp/data/china/image_1900th/78864072.pdf", "78864072")</f>
        <v>78864072</v>
      </c>
      <c r="F1861" s="10" t="s">
        <v>5308</v>
      </c>
      <c r="G1861" s="10" t="s">
        <v>5309</v>
      </c>
      <c r="H1861" s="10" t="s">
        <v>5310</v>
      </c>
      <c r="I1861" s="10" t="s">
        <v>4814</v>
      </c>
    </row>
    <row r="1862" spans="1:9" x14ac:dyDescent="0.15">
      <c r="A1862" s="9">
        <v>1861</v>
      </c>
      <c r="B1862" s="10" t="s">
        <v>9</v>
      </c>
      <c r="C1862" s="10" t="s">
        <v>170</v>
      </c>
      <c r="D1862" s="10" t="s">
        <v>171</v>
      </c>
      <c r="E1862" s="11" t="str">
        <f>+HYPERLINK("http://trademark.i-assist.jp/data/china/image_1900th/78864166.pdf", "78864166")</f>
        <v>78864166</v>
      </c>
      <c r="F1862" s="10" t="s">
        <v>5311</v>
      </c>
      <c r="G1862" s="10" t="s">
        <v>5312</v>
      </c>
      <c r="H1862" s="10" t="s">
        <v>5313</v>
      </c>
      <c r="I1862" s="10" t="s">
        <v>4814</v>
      </c>
    </row>
    <row r="1863" spans="1:9" x14ac:dyDescent="0.15">
      <c r="A1863" s="9">
        <v>1862</v>
      </c>
      <c r="B1863" s="10" t="s">
        <v>9</v>
      </c>
      <c r="C1863" s="10" t="s">
        <v>170</v>
      </c>
      <c r="D1863" s="10" t="s">
        <v>171</v>
      </c>
      <c r="E1863" s="11" t="str">
        <f>+HYPERLINK("http://trademark.i-assist.jp/data/china/image_1900th/78864196.pdf", "78864196")</f>
        <v>78864196</v>
      </c>
      <c r="F1863" s="10" t="s">
        <v>5314</v>
      </c>
      <c r="G1863" s="10" t="s">
        <v>5315</v>
      </c>
      <c r="H1863" s="10" t="s">
        <v>5316</v>
      </c>
      <c r="I1863" s="10" t="s">
        <v>4814</v>
      </c>
    </row>
    <row r="1864" spans="1:9" x14ac:dyDescent="0.15">
      <c r="A1864" s="9">
        <v>1863</v>
      </c>
      <c r="B1864" s="10" t="s">
        <v>9</v>
      </c>
      <c r="C1864" s="10" t="s">
        <v>170</v>
      </c>
      <c r="D1864" s="10" t="s">
        <v>171</v>
      </c>
      <c r="E1864" s="11" t="str">
        <f>+HYPERLINK("http://trademark.i-assist.jp/data/china/image_1900th/78864252.pdf", "78864252")</f>
        <v>78864252</v>
      </c>
      <c r="F1864" s="10" t="s">
        <v>5317</v>
      </c>
      <c r="G1864" s="10" t="s">
        <v>5170</v>
      </c>
      <c r="H1864" s="10" t="s">
        <v>5318</v>
      </c>
      <c r="I1864" s="10" t="s">
        <v>4814</v>
      </c>
    </row>
    <row r="1865" spans="1:9" x14ac:dyDescent="0.15">
      <c r="A1865" s="9">
        <v>1864</v>
      </c>
      <c r="B1865" s="10" t="s">
        <v>9</v>
      </c>
      <c r="C1865" s="10" t="s">
        <v>170</v>
      </c>
      <c r="D1865" s="10" t="s">
        <v>171</v>
      </c>
      <c r="E1865" s="11" t="str">
        <f>+HYPERLINK("http://trademark.i-assist.jp/data/china/image_1900th/78864389.pdf", "78864389")</f>
        <v>78864389</v>
      </c>
      <c r="F1865" s="10" t="s">
        <v>15</v>
      </c>
      <c r="G1865" s="10" t="s">
        <v>5319</v>
      </c>
      <c r="H1865" s="10" t="s">
        <v>5320</v>
      </c>
      <c r="I1865" s="10" t="s">
        <v>4814</v>
      </c>
    </row>
    <row r="1866" spans="1:9" x14ac:dyDescent="0.15">
      <c r="A1866" s="9">
        <v>1865</v>
      </c>
      <c r="B1866" s="10" t="s">
        <v>9</v>
      </c>
      <c r="C1866" s="10" t="s">
        <v>170</v>
      </c>
      <c r="D1866" s="10" t="s">
        <v>171</v>
      </c>
      <c r="E1866" s="11" t="str">
        <f>+HYPERLINK("http://trademark.i-assist.jp/data/china/image_1900th/78864646.pdf", "78864646")</f>
        <v>78864646</v>
      </c>
      <c r="F1866" s="10" t="s">
        <v>5321</v>
      </c>
      <c r="G1866" s="10" t="s">
        <v>5322</v>
      </c>
      <c r="H1866" s="10" t="s">
        <v>5323</v>
      </c>
      <c r="I1866" s="10" t="s">
        <v>4814</v>
      </c>
    </row>
    <row r="1867" spans="1:9" x14ac:dyDescent="0.15">
      <c r="A1867" s="9">
        <v>1866</v>
      </c>
      <c r="B1867" s="10" t="s">
        <v>9</v>
      </c>
      <c r="C1867" s="10" t="s">
        <v>170</v>
      </c>
      <c r="D1867" s="10" t="s">
        <v>171</v>
      </c>
      <c r="E1867" s="11" t="str">
        <f>+HYPERLINK("http://trademark.i-assist.jp/data/china/image_1900th/78865167.pdf", "78865167")</f>
        <v>78865167</v>
      </c>
      <c r="F1867" s="10" t="s">
        <v>5324</v>
      </c>
      <c r="G1867" s="10" t="s">
        <v>5325</v>
      </c>
      <c r="H1867" s="10" t="s">
        <v>5326</v>
      </c>
      <c r="I1867" s="10" t="s">
        <v>169</v>
      </c>
    </row>
    <row r="1868" spans="1:9" x14ac:dyDescent="0.15">
      <c r="A1868" s="9">
        <v>1867</v>
      </c>
      <c r="B1868" s="10" t="s">
        <v>9</v>
      </c>
      <c r="C1868" s="10" t="s">
        <v>170</v>
      </c>
      <c r="D1868" s="10" t="s">
        <v>171</v>
      </c>
      <c r="E1868" s="11" t="str">
        <f>+HYPERLINK("http://trademark.i-assist.jp/data/china/image_1900th/78865244.pdf", "78865244")</f>
        <v>78865244</v>
      </c>
      <c r="F1868" s="10" t="s">
        <v>5327</v>
      </c>
      <c r="G1868" s="10" t="s">
        <v>5328</v>
      </c>
      <c r="H1868" s="10" t="s">
        <v>5329</v>
      </c>
      <c r="I1868" s="10" t="s">
        <v>169</v>
      </c>
    </row>
    <row r="1869" spans="1:9" x14ac:dyDescent="0.15">
      <c r="A1869" s="9">
        <v>1868</v>
      </c>
      <c r="B1869" s="10" t="s">
        <v>9</v>
      </c>
      <c r="C1869" s="10" t="s">
        <v>170</v>
      </c>
      <c r="D1869" s="10" t="s">
        <v>171</v>
      </c>
      <c r="E1869" s="11" t="str">
        <f>+HYPERLINK("http://trademark.i-assist.jp/data/china/image_1900th/78865313.pdf", "78865313")</f>
        <v>78865313</v>
      </c>
      <c r="F1869" s="10" t="s">
        <v>5330</v>
      </c>
      <c r="G1869" s="10" t="s">
        <v>5331</v>
      </c>
      <c r="H1869" s="10" t="s">
        <v>5332</v>
      </c>
      <c r="I1869" s="10" t="s">
        <v>169</v>
      </c>
    </row>
    <row r="1870" spans="1:9" x14ac:dyDescent="0.15">
      <c r="A1870" s="9">
        <v>1869</v>
      </c>
      <c r="B1870" s="10" t="s">
        <v>9</v>
      </c>
      <c r="C1870" s="10" t="s">
        <v>170</v>
      </c>
      <c r="D1870" s="10" t="s">
        <v>171</v>
      </c>
      <c r="E1870" s="11" t="str">
        <f>+HYPERLINK("http://trademark.i-assist.jp/data/china/image_1900th/78865394.pdf", "78865394")</f>
        <v>78865394</v>
      </c>
      <c r="F1870" s="10" t="s">
        <v>5333</v>
      </c>
      <c r="G1870" s="10" t="s">
        <v>5334</v>
      </c>
      <c r="H1870" s="10" t="s">
        <v>5335</v>
      </c>
      <c r="I1870" s="10" t="s">
        <v>169</v>
      </c>
    </row>
    <row r="1871" spans="1:9" x14ac:dyDescent="0.15">
      <c r="A1871" s="9">
        <v>1870</v>
      </c>
      <c r="B1871" s="10" t="s">
        <v>9</v>
      </c>
      <c r="C1871" s="10" t="s">
        <v>170</v>
      </c>
      <c r="D1871" s="10" t="s">
        <v>171</v>
      </c>
      <c r="E1871" s="11" t="str">
        <f>+HYPERLINK("http://trademark.i-assist.jp/data/china/image_1900th/78865471.pdf", "78865471")</f>
        <v>78865471</v>
      </c>
      <c r="F1871" s="10" t="s">
        <v>5336</v>
      </c>
      <c r="G1871" s="10" t="s">
        <v>5337</v>
      </c>
      <c r="H1871" s="10" t="s">
        <v>5338</v>
      </c>
      <c r="I1871" s="10" t="s">
        <v>169</v>
      </c>
    </row>
    <row r="1872" spans="1:9" x14ac:dyDescent="0.15">
      <c r="A1872" s="9">
        <v>1871</v>
      </c>
      <c r="B1872" s="10" t="s">
        <v>9</v>
      </c>
      <c r="C1872" s="10" t="s">
        <v>170</v>
      </c>
      <c r="D1872" s="10" t="s">
        <v>171</v>
      </c>
      <c r="E1872" s="11" t="str">
        <f>+HYPERLINK("http://trademark.i-assist.jp/data/china/image_1900th/78865546.pdf", "78865546")</f>
        <v>78865546</v>
      </c>
      <c r="F1872" s="10" t="s">
        <v>5339</v>
      </c>
      <c r="G1872" s="10" t="s">
        <v>5340</v>
      </c>
      <c r="H1872" s="10" t="s">
        <v>5341</v>
      </c>
      <c r="I1872" s="10" t="s">
        <v>169</v>
      </c>
    </row>
    <row r="1873" spans="1:9" x14ac:dyDescent="0.15">
      <c r="A1873" s="9">
        <v>1872</v>
      </c>
      <c r="B1873" s="10" t="s">
        <v>9</v>
      </c>
      <c r="C1873" s="10" t="s">
        <v>170</v>
      </c>
      <c r="D1873" s="10" t="s">
        <v>171</v>
      </c>
      <c r="E1873" s="11" t="str">
        <f>+HYPERLINK("http://trademark.i-assist.jp/data/china/image_1900th/78865736.pdf", "78865736")</f>
        <v>78865736</v>
      </c>
      <c r="F1873" s="10" t="s">
        <v>5342</v>
      </c>
      <c r="G1873" s="10" t="s">
        <v>5343</v>
      </c>
      <c r="H1873" s="10" t="s">
        <v>5344</v>
      </c>
      <c r="I1873" s="10" t="s">
        <v>169</v>
      </c>
    </row>
    <row r="1874" spans="1:9" x14ac:dyDescent="0.15">
      <c r="A1874" s="9">
        <v>1873</v>
      </c>
      <c r="B1874" s="10" t="s">
        <v>9</v>
      </c>
      <c r="C1874" s="10" t="s">
        <v>170</v>
      </c>
      <c r="D1874" s="10" t="s">
        <v>171</v>
      </c>
      <c r="E1874" s="11" t="str">
        <f>+HYPERLINK("http://trademark.i-assist.jp/data/china/image_1900th/78866163.pdf", "78866163")</f>
        <v>78866163</v>
      </c>
      <c r="F1874" s="10" t="s">
        <v>5345</v>
      </c>
      <c r="G1874" s="10" t="s">
        <v>5346</v>
      </c>
      <c r="H1874" s="10" t="s">
        <v>5347</v>
      </c>
      <c r="I1874" s="10" t="s">
        <v>169</v>
      </c>
    </row>
    <row r="1875" spans="1:9" x14ac:dyDescent="0.15">
      <c r="A1875" s="9">
        <v>1874</v>
      </c>
      <c r="B1875" s="10" t="s">
        <v>9</v>
      </c>
      <c r="C1875" s="10" t="s">
        <v>170</v>
      </c>
      <c r="D1875" s="10" t="s">
        <v>171</v>
      </c>
      <c r="E1875" s="11" t="str">
        <f>+HYPERLINK("http://trademark.i-assist.jp/data/china/image_1900th/78866235.pdf", "78866235")</f>
        <v>78866235</v>
      </c>
      <c r="F1875" s="10" t="s">
        <v>5348</v>
      </c>
      <c r="G1875" s="10" t="s">
        <v>5349</v>
      </c>
      <c r="H1875" s="10" t="s">
        <v>5350</v>
      </c>
      <c r="I1875" s="10" t="s">
        <v>169</v>
      </c>
    </row>
    <row r="1876" spans="1:9" x14ac:dyDescent="0.15">
      <c r="A1876" s="9">
        <v>1875</v>
      </c>
      <c r="B1876" s="10" t="s">
        <v>9</v>
      </c>
      <c r="C1876" s="10" t="s">
        <v>170</v>
      </c>
      <c r="D1876" s="10" t="s">
        <v>171</v>
      </c>
      <c r="E1876" s="11" t="str">
        <f>+HYPERLINK("http://trademark.i-assist.jp/data/china/image_1900th/78866583.pdf", "78866583")</f>
        <v>78866583</v>
      </c>
      <c r="F1876" s="10" t="s">
        <v>5351</v>
      </c>
      <c r="G1876" s="10" t="s">
        <v>5352</v>
      </c>
      <c r="H1876" s="10" t="s">
        <v>5353</v>
      </c>
      <c r="I1876" s="10" t="s">
        <v>169</v>
      </c>
    </row>
    <row r="1877" spans="1:9" x14ac:dyDescent="0.15">
      <c r="A1877" s="9">
        <v>1876</v>
      </c>
      <c r="B1877" s="10" t="s">
        <v>9</v>
      </c>
      <c r="C1877" s="10" t="s">
        <v>170</v>
      </c>
      <c r="D1877" s="10" t="s">
        <v>171</v>
      </c>
      <c r="E1877" s="11" t="str">
        <f>+HYPERLINK("http://trademark.i-assist.jp/data/china/image_1900th/78867016.pdf", "78867016")</f>
        <v>78867016</v>
      </c>
      <c r="F1877" s="10" t="s">
        <v>5354</v>
      </c>
      <c r="G1877" s="10" t="s">
        <v>5355</v>
      </c>
      <c r="H1877" s="10" t="s">
        <v>5356</v>
      </c>
      <c r="I1877" s="10" t="s">
        <v>169</v>
      </c>
    </row>
    <row r="1878" spans="1:9" x14ac:dyDescent="0.15">
      <c r="A1878" s="9">
        <v>1877</v>
      </c>
      <c r="B1878" s="10" t="s">
        <v>9</v>
      </c>
      <c r="C1878" s="10" t="s">
        <v>170</v>
      </c>
      <c r="D1878" s="10" t="s">
        <v>171</v>
      </c>
      <c r="E1878" s="11" t="str">
        <f>+HYPERLINK("http://trademark.i-assist.jp/data/china/image_1900th/78867019.pdf", "78867019")</f>
        <v>78867019</v>
      </c>
      <c r="F1878" s="10" t="s">
        <v>5357</v>
      </c>
      <c r="G1878" s="10" t="s">
        <v>5358</v>
      </c>
      <c r="H1878" s="10" t="s">
        <v>5359</v>
      </c>
      <c r="I1878" s="10" t="s">
        <v>169</v>
      </c>
    </row>
    <row r="1879" spans="1:9" x14ac:dyDescent="0.15">
      <c r="A1879" s="9">
        <v>1878</v>
      </c>
      <c r="B1879" s="10" t="s">
        <v>9</v>
      </c>
      <c r="C1879" s="10" t="s">
        <v>170</v>
      </c>
      <c r="D1879" s="10" t="s">
        <v>171</v>
      </c>
      <c r="E1879" s="11" t="str">
        <f>+HYPERLINK("http://trademark.i-assist.jp/data/china/image_1900th/78867094.pdf", "78867094")</f>
        <v>78867094</v>
      </c>
      <c r="F1879" s="10" t="s">
        <v>5360</v>
      </c>
      <c r="G1879" s="10" t="s">
        <v>5361</v>
      </c>
      <c r="H1879" s="10" t="s">
        <v>5362</v>
      </c>
      <c r="I1879" s="10" t="s">
        <v>169</v>
      </c>
    </row>
    <row r="1880" spans="1:9" x14ac:dyDescent="0.15">
      <c r="A1880" s="9">
        <v>1879</v>
      </c>
      <c r="B1880" s="10" t="s">
        <v>9</v>
      </c>
      <c r="C1880" s="10" t="s">
        <v>170</v>
      </c>
      <c r="D1880" s="10" t="s">
        <v>171</v>
      </c>
      <c r="E1880" s="11" t="str">
        <f>+HYPERLINK("http://trademark.i-assist.jp/data/china/image_1900th/78867098.pdf", "78867098")</f>
        <v>78867098</v>
      </c>
      <c r="F1880" s="10" t="s">
        <v>5363</v>
      </c>
      <c r="G1880" s="10" t="s">
        <v>71</v>
      </c>
      <c r="H1880" s="10" t="s">
        <v>5364</v>
      </c>
      <c r="I1880" s="10" t="s">
        <v>169</v>
      </c>
    </row>
    <row r="1881" spans="1:9" x14ac:dyDescent="0.15">
      <c r="A1881" s="9">
        <v>1880</v>
      </c>
      <c r="B1881" s="10" t="s">
        <v>9</v>
      </c>
      <c r="C1881" s="10" t="s">
        <v>170</v>
      </c>
      <c r="D1881" s="10" t="s">
        <v>171</v>
      </c>
      <c r="E1881" s="11" t="str">
        <f>+HYPERLINK("http://trademark.i-assist.jp/data/china/image_1900th/78867322.pdf", "78867322")</f>
        <v>78867322</v>
      </c>
      <c r="F1881" s="10" t="s">
        <v>5365</v>
      </c>
      <c r="G1881" s="10" t="s">
        <v>5366</v>
      </c>
      <c r="H1881" s="10" t="s">
        <v>5367</v>
      </c>
      <c r="I1881" s="10" t="s">
        <v>169</v>
      </c>
    </row>
    <row r="1882" spans="1:9" x14ac:dyDescent="0.15">
      <c r="A1882" s="9">
        <v>1881</v>
      </c>
      <c r="B1882" s="10" t="s">
        <v>9</v>
      </c>
      <c r="C1882" s="10" t="s">
        <v>170</v>
      </c>
      <c r="D1882" s="10" t="s">
        <v>171</v>
      </c>
      <c r="E1882" s="11" t="str">
        <f>+HYPERLINK("http://trademark.i-assist.jp/data/china/image_1900th/78867412.pdf", "78867412")</f>
        <v>78867412</v>
      </c>
      <c r="F1882" s="10" t="s">
        <v>5368</v>
      </c>
      <c r="G1882" s="10" t="s">
        <v>5369</v>
      </c>
      <c r="H1882" s="10" t="s">
        <v>5370</v>
      </c>
      <c r="I1882" s="10" t="s">
        <v>169</v>
      </c>
    </row>
    <row r="1883" spans="1:9" x14ac:dyDescent="0.15">
      <c r="A1883" s="9">
        <v>1882</v>
      </c>
      <c r="B1883" s="10" t="s">
        <v>9</v>
      </c>
      <c r="C1883" s="10" t="s">
        <v>170</v>
      </c>
      <c r="D1883" s="10" t="s">
        <v>171</v>
      </c>
      <c r="E1883" s="11" t="str">
        <f>+HYPERLINK("http://trademark.i-assist.jp/data/china/image_1900th/78867455.pdf", "78867455")</f>
        <v>78867455</v>
      </c>
      <c r="F1883" s="10" t="s">
        <v>5371</v>
      </c>
      <c r="G1883" s="10" t="s">
        <v>5372</v>
      </c>
      <c r="H1883" s="10" t="s">
        <v>5373</v>
      </c>
      <c r="I1883" s="10" t="s">
        <v>169</v>
      </c>
    </row>
    <row r="1884" spans="1:9" x14ac:dyDescent="0.15">
      <c r="A1884" s="9">
        <v>1883</v>
      </c>
      <c r="B1884" s="10" t="s">
        <v>9</v>
      </c>
      <c r="C1884" s="10" t="s">
        <v>170</v>
      </c>
      <c r="D1884" s="10" t="s">
        <v>171</v>
      </c>
      <c r="E1884" s="11" t="str">
        <f>+HYPERLINK("http://trademark.i-assist.jp/data/china/image_1900th/78867514.pdf", "78867514")</f>
        <v>78867514</v>
      </c>
      <c r="F1884" s="10" t="s">
        <v>5374</v>
      </c>
      <c r="G1884" s="10" t="s">
        <v>5375</v>
      </c>
      <c r="H1884" s="10" t="s">
        <v>5376</v>
      </c>
      <c r="I1884" s="10" t="s">
        <v>169</v>
      </c>
    </row>
    <row r="1885" spans="1:9" x14ac:dyDescent="0.15">
      <c r="A1885" s="9">
        <v>1884</v>
      </c>
      <c r="B1885" s="10" t="s">
        <v>9</v>
      </c>
      <c r="C1885" s="10" t="s">
        <v>170</v>
      </c>
      <c r="D1885" s="10" t="s">
        <v>171</v>
      </c>
      <c r="E1885" s="11" t="str">
        <f>+HYPERLINK("http://trademark.i-assist.jp/data/china/image_1900th/78867625.pdf", "78867625")</f>
        <v>78867625</v>
      </c>
      <c r="F1885" s="10" t="s">
        <v>5377</v>
      </c>
      <c r="G1885" s="10" t="s">
        <v>5378</v>
      </c>
      <c r="H1885" s="10" t="s">
        <v>5379</v>
      </c>
      <c r="I1885" s="10" t="s">
        <v>169</v>
      </c>
    </row>
    <row r="1886" spans="1:9" x14ac:dyDescent="0.15">
      <c r="A1886" s="9">
        <v>1885</v>
      </c>
      <c r="B1886" s="10" t="s">
        <v>9</v>
      </c>
      <c r="C1886" s="10" t="s">
        <v>170</v>
      </c>
      <c r="D1886" s="10" t="s">
        <v>171</v>
      </c>
      <c r="E1886" s="11" t="str">
        <f>+HYPERLINK("http://trademark.i-assist.jp/data/china/image_1900th/78867707.pdf", "78867707")</f>
        <v>78867707</v>
      </c>
      <c r="F1886" s="10" t="s">
        <v>5380</v>
      </c>
      <c r="G1886" s="10" t="s">
        <v>5381</v>
      </c>
      <c r="H1886" s="10" t="s">
        <v>5382</v>
      </c>
      <c r="I1886" s="10" t="s">
        <v>169</v>
      </c>
    </row>
    <row r="1887" spans="1:9" x14ac:dyDescent="0.15">
      <c r="A1887" s="9">
        <v>1886</v>
      </c>
      <c r="B1887" s="10" t="s">
        <v>9</v>
      </c>
      <c r="C1887" s="10" t="s">
        <v>170</v>
      </c>
      <c r="D1887" s="10" t="s">
        <v>171</v>
      </c>
      <c r="E1887" s="11" t="str">
        <f>+HYPERLINK("http://trademark.i-assist.jp/data/china/image_1900th/78867713.pdf", "78867713")</f>
        <v>78867713</v>
      </c>
      <c r="F1887" s="10" t="s">
        <v>5383</v>
      </c>
      <c r="G1887" s="10" t="s">
        <v>5384</v>
      </c>
      <c r="H1887" s="10" t="s">
        <v>5385</v>
      </c>
      <c r="I1887" s="10" t="s">
        <v>169</v>
      </c>
    </row>
    <row r="1888" spans="1:9" x14ac:dyDescent="0.15">
      <c r="A1888" s="9">
        <v>1887</v>
      </c>
      <c r="B1888" s="10" t="s">
        <v>9</v>
      </c>
      <c r="C1888" s="10" t="s">
        <v>170</v>
      </c>
      <c r="D1888" s="10" t="s">
        <v>171</v>
      </c>
      <c r="E1888" s="11" t="str">
        <f>+HYPERLINK("http://trademark.i-assist.jp/data/china/image_1900th/78867744.pdf", "78867744")</f>
        <v>78867744</v>
      </c>
      <c r="F1888" s="10" t="s">
        <v>5386</v>
      </c>
      <c r="G1888" s="10" t="s">
        <v>5387</v>
      </c>
      <c r="H1888" s="10" t="s">
        <v>5388</v>
      </c>
      <c r="I1888" s="10" t="s">
        <v>169</v>
      </c>
    </row>
    <row r="1889" spans="1:9" x14ac:dyDescent="0.15">
      <c r="A1889" s="9">
        <v>1888</v>
      </c>
      <c r="B1889" s="10" t="s">
        <v>9</v>
      </c>
      <c r="C1889" s="10" t="s">
        <v>170</v>
      </c>
      <c r="D1889" s="10" t="s">
        <v>171</v>
      </c>
      <c r="E1889" s="11" t="str">
        <f>+HYPERLINK("http://trademark.i-assist.jp/data/china/image_1900th/78867816.pdf", "78867816")</f>
        <v>78867816</v>
      </c>
      <c r="F1889" s="10" t="s">
        <v>5389</v>
      </c>
      <c r="G1889" s="10" t="s">
        <v>5390</v>
      </c>
      <c r="H1889" s="10" t="s">
        <v>5391</v>
      </c>
      <c r="I1889" s="10" t="s">
        <v>169</v>
      </c>
    </row>
    <row r="1890" spans="1:9" x14ac:dyDescent="0.15">
      <c r="A1890" s="9">
        <v>1889</v>
      </c>
      <c r="B1890" s="10" t="s">
        <v>9</v>
      </c>
      <c r="C1890" s="10" t="s">
        <v>170</v>
      </c>
      <c r="D1890" s="10" t="s">
        <v>171</v>
      </c>
      <c r="E1890" s="11" t="str">
        <f>+HYPERLINK("http://trademark.i-assist.jp/data/china/image_1900th/78868020.pdf", "78868020")</f>
        <v>78868020</v>
      </c>
      <c r="F1890" s="10" t="s">
        <v>5392</v>
      </c>
      <c r="G1890" s="10" t="s">
        <v>5393</v>
      </c>
      <c r="H1890" s="10" t="s">
        <v>5394</v>
      </c>
      <c r="I1890" s="10" t="s">
        <v>169</v>
      </c>
    </row>
    <row r="1891" spans="1:9" x14ac:dyDescent="0.15">
      <c r="A1891" s="9">
        <v>1890</v>
      </c>
      <c r="B1891" s="10" t="s">
        <v>9</v>
      </c>
      <c r="C1891" s="10" t="s">
        <v>170</v>
      </c>
      <c r="D1891" s="10" t="s">
        <v>171</v>
      </c>
      <c r="E1891" s="11" t="str">
        <f>+HYPERLINK("http://trademark.i-assist.jp/data/china/image_1900th/78868057.pdf", "78868057")</f>
        <v>78868057</v>
      </c>
      <c r="F1891" s="10" t="s">
        <v>5395</v>
      </c>
      <c r="G1891" s="10" t="s">
        <v>5396</v>
      </c>
      <c r="H1891" s="10" t="s">
        <v>5397</v>
      </c>
      <c r="I1891" s="10" t="s">
        <v>169</v>
      </c>
    </row>
    <row r="1892" spans="1:9" x14ac:dyDescent="0.15">
      <c r="A1892" s="9">
        <v>1891</v>
      </c>
      <c r="B1892" s="10" t="s">
        <v>9</v>
      </c>
      <c r="C1892" s="10" t="s">
        <v>170</v>
      </c>
      <c r="D1892" s="10" t="s">
        <v>171</v>
      </c>
      <c r="E1892" s="11" t="str">
        <f>+HYPERLINK("http://trademark.i-assist.jp/data/china/image_1900th/78868066.pdf", "78868066")</f>
        <v>78868066</v>
      </c>
      <c r="F1892" s="10" t="s">
        <v>5398</v>
      </c>
      <c r="G1892" s="10" t="s">
        <v>5399</v>
      </c>
      <c r="H1892" s="10" t="s">
        <v>5400</v>
      </c>
      <c r="I1892" s="10" t="s">
        <v>169</v>
      </c>
    </row>
    <row r="1893" spans="1:9" x14ac:dyDescent="0.15">
      <c r="A1893" s="9">
        <v>1892</v>
      </c>
      <c r="B1893" s="10" t="s">
        <v>9</v>
      </c>
      <c r="C1893" s="10" t="s">
        <v>170</v>
      </c>
      <c r="D1893" s="10" t="s">
        <v>171</v>
      </c>
      <c r="E1893" s="11" t="str">
        <f>+HYPERLINK("http://trademark.i-assist.jp/data/china/image_1900th/78868220.pdf", "78868220")</f>
        <v>78868220</v>
      </c>
      <c r="F1893" s="10" t="s">
        <v>5401</v>
      </c>
      <c r="G1893" s="10" t="s">
        <v>5402</v>
      </c>
      <c r="H1893" s="10" t="s">
        <v>5403</v>
      </c>
      <c r="I1893" s="10" t="s">
        <v>169</v>
      </c>
    </row>
    <row r="1894" spans="1:9" x14ac:dyDescent="0.15">
      <c r="A1894" s="9">
        <v>1893</v>
      </c>
      <c r="B1894" s="10" t="s">
        <v>9</v>
      </c>
      <c r="C1894" s="10" t="s">
        <v>170</v>
      </c>
      <c r="D1894" s="10" t="s">
        <v>171</v>
      </c>
      <c r="E1894" s="11" t="str">
        <f>+HYPERLINK("http://trademark.i-assist.jp/data/china/image_1900th/78868381.pdf", "78868381")</f>
        <v>78868381</v>
      </c>
      <c r="F1894" s="10" t="s">
        <v>5404</v>
      </c>
      <c r="G1894" s="10" t="s">
        <v>5405</v>
      </c>
      <c r="H1894" s="10" t="s">
        <v>5406</v>
      </c>
      <c r="I1894" s="10" t="s">
        <v>169</v>
      </c>
    </row>
    <row r="1895" spans="1:9" x14ac:dyDescent="0.15">
      <c r="A1895" s="9">
        <v>1894</v>
      </c>
      <c r="B1895" s="10" t="s">
        <v>9</v>
      </c>
      <c r="C1895" s="10" t="s">
        <v>170</v>
      </c>
      <c r="D1895" s="10" t="s">
        <v>171</v>
      </c>
      <c r="E1895" s="11" t="str">
        <f>+HYPERLINK("http://trademark.i-assist.jp/data/china/image_1900th/78868553.pdf", "78868553")</f>
        <v>78868553</v>
      </c>
      <c r="F1895" s="10" t="s">
        <v>5407</v>
      </c>
      <c r="G1895" s="10" t="s">
        <v>1505</v>
      </c>
      <c r="H1895" s="10" t="s">
        <v>5408</v>
      </c>
      <c r="I1895" s="10" t="s">
        <v>169</v>
      </c>
    </row>
    <row r="1896" spans="1:9" x14ac:dyDescent="0.15">
      <c r="A1896" s="9">
        <v>1895</v>
      </c>
      <c r="B1896" s="10" t="s">
        <v>9</v>
      </c>
      <c r="C1896" s="10" t="s">
        <v>170</v>
      </c>
      <c r="D1896" s="10" t="s">
        <v>171</v>
      </c>
      <c r="E1896" s="11" t="str">
        <f>+HYPERLINK("http://trademark.i-assist.jp/data/china/image_1900th/78868825.pdf", "78868825")</f>
        <v>78868825</v>
      </c>
      <c r="F1896" s="10" t="s">
        <v>5409</v>
      </c>
      <c r="G1896" s="10" t="s">
        <v>5410</v>
      </c>
      <c r="H1896" s="10" t="s">
        <v>5411</v>
      </c>
      <c r="I1896" s="10" t="s">
        <v>169</v>
      </c>
    </row>
    <row r="1897" spans="1:9" x14ac:dyDescent="0.15">
      <c r="A1897" s="9">
        <v>1896</v>
      </c>
      <c r="B1897" s="10" t="s">
        <v>9</v>
      </c>
      <c r="C1897" s="10" t="s">
        <v>170</v>
      </c>
      <c r="D1897" s="10" t="s">
        <v>171</v>
      </c>
      <c r="E1897" s="11" t="str">
        <f>+HYPERLINK("http://trademark.i-assist.jp/data/china/image_1900th/78869143.pdf", "78869143")</f>
        <v>78869143</v>
      </c>
      <c r="F1897" s="10" t="s">
        <v>15</v>
      </c>
      <c r="G1897" s="10" t="s">
        <v>5412</v>
      </c>
      <c r="H1897" s="10" t="s">
        <v>5413</v>
      </c>
      <c r="I1897" s="10" t="s">
        <v>169</v>
      </c>
    </row>
    <row r="1898" spans="1:9" x14ac:dyDescent="0.15">
      <c r="A1898" s="9">
        <v>1897</v>
      </c>
      <c r="B1898" s="10" t="s">
        <v>9</v>
      </c>
      <c r="C1898" s="10" t="s">
        <v>170</v>
      </c>
      <c r="D1898" s="10" t="s">
        <v>171</v>
      </c>
      <c r="E1898" s="11" t="str">
        <f>+HYPERLINK("http://trademark.i-assist.jp/data/china/image_1900th/78869242.pdf", "78869242")</f>
        <v>78869242</v>
      </c>
      <c r="F1898" s="10" t="s">
        <v>15</v>
      </c>
      <c r="G1898" s="10" t="s">
        <v>5414</v>
      </c>
      <c r="H1898" s="10" t="s">
        <v>5415</v>
      </c>
      <c r="I1898" s="10" t="s">
        <v>169</v>
      </c>
    </row>
    <row r="1899" spans="1:9" x14ac:dyDescent="0.15">
      <c r="A1899" s="9">
        <v>1898</v>
      </c>
      <c r="B1899" s="10" t="s">
        <v>9</v>
      </c>
      <c r="C1899" s="10" t="s">
        <v>170</v>
      </c>
      <c r="D1899" s="10" t="s">
        <v>171</v>
      </c>
      <c r="E1899" s="11" t="str">
        <f>+HYPERLINK("http://trademark.i-assist.jp/data/china/image_1900th/78869264.pdf", "78869264")</f>
        <v>78869264</v>
      </c>
      <c r="F1899" s="10" t="s">
        <v>5416</v>
      </c>
      <c r="G1899" s="10" t="s">
        <v>5417</v>
      </c>
      <c r="H1899" s="10" t="s">
        <v>5418</v>
      </c>
      <c r="I1899" s="10" t="s">
        <v>169</v>
      </c>
    </row>
    <row r="1900" spans="1:9" x14ac:dyDescent="0.15">
      <c r="A1900" s="9">
        <v>1899</v>
      </c>
      <c r="B1900" s="10" t="s">
        <v>9</v>
      </c>
      <c r="C1900" s="10" t="s">
        <v>170</v>
      </c>
      <c r="D1900" s="10" t="s">
        <v>171</v>
      </c>
      <c r="E1900" s="11" t="str">
        <f>+HYPERLINK("http://trademark.i-assist.jp/data/china/image_1900th/78869269.pdf", "78869269")</f>
        <v>78869269</v>
      </c>
      <c r="F1900" s="10" t="s">
        <v>5419</v>
      </c>
      <c r="G1900" s="10" t="s">
        <v>5420</v>
      </c>
      <c r="H1900" s="10" t="s">
        <v>5421</v>
      </c>
      <c r="I1900" s="10" t="s">
        <v>169</v>
      </c>
    </row>
    <row r="1901" spans="1:9" x14ac:dyDescent="0.15">
      <c r="A1901" s="9">
        <v>1900</v>
      </c>
      <c r="B1901" s="10" t="s">
        <v>9</v>
      </c>
      <c r="C1901" s="10" t="s">
        <v>170</v>
      </c>
      <c r="D1901" s="10" t="s">
        <v>171</v>
      </c>
      <c r="E1901" s="11" t="str">
        <f>+HYPERLINK("http://trademark.i-assist.jp/data/china/image_1900th/78869465.pdf", "78869465")</f>
        <v>78869465</v>
      </c>
      <c r="F1901" s="10" t="s">
        <v>5422</v>
      </c>
      <c r="G1901" s="10" t="s">
        <v>5423</v>
      </c>
      <c r="H1901" s="10" t="s">
        <v>5424</v>
      </c>
      <c r="I1901" s="10" t="s">
        <v>169</v>
      </c>
    </row>
    <row r="1902" spans="1:9" x14ac:dyDescent="0.15">
      <c r="A1902" s="9">
        <v>1901</v>
      </c>
      <c r="B1902" s="10" t="s">
        <v>9</v>
      </c>
      <c r="C1902" s="10" t="s">
        <v>170</v>
      </c>
      <c r="D1902" s="10" t="s">
        <v>171</v>
      </c>
      <c r="E1902" s="11" t="str">
        <f>+HYPERLINK("http://trademark.i-assist.jp/data/china/image_1900th/78869638.pdf", "78869638")</f>
        <v>78869638</v>
      </c>
      <c r="F1902" s="10" t="s">
        <v>5425</v>
      </c>
      <c r="G1902" s="10" t="s">
        <v>5426</v>
      </c>
      <c r="H1902" s="10" t="s">
        <v>5427</v>
      </c>
      <c r="I1902" s="10" t="s">
        <v>169</v>
      </c>
    </row>
    <row r="1903" spans="1:9" x14ac:dyDescent="0.15">
      <c r="A1903" s="9">
        <v>1902</v>
      </c>
      <c r="B1903" s="10" t="s">
        <v>9</v>
      </c>
      <c r="C1903" s="10" t="s">
        <v>170</v>
      </c>
      <c r="D1903" s="10" t="s">
        <v>171</v>
      </c>
      <c r="E1903" s="11" t="str">
        <f>+HYPERLINK("http://trademark.i-assist.jp/data/china/image_1900th/78869915.pdf", "78869915")</f>
        <v>78869915</v>
      </c>
      <c r="F1903" s="10" t="s">
        <v>5428</v>
      </c>
      <c r="G1903" s="10" t="s">
        <v>3911</v>
      </c>
      <c r="H1903" s="10" t="s">
        <v>5429</v>
      </c>
      <c r="I1903" s="10" t="s">
        <v>169</v>
      </c>
    </row>
    <row r="1904" spans="1:9" x14ac:dyDescent="0.15">
      <c r="A1904" s="9">
        <v>1903</v>
      </c>
      <c r="B1904" s="10" t="s">
        <v>9</v>
      </c>
      <c r="C1904" s="10" t="s">
        <v>170</v>
      </c>
      <c r="D1904" s="10" t="s">
        <v>171</v>
      </c>
      <c r="E1904" s="11" t="str">
        <f>+HYPERLINK("http://trademark.i-assist.jp/data/china/image_1900th/78870272.pdf", "78870272")</f>
        <v>78870272</v>
      </c>
      <c r="F1904" s="10" t="s">
        <v>5430</v>
      </c>
      <c r="G1904" s="10" t="s">
        <v>5431</v>
      </c>
      <c r="H1904" s="10" t="s">
        <v>5432</v>
      </c>
      <c r="I1904" s="10" t="s">
        <v>169</v>
      </c>
    </row>
    <row r="1905" spans="1:9" x14ac:dyDescent="0.15">
      <c r="A1905" s="9">
        <v>1904</v>
      </c>
      <c r="B1905" s="10" t="s">
        <v>9</v>
      </c>
      <c r="C1905" s="10" t="s">
        <v>170</v>
      </c>
      <c r="D1905" s="10" t="s">
        <v>171</v>
      </c>
      <c r="E1905" s="11" t="str">
        <f>+HYPERLINK("http://trademark.i-assist.jp/data/china/image_1900th/78870334.pdf", "78870334")</f>
        <v>78870334</v>
      </c>
      <c r="F1905" s="10" t="s">
        <v>15</v>
      </c>
      <c r="G1905" s="10" t="s">
        <v>5433</v>
      </c>
      <c r="H1905" s="10" t="s">
        <v>5434</v>
      </c>
      <c r="I1905" s="10" t="s">
        <v>169</v>
      </c>
    </row>
    <row r="1906" spans="1:9" x14ac:dyDescent="0.15">
      <c r="A1906" s="9">
        <v>1905</v>
      </c>
      <c r="B1906" s="10" t="s">
        <v>9</v>
      </c>
      <c r="C1906" s="10" t="s">
        <v>170</v>
      </c>
      <c r="D1906" s="10" t="s">
        <v>171</v>
      </c>
      <c r="E1906" s="11" t="str">
        <f>+HYPERLINK("http://trademark.i-assist.jp/data/china/image_1900th/78870349.pdf", "78870349")</f>
        <v>78870349</v>
      </c>
      <c r="F1906" s="10" t="s">
        <v>5435</v>
      </c>
      <c r="G1906" s="10" t="s">
        <v>5436</v>
      </c>
      <c r="H1906" s="10" t="s">
        <v>5437</v>
      </c>
      <c r="I1906" s="10" t="s">
        <v>169</v>
      </c>
    </row>
    <row r="1907" spans="1:9" x14ac:dyDescent="0.15">
      <c r="A1907" s="9">
        <v>1906</v>
      </c>
      <c r="B1907" s="10" t="s">
        <v>9</v>
      </c>
      <c r="C1907" s="10" t="s">
        <v>170</v>
      </c>
      <c r="D1907" s="10" t="s">
        <v>171</v>
      </c>
      <c r="E1907" s="11" t="str">
        <f>+HYPERLINK("http://trademark.i-assist.jp/data/china/image_1900th/78870367.pdf", "78870367")</f>
        <v>78870367</v>
      </c>
      <c r="F1907" s="10" t="s">
        <v>5438</v>
      </c>
      <c r="G1907" s="10" t="s">
        <v>5436</v>
      </c>
      <c r="H1907" s="10" t="s">
        <v>5439</v>
      </c>
      <c r="I1907" s="10" t="s">
        <v>169</v>
      </c>
    </row>
    <row r="1908" spans="1:9" x14ac:dyDescent="0.15">
      <c r="A1908" s="9">
        <v>1907</v>
      </c>
      <c r="B1908" s="10" t="s">
        <v>9</v>
      </c>
      <c r="C1908" s="10" t="s">
        <v>170</v>
      </c>
      <c r="D1908" s="10" t="s">
        <v>171</v>
      </c>
      <c r="E1908" s="11" t="str">
        <f>+HYPERLINK("http://trademark.i-assist.jp/data/china/image_1900th/78870721.pdf", "78870721")</f>
        <v>78870721</v>
      </c>
      <c r="F1908" s="10" t="s">
        <v>5440</v>
      </c>
      <c r="G1908" s="10" t="s">
        <v>5441</v>
      </c>
      <c r="H1908" s="10" t="s">
        <v>5442</v>
      </c>
      <c r="I1908" s="10" t="s">
        <v>169</v>
      </c>
    </row>
    <row r="1909" spans="1:9" x14ac:dyDescent="0.15">
      <c r="A1909" s="9">
        <v>1908</v>
      </c>
      <c r="B1909" s="10" t="s">
        <v>9</v>
      </c>
      <c r="C1909" s="10" t="s">
        <v>170</v>
      </c>
      <c r="D1909" s="10" t="s">
        <v>171</v>
      </c>
      <c r="E1909" s="11" t="str">
        <f>+HYPERLINK("http://trademark.i-assist.jp/data/china/image_1900th/78870992.pdf", "78870992")</f>
        <v>78870992</v>
      </c>
      <c r="F1909" s="10" t="s">
        <v>5443</v>
      </c>
      <c r="G1909" s="10" t="s">
        <v>5444</v>
      </c>
      <c r="H1909" s="10" t="s">
        <v>5445</v>
      </c>
      <c r="I1909" s="10" t="s">
        <v>169</v>
      </c>
    </row>
    <row r="1910" spans="1:9" x14ac:dyDescent="0.15">
      <c r="A1910" s="9">
        <v>1909</v>
      </c>
      <c r="B1910" s="10" t="s">
        <v>9</v>
      </c>
      <c r="C1910" s="10" t="s">
        <v>170</v>
      </c>
      <c r="D1910" s="10" t="s">
        <v>171</v>
      </c>
      <c r="E1910" s="11" t="str">
        <f>+HYPERLINK("http://trademark.i-assist.jp/data/china/image_1900th/78871145.pdf", "78871145")</f>
        <v>78871145</v>
      </c>
      <c r="F1910" s="10" t="s">
        <v>5446</v>
      </c>
      <c r="G1910" s="10" t="s">
        <v>71</v>
      </c>
      <c r="H1910" s="10" t="s">
        <v>5447</v>
      </c>
      <c r="I1910" s="10" t="s">
        <v>169</v>
      </c>
    </row>
    <row r="1911" spans="1:9" x14ac:dyDescent="0.15">
      <c r="A1911" s="9">
        <v>1910</v>
      </c>
      <c r="B1911" s="10" t="s">
        <v>9</v>
      </c>
      <c r="C1911" s="10" t="s">
        <v>170</v>
      </c>
      <c r="D1911" s="10" t="s">
        <v>171</v>
      </c>
      <c r="E1911" s="11" t="str">
        <f>+HYPERLINK("http://trademark.i-assist.jp/data/china/image_1900th/78871770.pdf", "78871770")</f>
        <v>78871770</v>
      </c>
      <c r="F1911" s="10" t="s">
        <v>5448</v>
      </c>
      <c r="G1911" s="10" t="s">
        <v>5449</v>
      </c>
      <c r="H1911" s="10" t="s">
        <v>5450</v>
      </c>
      <c r="I1911" s="10" t="s">
        <v>169</v>
      </c>
    </row>
    <row r="1912" spans="1:9" x14ac:dyDescent="0.15">
      <c r="A1912" s="9">
        <v>1911</v>
      </c>
      <c r="B1912" s="10" t="s">
        <v>9</v>
      </c>
      <c r="C1912" s="10" t="s">
        <v>170</v>
      </c>
      <c r="D1912" s="10" t="s">
        <v>171</v>
      </c>
      <c r="E1912" s="11" t="str">
        <f>+HYPERLINK("http://trademark.i-assist.jp/data/china/image_1900th/78871832.pdf", "78871832")</f>
        <v>78871832</v>
      </c>
      <c r="F1912" s="10" t="s">
        <v>5451</v>
      </c>
      <c r="G1912" s="10" t="s">
        <v>5436</v>
      </c>
      <c r="H1912" s="10" t="s">
        <v>5452</v>
      </c>
      <c r="I1912" s="10" t="s">
        <v>169</v>
      </c>
    </row>
    <row r="1913" spans="1:9" x14ac:dyDescent="0.15">
      <c r="A1913" s="9">
        <v>1912</v>
      </c>
      <c r="B1913" s="10" t="s">
        <v>9</v>
      </c>
      <c r="C1913" s="10" t="s">
        <v>170</v>
      </c>
      <c r="D1913" s="10" t="s">
        <v>171</v>
      </c>
      <c r="E1913" s="11" t="str">
        <f>+HYPERLINK("http://trademark.i-assist.jp/data/china/image_1900th/78871865.pdf", "78871865")</f>
        <v>78871865</v>
      </c>
      <c r="F1913" s="10" t="s">
        <v>5453</v>
      </c>
      <c r="G1913" s="10" t="s">
        <v>5454</v>
      </c>
      <c r="H1913" s="10" t="s">
        <v>5455</v>
      </c>
      <c r="I1913" s="10" t="s">
        <v>169</v>
      </c>
    </row>
    <row r="1914" spans="1:9" x14ac:dyDescent="0.15">
      <c r="A1914" s="9">
        <v>1913</v>
      </c>
      <c r="B1914" s="10" t="s">
        <v>9</v>
      </c>
      <c r="C1914" s="10" t="s">
        <v>170</v>
      </c>
      <c r="D1914" s="10" t="s">
        <v>171</v>
      </c>
      <c r="E1914" s="11" t="str">
        <f>+HYPERLINK("http://trademark.i-assist.jp/data/china/image_1900th/78872069.pdf", "78872069")</f>
        <v>78872069</v>
      </c>
      <c r="F1914" s="10" t="s">
        <v>5456</v>
      </c>
      <c r="G1914" s="10" t="s">
        <v>5457</v>
      </c>
      <c r="H1914" s="10" t="s">
        <v>5458</v>
      </c>
      <c r="I1914" s="10" t="s">
        <v>169</v>
      </c>
    </row>
    <row r="1915" spans="1:9" x14ac:dyDescent="0.15">
      <c r="A1915" s="9">
        <v>1914</v>
      </c>
      <c r="B1915" s="10" t="s">
        <v>9</v>
      </c>
      <c r="C1915" s="10" t="s">
        <v>170</v>
      </c>
      <c r="D1915" s="10" t="s">
        <v>171</v>
      </c>
      <c r="E1915" s="11" t="str">
        <f>+HYPERLINK("http://trademark.i-assist.jp/data/china/image_1900th/78872720.pdf", "78872720")</f>
        <v>78872720</v>
      </c>
      <c r="F1915" s="10" t="s">
        <v>5459</v>
      </c>
      <c r="G1915" s="10" t="s">
        <v>5460</v>
      </c>
      <c r="H1915" s="10" t="s">
        <v>5461</v>
      </c>
      <c r="I1915" s="10" t="s">
        <v>169</v>
      </c>
    </row>
    <row r="1916" spans="1:9" x14ac:dyDescent="0.15">
      <c r="A1916" s="9">
        <v>1915</v>
      </c>
      <c r="B1916" s="10" t="s">
        <v>9</v>
      </c>
      <c r="C1916" s="10" t="s">
        <v>170</v>
      </c>
      <c r="D1916" s="10" t="s">
        <v>171</v>
      </c>
      <c r="E1916" s="11" t="str">
        <f>+HYPERLINK("http://trademark.i-assist.jp/data/china/image_1900th/78872726.pdf", "78872726")</f>
        <v>78872726</v>
      </c>
      <c r="F1916" s="10" t="s">
        <v>5462</v>
      </c>
      <c r="G1916" s="10" t="s">
        <v>5463</v>
      </c>
      <c r="H1916" s="10" t="s">
        <v>5464</v>
      </c>
      <c r="I1916" s="10" t="s">
        <v>169</v>
      </c>
    </row>
    <row r="1917" spans="1:9" x14ac:dyDescent="0.15">
      <c r="A1917" s="9">
        <v>1916</v>
      </c>
      <c r="B1917" s="10" t="s">
        <v>9</v>
      </c>
      <c r="C1917" s="10" t="s">
        <v>170</v>
      </c>
      <c r="D1917" s="10" t="s">
        <v>171</v>
      </c>
      <c r="E1917" s="11" t="str">
        <f>+HYPERLINK("http://trademark.i-assist.jp/data/china/image_1900th/78873188.pdf", "78873188")</f>
        <v>78873188</v>
      </c>
      <c r="F1917" s="10" t="s">
        <v>5465</v>
      </c>
      <c r="G1917" s="10" t="s">
        <v>5466</v>
      </c>
      <c r="H1917" s="10" t="s">
        <v>5467</v>
      </c>
      <c r="I1917" s="10" t="s">
        <v>169</v>
      </c>
    </row>
    <row r="1918" spans="1:9" x14ac:dyDescent="0.15">
      <c r="A1918" s="9">
        <v>1917</v>
      </c>
      <c r="B1918" s="10" t="s">
        <v>9</v>
      </c>
      <c r="C1918" s="10" t="s">
        <v>170</v>
      </c>
      <c r="D1918" s="10" t="s">
        <v>171</v>
      </c>
      <c r="E1918" s="11" t="str">
        <f>+HYPERLINK("http://trademark.i-assist.jp/data/china/image_1900th/78873370.pdf", "78873370")</f>
        <v>78873370</v>
      </c>
      <c r="F1918" s="10" t="s">
        <v>5468</v>
      </c>
      <c r="G1918" s="10" t="s">
        <v>5469</v>
      </c>
      <c r="H1918" s="10" t="s">
        <v>5470</v>
      </c>
      <c r="I1918" s="10" t="s">
        <v>169</v>
      </c>
    </row>
    <row r="1919" spans="1:9" x14ac:dyDescent="0.15">
      <c r="A1919" s="9">
        <v>1918</v>
      </c>
      <c r="B1919" s="10" t="s">
        <v>9</v>
      </c>
      <c r="C1919" s="10" t="s">
        <v>170</v>
      </c>
      <c r="D1919" s="10" t="s">
        <v>171</v>
      </c>
      <c r="E1919" s="11" t="str">
        <f>+HYPERLINK("http://trademark.i-assist.jp/data/china/image_1900th/78873921.pdf", "78873921")</f>
        <v>78873921</v>
      </c>
      <c r="F1919" s="10" t="s">
        <v>5471</v>
      </c>
      <c r="G1919" s="10" t="s">
        <v>5472</v>
      </c>
      <c r="H1919" s="10" t="s">
        <v>5473</v>
      </c>
      <c r="I1919" s="10" t="s">
        <v>169</v>
      </c>
    </row>
    <row r="1920" spans="1:9" x14ac:dyDescent="0.15">
      <c r="A1920" s="9">
        <v>1919</v>
      </c>
      <c r="B1920" s="10" t="s">
        <v>9</v>
      </c>
      <c r="C1920" s="10" t="s">
        <v>170</v>
      </c>
      <c r="D1920" s="10" t="s">
        <v>171</v>
      </c>
      <c r="E1920" s="11" t="str">
        <f>+HYPERLINK("http://trademark.i-assist.jp/data/china/image_1900th/78873957.pdf", "78873957")</f>
        <v>78873957</v>
      </c>
      <c r="F1920" s="10" t="s">
        <v>5474</v>
      </c>
      <c r="G1920" s="10" t="s">
        <v>1505</v>
      </c>
      <c r="H1920" s="10" t="s">
        <v>5475</v>
      </c>
      <c r="I1920" s="10" t="s">
        <v>169</v>
      </c>
    </row>
    <row r="1921" spans="1:9" x14ac:dyDescent="0.15">
      <c r="A1921" s="9">
        <v>1920</v>
      </c>
      <c r="B1921" s="10" t="s">
        <v>9</v>
      </c>
      <c r="C1921" s="10" t="s">
        <v>170</v>
      </c>
      <c r="D1921" s="10" t="s">
        <v>171</v>
      </c>
      <c r="E1921" s="11" t="str">
        <f>+HYPERLINK("http://trademark.i-assist.jp/data/china/image_1900th/78874112.pdf", "78874112")</f>
        <v>78874112</v>
      </c>
      <c r="F1921" s="10" t="s">
        <v>5476</v>
      </c>
      <c r="G1921" s="10" t="s">
        <v>5460</v>
      </c>
      <c r="H1921" s="10" t="s">
        <v>5477</v>
      </c>
      <c r="I1921" s="10" t="s">
        <v>169</v>
      </c>
    </row>
    <row r="1922" spans="1:9" x14ac:dyDescent="0.15">
      <c r="A1922" s="9">
        <v>1921</v>
      </c>
      <c r="B1922" s="10" t="s">
        <v>9</v>
      </c>
      <c r="C1922" s="10" t="s">
        <v>170</v>
      </c>
      <c r="D1922" s="10" t="s">
        <v>171</v>
      </c>
      <c r="E1922" s="11" t="str">
        <f>+HYPERLINK("http://trademark.i-assist.jp/data/china/image_1900th/78874114.pdf", "78874114")</f>
        <v>78874114</v>
      </c>
      <c r="F1922" s="10" t="s">
        <v>5478</v>
      </c>
      <c r="G1922" s="10" t="s">
        <v>5460</v>
      </c>
      <c r="H1922" s="10" t="s">
        <v>5479</v>
      </c>
      <c r="I1922" s="10" t="s">
        <v>169</v>
      </c>
    </row>
    <row r="1923" spans="1:9" x14ac:dyDescent="0.15">
      <c r="A1923" s="9">
        <v>1922</v>
      </c>
      <c r="B1923" s="10" t="s">
        <v>9</v>
      </c>
      <c r="C1923" s="10" t="s">
        <v>170</v>
      </c>
      <c r="D1923" s="10" t="s">
        <v>171</v>
      </c>
      <c r="E1923" s="11" t="str">
        <f>+HYPERLINK("http://trademark.i-assist.jp/data/china/image_1900th/78874204.pdf", "78874204")</f>
        <v>78874204</v>
      </c>
      <c r="F1923" s="10" t="s">
        <v>5480</v>
      </c>
      <c r="G1923" s="10" t="s">
        <v>5481</v>
      </c>
      <c r="H1923" s="10" t="s">
        <v>5482</v>
      </c>
      <c r="I1923" s="10" t="s">
        <v>169</v>
      </c>
    </row>
    <row r="1924" spans="1:9" x14ac:dyDescent="0.15">
      <c r="A1924" s="9">
        <v>1923</v>
      </c>
      <c r="B1924" s="10" t="s">
        <v>9</v>
      </c>
      <c r="C1924" s="10" t="s">
        <v>170</v>
      </c>
      <c r="D1924" s="10" t="s">
        <v>171</v>
      </c>
      <c r="E1924" s="11" t="str">
        <f>+HYPERLINK("http://trademark.i-assist.jp/data/china/image_1900th/78874571.pdf", "78874571")</f>
        <v>78874571</v>
      </c>
      <c r="F1924" s="10" t="s">
        <v>5483</v>
      </c>
      <c r="G1924" s="10" t="s">
        <v>5420</v>
      </c>
      <c r="H1924" s="10" t="s">
        <v>5484</v>
      </c>
      <c r="I1924" s="10" t="s">
        <v>169</v>
      </c>
    </row>
    <row r="1925" spans="1:9" x14ac:dyDescent="0.15">
      <c r="A1925" s="9">
        <v>1924</v>
      </c>
      <c r="B1925" s="10" t="s">
        <v>9</v>
      </c>
      <c r="C1925" s="10" t="s">
        <v>170</v>
      </c>
      <c r="D1925" s="10" t="s">
        <v>171</v>
      </c>
      <c r="E1925" s="11" t="str">
        <f>+HYPERLINK("http://trademark.i-assist.jp/data/china/image_1900th/78874591.pdf", "78874591")</f>
        <v>78874591</v>
      </c>
      <c r="F1925" s="10" t="s">
        <v>5485</v>
      </c>
      <c r="G1925" s="10" t="s">
        <v>2586</v>
      </c>
      <c r="H1925" s="10" t="s">
        <v>5486</v>
      </c>
      <c r="I1925" s="10" t="s">
        <v>169</v>
      </c>
    </row>
    <row r="1926" spans="1:9" x14ac:dyDescent="0.15">
      <c r="A1926" s="9">
        <v>1925</v>
      </c>
      <c r="B1926" s="10" t="s">
        <v>9</v>
      </c>
      <c r="C1926" s="10" t="s">
        <v>170</v>
      </c>
      <c r="D1926" s="10" t="s">
        <v>171</v>
      </c>
      <c r="E1926" s="11" t="str">
        <f>+HYPERLINK("http://trademark.i-assist.jp/data/china/image_1900th/78874944.pdf", "78874944")</f>
        <v>78874944</v>
      </c>
      <c r="F1926" s="10" t="s">
        <v>5487</v>
      </c>
      <c r="G1926" s="10" t="s">
        <v>5349</v>
      </c>
      <c r="H1926" s="10" t="s">
        <v>5488</v>
      </c>
      <c r="I1926" s="10" t="s">
        <v>169</v>
      </c>
    </row>
    <row r="1927" spans="1:9" x14ac:dyDescent="0.15">
      <c r="A1927" s="9">
        <v>1926</v>
      </c>
      <c r="B1927" s="10" t="s">
        <v>9</v>
      </c>
      <c r="C1927" s="10" t="s">
        <v>170</v>
      </c>
      <c r="D1927" s="10" t="s">
        <v>171</v>
      </c>
      <c r="E1927" s="11" t="str">
        <f>+HYPERLINK("http://trademark.i-assist.jp/data/china/image_1900th/78875100.pdf", "78875100")</f>
        <v>78875100</v>
      </c>
      <c r="F1927" s="10" t="s">
        <v>5489</v>
      </c>
      <c r="G1927" s="10" t="s">
        <v>5490</v>
      </c>
      <c r="H1927" s="10" t="s">
        <v>5491</v>
      </c>
      <c r="I1927" s="10" t="s">
        <v>169</v>
      </c>
    </row>
    <row r="1928" spans="1:9" x14ac:dyDescent="0.15">
      <c r="A1928" s="9">
        <v>1927</v>
      </c>
      <c r="B1928" s="10" t="s">
        <v>9</v>
      </c>
      <c r="C1928" s="10" t="s">
        <v>170</v>
      </c>
      <c r="D1928" s="10" t="s">
        <v>171</v>
      </c>
      <c r="E1928" s="11" t="str">
        <f>+HYPERLINK("http://trademark.i-assist.jp/data/china/image_1900th/78875106.pdf", "78875106")</f>
        <v>78875106</v>
      </c>
      <c r="F1928" s="10" t="s">
        <v>5492</v>
      </c>
      <c r="G1928" s="10" t="s">
        <v>5493</v>
      </c>
      <c r="H1928" s="10" t="s">
        <v>5494</v>
      </c>
      <c r="I1928" s="10" t="s">
        <v>169</v>
      </c>
    </row>
    <row r="1929" spans="1:9" x14ac:dyDescent="0.15">
      <c r="A1929" s="9">
        <v>1928</v>
      </c>
      <c r="B1929" s="10" t="s">
        <v>9</v>
      </c>
      <c r="C1929" s="10" t="s">
        <v>170</v>
      </c>
      <c r="D1929" s="10" t="s">
        <v>171</v>
      </c>
      <c r="E1929" s="11" t="str">
        <f>+HYPERLINK("http://trademark.i-assist.jp/data/china/image_1900th/78875125.pdf", "78875125")</f>
        <v>78875125</v>
      </c>
      <c r="F1929" s="10" t="s">
        <v>5495</v>
      </c>
      <c r="G1929" s="10" t="s">
        <v>5496</v>
      </c>
      <c r="H1929" s="10" t="s">
        <v>5497</v>
      </c>
      <c r="I1929" s="10" t="s">
        <v>169</v>
      </c>
    </row>
    <row r="1930" spans="1:9" x14ac:dyDescent="0.15">
      <c r="A1930" s="9">
        <v>1929</v>
      </c>
      <c r="B1930" s="10" t="s">
        <v>9</v>
      </c>
      <c r="C1930" s="10" t="s">
        <v>170</v>
      </c>
      <c r="D1930" s="10" t="s">
        <v>171</v>
      </c>
      <c r="E1930" s="11" t="str">
        <f>+HYPERLINK("http://trademark.i-assist.jp/data/china/image_1900th/78875213.pdf", "78875213")</f>
        <v>78875213</v>
      </c>
      <c r="F1930" s="10" t="s">
        <v>5498</v>
      </c>
      <c r="G1930" s="10" t="s">
        <v>5499</v>
      </c>
      <c r="H1930" s="10" t="s">
        <v>5500</v>
      </c>
      <c r="I1930" s="10" t="s">
        <v>169</v>
      </c>
    </row>
    <row r="1931" spans="1:9" x14ac:dyDescent="0.15">
      <c r="A1931" s="9">
        <v>1930</v>
      </c>
      <c r="B1931" s="10" t="s">
        <v>9</v>
      </c>
      <c r="C1931" s="10" t="s">
        <v>170</v>
      </c>
      <c r="D1931" s="10" t="s">
        <v>171</v>
      </c>
      <c r="E1931" s="11" t="str">
        <f>+HYPERLINK("http://trademark.i-assist.jp/data/china/image_1900th/78875348.pdf", "78875348")</f>
        <v>78875348</v>
      </c>
      <c r="F1931" s="10" t="s">
        <v>5501</v>
      </c>
      <c r="G1931" s="10" t="s">
        <v>5502</v>
      </c>
      <c r="H1931" s="10" t="s">
        <v>5503</v>
      </c>
      <c r="I1931" s="10" t="s">
        <v>169</v>
      </c>
    </row>
    <row r="1932" spans="1:9" x14ac:dyDescent="0.15">
      <c r="A1932" s="9">
        <v>1931</v>
      </c>
      <c r="B1932" s="10" t="s">
        <v>9</v>
      </c>
      <c r="C1932" s="10" t="s">
        <v>170</v>
      </c>
      <c r="D1932" s="10" t="s">
        <v>171</v>
      </c>
      <c r="E1932" s="11" t="str">
        <f>+HYPERLINK("http://trademark.i-assist.jp/data/china/image_1900th/78875483.pdf", "78875483")</f>
        <v>78875483</v>
      </c>
      <c r="F1932" s="10" t="s">
        <v>5504</v>
      </c>
      <c r="G1932" s="10" t="s">
        <v>5505</v>
      </c>
      <c r="H1932" s="10" t="s">
        <v>5506</v>
      </c>
      <c r="I1932" s="10" t="s">
        <v>169</v>
      </c>
    </row>
    <row r="1933" spans="1:9" x14ac:dyDescent="0.15">
      <c r="A1933" s="9">
        <v>1932</v>
      </c>
      <c r="B1933" s="10" t="s">
        <v>9</v>
      </c>
      <c r="C1933" s="10" t="s">
        <v>170</v>
      </c>
      <c r="D1933" s="10" t="s">
        <v>171</v>
      </c>
      <c r="E1933" s="11" t="str">
        <f>+HYPERLINK("http://trademark.i-assist.jp/data/china/image_1900th/78875528.pdf", "78875528")</f>
        <v>78875528</v>
      </c>
      <c r="F1933" s="10" t="s">
        <v>5507</v>
      </c>
      <c r="G1933" s="10" t="s">
        <v>5508</v>
      </c>
      <c r="H1933" s="10" t="s">
        <v>5509</v>
      </c>
      <c r="I1933" s="10" t="s">
        <v>169</v>
      </c>
    </row>
    <row r="1934" spans="1:9" x14ac:dyDescent="0.15">
      <c r="A1934" s="9">
        <v>1933</v>
      </c>
      <c r="B1934" s="10" t="s">
        <v>9</v>
      </c>
      <c r="C1934" s="10" t="s">
        <v>170</v>
      </c>
      <c r="D1934" s="10" t="s">
        <v>171</v>
      </c>
      <c r="E1934" s="11" t="str">
        <f>+HYPERLINK("http://trademark.i-assist.jp/data/china/image_1900th/78875654.pdf", "78875654")</f>
        <v>78875654</v>
      </c>
      <c r="F1934" s="10" t="s">
        <v>5510</v>
      </c>
      <c r="G1934" s="10" t="s">
        <v>131</v>
      </c>
      <c r="H1934" s="10" t="s">
        <v>5511</v>
      </c>
      <c r="I1934" s="10" t="s">
        <v>169</v>
      </c>
    </row>
    <row r="1935" spans="1:9" x14ac:dyDescent="0.15">
      <c r="A1935" s="9">
        <v>1934</v>
      </c>
      <c r="B1935" s="10" t="s">
        <v>9</v>
      </c>
      <c r="C1935" s="10" t="s">
        <v>170</v>
      </c>
      <c r="D1935" s="10" t="s">
        <v>171</v>
      </c>
      <c r="E1935" s="11" t="str">
        <f>+HYPERLINK("http://trademark.i-assist.jp/data/china/image_1900th/78875673.pdf", "78875673")</f>
        <v>78875673</v>
      </c>
      <c r="F1935" s="10" t="s">
        <v>5512</v>
      </c>
      <c r="G1935" s="10" t="s">
        <v>5513</v>
      </c>
      <c r="H1935" s="10" t="s">
        <v>5514</v>
      </c>
      <c r="I1935" s="10" t="s">
        <v>169</v>
      </c>
    </row>
    <row r="1936" spans="1:9" x14ac:dyDescent="0.15">
      <c r="A1936" s="9">
        <v>1935</v>
      </c>
      <c r="B1936" s="10" t="s">
        <v>9</v>
      </c>
      <c r="C1936" s="10" t="s">
        <v>170</v>
      </c>
      <c r="D1936" s="10" t="s">
        <v>171</v>
      </c>
      <c r="E1936" s="11" t="str">
        <f>+HYPERLINK("http://trademark.i-assist.jp/data/china/image_1900th/78876017.pdf", "78876017")</f>
        <v>78876017</v>
      </c>
      <c r="F1936" s="10" t="s">
        <v>5515</v>
      </c>
      <c r="G1936" s="10" t="s">
        <v>5516</v>
      </c>
      <c r="H1936" s="10" t="s">
        <v>5517</v>
      </c>
      <c r="I1936" s="10" t="s">
        <v>169</v>
      </c>
    </row>
    <row r="1937" spans="1:9" x14ac:dyDescent="0.15">
      <c r="A1937" s="9">
        <v>1936</v>
      </c>
      <c r="B1937" s="10" t="s">
        <v>9</v>
      </c>
      <c r="C1937" s="10" t="s">
        <v>170</v>
      </c>
      <c r="D1937" s="10" t="s">
        <v>171</v>
      </c>
      <c r="E1937" s="11" t="str">
        <f>+HYPERLINK("http://trademark.i-assist.jp/data/china/image_1900th/78876544.pdf", "78876544")</f>
        <v>78876544</v>
      </c>
      <c r="F1937" s="10" t="s">
        <v>5518</v>
      </c>
      <c r="G1937" s="10" t="s">
        <v>5519</v>
      </c>
      <c r="H1937" s="10" t="s">
        <v>5520</v>
      </c>
      <c r="I1937" s="10" t="s">
        <v>169</v>
      </c>
    </row>
    <row r="1938" spans="1:9" x14ac:dyDescent="0.15">
      <c r="A1938" s="9">
        <v>1937</v>
      </c>
      <c r="B1938" s="10" t="s">
        <v>9</v>
      </c>
      <c r="C1938" s="10" t="s">
        <v>170</v>
      </c>
      <c r="D1938" s="10" t="s">
        <v>171</v>
      </c>
      <c r="E1938" s="11" t="str">
        <f>+HYPERLINK("http://trademark.i-assist.jp/data/china/image_1900th/78876758.pdf", "78876758")</f>
        <v>78876758</v>
      </c>
      <c r="F1938" s="10" t="s">
        <v>5521</v>
      </c>
      <c r="G1938" s="10" t="s">
        <v>5522</v>
      </c>
      <c r="H1938" s="10" t="s">
        <v>5523</v>
      </c>
      <c r="I1938" s="10" t="s">
        <v>169</v>
      </c>
    </row>
    <row r="1939" spans="1:9" x14ac:dyDescent="0.15">
      <c r="A1939" s="9">
        <v>1938</v>
      </c>
      <c r="B1939" s="10" t="s">
        <v>9</v>
      </c>
      <c r="C1939" s="10" t="s">
        <v>170</v>
      </c>
      <c r="D1939" s="10" t="s">
        <v>171</v>
      </c>
      <c r="E1939" s="11" t="str">
        <f>+HYPERLINK("http://trademark.i-assist.jp/data/china/image_1900th/78876898.pdf", "78876898")</f>
        <v>78876898</v>
      </c>
      <c r="F1939" s="10" t="s">
        <v>5524</v>
      </c>
      <c r="G1939" s="10" t="s">
        <v>5525</v>
      </c>
      <c r="H1939" s="10" t="s">
        <v>5526</v>
      </c>
      <c r="I1939" s="10" t="s">
        <v>169</v>
      </c>
    </row>
    <row r="1940" spans="1:9" x14ac:dyDescent="0.15">
      <c r="A1940" s="9">
        <v>1939</v>
      </c>
      <c r="B1940" s="10" t="s">
        <v>9</v>
      </c>
      <c r="C1940" s="10" t="s">
        <v>170</v>
      </c>
      <c r="D1940" s="10" t="s">
        <v>171</v>
      </c>
      <c r="E1940" s="11" t="str">
        <f>+HYPERLINK("http://trademark.i-assist.jp/data/china/image_1900th/78877676.pdf", "78877676")</f>
        <v>78877676</v>
      </c>
      <c r="F1940" s="10" t="s">
        <v>5527</v>
      </c>
      <c r="G1940" s="10" t="s">
        <v>5528</v>
      </c>
      <c r="H1940" s="10" t="s">
        <v>5529</v>
      </c>
      <c r="I1940" s="10" t="s">
        <v>169</v>
      </c>
    </row>
    <row r="1941" spans="1:9" x14ac:dyDescent="0.15">
      <c r="A1941" s="9">
        <v>1940</v>
      </c>
      <c r="B1941" s="10" t="s">
        <v>9</v>
      </c>
      <c r="C1941" s="10" t="s">
        <v>170</v>
      </c>
      <c r="D1941" s="10" t="s">
        <v>171</v>
      </c>
      <c r="E1941" s="11" t="str">
        <f>+HYPERLINK("http://trademark.i-assist.jp/data/china/image_1900th/78877804.pdf", "78877804")</f>
        <v>78877804</v>
      </c>
      <c r="F1941" s="10" t="s">
        <v>5530</v>
      </c>
      <c r="G1941" s="10" t="s">
        <v>5531</v>
      </c>
      <c r="H1941" s="10" t="s">
        <v>5532</v>
      </c>
      <c r="I1941" s="10" t="s">
        <v>169</v>
      </c>
    </row>
    <row r="1942" spans="1:9" x14ac:dyDescent="0.15">
      <c r="A1942" s="9">
        <v>1941</v>
      </c>
      <c r="B1942" s="10" t="s">
        <v>9</v>
      </c>
      <c r="C1942" s="10" t="s">
        <v>170</v>
      </c>
      <c r="D1942" s="10" t="s">
        <v>171</v>
      </c>
      <c r="E1942" s="11" t="str">
        <f>+HYPERLINK("http://trademark.i-assist.jp/data/china/image_1900th/78877941.pdf", "78877941")</f>
        <v>78877941</v>
      </c>
      <c r="F1942" s="10" t="s">
        <v>15</v>
      </c>
      <c r="G1942" s="10" t="s">
        <v>5533</v>
      </c>
      <c r="H1942" s="10" t="s">
        <v>5534</v>
      </c>
      <c r="I1942" s="10" t="s">
        <v>169</v>
      </c>
    </row>
    <row r="1943" spans="1:9" x14ac:dyDescent="0.15">
      <c r="A1943" s="9">
        <v>1942</v>
      </c>
      <c r="B1943" s="10" t="s">
        <v>9</v>
      </c>
      <c r="C1943" s="10" t="s">
        <v>170</v>
      </c>
      <c r="D1943" s="10" t="s">
        <v>171</v>
      </c>
      <c r="E1943" s="11" t="str">
        <f>+HYPERLINK("http://trademark.i-assist.jp/data/china/image_1900th/78878186.pdf", "78878186")</f>
        <v>78878186</v>
      </c>
      <c r="F1943" s="10" t="s">
        <v>5535</v>
      </c>
      <c r="G1943" s="10" t="s">
        <v>5536</v>
      </c>
      <c r="H1943" s="10" t="s">
        <v>5537</v>
      </c>
      <c r="I1943" s="10" t="s">
        <v>169</v>
      </c>
    </row>
    <row r="1944" spans="1:9" x14ac:dyDescent="0.15">
      <c r="A1944" s="9">
        <v>1943</v>
      </c>
      <c r="B1944" s="10" t="s">
        <v>9</v>
      </c>
      <c r="C1944" s="10" t="s">
        <v>170</v>
      </c>
      <c r="D1944" s="10" t="s">
        <v>171</v>
      </c>
      <c r="E1944" s="11" t="str">
        <f>+HYPERLINK("http://trademark.i-assist.jp/data/china/image_1900th/78878213.pdf", "78878213")</f>
        <v>78878213</v>
      </c>
      <c r="F1944" s="10" t="s">
        <v>5538</v>
      </c>
      <c r="G1944" s="10" t="s">
        <v>5539</v>
      </c>
      <c r="H1944" s="10" t="s">
        <v>5540</v>
      </c>
      <c r="I1944" s="10" t="s">
        <v>169</v>
      </c>
    </row>
    <row r="1945" spans="1:9" x14ac:dyDescent="0.15">
      <c r="A1945" s="9">
        <v>1944</v>
      </c>
      <c r="B1945" s="10" t="s">
        <v>9</v>
      </c>
      <c r="C1945" s="10" t="s">
        <v>170</v>
      </c>
      <c r="D1945" s="10" t="s">
        <v>171</v>
      </c>
      <c r="E1945" s="11" t="str">
        <f>+HYPERLINK("http://trademark.i-assist.jp/data/china/image_1900th/78878329.pdf", "78878329")</f>
        <v>78878329</v>
      </c>
      <c r="F1945" s="10" t="s">
        <v>5541</v>
      </c>
      <c r="G1945" s="10" t="s">
        <v>5542</v>
      </c>
      <c r="H1945" s="10" t="s">
        <v>5543</v>
      </c>
      <c r="I1945" s="10" t="s">
        <v>169</v>
      </c>
    </row>
    <row r="1946" spans="1:9" x14ac:dyDescent="0.15">
      <c r="A1946" s="9">
        <v>1945</v>
      </c>
      <c r="B1946" s="10" t="s">
        <v>9</v>
      </c>
      <c r="C1946" s="10" t="s">
        <v>170</v>
      </c>
      <c r="D1946" s="10" t="s">
        <v>171</v>
      </c>
      <c r="E1946" s="11" t="str">
        <f>+HYPERLINK("http://trademark.i-assist.jp/data/china/image_1900th/78878413.pdf", "78878413")</f>
        <v>78878413</v>
      </c>
      <c r="F1946" s="10" t="s">
        <v>5544</v>
      </c>
      <c r="G1946" s="10" t="s">
        <v>5545</v>
      </c>
      <c r="H1946" s="10" t="s">
        <v>5546</v>
      </c>
      <c r="I1946" s="10" t="s">
        <v>169</v>
      </c>
    </row>
    <row r="1947" spans="1:9" x14ac:dyDescent="0.15">
      <c r="A1947" s="9">
        <v>1946</v>
      </c>
      <c r="B1947" s="10" t="s">
        <v>9</v>
      </c>
      <c r="C1947" s="10" t="s">
        <v>170</v>
      </c>
      <c r="D1947" s="10" t="s">
        <v>171</v>
      </c>
      <c r="E1947" s="11" t="str">
        <f>+HYPERLINK("http://trademark.i-assist.jp/data/china/image_1900th/78878417.pdf", "78878417")</f>
        <v>78878417</v>
      </c>
      <c r="F1947" s="10" t="s">
        <v>5547</v>
      </c>
      <c r="G1947" s="10" t="s">
        <v>5548</v>
      </c>
      <c r="H1947" s="10" t="s">
        <v>5549</v>
      </c>
      <c r="I1947" s="10" t="s">
        <v>169</v>
      </c>
    </row>
    <row r="1948" spans="1:9" x14ac:dyDescent="0.15">
      <c r="A1948" s="9">
        <v>1947</v>
      </c>
      <c r="B1948" s="10" t="s">
        <v>9</v>
      </c>
      <c r="C1948" s="10" t="s">
        <v>170</v>
      </c>
      <c r="D1948" s="10" t="s">
        <v>171</v>
      </c>
      <c r="E1948" s="11" t="str">
        <f>+HYPERLINK("http://trademark.i-assist.jp/data/china/image_1900th/78878422.pdf", "78878422")</f>
        <v>78878422</v>
      </c>
      <c r="F1948" s="10" t="s">
        <v>5550</v>
      </c>
      <c r="G1948" s="10" t="s">
        <v>5551</v>
      </c>
      <c r="H1948" s="10" t="s">
        <v>5552</v>
      </c>
      <c r="I1948" s="10" t="s">
        <v>169</v>
      </c>
    </row>
    <row r="1949" spans="1:9" x14ac:dyDescent="0.15">
      <c r="A1949" s="9">
        <v>1948</v>
      </c>
      <c r="B1949" s="10" t="s">
        <v>9</v>
      </c>
      <c r="C1949" s="10" t="s">
        <v>170</v>
      </c>
      <c r="D1949" s="10" t="s">
        <v>171</v>
      </c>
      <c r="E1949" s="11" t="str">
        <f>+HYPERLINK("http://trademark.i-assist.jp/data/china/image_1900th/78878451.pdf", "78878451")</f>
        <v>78878451</v>
      </c>
      <c r="F1949" s="10" t="s">
        <v>5553</v>
      </c>
      <c r="G1949" s="10" t="s">
        <v>5554</v>
      </c>
      <c r="H1949" s="10" t="s">
        <v>5555</v>
      </c>
      <c r="I1949" s="10" t="s">
        <v>169</v>
      </c>
    </row>
    <row r="1950" spans="1:9" x14ac:dyDescent="0.15">
      <c r="A1950" s="9">
        <v>1949</v>
      </c>
      <c r="B1950" s="10" t="s">
        <v>9</v>
      </c>
      <c r="C1950" s="10" t="s">
        <v>170</v>
      </c>
      <c r="D1950" s="10" t="s">
        <v>171</v>
      </c>
      <c r="E1950" s="11" t="str">
        <f>+HYPERLINK("http://trademark.i-assist.jp/data/china/image_1900th/78878539.pdf", "78878539")</f>
        <v>78878539</v>
      </c>
      <c r="F1950" s="10" t="s">
        <v>5556</v>
      </c>
      <c r="G1950" s="10" t="s">
        <v>5557</v>
      </c>
      <c r="H1950" s="10" t="s">
        <v>5558</v>
      </c>
      <c r="I1950" s="10" t="s">
        <v>169</v>
      </c>
    </row>
    <row r="1951" spans="1:9" x14ac:dyDescent="0.15">
      <c r="A1951" s="9">
        <v>1950</v>
      </c>
      <c r="B1951" s="10" t="s">
        <v>9</v>
      </c>
      <c r="C1951" s="10" t="s">
        <v>170</v>
      </c>
      <c r="D1951" s="10" t="s">
        <v>171</v>
      </c>
      <c r="E1951" s="11" t="str">
        <f>+HYPERLINK("http://trademark.i-assist.jp/data/china/image_1900th/78878618.pdf", "78878618")</f>
        <v>78878618</v>
      </c>
      <c r="F1951" s="10" t="s">
        <v>5559</v>
      </c>
      <c r="G1951" s="10" t="s">
        <v>5560</v>
      </c>
      <c r="H1951" s="10" t="s">
        <v>5561</v>
      </c>
      <c r="I1951" s="10" t="s">
        <v>169</v>
      </c>
    </row>
    <row r="1952" spans="1:9" x14ac:dyDescent="0.15">
      <c r="A1952" s="9">
        <v>1951</v>
      </c>
      <c r="B1952" s="10" t="s">
        <v>9</v>
      </c>
      <c r="C1952" s="10" t="s">
        <v>170</v>
      </c>
      <c r="D1952" s="10" t="s">
        <v>171</v>
      </c>
      <c r="E1952" s="11" t="str">
        <f>+HYPERLINK("http://trademark.i-assist.jp/data/china/image_1900th/78878620.pdf", "78878620")</f>
        <v>78878620</v>
      </c>
      <c r="F1952" s="10" t="s">
        <v>5562</v>
      </c>
      <c r="G1952" s="10" t="s">
        <v>5563</v>
      </c>
      <c r="H1952" s="10" t="s">
        <v>5564</v>
      </c>
      <c r="I1952" s="10" t="s">
        <v>169</v>
      </c>
    </row>
    <row r="1953" spans="1:9" x14ac:dyDescent="0.15">
      <c r="A1953" s="9">
        <v>1952</v>
      </c>
      <c r="B1953" s="10" t="s">
        <v>9</v>
      </c>
      <c r="C1953" s="10" t="s">
        <v>170</v>
      </c>
      <c r="D1953" s="10" t="s">
        <v>171</v>
      </c>
      <c r="E1953" s="11" t="str">
        <f>+HYPERLINK("http://trademark.i-assist.jp/data/china/image_1900th/78878660.pdf", "78878660")</f>
        <v>78878660</v>
      </c>
      <c r="F1953" s="10" t="s">
        <v>5565</v>
      </c>
      <c r="G1953" s="10" t="s">
        <v>5566</v>
      </c>
      <c r="H1953" s="10" t="s">
        <v>5567</v>
      </c>
      <c r="I1953" s="10" t="s">
        <v>169</v>
      </c>
    </row>
    <row r="1954" spans="1:9" x14ac:dyDescent="0.15">
      <c r="A1954" s="9">
        <v>1953</v>
      </c>
      <c r="B1954" s="10" t="s">
        <v>9</v>
      </c>
      <c r="C1954" s="10" t="s">
        <v>170</v>
      </c>
      <c r="D1954" s="10" t="s">
        <v>171</v>
      </c>
      <c r="E1954" s="11" t="str">
        <f>+HYPERLINK("http://trademark.i-assist.jp/data/china/image_1900th/78878722.pdf", "78878722")</f>
        <v>78878722</v>
      </c>
      <c r="F1954" s="10" t="s">
        <v>5568</v>
      </c>
      <c r="G1954" s="10" t="s">
        <v>5569</v>
      </c>
      <c r="H1954" s="10" t="s">
        <v>5570</v>
      </c>
      <c r="I1954" s="10" t="s">
        <v>169</v>
      </c>
    </row>
    <row r="1955" spans="1:9" x14ac:dyDescent="0.15">
      <c r="A1955" s="9">
        <v>1954</v>
      </c>
      <c r="B1955" s="10" t="s">
        <v>9</v>
      </c>
      <c r="C1955" s="10" t="s">
        <v>170</v>
      </c>
      <c r="D1955" s="10" t="s">
        <v>171</v>
      </c>
      <c r="E1955" s="11" t="str">
        <f>+HYPERLINK("http://trademark.i-assist.jp/data/china/image_1900th/78878804.pdf", "78878804")</f>
        <v>78878804</v>
      </c>
      <c r="F1955" s="10" t="s">
        <v>5571</v>
      </c>
      <c r="G1955" s="10" t="s">
        <v>5572</v>
      </c>
      <c r="H1955" s="10" t="s">
        <v>5573</v>
      </c>
      <c r="I1955" s="10" t="s">
        <v>169</v>
      </c>
    </row>
    <row r="1956" spans="1:9" x14ac:dyDescent="0.15">
      <c r="A1956" s="9">
        <v>1955</v>
      </c>
      <c r="B1956" s="10" t="s">
        <v>9</v>
      </c>
      <c r="C1956" s="10" t="s">
        <v>170</v>
      </c>
      <c r="D1956" s="10" t="s">
        <v>171</v>
      </c>
      <c r="E1956" s="11" t="str">
        <f>+HYPERLINK("http://trademark.i-assist.jp/data/china/image_1900th/78878912.pdf", "78878912")</f>
        <v>78878912</v>
      </c>
      <c r="F1956" s="10" t="s">
        <v>5574</v>
      </c>
      <c r="G1956" s="10" t="s">
        <v>5575</v>
      </c>
      <c r="H1956" s="10" t="s">
        <v>5576</v>
      </c>
      <c r="I1956" s="10" t="s">
        <v>169</v>
      </c>
    </row>
    <row r="1957" spans="1:9" x14ac:dyDescent="0.15">
      <c r="A1957" s="9">
        <v>1956</v>
      </c>
      <c r="B1957" s="10" t="s">
        <v>9</v>
      </c>
      <c r="C1957" s="10" t="s">
        <v>170</v>
      </c>
      <c r="D1957" s="10" t="s">
        <v>171</v>
      </c>
      <c r="E1957" s="11" t="str">
        <f>+HYPERLINK("http://trademark.i-assist.jp/data/china/image_1900th/78878945.pdf", "78878945")</f>
        <v>78878945</v>
      </c>
      <c r="F1957" s="10" t="s">
        <v>5577</v>
      </c>
      <c r="G1957" s="10" t="s">
        <v>5578</v>
      </c>
      <c r="H1957" s="10" t="s">
        <v>5579</v>
      </c>
      <c r="I1957" s="10" t="s">
        <v>169</v>
      </c>
    </row>
    <row r="1958" spans="1:9" x14ac:dyDescent="0.15">
      <c r="A1958" s="9">
        <v>1957</v>
      </c>
      <c r="B1958" s="10" t="s">
        <v>9</v>
      </c>
      <c r="C1958" s="10" t="s">
        <v>170</v>
      </c>
      <c r="D1958" s="10" t="s">
        <v>171</v>
      </c>
      <c r="E1958" s="11" t="str">
        <f>+HYPERLINK("http://trademark.i-assist.jp/data/china/image_1900th/78879374.pdf", "78879374")</f>
        <v>78879374</v>
      </c>
      <c r="F1958" s="10" t="s">
        <v>5580</v>
      </c>
      <c r="G1958" s="10" t="s">
        <v>5581</v>
      </c>
      <c r="H1958" s="10" t="s">
        <v>5582</v>
      </c>
      <c r="I1958" s="10" t="s">
        <v>169</v>
      </c>
    </row>
    <row r="1959" spans="1:9" x14ac:dyDescent="0.15">
      <c r="A1959" s="9">
        <v>1958</v>
      </c>
      <c r="B1959" s="10" t="s">
        <v>9</v>
      </c>
      <c r="C1959" s="10" t="s">
        <v>170</v>
      </c>
      <c r="D1959" s="10" t="s">
        <v>171</v>
      </c>
      <c r="E1959" s="11" t="str">
        <f>+HYPERLINK("http://trademark.i-assist.jp/data/china/image_1900th/78879414.pdf", "78879414")</f>
        <v>78879414</v>
      </c>
      <c r="F1959" s="10" t="s">
        <v>5583</v>
      </c>
      <c r="G1959" s="10" t="s">
        <v>5584</v>
      </c>
      <c r="H1959" s="10" t="s">
        <v>5585</v>
      </c>
      <c r="I1959" s="10" t="s">
        <v>169</v>
      </c>
    </row>
    <row r="1960" spans="1:9" x14ac:dyDescent="0.15">
      <c r="A1960" s="9">
        <v>1959</v>
      </c>
      <c r="B1960" s="10" t="s">
        <v>9</v>
      </c>
      <c r="C1960" s="10" t="s">
        <v>170</v>
      </c>
      <c r="D1960" s="10" t="s">
        <v>171</v>
      </c>
      <c r="E1960" s="11" t="str">
        <f>+HYPERLINK("http://trademark.i-assist.jp/data/china/image_1900th/78879496.pdf", "78879496")</f>
        <v>78879496</v>
      </c>
      <c r="F1960" s="10" t="s">
        <v>5586</v>
      </c>
      <c r="G1960" s="10" t="s">
        <v>5587</v>
      </c>
      <c r="H1960" s="10" t="s">
        <v>5588</v>
      </c>
      <c r="I1960" s="10" t="s">
        <v>169</v>
      </c>
    </row>
    <row r="1961" spans="1:9" x14ac:dyDescent="0.15">
      <c r="A1961" s="9">
        <v>1960</v>
      </c>
      <c r="B1961" s="10" t="s">
        <v>9</v>
      </c>
      <c r="C1961" s="10" t="s">
        <v>170</v>
      </c>
      <c r="D1961" s="10" t="s">
        <v>171</v>
      </c>
      <c r="E1961" s="11" t="str">
        <f>+HYPERLINK("http://trademark.i-assist.jp/data/china/image_1900th/78879653.pdf", "78879653")</f>
        <v>78879653</v>
      </c>
      <c r="F1961" s="10" t="s">
        <v>5589</v>
      </c>
      <c r="G1961" s="10" t="s">
        <v>5590</v>
      </c>
      <c r="H1961" s="10" t="s">
        <v>5591</v>
      </c>
      <c r="I1961" s="10" t="s">
        <v>169</v>
      </c>
    </row>
    <row r="1962" spans="1:9" x14ac:dyDescent="0.15">
      <c r="A1962" s="9">
        <v>1961</v>
      </c>
      <c r="B1962" s="10" t="s">
        <v>9</v>
      </c>
      <c r="C1962" s="10" t="s">
        <v>170</v>
      </c>
      <c r="D1962" s="10" t="s">
        <v>171</v>
      </c>
      <c r="E1962" s="11" t="str">
        <f>+HYPERLINK("http://trademark.i-assist.jp/data/china/image_1900th/78879778.pdf", "78879778")</f>
        <v>78879778</v>
      </c>
      <c r="F1962" s="10" t="s">
        <v>5592</v>
      </c>
      <c r="G1962" s="10" t="s">
        <v>5593</v>
      </c>
      <c r="H1962" s="10" t="s">
        <v>5594</v>
      </c>
      <c r="I1962" s="10" t="s">
        <v>169</v>
      </c>
    </row>
    <row r="1963" spans="1:9" x14ac:dyDescent="0.15">
      <c r="A1963" s="9">
        <v>1962</v>
      </c>
      <c r="B1963" s="10" t="s">
        <v>9</v>
      </c>
      <c r="C1963" s="10" t="s">
        <v>170</v>
      </c>
      <c r="D1963" s="10" t="s">
        <v>171</v>
      </c>
      <c r="E1963" s="11" t="str">
        <f>+HYPERLINK("http://trademark.i-assist.jp/data/china/image_1900th/78879826.pdf", "78879826")</f>
        <v>78879826</v>
      </c>
      <c r="F1963" s="10" t="s">
        <v>5595</v>
      </c>
      <c r="G1963" s="10" t="s">
        <v>5596</v>
      </c>
      <c r="H1963" s="10" t="s">
        <v>5597</v>
      </c>
      <c r="I1963" s="10" t="s">
        <v>169</v>
      </c>
    </row>
    <row r="1964" spans="1:9" x14ac:dyDescent="0.15">
      <c r="A1964" s="9">
        <v>1963</v>
      </c>
      <c r="B1964" s="10" t="s">
        <v>9</v>
      </c>
      <c r="C1964" s="10" t="s">
        <v>170</v>
      </c>
      <c r="D1964" s="10" t="s">
        <v>171</v>
      </c>
      <c r="E1964" s="11" t="str">
        <f>+HYPERLINK("http://trademark.i-assist.jp/data/china/image_1900th/78879843.pdf", "78879843")</f>
        <v>78879843</v>
      </c>
      <c r="F1964" s="10" t="s">
        <v>5598</v>
      </c>
      <c r="G1964" s="10" t="s">
        <v>5460</v>
      </c>
      <c r="H1964" s="10" t="s">
        <v>5599</v>
      </c>
      <c r="I1964" s="10" t="s">
        <v>169</v>
      </c>
    </row>
    <row r="1965" spans="1:9" x14ac:dyDescent="0.15">
      <c r="A1965" s="9">
        <v>1964</v>
      </c>
      <c r="B1965" s="10" t="s">
        <v>9</v>
      </c>
      <c r="C1965" s="10" t="s">
        <v>170</v>
      </c>
      <c r="D1965" s="10" t="s">
        <v>171</v>
      </c>
      <c r="E1965" s="11" t="str">
        <f>+HYPERLINK("http://trademark.i-assist.jp/data/china/image_1900th/78879898.pdf", "78879898")</f>
        <v>78879898</v>
      </c>
      <c r="F1965" s="10" t="s">
        <v>5600</v>
      </c>
      <c r="G1965" s="10" t="s">
        <v>5601</v>
      </c>
      <c r="H1965" s="10" t="s">
        <v>5602</v>
      </c>
      <c r="I1965" s="10" t="s">
        <v>169</v>
      </c>
    </row>
    <row r="1966" spans="1:9" x14ac:dyDescent="0.15">
      <c r="A1966" s="9">
        <v>1965</v>
      </c>
      <c r="B1966" s="10" t="s">
        <v>9</v>
      </c>
      <c r="C1966" s="10" t="s">
        <v>170</v>
      </c>
      <c r="D1966" s="10" t="s">
        <v>171</v>
      </c>
      <c r="E1966" s="11" t="str">
        <f>+HYPERLINK("http://trademark.i-assist.jp/data/china/image_1900th/78880022.pdf", "78880022")</f>
        <v>78880022</v>
      </c>
      <c r="F1966" s="10" t="s">
        <v>5603</v>
      </c>
      <c r="G1966" s="10" t="s">
        <v>5604</v>
      </c>
      <c r="H1966" s="10" t="s">
        <v>5605</v>
      </c>
      <c r="I1966" s="10" t="s">
        <v>169</v>
      </c>
    </row>
    <row r="1967" spans="1:9" x14ac:dyDescent="0.15">
      <c r="A1967" s="9">
        <v>1966</v>
      </c>
      <c r="B1967" s="10" t="s">
        <v>9</v>
      </c>
      <c r="C1967" s="10" t="s">
        <v>170</v>
      </c>
      <c r="D1967" s="10" t="s">
        <v>171</v>
      </c>
      <c r="E1967" s="11" t="str">
        <f>+HYPERLINK("http://trademark.i-assist.jp/data/china/image_1900th/78880145.pdf", "78880145")</f>
        <v>78880145</v>
      </c>
      <c r="F1967" s="10" t="s">
        <v>5606</v>
      </c>
      <c r="G1967" s="10" t="s">
        <v>5607</v>
      </c>
      <c r="H1967" s="10" t="s">
        <v>5608</v>
      </c>
      <c r="I1967" s="10" t="s">
        <v>169</v>
      </c>
    </row>
    <row r="1968" spans="1:9" x14ac:dyDescent="0.15">
      <c r="A1968" s="9">
        <v>1967</v>
      </c>
      <c r="B1968" s="10" t="s">
        <v>9</v>
      </c>
      <c r="C1968" s="10" t="s">
        <v>170</v>
      </c>
      <c r="D1968" s="10" t="s">
        <v>171</v>
      </c>
      <c r="E1968" s="11" t="str">
        <f>+HYPERLINK("http://trademark.i-assist.jp/data/china/image_1900th/78880526.pdf", "78880526")</f>
        <v>78880526</v>
      </c>
      <c r="F1968" s="10" t="s">
        <v>5609</v>
      </c>
      <c r="G1968" s="10" t="s">
        <v>5610</v>
      </c>
      <c r="H1968" s="10" t="s">
        <v>5611</v>
      </c>
      <c r="I1968" s="10" t="s">
        <v>169</v>
      </c>
    </row>
    <row r="1969" spans="1:9" x14ac:dyDescent="0.15">
      <c r="A1969" s="9">
        <v>1968</v>
      </c>
      <c r="B1969" s="10" t="s">
        <v>9</v>
      </c>
      <c r="C1969" s="10" t="s">
        <v>170</v>
      </c>
      <c r="D1969" s="10" t="s">
        <v>171</v>
      </c>
      <c r="E1969" s="11" t="str">
        <f>+HYPERLINK("http://trademark.i-assist.jp/data/china/image_1900th/78880528.pdf", "78880528")</f>
        <v>78880528</v>
      </c>
      <c r="F1969" s="10" t="s">
        <v>5612</v>
      </c>
      <c r="G1969" s="10" t="s">
        <v>5613</v>
      </c>
      <c r="H1969" s="10" t="s">
        <v>5614</v>
      </c>
      <c r="I1969" s="10" t="s">
        <v>169</v>
      </c>
    </row>
    <row r="1970" spans="1:9" x14ac:dyDescent="0.15">
      <c r="A1970" s="9">
        <v>1969</v>
      </c>
      <c r="B1970" s="10" t="s">
        <v>9</v>
      </c>
      <c r="C1970" s="10" t="s">
        <v>170</v>
      </c>
      <c r="D1970" s="10" t="s">
        <v>171</v>
      </c>
      <c r="E1970" s="11" t="str">
        <f>+HYPERLINK("http://trademark.i-assist.jp/data/china/image_1900th/78880646.pdf", "78880646")</f>
        <v>78880646</v>
      </c>
      <c r="F1970" s="10" t="s">
        <v>15</v>
      </c>
      <c r="G1970" s="10" t="s">
        <v>5615</v>
      </c>
      <c r="H1970" s="10" t="s">
        <v>5616</v>
      </c>
      <c r="I1970" s="10" t="s">
        <v>169</v>
      </c>
    </row>
    <row r="1971" spans="1:9" x14ac:dyDescent="0.15">
      <c r="A1971" s="9">
        <v>1970</v>
      </c>
      <c r="B1971" s="10" t="s">
        <v>9</v>
      </c>
      <c r="C1971" s="10" t="s">
        <v>170</v>
      </c>
      <c r="D1971" s="10" t="s">
        <v>171</v>
      </c>
      <c r="E1971" s="11" t="str">
        <f>+HYPERLINK("http://trademark.i-assist.jp/data/china/image_1900th/78880717.pdf", "78880717")</f>
        <v>78880717</v>
      </c>
      <c r="F1971" s="10" t="s">
        <v>5617</v>
      </c>
      <c r="G1971" s="10" t="s">
        <v>5618</v>
      </c>
      <c r="H1971" s="10" t="s">
        <v>5619</v>
      </c>
      <c r="I1971" s="10" t="s">
        <v>169</v>
      </c>
    </row>
    <row r="1972" spans="1:9" x14ac:dyDescent="0.15">
      <c r="A1972" s="9">
        <v>1971</v>
      </c>
      <c r="B1972" s="10" t="s">
        <v>9</v>
      </c>
      <c r="C1972" s="10" t="s">
        <v>170</v>
      </c>
      <c r="D1972" s="10" t="s">
        <v>171</v>
      </c>
      <c r="E1972" s="11" t="str">
        <f>+HYPERLINK("http://trademark.i-assist.jp/data/china/image_1900th/78880732.pdf", "78880732")</f>
        <v>78880732</v>
      </c>
      <c r="F1972" s="10" t="s">
        <v>5620</v>
      </c>
      <c r="G1972" s="10" t="s">
        <v>5551</v>
      </c>
      <c r="H1972" s="10" t="s">
        <v>5621</v>
      </c>
      <c r="I1972" s="10" t="s">
        <v>169</v>
      </c>
    </row>
    <row r="1973" spans="1:9" x14ac:dyDescent="0.15">
      <c r="A1973" s="9">
        <v>1972</v>
      </c>
      <c r="B1973" s="10" t="s">
        <v>9</v>
      </c>
      <c r="C1973" s="10" t="s">
        <v>170</v>
      </c>
      <c r="D1973" s="10" t="s">
        <v>171</v>
      </c>
      <c r="E1973" s="11" t="str">
        <f>+HYPERLINK("http://trademark.i-assist.jp/data/china/image_1900th/78880868.pdf", "78880868")</f>
        <v>78880868</v>
      </c>
      <c r="F1973" s="10" t="s">
        <v>5622</v>
      </c>
      <c r="G1973" s="10" t="s">
        <v>5369</v>
      </c>
      <c r="H1973" s="10" t="s">
        <v>5623</v>
      </c>
      <c r="I1973" s="10" t="s">
        <v>169</v>
      </c>
    </row>
    <row r="1974" spans="1:9" x14ac:dyDescent="0.15">
      <c r="A1974" s="9">
        <v>1973</v>
      </c>
      <c r="B1974" s="10" t="s">
        <v>9</v>
      </c>
      <c r="C1974" s="10" t="s">
        <v>170</v>
      </c>
      <c r="D1974" s="10" t="s">
        <v>171</v>
      </c>
      <c r="E1974" s="11" t="str">
        <f>+HYPERLINK("http://trademark.i-assist.jp/data/china/image_1900th/78881156.pdf", "78881156")</f>
        <v>78881156</v>
      </c>
      <c r="F1974" s="10" t="s">
        <v>15</v>
      </c>
      <c r="G1974" s="10" t="s">
        <v>5624</v>
      </c>
      <c r="H1974" s="10" t="s">
        <v>5625</v>
      </c>
      <c r="I1974" s="10" t="s">
        <v>169</v>
      </c>
    </row>
    <row r="1975" spans="1:9" x14ac:dyDescent="0.15">
      <c r="A1975" s="9">
        <v>1974</v>
      </c>
      <c r="B1975" s="10" t="s">
        <v>9</v>
      </c>
      <c r="C1975" s="10" t="s">
        <v>170</v>
      </c>
      <c r="D1975" s="10" t="s">
        <v>171</v>
      </c>
      <c r="E1975" s="11" t="str">
        <f>+HYPERLINK("http://trademark.i-assist.jp/data/china/image_1900th/78881289.pdf", "78881289")</f>
        <v>78881289</v>
      </c>
      <c r="F1975" s="10" t="s">
        <v>5626</v>
      </c>
      <c r="G1975" s="10" t="s">
        <v>5627</v>
      </c>
      <c r="H1975" s="10" t="s">
        <v>5628</v>
      </c>
      <c r="I1975" s="10" t="s">
        <v>169</v>
      </c>
    </row>
    <row r="1976" spans="1:9" x14ac:dyDescent="0.15">
      <c r="A1976" s="9">
        <v>1975</v>
      </c>
      <c r="B1976" s="10" t="s">
        <v>9</v>
      </c>
      <c r="C1976" s="10" t="s">
        <v>170</v>
      </c>
      <c r="D1976" s="10" t="s">
        <v>171</v>
      </c>
      <c r="E1976" s="11" t="str">
        <f>+HYPERLINK("http://trademark.i-assist.jp/data/china/image_1900th/78881399.pdf", "78881399")</f>
        <v>78881399</v>
      </c>
      <c r="F1976" s="10" t="s">
        <v>5629</v>
      </c>
      <c r="G1976" s="10" t="s">
        <v>5630</v>
      </c>
      <c r="H1976" s="10" t="s">
        <v>5631</v>
      </c>
      <c r="I1976" s="10" t="s">
        <v>169</v>
      </c>
    </row>
    <row r="1977" spans="1:9" x14ac:dyDescent="0.15">
      <c r="A1977" s="9">
        <v>1976</v>
      </c>
      <c r="B1977" s="10" t="s">
        <v>9</v>
      </c>
      <c r="C1977" s="10" t="s">
        <v>170</v>
      </c>
      <c r="D1977" s="10" t="s">
        <v>171</v>
      </c>
      <c r="E1977" s="11" t="str">
        <f>+HYPERLINK("http://trademark.i-assist.jp/data/china/image_1900th/78881613.pdf", "78881613")</f>
        <v>78881613</v>
      </c>
      <c r="F1977" s="10" t="s">
        <v>5632</v>
      </c>
      <c r="G1977" s="10" t="s">
        <v>5633</v>
      </c>
      <c r="H1977" s="10" t="s">
        <v>5634</v>
      </c>
      <c r="I1977" s="10" t="s">
        <v>169</v>
      </c>
    </row>
    <row r="1978" spans="1:9" x14ac:dyDescent="0.15">
      <c r="A1978" s="9">
        <v>1977</v>
      </c>
      <c r="B1978" s="10" t="s">
        <v>9</v>
      </c>
      <c r="C1978" s="10" t="s">
        <v>170</v>
      </c>
      <c r="D1978" s="10" t="s">
        <v>171</v>
      </c>
      <c r="E1978" s="11" t="str">
        <f>+HYPERLINK("http://trademark.i-assist.jp/data/china/image_1900th/78881718.pdf", "78881718")</f>
        <v>78881718</v>
      </c>
      <c r="F1978" s="10" t="s">
        <v>5635</v>
      </c>
      <c r="G1978" s="10" t="s">
        <v>5636</v>
      </c>
      <c r="H1978" s="10" t="s">
        <v>5637</v>
      </c>
      <c r="I1978" s="10" t="s">
        <v>169</v>
      </c>
    </row>
    <row r="1979" spans="1:9" x14ac:dyDescent="0.15">
      <c r="A1979" s="9">
        <v>1978</v>
      </c>
      <c r="B1979" s="10" t="s">
        <v>9</v>
      </c>
      <c r="C1979" s="10" t="s">
        <v>170</v>
      </c>
      <c r="D1979" s="10" t="s">
        <v>171</v>
      </c>
      <c r="E1979" s="11" t="str">
        <f>+HYPERLINK("http://trademark.i-assist.jp/data/china/image_1900th/78881747.pdf", "78881747")</f>
        <v>78881747</v>
      </c>
      <c r="F1979" s="10" t="s">
        <v>5638</v>
      </c>
      <c r="G1979" s="10" t="s">
        <v>5639</v>
      </c>
      <c r="H1979" s="10" t="s">
        <v>5640</v>
      </c>
      <c r="I1979" s="10" t="s">
        <v>169</v>
      </c>
    </row>
    <row r="1980" spans="1:9" x14ac:dyDescent="0.15">
      <c r="A1980" s="9">
        <v>1979</v>
      </c>
      <c r="B1980" s="10" t="s">
        <v>9</v>
      </c>
      <c r="C1980" s="10" t="s">
        <v>170</v>
      </c>
      <c r="D1980" s="10" t="s">
        <v>171</v>
      </c>
      <c r="E1980" s="11" t="str">
        <f>+HYPERLINK("http://trademark.i-assist.jp/data/china/image_1900th/78881837.pdf", "78881837")</f>
        <v>78881837</v>
      </c>
      <c r="F1980" s="10" t="s">
        <v>5641</v>
      </c>
      <c r="G1980" s="10" t="s">
        <v>5642</v>
      </c>
      <c r="H1980" s="10" t="s">
        <v>5643</v>
      </c>
      <c r="I1980" s="10" t="s">
        <v>169</v>
      </c>
    </row>
    <row r="1981" spans="1:9" x14ac:dyDescent="0.15">
      <c r="A1981" s="9">
        <v>1980</v>
      </c>
      <c r="B1981" s="10" t="s">
        <v>9</v>
      </c>
      <c r="C1981" s="10" t="s">
        <v>170</v>
      </c>
      <c r="D1981" s="10" t="s">
        <v>171</v>
      </c>
      <c r="E1981" s="11" t="str">
        <f>+HYPERLINK("http://trademark.i-assist.jp/data/china/image_1900th/78881841.pdf", "78881841")</f>
        <v>78881841</v>
      </c>
      <c r="F1981" s="10" t="s">
        <v>5644</v>
      </c>
      <c r="G1981" s="10" t="s">
        <v>5645</v>
      </c>
      <c r="H1981" s="10" t="s">
        <v>5646</v>
      </c>
      <c r="I1981" s="10" t="s">
        <v>169</v>
      </c>
    </row>
    <row r="1982" spans="1:9" x14ac:dyDescent="0.15">
      <c r="A1982" s="9">
        <v>1981</v>
      </c>
      <c r="B1982" s="10" t="s">
        <v>9</v>
      </c>
      <c r="C1982" s="10" t="s">
        <v>170</v>
      </c>
      <c r="D1982" s="10" t="s">
        <v>171</v>
      </c>
      <c r="E1982" s="11" t="str">
        <f>+HYPERLINK("http://trademark.i-assist.jp/data/china/image_1900th/78881900.pdf", "78881900")</f>
        <v>78881900</v>
      </c>
      <c r="F1982" s="10" t="s">
        <v>5647</v>
      </c>
      <c r="G1982" s="10" t="s">
        <v>5648</v>
      </c>
      <c r="H1982" s="10" t="s">
        <v>5649</v>
      </c>
      <c r="I1982" s="10" t="s">
        <v>169</v>
      </c>
    </row>
    <row r="1983" spans="1:9" x14ac:dyDescent="0.15">
      <c r="A1983" s="9">
        <v>1982</v>
      </c>
      <c r="B1983" s="10" t="s">
        <v>9</v>
      </c>
      <c r="C1983" s="10" t="s">
        <v>170</v>
      </c>
      <c r="D1983" s="10" t="s">
        <v>171</v>
      </c>
      <c r="E1983" s="11" t="str">
        <f>+HYPERLINK("http://trademark.i-assist.jp/data/china/image_1900th/78882035.pdf", "78882035")</f>
        <v>78882035</v>
      </c>
      <c r="F1983" s="10" t="s">
        <v>5650</v>
      </c>
      <c r="G1983" s="10" t="s">
        <v>5636</v>
      </c>
      <c r="H1983" s="10" t="s">
        <v>5651</v>
      </c>
      <c r="I1983" s="10" t="s">
        <v>169</v>
      </c>
    </row>
    <row r="1984" spans="1:9" x14ac:dyDescent="0.15">
      <c r="A1984" s="9">
        <v>1983</v>
      </c>
      <c r="B1984" s="10" t="s">
        <v>9</v>
      </c>
      <c r="C1984" s="10" t="s">
        <v>170</v>
      </c>
      <c r="D1984" s="10" t="s">
        <v>171</v>
      </c>
      <c r="E1984" s="11" t="str">
        <f>+HYPERLINK("http://trademark.i-assist.jp/data/china/image_1900th/78882543.pdf", "78882543")</f>
        <v>78882543</v>
      </c>
      <c r="F1984" s="10" t="s">
        <v>5652</v>
      </c>
      <c r="G1984" s="10" t="s">
        <v>5533</v>
      </c>
      <c r="H1984" s="10" t="s">
        <v>5653</v>
      </c>
      <c r="I1984" s="10" t="s">
        <v>169</v>
      </c>
    </row>
    <row r="1985" spans="1:9" x14ac:dyDescent="0.15">
      <c r="A1985" s="9">
        <v>1984</v>
      </c>
      <c r="B1985" s="10" t="s">
        <v>9</v>
      </c>
      <c r="C1985" s="10" t="s">
        <v>170</v>
      </c>
      <c r="D1985" s="10" t="s">
        <v>171</v>
      </c>
      <c r="E1985" s="11" t="str">
        <f>+HYPERLINK("http://trademark.i-assist.jp/data/china/image_1900th/78882561.pdf", "78882561")</f>
        <v>78882561</v>
      </c>
      <c r="F1985" s="10" t="s">
        <v>5654</v>
      </c>
      <c r="G1985" s="10" t="s">
        <v>5655</v>
      </c>
      <c r="H1985" s="10" t="s">
        <v>5656</v>
      </c>
      <c r="I1985" s="10" t="s">
        <v>169</v>
      </c>
    </row>
    <row r="1986" spans="1:9" x14ac:dyDescent="0.15">
      <c r="A1986" s="9">
        <v>1985</v>
      </c>
      <c r="B1986" s="10" t="s">
        <v>9</v>
      </c>
      <c r="C1986" s="10" t="s">
        <v>170</v>
      </c>
      <c r="D1986" s="10" t="s">
        <v>171</v>
      </c>
      <c r="E1986" s="11" t="str">
        <f>+HYPERLINK("http://trademark.i-assist.jp/data/china/image_1900th/78882803.pdf", "78882803")</f>
        <v>78882803</v>
      </c>
      <c r="F1986" s="10" t="s">
        <v>5657</v>
      </c>
      <c r="G1986" s="10" t="s">
        <v>5563</v>
      </c>
      <c r="H1986" s="10" t="s">
        <v>5658</v>
      </c>
      <c r="I1986" s="10" t="s">
        <v>169</v>
      </c>
    </row>
    <row r="1987" spans="1:9" x14ac:dyDescent="0.15">
      <c r="A1987" s="9">
        <v>1986</v>
      </c>
      <c r="B1987" s="10" t="s">
        <v>9</v>
      </c>
      <c r="C1987" s="10" t="s">
        <v>170</v>
      </c>
      <c r="D1987" s="10" t="s">
        <v>171</v>
      </c>
      <c r="E1987" s="11" t="str">
        <f>+HYPERLINK("http://trademark.i-assist.jp/data/china/image_1900th/78882899.pdf", "78882899")</f>
        <v>78882899</v>
      </c>
      <c r="F1987" s="10" t="s">
        <v>5659</v>
      </c>
      <c r="G1987" s="10" t="s">
        <v>5660</v>
      </c>
      <c r="H1987" s="10" t="s">
        <v>5661</v>
      </c>
      <c r="I1987" s="10" t="s">
        <v>169</v>
      </c>
    </row>
    <row r="1988" spans="1:9" x14ac:dyDescent="0.15">
      <c r="A1988" s="9">
        <v>1987</v>
      </c>
      <c r="B1988" s="10" t="s">
        <v>9</v>
      </c>
      <c r="C1988" s="10" t="s">
        <v>170</v>
      </c>
      <c r="D1988" s="10" t="s">
        <v>171</v>
      </c>
      <c r="E1988" s="11" t="str">
        <f>+HYPERLINK("http://trademark.i-assist.jp/data/china/image_1900th/78882912.pdf", "78882912")</f>
        <v>78882912</v>
      </c>
      <c r="F1988" s="10" t="s">
        <v>5662</v>
      </c>
      <c r="G1988" s="10" t="s">
        <v>5663</v>
      </c>
      <c r="H1988" s="10" t="s">
        <v>5664</v>
      </c>
      <c r="I1988" s="10" t="s">
        <v>169</v>
      </c>
    </row>
    <row r="1989" spans="1:9" x14ac:dyDescent="0.15">
      <c r="A1989" s="9">
        <v>1988</v>
      </c>
      <c r="B1989" s="10" t="s">
        <v>9</v>
      </c>
      <c r="C1989" s="10" t="s">
        <v>170</v>
      </c>
      <c r="D1989" s="10" t="s">
        <v>171</v>
      </c>
      <c r="E1989" s="11" t="str">
        <f>+HYPERLINK("http://trademark.i-assist.jp/data/china/image_1900th/78882959.pdf", "78882959")</f>
        <v>78882959</v>
      </c>
      <c r="F1989" s="10" t="s">
        <v>5665</v>
      </c>
      <c r="G1989" s="10" t="s">
        <v>5666</v>
      </c>
      <c r="H1989" s="10" t="s">
        <v>5667</v>
      </c>
      <c r="I1989" s="10" t="s">
        <v>169</v>
      </c>
    </row>
    <row r="1990" spans="1:9" x14ac:dyDescent="0.15">
      <c r="A1990" s="9">
        <v>1989</v>
      </c>
      <c r="B1990" s="10" t="s">
        <v>9</v>
      </c>
      <c r="C1990" s="10" t="s">
        <v>170</v>
      </c>
      <c r="D1990" s="10" t="s">
        <v>171</v>
      </c>
      <c r="E1990" s="11" t="str">
        <f>+HYPERLINK("http://trademark.i-assist.jp/data/china/image_1900th/78883166.pdf", "78883166")</f>
        <v>78883166</v>
      </c>
      <c r="F1990" s="10" t="s">
        <v>5668</v>
      </c>
      <c r="G1990" s="10" t="s">
        <v>5669</v>
      </c>
      <c r="H1990" s="10" t="s">
        <v>5670</v>
      </c>
      <c r="I1990" s="10" t="s">
        <v>169</v>
      </c>
    </row>
    <row r="1991" spans="1:9" x14ac:dyDescent="0.15">
      <c r="A1991" s="9">
        <v>1990</v>
      </c>
      <c r="B1991" s="10" t="s">
        <v>9</v>
      </c>
      <c r="C1991" s="10" t="s">
        <v>170</v>
      </c>
      <c r="D1991" s="10" t="s">
        <v>171</v>
      </c>
      <c r="E1991" s="11" t="str">
        <f>+HYPERLINK("http://trademark.i-assist.jp/data/china/image_1900th/78883276.pdf", "78883276")</f>
        <v>78883276</v>
      </c>
      <c r="F1991" s="10" t="s">
        <v>5671</v>
      </c>
      <c r="G1991" s="10" t="s">
        <v>5672</v>
      </c>
      <c r="H1991" s="10" t="s">
        <v>5673</v>
      </c>
      <c r="I1991" s="10" t="s">
        <v>169</v>
      </c>
    </row>
    <row r="1992" spans="1:9" x14ac:dyDescent="0.15">
      <c r="A1992" s="9">
        <v>1991</v>
      </c>
      <c r="B1992" s="10" t="s">
        <v>9</v>
      </c>
      <c r="C1992" s="10" t="s">
        <v>170</v>
      </c>
      <c r="D1992" s="10" t="s">
        <v>171</v>
      </c>
      <c r="E1992" s="11" t="str">
        <f>+HYPERLINK("http://trademark.i-assist.jp/data/china/image_1900th/78883469.pdf", "78883469")</f>
        <v>78883469</v>
      </c>
      <c r="F1992" s="10" t="s">
        <v>5674</v>
      </c>
      <c r="G1992" s="10" t="s">
        <v>5675</v>
      </c>
      <c r="H1992" s="10" t="s">
        <v>5676</v>
      </c>
      <c r="I1992" s="10" t="s">
        <v>169</v>
      </c>
    </row>
    <row r="1993" spans="1:9" x14ac:dyDescent="0.15">
      <c r="A1993" s="9">
        <v>1992</v>
      </c>
      <c r="B1993" s="10" t="s">
        <v>9</v>
      </c>
      <c r="C1993" s="10" t="s">
        <v>170</v>
      </c>
      <c r="D1993" s="10" t="s">
        <v>171</v>
      </c>
      <c r="E1993" s="11" t="str">
        <f>+HYPERLINK("http://trademark.i-assist.jp/data/china/image_1900th/78883478.pdf", "78883478")</f>
        <v>78883478</v>
      </c>
      <c r="F1993" s="10" t="s">
        <v>5677</v>
      </c>
      <c r="G1993" s="10" t="s">
        <v>4764</v>
      </c>
      <c r="H1993" s="10" t="s">
        <v>5678</v>
      </c>
      <c r="I1993" s="10" t="s">
        <v>169</v>
      </c>
    </row>
    <row r="1994" spans="1:9" x14ac:dyDescent="0.15">
      <c r="A1994" s="9">
        <v>1993</v>
      </c>
      <c r="B1994" s="10" t="s">
        <v>9</v>
      </c>
      <c r="C1994" s="10" t="s">
        <v>170</v>
      </c>
      <c r="D1994" s="10" t="s">
        <v>171</v>
      </c>
      <c r="E1994" s="11" t="str">
        <f>+HYPERLINK("http://trademark.i-assist.jp/data/china/image_1900th/78883523.pdf", "78883523")</f>
        <v>78883523</v>
      </c>
      <c r="F1994" s="10" t="s">
        <v>5679</v>
      </c>
      <c r="G1994" s="10" t="s">
        <v>5680</v>
      </c>
      <c r="H1994" s="10" t="s">
        <v>5681</v>
      </c>
      <c r="I1994" s="10" t="s">
        <v>169</v>
      </c>
    </row>
    <row r="1995" spans="1:9" x14ac:dyDescent="0.15">
      <c r="A1995" s="9">
        <v>1994</v>
      </c>
      <c r="B1995" s="10" t="s">
        <v>9</v>
      </c>
      <c r="C1995" s="10" t="s">
        <v>170</v>
      </c>
      <c r="D1995" s="10" t="s">
        <v>171</v>
      </c>
      <c r="E1995" s="11" t="str">
        <f>+HYPERLINK("http://trademark.i-assist.jp/data/china/image_1900th/78884125.pdf", "78884125")</f>
        <v>78884125</v>
      </c>
      <c r="F1995" s="10" t="s">
        <v>5682</v>
      </c>
      <c r="G1995" s="10" t="s">
        <v>5683</v>
      </c>
      <c r="H1995" s="10" t="s">
        <v>5684</v>
      </c>
      <c r="I1995" s="10" t="s">
        <v>169</v>
      </c>
    </row>
    <row r="1996" spans="1:9" x14ac:dyDescent="0.15">
      <c r="A1996" s="9">
        <v>1995</v>
      </c>
      <c r="B1996" s="10" t="s">
        <v>9</v>
      </c>
      <c r="C1996" s="10" t="s">
        <v>170</v>
      </c>
      <c r="D1996" s="10" t="s">
        <v>171</v>
      </c>
      <c r="E1996" s="11" t="str">
        <f>+HYPERLINK("http://trademark.i-assist.jp/data/china/image_1900th/78884212.pdf", "78884212")</f>
        <v>78884212</v>
      </c>
      <c r="F1996" s="10" t="s">
        <v>5685</v>
      </c>
      <c r="G1996" s="10" t="s">
        <v>5686</v>
      </c>
      <c r="H1996" s="10" t="s">
        <v>5687</v>
      </c>
      <c r="I1996" s="10" t="s">
        <v>169</v>
      </c>
    </row>
    <row r="1997" spans="1:9" x14ac:dyDescent="0.15">
      <c r="A1997" s="9">
        <v>1996</v>
      </c>
      <c r="B1997" s="10" t="s">
        <v>9</v>
      </c>
      <c r="C1997" s="10" t="s">
        <v>170</v>
      </c>
      <c r="D1997" s="10" t="s">
        <v>171</v>
      </c>
      <c r="E1997" s="11" t="str">
        <f>+HYPERLINK("http://trademark.i-assist.jp/data/china/image_1900th/78884273.pdf", "78884273")</f>
        <v>78884273</v>
      </c>
      <c r="F1997" s="10" t="s">
        <v>5688</v>
      </c>
      <c r="G1997" s="10" t="s">
        <v>5689</v>
      </c>
      <c r="H1997" s="10" t="s">
        <v>5690</v>
      </c>
      <c r="I1997" s="10" t="s">
        <v>169</v>
      </c>
    </row>
    <row r="1998" spans="1:9" x14ac:dyDescent="0.15">
      <c r="A1998" s="9">
        <v>1997</v>
      </c>
      <c r="B1998" s="10" t="s">
        <v>9</v>
      </c>
      <c r="C1998" s="10" t="s">
        <v>170</v>
      </c>
      <c r="D1998" s="10" t="s">
        <v>171</v>
      </c>
      <c r="E1998" s="11" t="str">
        <f>+HYPERLINK("http://trademark.i-assist.jp/data/china/image_1900th/78884563.pdf", "78884563")</f>
        <v>78884563</v>
      </c>
      <c r="F1998" s="10" t="s">
        <v>5691</v>
      </c>
      <c r="G1998" s="10" t="s">
        <v>5692</v>
      </c>
      <c r="H1998" s="10" t="s">
        <v>5693</v>
      </c>
      <c r="I1998" s="10" t="s">
        <v>169</v>
      </c>
    </row>
    <row r="1999" spans="1:9" x14ac:dyDescent="0.15">
      <c r="A1999" s="9">
        <v>1998</v>
      </c>
      <c r="B1999" s="10" t="s">
        <v>9</v>
      </c>
      <c r="C1999" s="10" t="s">
        <v>170</v>
      </c>
      <c r="D1999" s="10" t="s">
        <v>171</v>
      </c>
      <c r="E1999" s="11" t="str">
        <f>+HYPERLINK("http://trademark.i-assist.jp/data/china/image_1900th/78884633.pdf", "78884633")</f>
        <v>78884633</v>
      </c>
      <c r="F1999" s="10" t="s">
        <v>5562</v>
      </c>
      <c r="G1999" s="10" t="s">
        <v>5563</v>
      </c>
      <c r="H1999" s="10" t="s">
        <v>5694</v>
      </c>
      <c r="I1999" s="10" t="s">
        <v>169</v>
      </c>
    </row>
    <row r="2000" spans="1:9" x14ac:dyDescent="0.15">
      <c r="A2000" s="9">
        <v>1999</v>
      </c>
      <c r="B2000" s="10" t="s">
        <v>9</v>
      </c>
      <c r="C2000" s="10" t="s">
        <v>170</v>
      </c>
      <c r="D2000" s="10" t="s">
        <v>171</v>
      </c>
      <c r="E2000" s="11" t="str">
        <f>+HYPERLINK("http://trademark.i-assist.jp/data/china/image_1900th/78884673.pdf", "78884673")</f>
        <v>78884673</v>
      </c>
      <c r="F2000" s="10" t="s">
        <v>5695</v>
      </c>
      <c r="G2000" s="10" t="s">
        <v>5696</v>
      </c>
      <c r="H2000" s="10" t="s">
        <v>5697</v>
      </c>
      <c r="I2000" s="10" t="s">
        <v>169</v>
      </c>
    </row>
    <row r="2001" spans="1:9" x14ac:dyDescent="0.15">
      <c r="A2001" s="9">
        <v>2000</v>
      </c>
      <c r="B2001" s="10" t="s">
        <v>9</v>
      </c>
      <c r="C2001" s="10" t="s">
        <v>170</v>
      </c>
      <c r="D2001" s="10" t="s">
        <v>171</v>
      </c>
      <c r="E2001" s="11" t="str">
        <f>+HYPERLINK("http://trademark.i-assist.jp/data/china/image_1900th/78884700.pdf", "78884700")</f>
        <v>78884700</v>
      </c>
      <c r="F2001" s="10" t="s">
        <v>5698</v>
      </c>
      <c r="G2001" s="10" t="s">
        <v>5699</v>
      </c>
      <c r="H2001" s="10" t="s">
        <v>5700</v>
      </c>
      <c r="I2001" s="10" t="s">
        <v>169</v>
      </c>
    </row>
    <row r="2002" spans="1:9" x14ac:dyDescent="0.15">
      <c r="A2002" s="9">
        <v>2001</v>
      </c>
      <c r="B2002" s="10" t="s">
        <v>9</v>
      </c>
      <c r="C2002" s="10" t="s">
        <v>170</v>
      </c>
      <c r="D2002" s="10" t="s">
        <v>171</v>
      </c>
      <c r="E2002" s="11" t="str">
        <f>+HYPERLINK("http://trademark.i-assist.jp/data/china/image_1900th/78884799.pdf", "78884799")</f>
        <v>78884799</v>
      </c>
      <c r="F2002" s="10" t="s">
        <v>5701</v>
      </c>
      <c r="G2002" s="10" t="s">
        <v>5702</v>
      </c>
      <c r="H2002" s="10" t="s">
        <v>5703</v>
      </c>
      <c r="I2002" s="10" t="s">
        <v>169</v>
      </c>
    </row>
    <row r="2003" spans="1:9" x14ac:dyDescent="0.15">
      <c r="A2003" s="9">
        <v>2002</v>
      </c>
      <c r="B2003" s="10" t="s">
        <v>9</v>
      </c>
      <c r="C2003" s="10" t="s">
        <v>170</v>
      </c>
      <c r="D2003" s="10" t="s">
        <v>171</v>
      </c>
      <c r="E2003" s="11" t="str">
        <f>+HYPERLINK("http://trademark.i-assist.jp/data/china/image_1900th/78885163.pdf", "78885163")</f>
        <v>78885163</v>
      </c>
      <c r="F2003" s="10" t="s">
        <v>5704</v>
      </c>
      <c r="G2003" s="10" t="s">
        <v>5705</v>
      </c>
      <c r="H2003" s="10" t="s">
        <v>5706</v>
      </c>
      <c r="I2003" s="10" t="s">
        <v>169</v>
      </c>
    </row>
    <row r="2004" spans="1:9" x14ac:dyDescent="0.15">
      <c r="A2004" s="9">
        <v>2003</v>
      </c>
      <c r="B2004" s="10" t="s">
        <v>9</v>
      </c>
      <c r="C2004" s="10" t="s">
        <v>170</v>
      </c>
      <c r="D2004" s="10" t="s">
        <v>171</v>
      </c>
      <c r="E2004" s="11" t="str">
        <f>+HYPERLINK("http://trademark.i-assist.jp/data/china/image_1900th/78885237.pdf", "78885237")</f>
        <v>78885237</v>
      </c>
      <c r="F2004" s="10" t="s">
        <v>5707</v>
      </c>
      <c r="G2004" s="10" t="s">
        <v>5708</v>
      </c>
      <c r="H2004" s="10" t="s">
        <v>5709</v>
      </c>
      <c r="I2004" s="10" t="s">
        <v>169</v>
      </c>
    </row>
    <row r="2005" spans="1:9" x14ac:dyDescent="0.15">
      <c r="A2005" s="9">
        <v>2004</v>
      </c>
      <c r="B2005" s="10" t="s">
        <v>9</v>
      </c>
      <c r="C2005" s="10" t="s">
        <v>170</v>
      </c>
      <c r="D2005" s="10" t="s">
        <v>171</v>
      </c>
      <c r="E2005" s="11" t="str">
        <f>+HYPERLINK("http://trademark.i-assist.jp/data/china/image_1900th/78885451.pdf", "78885451")</f>
        <v>78885451</v>
      </c>
      <c r="F2005" s="10" t="s">
        <v>5710</v>
      </c>
      <c r="G2005" s="10" t="s">
        <v>1505</v>
      </c>
      <c r="H2005" s="10" t="s">
        <v>5711</v>
      </c>
      <c r="I2005" s="10" t="s">
        <v>169</v>
      </c>
    </row>
    <row r="2006" spans="1:9" x14ac:dyDescent="0.15">
      <c r="A2006" s="9">
        <v>2005</v>
      </c>
      <c r="B2006" s="10" t="s">
        <v>9</v>
      </c>
      <c r="C2006" s="10" t="s">
        <v>170</v>
      </c>
      <c r="D2006" s="10" t="s">
        <v>171</v>
      </c>
      <c r="E2006" s="11" t="str">
        <f>+HYPERLINK("http://trademark.i-assist.jp/data/china/image_1900th/78885462.pdf", "78885462")</f>
        <v>78885462</v>
      </c>
      <c r="F2006" s="10" t="s">
        <v>5712</v>
      </c>
      <c r="G2006" s="10" t="s">
        <v>5713</v>
      </c>
      <c r="H2006" s="10" t="s">
        <v>5714</v>
      </c>
      <c r="I2006" s="10" t="s">
        <v>169</v>
      </c>
    </row>
    <row r="2007" spans="1:9" x14ac:dyDescent="0.15">
      <c r="A2007" s="9">
        <v>2006</v>
      </c>
      <c r="B2007" s="10" t="s">
        <v>9</v>
      </c>
      <c r="C2007" s="10" t="s">
        <v>170</v>
      </c>
      <c r="D2007" s="10" t="s">
        <v>171</v>
      </c>
      <c r="E2007" s="11" t="str">
        <f>+HYPERLINK("http://trademark.i-assist.jp/data/china/image_1900th/78885574.pdf", "78885574")</f>
        <v>78885574</v>
      </c>
      <c r="F2007" s="10" t="s">
        <v>5715</v>
      </c>
      <c r="G2007" s="10" t="s">
        <v>5716</v>
      </c>
      <c r="H2007" s="10" t="s">
        <v>5717</v>
      </c>
      <c r="I2007" s="10" t="s">
        <v>169</v>
      </c>
    </row>
    <row r="2008" spans="1:9" x14ac:dyDescent="0.15">
      <c r="A2008" s="9">
        <v>2007</v>
      </c>
      <c r="B2008" s="10" t="s">
        <v>9</v>
      </c>
      <c r="C2008" s="10" t="s">
        <v>170</v>
      </c>
      <c r="D2008" s="10" t="s">
        <v>171</v>
      </c>
      <c r="E2008" s="11" t="str">
        <f>+HYPERLINK("http://trademark.i-assist.jp/data/china/image_1900th/78885802.pdf", "78885802")</f>
        <v>78885802</v>
      </c>
      <c r="F2008" s="10" t="s">
        <v>5718</v>
      </c>
      <c r="G2008" s="10" t="s">
        <v>5719</v>
      </c>
      <c r="H2008" s="10" t="s">
        <v>5720</v>
      </c>
      <c r="I2008" s="10" t="s">
        <v>169</v>
      </c>
    </row>
    <row r="2009" spans="1:9" x14ac:dyDescent="0.15">
      <c r="A2009" s="9">
        <v>2008</v>
      </c>
      <c r="B2009" s="10" t="s">
        <v>9</v>
      </c>
      <c r="C2009" s="10" t="s">
        <v>170</v>
      </c>
      <c r="D2009" s="10" t="s">
        <v>171</v>
      </c>
      <c r="E2009" s="11" t="str">
        <f>+HYPERLINK("http://trademark.i-assist.jp/data/china/image_1900th/78886059.pdf", "78886059")</f>
        <v>78886059</v>
      </c>
      <c r="F2009" s="10" t="s">
        <v>5721</v>
      </c>
      <c r="G2009" s="10" t="s">
        <v>5722</v>
      </c>
      <c r="H2009" s="10" t="s">
        <v>5723</v>
      </c>
      <c r="I2009" s="10" t="s">
        <v>169</v>
      </c>
    </row>
    <row r="2010" spans="1:9" x14ac:dyDescent="0.15">
      <c r="A2010" s="9">
        <v>2009</v>
      </c>
      <c r="B2010" s="10" t="s">
        <v>9</v>
      </c>
      <c r="C2010" s="10" t="s">
        <v>170</v>
      </c>
      <c r="D2010" s="10" t="s">
        <v>171</v>
      </c>
      <c r="E2010" s="11" t="str">
        <f>+HYPERLINK("http://trademark.i-assist.jp/data/china/image_1900th/78886558.pdf", "78886558")</f>
        <v>78886558</v>
      </c>
      <c r="F2010" s="10" t="s">
        <v>5724</v>
      </c>
      <c r="G2010" s="10" t="s">
        <v>5381</v>
      </c>
      <c r="H2010" s="10" t="s">
        <v>5725</v>
      </c>
      <c r="I2010" s="10" t="s">
        <v>169</v>
      </c>
    </row>
    <row r="2011" spans="1:9" x14ac:dyDescent="0.15">
      <c r="A2011" s="9">
        <v>2010</v>
      </c>
      <c r="B2011" s="10" t="s">
        <v>9</v>
      </c>
      <c r="C2011" s="10" t="s">
        <v>170</v>
      </c>
      <c r="D2011" s="10" t="s">
        <v>171</v>
      </c>
      <c r="E2011" s="11" t="str">
        <f>+HYPERLINK("http://trademark.i-assist.jp/data/china/image_1900th/78886895.pdf", "78886895")</f>
        <v>78886895</v>
      </c>
      <c r="F2011" s="10" t="s">
        <v>5726</v>
      </c>
      <c r="G2011" s="10" t="s">
        <v>5713</v>
      </c>
      <c r="H2011" s="10" t="s">
        <v>5727</v>
      </c>
      <c r="I2011" s="10" t="s">
        <v>169</v>
      </c>
    </row>
    <row r="2012" spans="1:9" x14ac:dyDescent="0.15">
      <c r="A2012" s="9">
        <v>2011</v>
      </c>
      <c r="B2012" s="10" t="s">
        <v>9</v>
      </c>
      <c r="C2012" s="10" t="s">
        <v>170</v>
      </c>
      <c r="D2012" s="10" t="s">
        <v>171</v>
      </c>
      <c r="E2012" s="11" t="str">
        <f>+HYPERLINK("http://trademark.i-assist.jp/data/china/image_1900th/78886929.pdf", "78886929")</f>
        <v>78886929</v>
      </c>
      <c r="F2012" s="10" t="s">
        <v>5728</v>
      </c>
      <c r="G2012" s="10" t="s">
        <v>93</v>
      </c>
      <c r="H2012" s="10" t="s">
        <v>5729</v>
      </c>
      <c r="I2012" s="10" t="s">
        <v>169</v>
      </c>
    </row>
    <row r="2013" spans="1:9" x14ac:dyDescent="0.15">
      <c r="A2013" s="9">
        <v>2012</v>
      </c>
      <c r="B2013" s="10" t="s">
        <v>9</v>
      </c>
      <c r="C2013" s="10" t="s">
        <v>170</v>
      </c>
      <c r="D2013" s="10" t="s">
        <v>171</v>
      </c>
      <c r="E2013" s="11" t="str">
        <f>+HYPERLINK("http://trademark.i-assist.jp/data/china/image_1900th/78887013.pdf", "78887013")</f>
        <v>78887013</v>
      </c>
      <c r="F2013" s="10" t="s">
        <v>5730</v>
      </c>
      <c r="G2013" s="10" t="s">
        <v>5683</v>
      </c>
      <c r="H2013" s="10" t="s">
        <v>5731</v>
      </c>
      <c r="I2013" s="10" t="s">
        <v>169</v>
      </c>
    </row>
    <row r="2014" spans="1:9" x14ac:dyDescent="0.15">
      <c r="A2014" s="9">
        <v>2013</v>
      </c>
      <c r="B2014" s="10" t="s">
        <v>9</v>
      </c>
      <c r="C2014" s="10" t="s">
        <v>170</v>
      </c>
      <c r="D2014" s="10" t="s">
        <v>171</v>
      </c>
      <c r="E2014" s="11" t="str">
        <f>+HYPERLINK("http://trademark.i-assist.jp/data/china/image_1900th/78887167.pdf", "78887167")</f>
        <v>78887167</v>
      </c>
      <c r="F2014" s="10" t="s">
        <v>5732</v>
      </c>
      <c r="G2014" s="10" t="s">
        <v>5733</v>
      </c>
      <c r="H2014" s="10" t="s">
        <v>5734</v>
      </c>
      <c r="I2014" s="10" t="s">
        <v>169</v>
      </c>
    </row>
    <row r="2015" spans="1:9" x14ac:dyDescent="0.15">
      <c r="A2015" s="9">
        <v>2014</v>
      </c>
      <c r="B2015" s="10" t="s">
        <v>9</v>
      </c>
      <c r="C2015" s="10" t="s">
        <v>170</v>
      </c>
      <c r="D2015" s="10" t="s">
        <v>171</v>
      </c>
      <c r="E2015" s="11" t="str">
        <f>+HYPERLINK("http://trademark.i-assist.jp/data/china/image_1900th/78887514.pdf", "78887514")</f>
        <v>78887514</v>
      </c>
      <c r="F2015" s="10" t="s">
        <v>5735</v>
      </c>
      <c r="G2015" s="10" t="s">
        <v>5736</v>
      </c>
      <c r="H2015" s="10" t="s">
        <v>5737</v>
      </c>
      <c r="I2015" s="10" t="s">
        <v>169</v>
      </c>
    </row>
    <row r="2016" spans="1:9" x14ac:dyDescent="0.15">
      <c r="A2016" s="9">
        <v>2015</v>
      </c>
      <c r="B2016" s="10" t="s">
        <v>9</v>
      </c>
      <c r="C2016" s="10" t="s">
        <v>170</v>
      </c>
      <c r="D2016" s="10" t="s">
        <v>171</v>
      </c>
      <c r="E2016" s="11" t="str">
        <f>+HYPERLINK("http://trademark.i-assist.jp/data/china/image_1900th/78887837.pdf", "78887837")</f>
        <v>78887837</v>
      </c>
      <c r="F2016" s="10" t="s">
        <v>5738</v>
      </c>
      <c r="G2016" s="10" t="s">
        <v>5349</v>
      </c>
      <c r="H2016" s="10" t="s">
        <v>5739</v>
      </c>
      <c r="I2016" s="10" t="s">
        <v>169</v>
      </c>
    </row>
    <row r="2017" spans="1:9" x14ac:dyDescent="0.15">
      <c r="A2017" s="9">
        <v>2016</v>
      </c>
      <c r="B2017" s="10" t="s">
        <v>9</v>
      </c>
      <c r="C2017" s="10" t="s">
        <v>170</v>
      </c>
      <c r="D2017" s="10" t="s">
        <v>171</v>
      </c>
      <c r="E2017" s="11" t="str">
        <f>+HYPERLINK("http://trademark.i-assist.jp/data/china/image_1900th/78888029.pdf", "78888029")</f>
        <v>78888029</v>
      </c>
      <c r="F2017" s="10" t="s">
        <v>5740</v>
      </c>
      <c r="G2017" s="10" t="s">
        <v>5420</v>
      </c>
      <c r="H2017" s="10" t="s">
        <v>5741</v>
      </c>
      <c r="I2017" s="10" t="s">
        <v>169</v>
      </c>
    </row>
    <row r="2018" spans="1:9" x14ac:dyDescent="0.15">
      <c r="A2018" s="9">
        <v>2017</v>
      </c>
      <c r="B2018" s="10" t="s">
        <v>9</v>
      </c>
      <c r="C2018" s="10" t="s">
        <v>170</v>
      </c>
      <c r="D2018" s="10" t="s">
        <v>171</v>
      </c>
      <c r="E2018" s="11" t="str">
        <f>+HYPERLINK("http://trademark.i-assist.jp/data/china/image_1900th/78888210.pdf", "78888210")</f>
        <v>78888210</v>
      </c>
      <c r="F2018" s="10" t="s">
        <v>5742</v>
      </c>
      <c r="G2018" s="10" t="s">
        <v>5743</v>
      </c>
      <c r="H2018" s="10" t="s">
        <v>5744</v>
      </c>
      <c r="I2018" s="10" t="s">
        <v>169</v>
      </c>
    </row>
    <row r="2019" spans="1:9" x14ac:dyDescent="0.15">
      <c r="A2019" s="9">
        <v>2018</v>
      </c>
      <c r="B2019" s="10" t="s">
        <v>9</v>
      </c>
      <c r="C2019" s="10" t="s">
        <v>170</v>
      </c>
      <c r="D2019" s="10" t="s">
        <v>171</v>
      </c>
      <c r="E2019" s="11" t="str">
        <f>+HYPERLINK("http://trademark.i-assist.jp/data/china/image_1900th/78888341.pdf", "78888341")</f>
        <v>78888341</v>
      </c>
      <c r="F2019" s="10" t="s">
        <v>5745</v>
      </c>
      <c r="G2019" s="10" t="s">
        <v>5746</v>
      </c>
      <c r="H2019" s="10" t="s">
        <v>5747</v>
      </c>
      <c r="I2019" s="10" t="s">
        <v>169</v>
      </c>
    </row>
    <row r="2020" spans="1:9" x14ac:dyDescent="0.15">
      <c r="A2020" s="9">
        <v>2019</v>
      </c>
      <c r="B2020" s="10" t="s">
        <v>9</v>
      </c>
      <c r="C2020" s="10" t="s">
        <v>170</v>
      </c>
      <c r="D2020" s="10" t="s">
        <v>171</v>
      </c>
      <c r="E2020" s="11" t="str">
        <f>+HYPERLINK("http://trademark.i-assist.jp/data/china/image_1900th/78888407.pdf", "78888407")</f>
        <v>78888407</v>
      </c>
      <c r="F2020" s="10" t="s">
        <v>5748</v>
      </c>
      <c r="G2020" s="10" t="s">
        <v>5630</v>
      </c>
      <c r="H2020" s="10" t="s">
        <v>5749</v>
      </c>
      <c r="I2020" s="10" t="s">
        <v>169</v>
      </c>
    </row>
    <row r="2021" spans="1:9" x14ac:dyDescent="0.15">
      <c r="A2021" s="9">
        <v>2020</v>
      </c>
      <c r="B2021" s="10" t="s">
        <v>9</v>
      </c>
      <c r="C2021" s="10" t="s">
        <v>170</v>
      </c>
      <c r="D2021" s="10" t="s">
        <v>171</v>
      </c>
      <c r="E2021" s="11" t="str">
        <f>+HYPERLINK("http://trademark.i-assist.jp/data/china/image_1900th/78888424.pdf", "78888424")</f>
        <v>78888424</v>
      </c>
      <c r="F2021" s="10" t="s">
        <v>5750</v>
      </c>
      <c r="G2021" s="10" t="s">
        <v>5751</v>
      </c>
      <c r="H2021" s="10" t="s">
        <v>5752</v>
      </c>
      <c r="I2021" s="10" t="s">
        <v>169</v>
      </c>
    </row>
    <row r="2022" spans="1:9" x14ac:dyDescent="0.15">
      <c r="A2022" s="9">
        <v>2021</v>
      </c>
      <c r="B2022" s="10" t="s">
        <v>9</v>
      </c>
      <c r="C2022" s="10" t="s">
        <v>170</v>
      </c>
      <c r="D2022" s="10" t="s">
        <v>171</v>
      </c>
      <c r="E2022" s="11" t="str">
        <f>+HYPERLINK("http://trademark.i-assist.jp/data/china/image_1900th/78888429.pdf", "78888429")</f>
        <v>78888429</v>
      </c>
      <c r="F2022" s="10" t="s">
        <v>5753</v>
      </c>
      <c r="G2022" s="10" t="s">
        <v>5660</v>
      </c>
      <c r="H2022" s="10" t="s">
        <v>5754</v>
      </c>
      <c r="I2022" s="10" t="s">
        <v>169</v>
      </c>
    </row>
    <row r="2023" spans="1:9" x14ac:dyDescent="0.15">
      <c r="A2023" s="9">
        <v>2022</v>
      </c>
      <c r="B2023" s="10" t="s">
        <v>9</v>
      </c>
      <c r="C2023" s="10" t="s">
        <v>170</v>
      </c>
      <c r="D2023" s="10" t="s">
        <v>171</v>
      </c>
      <c r="E2023" s="11" t="str">
        <f>+HYPERLINK("http://trademark.i-assist.jp/data/china/image_1900th/78888900.pdf", "78888900")</f>
        <v>78888900</v>
      </c>
      <c r="F2023" s="10" t="s">
        <v>5755</v>
      </c>
      <c r="G2023" s="10" t="s">
        <v>5378</v>
      </c>
      <c r="H2023" s="10" t="s">
        <v>5756</v>
      </c>
      <c r="I2023" s="10" t="s">
        <v>169</v>
      </c>
    </row>
    <row r="2024" spans="1:9" x14ac:dyDescent="0.15">
      <c r="A2024" s="9">
        <v>2023</v>
      </c>
      <c r="B2024" s="10" t="s">
        <v>9</v>
      </c>
      <c r="C2024" s="10" t="s">
        <v>170</v>
      </c>
      <c r="D2024" s="10" t="s">
        <v>171</v>
      </c>
      <c r="E2024" s="11" t="str">
        <f>+HYPERLINK("http://trademark.i-assist.jp/data/china/image_1900th/78889397.pdf", "78889397")</f>
        <v>78889397</v>
      </c>
      <c r="F2024" s="10" t="s">
        <v>5757</v>
      </c>
      <c r="G2024" s="10" t="s">
        <v>5758</v>
      </c>
      <c r="H2024" s="10" t="s">
        <v>5759</v>
      </c>
      <c r="I2024" s="10" t="s">
        <v>169</v>
      </c>
    </row>
    <row r="2025" spans="1:9" x14ac:dyDescent="0.15">
      <c r="A2025" s="9">
        <v>2024</v>
      </c>
      <c r="B2025" s="10" t="s">
        <v>9</v>
      </c>
      <c r="C2025" s="10" t="s">
        <v>170</v>
      </c>
      <c r="D2025" s="10" t="s">
        <v>171</v>
      </c>
      <c r="E2025" s="11" t="str">
        <f>+HYPERLINK("http://trademark.i-assist.jp/data/china/image_1900th/78889463.pdf", "78889463")</f>
        <v>78889463</v>
      </c>
      <c r="F2025" s="10" t="s">
        <v>5760</v>
      </c>
      <c r="G2025" s="10" t="s">
        <v>5761</v>
      </c>
      <c r="H2025" s="10" t="s">
        <v>5762</v>
      </c>
      <c r="I2025" s="10" t="s">
        <v>169</v>
      </c>
    </row>
    <row r="2026" spans="1:9" x14ac:dyDescent="0.15">
      <c r="A2026" s="9">
        <v>2025</v>
      </c>
      <c r="B2026" s="10" t="s">
        <v>9</v>
      </c>
      <c r="C2026" s="10" t="s">
        <v>170</v>
      </c>
      <c r="D2026" s="10" t="s">
        <v>171</v>
      </c>
      <c r="E2026" s="11" t="str">
        <f>+HYPERLINK("http://trademark.i-assist.jp/data/china/image_1900th/78889879.pdf", "78889879")</f>
        <v>78889879</v>
      </c>
      <c r="F2026" s="10" t="s">
        <v>5763</v>
      </c>
      <c r="G2026" s="10" t="s">
        <v>5764</v>
      </c>
      <c r="H2026" s="10" t="s">
        <v>5765</v>
      </c>
      <c r="I2026" s="10" t="s">
        <v>169</v>
      </c>
    </row>
    <row r="2027" spans="1:9" x14ac:dyDescent="0.15">
      <c r="A2027" s="9">
        <v>2026</v>
      </c>
      <c r="B2027" s="10" t="s">
        <v>9</v>
      </c>
      <c r="C2027" s="10" t="s">
        <v>170</v>
      </c>
      <c r="D2027" s="10" t="s">
        <v>171</v>
      </c>
      <c r="E2027" s="11" t="str">
        <f>+HYPERLINK("http://trademark.i-assist.jp/data/china/image_1900th/78889894.pdf", "78889894")</f>
        <v>78889894</v>
      </c>
      <c r="F2027" s="10" t="s">
        <v>5766</v>
      </c>
      <c r="G2027" s="10" t="s">
        <v>5375</v>
      </c>
      <c r="H2027" s="10" t="s">
        <v>5767</v>
      </c>
      <c r="I2027" s="10" t="s">
        <v>169</v>
      </c>
    </row>
    <row r="2028" spans="1:9" x14ac:dyDescent="0.15">
      <c r="A2028" s="9">
        <v>2027</v>
      </c>
      <c r="B2028" s="10" t="s">
        <v>9</v>
      </c>
      <c r="C2028" s="10" t="s">
        <v>170</v>
      </c>
      <c r="D2028" s="10" t="s">
        <v>171</v>
      </c>
      <c r="E2028" s="11" t="str">
        <f>+HYPERLINK("http://trademark.i-assist.jp/data/china/image_1900th/78889951.pdf", "78889951")</f>
        <v>78889951</v>
      </c>
      <c r="F2028" s="10" t="s">
        <v>5768</v>
      </c>
      <c r="G2028" s="10" t="s">
        <v>5769</v>
      </c>
      <c r="H2028" s="10" t="s">
        <v>5770</v>
      </c>
      <c r="I2028" s="10" t="s">
        <v>169</v>
      </c>
    </row>
    <row r="2029" spans="1:9" x14ac:dyDescent="0.15">
      <c r="A2029" s="9">
        <v>2028</v>
      </c>
      <c r="B2029" s="10" t="s">
        <v>9</v>
      </c>
      <c r="C2029" s="10" t="s">
        <v>170</v>
      </c>
      <c r="D2029" s="10" t="s">
        <v>171</v>
      </c>
      <c r="E2029" s="11" t="str">
        <f>+HYPERLINK("http://trademark.i-assist.jp/data/china/image_1900th/78890078.pdf", "78890078")</f>
        <v>78890078</v>
      </c>
      <c r="F2029" s="10" t="s">
        <v>5771</v>
      </c>
      <c r="G2029" s="10" t="s">
        <v>5772</v>
      </c>
      <c r="H2029" s="10" t="s">
        <v>5773</v>
      </c>
      <c r="I2029" s="10" t="s">
        <v>169</v>
      </c>
    </row>
    <row r="2030" spans="1:9" x14ac:dyDescent="0.15">
      <c r="A2030" s="9">
        <v>2029</v>
      </c>
      <c r="B2030" s="10" t="s">
        <v>9</v>
      </c>
      <c r="C2030" s="10" t="s">
        <v>170</v>
      </c>
      <c r="D2030" s="10" t="s">
        <v>171</v>
      </c>
      <c r="E2030" s="11" t="str">
        <f>+HYPERLINK("http://trademark.i-assist.jp/data/china/image_1900th/78890144.pdf", "78890144")</f>
        <v>78890144</v>
      </c>
      <c r="F2030" s="10" t="s">
        <v>5774</v>
      </c>
      <c r="G2030" s="10" t="s">
        <v>5775</v>
      </c>
      <c r="H2030" s="10" t="s">
        <v>5776</v>
      </c>
      <c r="I2030" s="10" t="s">
        <v>169</v>
      </c>
    </row>
    <row r="2031" spans="1:9" x14ac:dyDescent="0.15">
      <c r="A2031" s="9">
        <v>2030</v>
      </c>
      <c r="B2031" s="10" t="s">
        <v>9</v>
      </c>
      <c r="C2031" s="10" t="s">
        <v>170</v>
      </c>
      <c r="D2031" s="10" t="s">
        <v>171</v>
      </c>
      <c r="E2031" s="11" t="str">
        <f>+HYPERLINK("http://trademark.i-assist.jp/data/china/image_1900th/78890150.pdf", "78890150")</f>
        <v>78890150</v>
      </c>
      <c r="F2031" s="10" t="s">
        <v>5777</v>
      </c>
      <c r="G2031" s="10" t="s">
        <v>5778</v>
      </c>
      <c r="H2031" s="10" t="s">
        <v>5779</v>
      </c>
      <c r="I2031" s="10" t="s">
        <v>169</v>
      </c>
    </row>
    <row r="2032" spans="1:9" x14ac:dyDescent="0.15">
      <c r="A2032" s="9">
        <v>2031</v>
      </c>
      <c r="B2032" s="10" t="s">
        <v>9</v>
      </c>
      <c r="C2032" s="10" t="s">
        <v>170</v>
      </c>
      <c r="D2032" s="10" t="s">
        <v>171</v>
      </c>
      <c r="E2032" s="11" t="str">
        <f>+HYPERLINK("http://trademark.i-assist.jp/data/china/image_1900th/78890301.pdf", "78890301")</f>
        <v>78890301</v>
      </c>
      <c r="F2032" s="10" t="s">
        <v>5780</v>
      </c>
      <c r="G2032" s="10" t="s">
        <v>5781</v>
      </c>
      <c r="H2032" s="10" t="s">
        <v>5782</v>
      </c>
      <c r="I2032" s="10" t="s">
        <v>169</v>
      </c>
    </row>
    <row r="2033" spans="1:9" x14ac:dyDescent="0.15">
      <c r="A2033" s="9">
        <v>2032</v>
      </c>
      <c r="B2033" s="10" t="s">
        <v>9</v>
      </c>
      <c r="C2033" s="10" t="s">
        <v>170</v>
      </c>
      <c r="D2033" s="10" t="s">
        <v>171</v>
      </c>
      <c r="E2033" s="11" t="str">
        <f>+HYPERLINK("http://trademark.i-assist.jp/data/china/image_1900th/78890342.pdf", "78890342")</f>
        <v>78890342</v>
      </c>
      <c r="F2033" s="10" t="s">
        <v>5783</v>
      </c>
      <c r="G2033" s="10" t="s">
        <v>5784</v>
      </c>
      <c r="H2033" s="10" t="s">
        <v>5785</v>
      </c>
      <c r="I2033" s="10" t="s">
        <v>169</v>
      </c>
    </row>
    <row r="2034" spans="1:9" x14ac:dyDescent="0.15">
      <c r="A2034" s="9">
        <v>2033</v>
      </c>
      <c r="B2034" s="10" t="s">
        <v>9</v>
      </c>
      <c r="C2034" s="10" t="s">
        <v>170</v>
      </c>
      <c r="D2034" s="10" t="s">
        <v>171</v>
      </c>
      <c r="E2034" s="11" t="str">
        <f>+HYPERLINK("http://trademark.i-assist.jp/data/china/image_1900th/78890600.pdf", "78890600")</f>
        <v>78890600</v>
      </c>
      <c r="F2034" s="10" t="s">
        <v>5786</v>
      </c>
      <c r="G2034" s="10" t="s">
        <v>4152</v>
      </c>
      <c r="H2034" s="10" t="s">
        <v>5787</v>
      </c>
      <c r="I2034" s="10" t="s">
        <v>169</v>
      </c>
    </row>
    <row r="2035" spans="1:9" x14ac:dyDescent="0.15">
      <c r="A2035" s="9">
        <v>2034</v>
      </c>
      <c r="B2035" s="10" t="s">
        <v>9</v>
      </c>
      <c r="C2035" s="10" t="s">
        <v>170</v>
      </c>
      <c r="D2035" s="10" t="s">
        <v>171</v>
      </c>
      <c r="E2035" s="11" t="str">
        <f>+HYPERLINK("http://trademark.i-assist.jp/data/china/image_1900th/78890689.pdf", "78890689")</f>
        <v>78890689</v>
      </c>
      <c r="F2035" s="10" t="s">
        <v>5788</v>
      </c>
      <c r="G2035" s="10" t="s">
        <v>5789</v>
      </c>
      <c r="H2035" s="10" t="s">
        <v>5790</v>
      </c>
      <c r="I2035" s="10" t="s">
        <v>169</v>
      </c>
    </row>
    <row r="2036" spans="1:9" x14ac:dyDescent="0.15">
      <c r="A2036" s="9">
        <v>2035</v>
      </c>
      <c r="B2036" s="10" t="s">
        <v>9</v>
      </c>
      <c r="C2036" s="10" t="s">
        <v>170</v>
      </c>
      <c r="D2036" s="10" t="s">
        <v>171</v>
      </c>
      <c r="E2036" s="11" t="str">
        <f>+HYPERLINK("http://trademark.i-assist.jp/data/china/image_1900th/78890736.pdf", "78890736")</f>
        <v>78890736</v>
      </c>
      <c r="F2036" s="10" t="s">
        <v>5791</v>
      </c>
      <c r="G2036" s="10" t="s">
        <v>5551</v>
      </c>
      <c r="H2036" s="10" t="s">
        <v>5792</v>
      </c>
      <c r="I2036" s="10" t="s">
        <v>169</v>
      </c>
    </row>
    <row r="2037" spans="1:9" x14ac:dyDescent="0.15">
      <c r="A2037" s="9">
        <v>2036</v>
      </c>
      <c r="B2037" s="10" t="s">
        <v>9</v>
      </c>
      <c r="C2037" s="10" t="s">
        <v>170</v>
      </c>
      <c r="D2037" s="10" t="s">
        <v>171</v>
      </c>
      <c r="E2037" s="11" t="str">
        <f>+HYPERLINK("http://trademark.i-assist.jp/data/china/image_1900th/78890835.pdf", "78890835")</f>
        <v>78890835</v>
      </c>
      <c r="F2037" s="10" t="s">
        <v>5793</v>
      </c>
      <c r="G2037" s="10" t="s">
        <v>5794</v>
      </c>
      <c r="H2037" s="10" t="s">
        <v>5795</v>
      </c>
      <c r="I2037" s="10" t="s">
        <v>169</v>
      </c>
    </row>
    <row r="2038" spans="1:9" x14ac:dyDescent="0.15">
      <c r="A2038" s="9">
        <v>2037</v>
      </c>
      <c r="B2038" s="10" t="s">
        <v>9</v>
      </c>
      <c r="C2038" s="10" t="s">
        <v>170</v>
      </c>
      <c r="D2038" s="10" t="s">
        <v>171</v>
      </c>
      <c r="E2038" s="11" t="str">
        <f>+HYPERLINK("http://trademark.i-assist.jp/data/china/image_1900th/78890843.pdf", "78890843")</f>
        <v>78890843</v>
      </c>
      <c r="F2038" s="10" t="s">
        <v>5796</v>
      </c>
      <c r="G2038" s="10" t="s">
        <v>5689</v>
      </c>
      <c r="H2038" s="10" t="s">
        <v>5797</v>
      </c>
      <c r="I2038" s="10" t="s">
        <v>169</v>
      </c>
    </row>
    <row r="2039" spans="1:9" x14ac:dyDescent="0.15">
      <c r="A2039" s="9">
        <v>2038</v>
      </c>
      <c r="B2039" s="10" t="s">
        <v>9</v>
      </c>
      <c r="C2039" s="10" t="s">
        <v>170</v>
      </c>
      <c r="D2039" s="10" t="s">
        <v>171</v>
      </c>
      <c r="E2039" s="11" t="str">
        <f>+HYPERLINK("http://trademark.i-assist.jp/data/china/image_1900th/78890934.pdf", "78890934")</f>
        <v>78890934</v>
      </c>
      <c r="F2039" s="10" t="s">
        <v>5798</v>
      </c>
      <c r="G2039" s="10" t="s">
        <v>5466</v>
      </c>
      <c r="H2039" s="10" t="s">
        <v>5799</v>
      </c>
      <c r="I2039" s="10" t="s">
        <v>169</v>
      </c>
    </row>
    <row r="2040" spans="1:9" x14ac:dyDescent="0.15">
      <c r="A2040" s="9">
        <v>2039</v>
      </c>
      <c r="B2040" s="10" t="s">
        <v>9</v>
      </c>
      <c r="C2040" s="10" t="s">
        <v>170</v>
      </c>
      <c r="D2040" s="10" t="s">
        <v>171</v>
      </c>
      <c r="E2040" s="11" t="str">
        <f>+HYPERLINK("http://trademark.i-assist.jp/data/china/image_1900th/78890962.pdf", "78890962")</f>
        <v>78890962</v>
      </c>
      <c r="F2040" s="10" t="s">
        <v>5800</v>
      </c>
      <c r="G2040" s="10" t="s">
        <v>5801</v>
      </c>
      <c r="H2040" s="10" t="s">
        <v>5802</v>
      </c>
      <c r="I2040" s="10" t="s">
        <v>169</v>
      </c>
    </row>
    <row r="2041" spans="1:9" x14ac:dyDescent="0.15">
      <c r="A2041" s="9">
        <v>2040</v>
      </c>
      <c r="B2041" s="10" t="s">
        <v>9</v>
      </c>
      <c r="C2041" s="10" t="s">
        <v>170</v>
      </c>
      <c r="D2041" s="10" t="s">
        <v>171</v>
      </c>
      <c r="E2041" s="11" t="str">
        <f>+HYPERLINK("http://trademark.i-assist.jp/data/china/image_1900th/78890993.pdf", "78890993")</f>
        <v>78890993</v>
      </c>
      <c r="F2041" s="10" t="s">
        <v>5803</v>
      </c>
      <c r="G2041" s="10" t="s">
        <v>5804</v>
      </c>
      <c r="H2041" s="10" t="s">
        <v>5805</v>
      </c>
      <c r="I2041" s="10" t="s">
        <v>169</v>
      </c>
    </row>
    <row r="2042" spans="1:9" x14ac:dyDescent="0.15">
      <c r="A2042" s="9">
        <v>2041</v>
      </c>
      <c r="B2042" s="10" t="s">
        <v>9</v>
      </c>
      <c r="C2042" s="10" t="s">
        <v>170</v>
      </c>
      <c r="D2042" s="10" t="s">
        <v>171</v>
      </c>
      <c r="E2042" s="11" t="str">
        <f>+HYPERLINK("http://trademark.i-assist.jp/data/china/image_1900th/78891561.pdf", "78891561")</f>
        <v>78891561</v>
      </c>
      <c r="F2042" s="10" t="s">
        <v>5806</v>
      </c>
      <c r="G2042" s="10" t="s">
        <v>5689</v>
      </c>
      <c r="H2042" s="10" t="s">
        <v>5807</v>
      </c>
      <c r="I2042" s="10" t="s">
        <v>169</v>
      </c>
    </row>
    <row r="2043" spans="1:9" x14ac:dyDescent="0.15">
      <c r="A2043" s="9">
        <v>2042</v>
      </c>
      <c r="B2043" s="10" t="s">
        <v>9</v>
      </c>
      <c r="C2043" s="10" t="s">
        <v>170</v>
      </c>
      <c r="D2043" s="10" t="s">
        <v>171</v>
      </c>
      <c r="E2043" s="11" t="str">
        <f>+HYPERLINK("http://trademark.i-assist.jp/data/china/image_1900th/78891653.pdf", "78891653")</f>
        <v>78891653</v>
      </c>
      <c r="F2043" s="10" t="s">
        <v>5808</v>
      </c>
      <c r="G2043" s="10" t="s">
        <v>5809</v>
      </c>
      <c r="H2043" s="10" t="s">
        <v>5810</v>
      </c>
      <c r="I2043" s="10" t="s">
        <v>169</v>
      </c>
    </row>
    <row r="2044" spans="1:9" x14ac:dyDescent="0.15">
      <c r="A2044" s="9">
        <v>2043</v>
      </c>
      <c r="B2044" s="10" t="s">
        <v>9</v>
      </c>
      <c r="C2044" s="10" t="s">
        <v>170</v>
      </c>
      <c r="D2044" s="10" t="s">
        <v>171</v>
      </c>
      <c r="E2044" s="11" t="str">
        <f>+HYPERLINK("http://trademark.i-assist.jp/data/china/image_1900th/78891725.pdf", "78891725")</f>
        <v>78891725</v>
      </c>
      <c r="F2044" s="10" t="s">
        <v>5811</v>
      </c>
      <c r="G2044" s="10" t="s">
        <v>5812</v>
      </c>
      <c r="H2044" s="10" t="s">
        <v>5813</v>
      </c>
      <c r="I2044" s="10" t="s">
        <v>169</v>
      </c>
    </row>
    <row r="2045" spans="1:9" x14ac:dyDescent="0.15">
      <c r="A2045" s="9">
        <v>2044</v>
      </c>
      <c r="B2045" s="10" t="s">
        <v>9</v>
      </c>
      <c r="C2045" s="10" t="s">
        <v>170</v>
      </c>
      <c r="D2045" s="10" t="s">
        <v>171</v>
      </c>
      <c r="E2045" s="11" t="str">
        <f>+HYPERLINK("http://trademark.i-assist.jp/data/china/image_1900th/78891914.pdf", "78891914")</f>
        <v>78891914</v>
      </c>
      <c r="F2045" s="10" t="s">
        <v>5814</v>
      </c>
      <c r="G2045" s="10" t="s">
        <v>5815</v>
      </c>
      <c r="H2045" s="10" t="s">
        <v>5816</v>
      </c>
      <c r="I2045" s="10" t="s">
        <v>169</v>
      </c>
    </row>
    <row r="2046" spans="1:9" x14ac:dyDescent="0.15">
      <c r="A2046" s="9">
        <v>2045</v>
      </c>
      <c r="B2046" s="10" t="s">
        <v>9</v>
      </c>
      <c r="C2046" s="10" t="s">
        <v>170</v>
      </c>
      <c r="D2046" s="10" t="s">
        <v>171</v>
      </c>
      <c r="E2046" s="11" t="str">
        <f>+HYPERLINK("http://trademark.i-assist.jp/data/china/image_1900th/78892000.pdf", "78892000")</f>
        <v>78892000</v>
      </c>
      <c r="F2046" s="10" t="s">
        <v>5817</v>
      </c>
      <c r="G2046" s="10" t="s">
        <v>5818</v>
      </c>
      <c r="H2046" s="10" t="s">
        <v>5819</v>
      </c>
      <c r="I2046" s="10" t="s">
        <v>169</v>
      </c>
    </row>
    <row r="2047" spans="1:9" x14ac:dyDescent="0.15">
      <c r="A2047" s="9">
        <v>2046</v>
      </c>
      <c r="B2047" s="10" t="s">
        <v>9</v>
      </c>
      <c r="C2047" s="10" t="s">
        <v>170</v>
      </c>
      <c r="D2047" s="10" t="s">
        <v>171</v>
      </c>
      <c r="E2047" s="11" t="str">
        <f>+HYPERLINK("http://trademark.i-assist.jp/data/china/image_1900th/78892095.pdf", "78892095")</f>
        <v>78892095</v>
      </c>
      <c r="F2047" s="10" t="s">
        <v>5820</v>
      </c>
      <c r="G2047" s="10" t="s">
        <v>5821</v>
      </c>
      <c r="H2047" s="10" t="s">
        <v>5822</v>
      </c>
      <c r="I2047" s="10" t="s">
        <v>169</v>
      </c>
    </row>
    <row r="2048" spans="1:9" x14ac:dyDescent="0.15">
      <c r="A2048" s="9">
        <v>2047</v>
      </c>
      <c r="B2048" s="10" t="s">
        <v>9</v>
      </c>
      <c r="C2048" s="10" t="s">
        <v>170</v>
      </c>
      <c r="D2048" s="10" t="s">
        <v>171</v>
      </c>
      <c r="E2048" s="11" t="str">
        <f>+HYPERLINK("http://trademark.i-assist.jp/data/china/image_1900th/78892195.pdf", "78892195")</f>
        <v>78892195</v>
      </c>
      <c r="F2048" s="10" t="s">
        <v>5823</v>
      </c>
      <c r="G2048" s="10" t="s">
        <v>5824</v>
      </c>
      <c r="H2048" s="10" t="s">
        <v>5825</v>
      </c>
      <c r="I2048" s="10" t="s">
        <v>169</v>
      </c>
    </row>
    <row r="2049" spans="1:9" x14ac:dyDescent="0.15">
      <c r="A2049" s="9">
        <v>2048</v>
      </c>
      <c r="B2049" s="10" t="s">
        <v>9</v>
      </c>
      <c r="C2049" s="10" t="s">
        <v>170</v>
      </c>
      <c r="D2049" s="10" t="s">
        <v>171</v>
      </c>
      <c r="E2049" s="11" t="str">
        <f>+HYPERLINK("http://trademark.i-assist.jp/data/china/image_1900th/78892210.pdf", "78892210")</f>
        <v>78892210</v>
      </c>
      <c r="F2049" s="10" t="s">
        <v>5826</v>
      </c>
      <c r="G2049" s="10" t="s">
        <v>5827</v>
      </c>
      <c r="H2049" s="10" t="s">
        <v>5828</v>
      </c>
      <c r="I2049" s="10" t="s">
        <v>169</v>
      </c>
    </row>
    <row r="2050" spans="1:9" x14ac:dyDescent="0.15">
      <c r="A2050" s="9">
        <v>2049</v>
      </c>
      <c r="B2050" s="10" t="s">
        <v>9</v>
      </c>
      <c r="C2050" s="10" t="s">
        <v>170</v>
      </c>
      <c r="D2050" s="10" t="s">
        <v>171</v>
      </c>
      <c r="E2050" s="11" t="str">
        <f>+HYPERLINK("http://trademark.i-assist.jp/data/china/image_1900th/78892337.pdf", "78892337")</f>
        <v>78892337</v>
      </c>
      <c r="F2050" s="10" t="s">
        <v>5829</v>
      </c>
      <c r="G2050" s="10" t="s">
        <v>5830</v>
      </c>
      <c r="H2050" s="10" t="s">
        <v>5831</v>
      </c>
      <c r="I2050" s="10" t="s">
        <v>169</v>
      </c>
    </row>
    <row r="2051" spans="1:9" x14ac:dyDescent="0.15">
      <c r="A2051" s="9">
        <v>2050</v>
      </c>
      <c r="B2051" s="10" t="s">
        <v>9</v>
      </c>
      <c r="C2051" s="10" t="s">
        <v>170</v>
      </c>
      <c r="D2051" s="10" t="s">
        <v>171</v>
      </c>
      <c r="E2051" s="11" t="str">
        <f>+HYPERLINK("http://trademark.i-assist.jp/data/china/image_1900th/78892374.pdf", "78892374")</f>
        <v>78892374</v>
      </c>
      <c r="F2051" s="10" t="s">
        <v>5832</v>
      </c>
      <c r="G2051" s="10" t="s">
        <v>5833</v>
      </c>
      <c r="H2051" s="10" t="s">
        <v>5834</v>
      </c>
      <c r="I2051" s="10" t="s">
        <v>169</v>
      </c>
    </row>
    <row r="2052" spans="1:9" x14ac:dyDescent="0.15">
      <c r="A2052" s="9">
        <v>2051</v>
      </c>
      <c r="B2052" s="10" t="s">
        <v>9</v>
      </c>
      <c r="C2052" s="10" t="s">
        <v>170</v>
      </c>
      <c r="D2052" s="10" t="s">
        <v>171</v>
      </c>
      <c r="E2052" s="11" t="str">
        <f>+HYPERLINK("http://trademark.i-assist.jp/data/china/image_1900th/78892660.pdf", "78892660")</f>
        <v>78892660</v>
      </c>
      <c r="F2052" s="10" t="s">
        <v>5835</v>
      </c>
      <c r="G2052" s="10" t="s">
        <v>5836</v>
      </c>
      <c r="H2052" s="10" t="s">
        <v>5837</v>
      </c>
      <c r="I2052" s="10" t="s">
        <v>5838</v>
      </c>
    </row>
    <row r="2053" spans="1:9" x14ac:dyDescent="0.15">
      <c r="A2053" s="9">
        <v>2052</v>
      </c>
      <c r="B2053" s="10" t="s">
        <v>9</v>
      </c>
      <c r="C2053" s="10" t="s">
        <v>170</v>
      </c>
      <c r="D2053" s="10" t="s">
        <v>171</v>
      </c>
      <c r="E2053" s="11" t="str">
        <f>+HYPERLINK("http://trademark.i-assist.jp/data/china/image_1900th/78892661.pdf", "78892661")</f>
        <v>78892661</v>
      </c>
      <c r="F2053" s="10" t="s">
        <v>5839</v>
      </c>
      <c r="G2053" s="10" t="s">
        <v>5840</v>
      </c>
      <c r="H2053" s="10" t="s">
        <v>5841</v>
      </c>
      <c r="I2053" s="10" t="s">
        <v>5838</v>
      </c>
    </row>
    <row r="2054" spans="1:9" x14ac:dyDescent="0.15">
      <c r="A2054" s="9">
        <v>2053</v>
      </c>
      <c r="B2054" s="10" t="s">
        <v>9</v>
      </c>
      <c r="C2054" s="10" t="s">
        <v>170</v>
      </c>
      <c r="D2054" s="10" t="s">
        <v>171</v>
      </c>
      <c r="E2054" s="11" t="str">
        <f>+HYPERLINK("http://trademark.i-assist.jp/data/china/image_1900th/78892677.pdf", "78892677")</f>
        <v>78892677</v>
      </c>
      <c r="F2054" s="10" t="s">
        <v>5842</v>
      </c>
      <c r="G2054" s="10" t="s">
        <v>5843</v>
      </c>
      <c r="H2054" s="10" t="s">
        <v>5844</v>
      </c>
      <c r="I2054" s="10" t="s">
        <v>5838</v>
      </c>
    </row>
    <row r="2055" spans="1:9" x14ac:dyDescent="0.15">
      <c r="A2055" s="9">
        <v>2054</v>
      </c>
      <c r="B2055" s="10" t="s">
        <v>9</v>
      </c>
      <c r="C2055" s="10" t="s">
        <v>170</v>
      </c>
      <c r="D2055" s="10" t="s">
        <v>171</v>
      </c>
      <c r="E2055" s="11" t="str">
        <f>+HYPERLINK("http://trademark.i-assist.jp/data/china/image_1900th/78892793.pdf", "78892793")</f>
        <v>78892793</v>
      </c>
      <c r="F2055" s="10" t="s">
        <v>5845</v>
      </c>
      <c r="G2055" s="10" t="s">
        <v>5846</v>
      </c>
      <c r="H2055" s="10" t="s">
        <v>5847</v>
      </c>
      <c r="I2055" s="10" t="s">
        <v>5838</v>
      </c>
    </row>
    <row r="2056" spans="1:9" x14ac:dyDescent="0.15">
      <c r="A2056" s="9">
        <v>2055</v>
      </c>
      <c r="B2056" s="10" t="s">
        <v>9</v>
      </c>
      <c r="C2056" s="10" t="s">
        <v>170</v>
      </c>
      <c r="D2056" s="10" t="s">
        <v>171</v>
      </c>
      <c r="E2056" s="11" t="str">
        <f>+HYPERLINK("http://trademark.i-assist.jp/data/china/image_1900th/78892971.pdf", "78892971")</f>
        <v>78892971</v>
      </c>
      <c r="F2056" s="10" t="s">
        <v>5848</v>
      </c>
      <c r="G2056" s="10" t="s">
        <v>5849</v>
      </c>
      <c r="H2056" s="10" t="s">
        <v>5850</v>
      </c>
      <c r="I2056" s="10" t="s">
        <v>5838</v>
      </c>
    </row>
    <row r="2057" spans="1:9" x14ac:dyDescent="0.15">
      <c r="A2057" s="9">
        <v>2056</v>
      </c>
      <c r="B2057" s="10" t="s">
        <v>9</v>
      </c>
      <c r="C2057" s="10" t="s">
        <v>170</v>
      </c>
      <c r="D2057" s="10" t="s">
        <v>171</v>
      </c>
      <c r="E2057" s="11" t="str">
        <f>+HYPERLINK("http://trademark.i-assist.jp/data/china/image_1900th/78893125.pdf", "78893125")</f>
        <v>78893125</v>
      </c>
      <c r="F2057" s="10" t="s">
        <v>5851</v>
      </c>
      <c r="G2057" s="10" t="s">
        <v>5852</v>
      </c>
      <c r="H2057" s="10" t="s">
        <v>5853</v>
      </c>
      <c r="I2057" s="10" t="s">
        <v>5838</v>
      </c>
    </row>
    <row r="2058" spans="1:9" x14ac:dyDescent="0.15">
      <c r="A2058" s="9">
        <v>2057</v>
      </c>
      <c r="B2058" s="10" t="s">
        <v>9</v>
      </c>
      <c r="C2058" s="10" t="s">
        <v>170</v>
      </c>
      <c r="D2058" s="10" t="s">
        <v>171</v>
      </c>
      <c r="E2058" s="11" t="str">
        <f>+HYPERLINK("http://trademark.i-assist.jp/data/china/image_1900th/78893144.pdf", "78893144")</f>
        <v>78893144</v>
      </c>
      <c r="F2058" s="10" t="s">
        <v>5854</v>
      </c>
      <c r="G2058" s="10" t="s">
        <v>5855</v>
      </c>
      <c r="H2058" s="10" t="s">
        <v>5856</v>
      </c>
      <c r="I2058" s="10" t="s">
        <v>5838</v>
      </c>
    </row>
    <row r="2059" spans="1:9" x14ac:dyDescent="0.15">
      <c r="A2059" s="9">
        <v>2058</v>
      </c>
      <c r="B2059" s="10" t="s">
        <v>9</v>
      </c>
      <c r="C2059" s="10" t="s">
        <v>170</v>
      </c>
      <c r="D2059" s="10" t="s">
        <v>171</v>
      </c>
      <c r="E2059" s="11" t="str">
        <f>+HYPERLINK("http://trademark.i-assist.jp/data/china/image_1900th/78893315.pdf", "78893315")</f>
        <v>78893315</v>
      </c>
      <c r="F2059" s="10" t="s">
        <v>15</v>
      </c>
      <c r="G2059" s="10" t="s">
        <v>5857</v>
      </c>
      <c r="H2059" s="10" t="s">
        <v>5858</v>
      </c>
      <c r="I2059" s="10" t="s">
        <v>5838</v>
      </c>
    </row>
    <row r="2060" spans="1:9" x14ac:dyDescent="0.15">
      <c r="A2060" s="9">
        <v>2059</v>
      </c>
      <c r="B2060" s="10" t="s">
        <v>9</v>
      </c>
      <c r="C2060" s="10" t="s">
        <v>170</v>
      </c>
      <c r="D2060" s="10" t="s">
        <v>171</v>
      </c>
      <c r="E2060" s="11" t="str">
        <f>+HYPERLINK("http://trademark.i-assist.jp/data/china/image_1900th/78893427.pdf", "78893427")</f>
        <v>78893427</v>
      </c>
      <c r="F2060" s="10" t="s">
        <v>5859</v>
      </c>
      <c r="G2060" s="10" t="s">
        <v>5860</v>
      </c>
      <c r="H2060" s="10" t="s">
        <v>5861</v>
      </c>
      <c r="I2060" s="10" t="s">
        <v>5838</v>
      </c>
    </row>
    <row r="2061" spans="1:9" x14ac:dyDescent="0.15">
      <c r="A2061" s="9">
        <v>2060</v>
      </c>
      <c r="B2061" s="10" t="s">
        <v>9</v>
      </c>
      <c r="C2061" s="10" t="s">
        <v>170</v>
      </c>
      <c r="D2061" s="10" t="s">
        <v>171</v>
      </c>
      <c r="E2061" s="11" t="str">
        <f>+HYPERLINK("http://trademark.i-assist.jp/data/china/image_1900th/78893481.pdf", "78893481")</f>
        <v>78893481</v>
      </c>
      <c r="F2061" s="10" t="s">
        <v>5862</v>
      </c>
      <c r="G2061" s="10" t="s">
        <v>5863</v>
      </c>
      <c r="H2061" s="10" t="s">
        <v>5864</v>
      </c>
      <c r="I2061" s="10" t="s">
        <v>5838</v>
      </c>
    </row>
    <row r="2062" spans="1:9" x14ac:dyDescent="0.15">
      <c r="A2062" s="9">
        <v>2061</v>
      </c>
      <c r="B2062" s="10" t="s">
        <v>9</v>
      </c>
      <c r="C2062" s="10" t="s">
        <v>170</v>
      </c>
      <c r="D2062" s="10" t="s">
        <v>171</v>
      </c>
      <c r="E2062" s="11" t="str">
        <f>+HYPERLINK("http://trademark.i-assist.jp/data/china/image_1900th/78893485.pdf", "78893485")</f>
        <v>78893485</v>
      </c>
      <c r="F2062" s="10" t="s">
        <v>5865</v>
      </c>
      <c r="G2062" s="10" t="s">
        <v>5866</v>
      </c>
      <c r="H2062" s="10" t="s">
        <v>5867</v>
      </c>
      <c r="I2062" s="10" t="s">
        <v>5838</v>
      </c>
    </row>
    <row r="2063" spans="1:9" x14ac:dyDescent="0.15">
      <c r="A2063" s="9">
        <v>2062</v>
      </c>
      <c r="B2063" s="10" t="s">
        <v>9</v>
      </c>
      <c r="C2063" s="10" t="s">
        <v>170</v>
      </c>
      <c r="D2063" s="10" t="s">
        <v>171</v>
      </c>
      <c r="E2063" s="11" t="str">
        <f>+HYPERLINK("http://trademark.i-assist.jp/data/china/image_1900th/78893583.pdf", "78893583")</f>
        <v>78893583</v>
      </c>
      <c r="F2063" s="10" t="s">
        <v>5868</v>
      </c>
      <c r="G2063" s="10" t="s">
        <v>1912</v>
      </c>
      <c r="H2063" s="10" t="s">
        <v>5869</v>
      </c>
      <c r="I2063" s="10" t="s">
        <v>5838</v>
      </c>
    </row>
    <row r="2064" spans="1:9" x14ac:dyDescent="0.15">
      <c r="A2064" s="9">
        <v>2063</v>
      </c>
      <c r="B2064" s="10" t="s">
        <v>9</v>
      </c>
      <c r="C2064" s="10" t="s">
        <v>170</v>
      </c>
      <c r="D2064" s="10" t="s">
        <v>171</v>
      </c>
      <c r="E2064" s="11" t="str">
        <f>+HYPERLINK("http://trademark.i-assist.jp/data/china/image_1900th/78893619.pdf", "78893619")</f>
        <v>78893619</v>
      </c>
      <c r="F2064" s="10" t="s">
        <v>5870</v>
      </c>
      <c r="G2064" s="10" t="s">
        <v>5871</v>
      </c>
      <c r="H2064" s="10" t="s">
        <v>5872</v>
      </c>
      <c r="I2064" s="10" t="s">
        <v>5838</v>
      </c>
    </row>
    <row r="2065" spans="1:9" x14ac:dyDescent="0.15">
      <c r="A2065" s="9">
        <v>2064</v>
      </c>
      <c r="B2065" s="10" t="s">
        <v>9</v>
      </c>
      <c r="C2065" s="10" t="s">
        <v>170</v>
      </c>
      <c r="D2065" s="10" t="s">
        <v>171</v>
      </c>
      <c r="E2065" s="11" t="str">
        <f>+HYPERLINK("http://trademark.i-assist.jp/data/china/image_1900th/78893800.pdf", "78893800")</f>
        <v>78893800</v>
      </c>
      <c r="F2065" s="10" t="s">
        <v>5873</v>
      </c>
      <c r="G2065" s="10" t="s">
        <v>5874</v>
      </c>
      <c r="H2065" s="10" t="s">
        <v>5875</v>
      </c>
      <c r="I2065" s="10" t="s">
        <v>5838</v>
      </c>
    </row>
    <row r="2066" spans="1:9" x14ac:dyDescent="0.15">
      <c r="A2066" s="9">
        <v>2065</v>
      </c>
      <c r="B2066" s="10" t="s">
        <v>9</v>
      </c>
      <c r="C2066" s="10" t="s">
        <v>170</v>
      </c>
      <c r="D2066" s="10" t="s">
        <v>171</v>
      </c>
      <c r="E2066" s="11" t="str">
        <f>+HYPERLINK("http://trademark.i-assist.jp/data/china/image_1900th/78893867.pdf", "78893867")</f>
        <v>78893867</v>
      </c>
      <c r="F2066" s="10" t="s">
        <v>15</v>
      </c>
      <c r="G2066" s="10" t="s">
        <v>5876</v>
      </c>
      <c r="H2066" s="10" t="s">
        <v>5877</v>
      </c>
      <c r="I2066" s="10" t="s">
        <v>5838</v>
      </c>
    </row>
    <row r="2067" spans="1:9" x14ac:dyDescent="0.15">
      <c r="A2067" s="9">
        <v>2066</v>
      </c>
      <c r="B2067" s="10" t="s">
        <v>9</v>
      </c>
      <c r="C2067" s="10" t="s">
        <v>170</v>
      </c>
      <c r="D2067" s="10" t="s">
        <v>171</v>
      </c>
      <c r="E2067" s="11" t="str">
        <f>+HYPERLINK("http://trademark.i-assist.jp/data/china/image_1900th/78894020.pdf", "78894020")</f>
        <v>78894020</v>
      </c>
      <c r="F2067" s="10" t="s">
        <v>15</v>
      </c>
      <c r="G2067" s="10" t="s">
        <v>5878</v>
      </c>
      <c r="H2067" s="10" t="s">
        <v>5879</v>
      </c>
      <c r="I2067" s="10" t="s">
        <v>5838</v>
      </c>
    </row>
    <row r="2068" spans="1:9" x14ac:dyDescent="0.15">
      <c r="A2068" s="9">
        <v>2067</v>
      </c>
      <c r="B2068" s="10" t="s">
        <v>9</v>
      </c>
      <c r="C2068" s="10" t="s">
        <v>170</v>
      </c>
      <c r="D2068" s="10" t="s">
        <v>171</v>
      </c>
      <c r="E2068" s="11" t="str">
        <f>+HYPERLINK("http://trademark.i-assist.jp/data/china/image_1900th/78894066.pdf", "78894066")</f>
        <v>78894066</v>
      </c>
      <c r="F2068" s="10" t="s">
        <v>5880</v>
      </c>
      <c r="G2068" s="10" t="s">
        <v>5881</v>
      </c>
      <c r="H2068" s="10" t="s">
        <v>5882</v>
      </c>
      <c r="I2068" s="10" t="s">
        <v>5838</v>
      </c>
    </row>
    <row r="2069" spans="1:9" x14ac:dyDescent="0.15">
      <c r="A2069" s="9">
        <v>2068</v>
      </c>
      <c r="B2069" s="10" t="s">
        <v>9</v>
      </c>
      <c r="C2069" s="10" t="s">
        <v>170</v>
      </c>
      <c r="D2069" s="10" t="s">
        <v>171</v>
      </c>
      <c r="E2069" s="11" t="str">
        <f>+HYPERLINK("http://trademark.i-assist.jp/data/china/image_1900th/78894415.pdf", "78894415")</f>
        <v>78894415</v>
      </c>
      <c r="F2069" s="10" t="s">
        <v>5883</v>
      </c>
      <c r="G2069" s="10" t="s">
        <v>5884</v>
      </c>
      <c r="H2069" s="10" t="s">
        <v>5885</v>
      </c>
      <c r="I2069" s="10" t="s">
        <v>5838</v>
      </c>
    </row>
    <row r="2070" spans="1:9" x14ac:dyDescent="0.15">
      <c r="A2070" s="9">
        <v>2069</v>
      </c>
      <c r="B2070" s="10" t="s">
        <v>9</v>
      </c>
      <c r="C2070" s="10" t="s">
        <v>170</v>
      </c>
      <c r="D2070" s="10" t="s">
        <v>171</v>
      </c>
      <c r="E2070" s="11" t="str">
        <f>+HYPERLINK("http://trademark.i-assist.jp/data/china/image_1900th/78894566.pdf", "78894566")</f>
        <v>78894566</v>
      </c>
      <c r="F2070" s="10" t="s">
        <v>5886</v>
      </c>
      <c r="G2070" s="10" t="s">
        <v>5887</v>
      </c>
      <c r="H2070" s="10" t="s">
        <v>5888</v>
      </c>
      <c r="I2070" s="10" t="s">
        <v>5838</v>
      </c>
    </row>
    <row r="2071" spans="1:9" x14ac:dyDescent="0.15">
      <c r="A2071" s="9">
        <v>2070</v>
      </c>
      <c r="B2071" s="10" t="s">
        <v>9</v>
      </c>
      <c r="C2071" s="10" t="s">
        <v>170</v>
      </c>
      <c r="D2071" s="10" t="s">
        <v>171</v>
      </c>
      <c r="E2071" s="11" t="str">
        <f>+HYPERLINK("http://trademark.i-assist.jp/data/china/image_1900th/78894674.pdf", "78894674")</f>
        <v>78894674</v>
      </c>
      <c r="F2071" s="10" t="s">
        <v>5889</v>
      </c>
      <c r="G2071" s="10" t="s">
        <v>5890</v>
      </c>
      <c r="H2071" s="10" t="s">
        <v>5891</v>
      </c>
      <c r="I2071" s="10" t="s">
        <v>5838</v>
      </c>
    </row>
    <row r="2072" spans="1:9" x14ac:dyDescent="0.15">
      <c r="A2072" s="9">
        <v>2071</v>
      </c>
      <c r="B2072" s="10" t="s">
        <v>9</v>
      </c>
      <c r="C2072" s="10" t="s">
        <v>170</v>
      </c>
      <c r="D2072" s="10" t="s">
        <v>171</v>
      </c>
      <c r="E2072" s="11" t="str">
        <f>+HYPERLINK("http://trademark.i-assist.jp/data/china/image_1900th/78894682.pdf", "78894682")</f>
        <v>78894682</v>
      </c>
      <c r="F2072" s="10" t="s">
        <v>15</v>
      </c>
      <c r="G2072" s="10" t="s">
        <v>5892</v>
      </c>
      <c r="H2072" s="10" t="s">
        <v>5893</v>
      </c>
      <c r="I2072" s="10" t="s">
        <v>5838</v>
      </c>
    </row>
    <row r="2073" spans="1:9" x14ac:dyDescent="0.15">
      <c r="A2073" s="9">
        <v>2072</v>
      </c>
      <c r="B2073" s="10" t="s">
        <v>9</v>
      </c>
      <c r="C2073" s="10" t="s">
        <v>170</v>
      </c>
      <c r="D2073" s="10" t="s">
        <v>171</v>
      </c>
      <c r="E2073" s="11" t="str">
        <f>+HYPERLINK("http://trademark.i-assist.jp/data/china/image_1900th/78894683.pdf", "78894683")</f>
        <v>78894683</v>
      </c>
      <c r="F2073" s="10" t="s">
        <v>5894</v>
      </c>
      <c r="G2073" s="10" t="s">
        <v>5895</v>
      </c>
      <c r="H2073" s="10" t="s">
        <v>5896</v>
      </c>
      <c r="I2073" s="10" t="s">
        <v>5838</v>
      </c>
    </row>
    <row r="2074" spans="1:9" x14ac:dyDescent="0.15">
      <c r="A2074" s="9">
        <v>2073</v>
      </c>
      <c r="B2074" s="10" t="s">
        <v>9</v>
      </c>
      <c r="C2074" s="10" t="s">
        <v>170</v>
      </c>
      <c r="D2074" s="10" t="s">
        <v>171</v>
      </c>
      <c r="E2074" s="11" t="str">
        <f>+HYPERLINK("http://trademark.i-assist.jp/data/china/image_1900th/78894835.pdf", "78894835")</f>
        <v>78894835</v>
      </c>
      <c r="F2074" s="10" t="s">
        <v>5897</v>
      </c>
      <c r="G2074" s="10" t="s">
        <v>5898</v>
      </c>
      <c r="H2074" s="10" t="s">
        <v>5899</v>
      </c>
      <c r="I2074" s="10" t="s">
        <v>5838</v>
      </c>
    </row>
    <row r="2075" spans="1:9" x14ac:dyDescent="0.15">
      <c r="A2075" s="9">
        <v>2074</v>
      </c>
      <c r="B2075" s="10" t="s">
        <v>9</v>
      </c>
      <c r="C2075" s="10" t="s">
        <v>170</v>
      </c>
      <c r="D2075" s="10" t="s">
        <v>171</v>
      </c>
      <c r="E2075" s="11" t="str">
        <f>+HYPERLINK("http://trademark.i-assist.jp/data/china/image_1900th/78895147.pdf", "78895147")</f>
        <v>78895147</v>
      </c>
      <c r="F2075" s="10" t="s">
        <v>15</v>
      </c>
      <c r="G2075" s="10" t="s">
        <v>5900</v>
      </c>
      <c r="H2075" s="10" t="s">
        <v>5901</v>
      </c>
      <c r="I2075" s="10" t="s">
        <v>5838</v>
      </c>
    </row>
    <row r="2076" spans="1:9" x14ac:dyDescent="0.15">
      <c r="A2076" s="9">
        <v>2075</v>
      </c>
      <c r="B2076" s="10" t="s">
        <v>9</v>
      </c>
      <c r="C2076" s="10" t="s">
        <v>170</v>
      </c>
      <c r="D2076" s="10" t="s">
        <v>171</v>
      </c>
      <c r="E2076" s="11" t="str">
        <f>+HYPERLINK("http://trademark.i-assist.jp/data/china/image_1900th/78895166.pdf", "78895166")</f>
        <v>78895166</v>
      </c>
      <c r="F2076" s="10" t="s">
        <v>5902</v>
      </c>
      <c r="G2076" s="10" t="s">
        <v>5903</v>
      </c>
      <c r="H2076" s="10" t="s">
        <v>5904</v>
      </c>
      <c r="I2076" s="10" t="s">
        <v>5838</v>
      </c>
    </row>
    <row r="2077" spans="1:9" x14ac:dyDescent="0.15">
      <c r="A2077" s="9">
        <v>2076</v>
      </c>
      <c r="B2077" s="10" t="s">
        <v>9</v>
      </c>
      <c r="C2077" s="10" t="s">
        <v>170</v>
      </c>
      <c r="D2077" s="10" t="s">
        <v>171</v>
      </c>
      <c r="E2077" s="11" t="str">
        <f>+HYPERLINK("http://trademark.i-assist.jp/data/china/image_1900th/78895495.pdf", "78895495")</f>
        <v>78895495</v>
      </c>
      <c r="F2077" s="10" t="s">
        <v>5905</v>
      </c>
      <c r="G2077" s="10" t="s">
        <v>5906</v>
      </c>
      <c r="H2077" s="10" t="s">
        <v>5907</v>
      </c>
      <c r="I2077" s="10" t="s">
        <v>5838</v>
      </c>
    </row>
    <row r="2078" spans="1:9" x14ac:dyDescent="0.15">
      <c r="A2078" s="9">
        <v>2077</v>
      </c>
      <c r="B2078" s="10" t="s">
        <v>9</v>
      </c>
      <c r="C2078" s="10" t="s">
        <v>170</v>
      </c>
      <c r="D2078" s="10" t="s">
        <v>171</v>
      </c>
      <c r="E2078" s="11" t="str">
        <f>+HYPERLINK("http://trademark.i-assist.jp/data/china/image_1900th/78895545.pdf", "78895545")</f>
        <v>78895545</v>
      </c>
      <c r="F2078" s="10" t="s">
        <v>5908</v>
      </c>
      <c r="G2078" s="10" t="s">
        <v>5909</v>
      </c>
      <c r="H2078" s="10" t="s">
        <v>5910</v>
      </c>
      <c r="I2078" s="10" t="s">
        <v>5838</v>
      </c>
    </row>
    <row r="2079" spans="1:9" x14ac:dyDescent="0.15">
      <c r="A2079" s="9">
        <v>2078</v>
      </c>
      <c r="B2079" s="10" t="s">
        <v>9</v>
      </c>
      <c r="C2079" s="10" t="s">
        <v>170</v>
      </c>
      <c r="D2079" s="10" t="s">
        <v>171</v>
      </c>
      <c r="E2079" s="11" t="str">
        <f>+HYPERLINK("http://trademark.i-assist.jp/data/china/image_1900th/78895655.pdf", "78895655")</f>
        <v>78895655</v>
      </c>
      <c r="F2079" s="10" t="s">
        <v>5911</v>
      </c>
      <c r="G2079" s="10" t="s">
        <v>5912</v>
      </c>
      <c r="H2079" s="10" t="s">
        <v>5913</v>
      </c>
      <c r="I2079" s="10" t="s">
        <v>5838</v>
      </c>
    </row>
    <row r="2080" spans="1:9" x14ac:dyDescent="0.15">
      <c r="A2080" s="9">
        <v>2079</v>
      </c>
      <c r="B2080" s="10" t="s">
        <v>9</v>
      </c>
      <c r="C2080" s="10" t="s">
        <v>170</v>
      </c>
      <c r="D2080" s="10" t="s">
        <v>171</v>
      </c>
      <c r="E2080" s="11" t="str">
        <f>+HYPERLINK("http://trademark.i-assist.jp/data/china/image_1900th/78896061.pdf", "78896061")</f>
        <v>78896061</v>
      </c>
      <c r="F2080" s="10" t="s">
        <v>5914</v>
      </c>
      <c r="G2080" s="10" t="s">
        <v>5898</v>
      </c>
      <c r="H2080" s="10" t="s">
        <v>5915</v>
      </c>
      <c r="I2080" s="10" t="s">
        <v>5838</v>
      </c>
    </row>
    <row r="2081" spans="1:9" x14ac:dyDescent="0.15">
      <c r="A2081" s="9">
        <v>2080</v>
      </c>
      <c r="B2081" s="10" t="s">
        <v>9</v>
      </c>
      <c r="C2081" s="10" t="s">
        <v>170</v>
      </c>
      <c r="D2081" s="10" t="s">
        <v>171</v>
      </c>
      <c r="E2081" s="11" t="str">
        <f>+HYPERLINK("http://trademark.i-assist.jp/data/china/image_1900th/78896175.pdf", "78896175")</f>
        <v>78896175</v>
      </c>
      <c r="F2081" s="10" t="s">
        <v>5916</v>
      </c>
      <c r="G2081" s="10" t="s">
        <v>5917</v>
      </c>
      <c r="H2081" s="10" t="s">
        <v>5918</v>
      </c>
      <c r="I2081" s="10" t="s">
        <v>5838</v>
      </c>
    </row>
    <row r="2082" spans="1:9" x14ac:dyDescent="0.15">
      <c r="A2082" s="9">
        <v>2081</v>
      </c>
      <c r="B2082" s="10" t="s">
        <v>9</v>
      </c>
      <c r="C2082" s="10" t="s">
        <v>170</v>
      </c>
      <c r="D2082" s="10" t="s">
        <v>171</v>
      </c>
      <c r="E2082" s="11" t="str">
        <f>+HYPERLINK("http://trademark.i-assist.jp/data/china/image_1900th/78896203.pdf", "78896203")</f>
        <v>78896203</v>
      </c>
      <c r="F2082" s="10" t="s">
        <v>5919</v>
      </c>
      <c r="G2082" s="10" t="s">
        <v>5920</v>
      </c>
      <c r="H2082" s="10" t="s">
        <v>5921</v>
      </c>
      <c r="I2082" s="10" t="s">
        <v>5838</v>
      </c>
    </row>
    <row r="2083" spans="1:9" x14ac:dyDescent="0.15">
      <c r="A2083" s="9">
        <v>2082</v>
      </c>
      <c r="B2083" s="10" t="s">
        <v>9</v>
      </c>
      <c r="C2083" s="10" t="s">
        <v>170</v>
      </c>
      <c r="D2083" s="10" t="s">
        <v>171</v>
      </c>
      <c r="E2083" s="11" t="str">
        <f>+HYPERLINK("http://trademark.i-assist.jp/data/china/image_1900th/78896207.pdf", "78896207")</f>
        <v>78896207</v>
      </c>
      <c r="F2083" s="10" t="s">
        <v>5922</v>
      </c>
      <c r="G2083" s="10" t="s">
        <v>5922</v>
      </c>
      <c r="H2083" s="10" t="s">
        <v>5923</v>
      </c>
      <c r="I2083" s="10" t="s">
        <v>5838</v>
      </c>
    </row>
    <row r="2084" spans="1:9" x14ac:dyDescent="0.15">
      <c r="A2084" s="9">
        <v>2083</v>
      </c>
      <c r="B2084" s="10" t="s">
        <v>9</v>
      </c>
      <c r="C2084" s="10" t="s">
        <v>170</v>
      </c>
      <c r="D2084" s="10" t="s">
        <v>171</v>
      </c>
      <c r="E2084" s="11" t="str">
        <f>+HYPERLINK("http://trademark.i-assist.jp/data/china/image_1900th/78896258.pdf", "78896258")</f>
        <v>78896258</v>
      </c>
      <c r="F2084" s="10" t="s">
        <v>5924</v>
      </c>
      <c r="G2084" s="10" t="s">
        <v>5925</v>
      </c>
      <c r="H2084" s="10" t="s">
        <v>5926</v>
      </c>
      <c r="I2084" s="10" t="s">
        <v>5838</v>
      </c>
    </row>
    <row r="2085" spans="1:9" x14ac:dyDescent="0.15">
      <c r="A2085" s="9">
        <v>2084</v>
      </c>
      <c r="B2085" s="10" t="s">
        <v>9</v>
      </c>
      <c r="C2085" s="10" t="s">
        <v>170</v>
      </c>
      <c r="D2085" s="10" t="s">
        <v>171</v>
      </c>
      <c r="E2085" s="11" t="str">
        <f>+HYPERLINK("http://trademark.i-assist.jp/data/china/image_1900th/78896291.pdf", "78896291")</f>
        <v>78896291</v>
      </c>
      <c r="F2085" s="10" t="s">
        <v>5927</v>
      </c>
      <c r="G2085" s="10" t="s">
        <v>5928</v>
      </c>
      <c r="H2085" s="10" t="s">
        <v>5929</v>
      </c>
      <c r="I2085" s="10" t="s">
        <v>5838</v>
      </c>
    </row>
    <row r="2086" spans="1:9" x14ac:dyDescent="0.15">
      <c r="A2086" s="9">
        <v>2085</v>
      </c>
      <c r="B2086" s="10" t="s">
        <v>9</v>
      </c>
      <c r="C2086" s="10" t="s">
        <v>170</v>
      </c>
      <c r="D2086" s="10" t="s">
        <v>171</v>
      </c>
      <c r="E2086" s="11" t="str">
        <f>+HYPERLINK("http://trademark.i-assist.jp/data/china/image_1900th/78896307.pdf", "78896307")</f>
        <v>78896307</v>
      </c>
      <c r="F2086" s="10" t="s">
        <v>5930</v>
      </c>
      <c r="G2086" s="10" t="s">
        <v>5931</v>
      </c>
      <c r="H2086" s="10" t="s">
        <v>5932</v>
      </c>
      <c r="I2086" s="10" t="s">
        <v>5838</v>
      </c>
    </row>
    <row r="2087" spans="1:9" x14ac:dyDescent="0.15">
      <c r="A2087" s="9">
        <v>2086</v>
      </c>
      <c r="B2087" s="10" t="s">
        <v>9</v>
      </c>
      <c r="C2087" s="10" t="s">
        <v>170</v>
      </c>
      <c r="D2087" s="10" t="s">
        <v>171</v>
      </c>
      <c r="E2087" s="11" t="str">
        <f>+HYPERLINK("http://trademark.i-assist.jp/data/china/image_1900th/78896451.pdf", "78896451")</f>
        <v>78896451</v>
      </c>
      <c r="F2087" s="10" t="s">
        <v>5933</v>
      </c>
      <c r="G2087" s="10" t="s">
        <v>5934</v>
      </c>
      <c r="H2087" s="10" t="s">
        <v>5935</v>
      </c>
      <c r="I2087" s="10" t="s">
        <v>5838</v>
      </c>
    </row>
    <row r="2088" spans="1:9" x14ac:dyDescent="0.15">
      <c r="A2088" s="9">
        <v>2087</v>
      </c>
      <c r="B2088" s="10" t="s">
        <v>9</v>
      </c>
      <c r="C2088" s="10" t="s">
        <v>170</v>
      </c>
      <c r="D2088" s="10" t="s">
        <v>171</v>
      </c>
      <c r="E2088" s="11" t="str">
        <f>+HYPERLINK("http://trademark.i-assist.jp/data/china/image_1900th/78896533.pdf", "78896533")</f>
        <v>78896533</v>
      </c>
      <c r="F2088" s="10" t="s">
        <v>5936</v>
      </c>
      <c r="G2088" s="10" t="s">
        <v>5937</v>
      </c>
      <c r="H2088" s="10" t="s">
        <v>5938</v>
      </c>
      <c r="I2088" s="10" t="s">
        <v>5838</v>
      </c>
    </row>
    <row r="2089" spans="1:9" x14ac:dyDescent="0.15">
      <c r="A2089" s="9">
        <v>2088</v>
      </c>
      <c r="B2089" s="10" t="s">
        <v>9</v>
      </c>
      <c r="C2089" s="10" t="s">
        <v>170</v>
      </c>
      <c r="D2089" s="10" t="s">
        <v>171</v>
      </c>
      <c r="E2089" s="11" t="str">
        <f>+HYPERLINK("http://trademark.i-assist.jp/data/china/image_1900th/78896598.pdf", "78896598")</f>
        <v>78896598</v>
      </c>
      <c r="F2089" s="10" t="s">
        <v>5939</v>
      </c>
      <c r="G2089" s="10" t="s">
        <v>5940</v>
      </c>
      <c r="H2089" s="10" t="s">
        <v>5941</v>
      </c>
      <c r="I2089" s="10" t="s">
        <v>5838</v>
      </c>
    </row>
    <row r="2090" spans="1:9" x14ac:dyDescent="0.15">
      <c r="A2090" s="9">
        <v>2089</v>
      </c>
      <c r="B2090" s="10" t="s">
        <v>9</v>
      </c>
      <c r="C2090" s="10" t="s">
        <v>170</v>
      </c>
      <c r="D2090" s="10" t="s">
        <v>171</v>
      </c>
      <c r="E2090" s="11" t="str">
        <f>+HYPERLINK("http://trademark.i-assist.jp/data/china/image_1900th/78896754.pdf", "78896754")</f>
        <v>78896754</v>
      </c>
      <c r="F2090" s="10" t="s">
        <v>5942</v>
      </c>
      <c r="G2090" s="10" t="s">
        <v>5943</v>
      </c>
      <c r="H2090" s="10" t="s">
        <v>5944</v>
      </c>
      <c r="I2090" s="10" t="s">
        <v>5838</v>
      </c>
    </row>
    <row r="2091" spans="1:9" x14ac:dyDescent="0.15">
      <c r="A2091" s="9">
        <v>2090</v>
      </c>
      <c r="B2091" s="10" t="s">
        <v>9</v>
      </c>
      <c r="C2091" s="10" t="s">
        <v>170</v>
      </c>
      <c r="D2091" s="10" t="s">
        <v>171</v>
      </c>
      <c r="E2091" s="11" t="str">
        <f>+HYPERLINK("http://trademark.i-assist.jp/data/china/image_1900th/78896970.pdf", "78896970")</f>
        <v>78896970</v>
      </c>
      <c r="F2091" s="10" t="s">
        <v>5945</v>
      </c>
      <c r="G2091" s="10" t="s">
        <v>5946</v>
      </c>
      <c r="H2091" s="10" t="s">
        <v>5947</v>
      </c>
      <c r="I2091" s="10" t="s">
        <v>5838</v>
      </c>
    </row>
    <row r="2092" spans="1:9" x14ac:dyDescent="0.15">
      <c r="A2092" s="9">
        <v>2091</v>
      </c>
      <c r="B2092" s="10" t="s">
        <v>9</v>
      </c>
      <c r="C2092" s="10" t="s">
        <v>170</v>
      </c>
      <c r="D2092" s="10" t="s">
        <v>171</v>
      </c>
      <c r="E2092" s="11" t="str">
        <f>+HYPERLINK("http://trademark.i-assist.jp/data/china/image_1900th/78897086.pdf", "78897086")</f>
        <v>78897086</v>
      </c>
      <c r="F2092" s="10" t="s">
        <v>5948</v>
      </c>
      <c r="G2092" s="10" t="s">
        <v>5949</v>
      </c>
      <c r="H2092" s="10" t="s">
        <v>5950</v>
      </c>
      <c r="I2092" s="10" t="s">
        <v>5838</v>
      </c>
    </row>
    <row r="2093" spans="1:9" x14ac:dyDescent="0.15">
      <c r="A2093" s="9">
        <v>2092</v>
      </c>
      <c r="B2093" s="10" t="s">
        <v>9</v>
      </c>
      <c r="C2093" s="10" t="s">
        <v>170</v>
      </c>
      <c r="D2093" s="10" t="s">
        <v>171</v>
      </c>
      <c r="E2093" s="11" t="str">
        <f>+HYPERLINK("http://trademark.i-assist.jp/data/china/image_1900th/78897129.pdf", "78897129")</f>
        <v>78897129</v>
      </c>
      <c r="F2093" s="10" t="s">
        <v>5951</v>
      </c>
      <c r="G2093" s="10" t="s">
        <v>5952</v>
      </c>
      <c r="H2093" s="10" t="s">
        <v>5953</v>
      </c>
      <c r="I2093" s="10" t="s">
        <v>5838</v>
      </c>
    </row>
    <row r="2094" spans="1:9" x14ac:dyDescent="0.15">
      <c r="A2094" s="9">
        <v>2093</v>
      </c>
      <c r="B2094" s="10" t="s">
        <v>9</v>
      </c>
      <c r="C2094" s="10" t="s">
        <v>170</v>
      </c>
      <c r="D2094" s="10" t="s">
        <v>171</v>
      </c>
      <c r="E2094" s="11" t="str">
        <f>+HYPERLINK("http://trademark.i-assist.jp/data/china/image_1900th/78897291.pdf", "78897291")</f>
        <v>78897291</v>
      </c>
      <c r="F2094" s="10" t="s">
        <v>5954</v>
      </c>
      <c r="G2094" s="10" t="s">
        <v>5955</v>
      </c>
      <c r="H2094" s="10" t="s">
        <v>5956</v>
      </c>
      <c r="I2094" s="10" t="s">
        <v>5838</v>
      </c>
    </row>
    <row r="2095" spans="1:9" x14ac:dyDescent="0.15">
      <c r="A2095" s="9">
        <v>2094</v>
      </c>
      <c r="B2095" s="10" t="s">
        <v>9</v>
      </c>
      <c r="C2095" s="10" t="s">
        <v>170</v>
      </c>
      <c r="D2095" s="10" t="s">
        <v>171</v>
      </c>
      <c r="E2095" s="11" t="str">
        <f>+HYPERLINK("http://trademark.i-assist.jp/data/china/image_1900th/78897344.pdf", "78897344")</f>
        <v>78897344</v>
      </c>
      <c r="F2095" s="10" t="s">
        <v>5957</v>
      </c>
      <c r="G2095" s="10" t="s">
        <v>5958</v>
      </c>
      <c r="H2095" s="10" t="s">
        <v>5959</v>
      </c>
      <c r="I2095" s="10" t="s">
        <v>5838</v>
      </c>
    </row>
    <row r="2096" spans="1:9" x14ac:dyDescent="0.15">
      <c r="A2096" s="9">
        <v>2095</v>
      </c>
      <c r="B2096" s="10" t="s">
        <v>9</v>
      </c>
      <c r="C2096" s="10" t="s">
        <v>170</v>
      </c>
      <c r="D2096" s="10" t="s">
        <v>171</v>
      </c>
      <c r="E2096" s="11" t="str">
        <f>+HYPERLINK("http://trademark.i-assist.jp/data/china/image_1900th/78897376.pdf", "78897376")</f>
        <v>78897376</v>
      </c>
      <c r="F2096" s="10" t="s">
        <v>5960</v>
      </c>
      <c r="G2096" s="10" t="s">
        <v>5866</v>
      </c>
      <c r="H2096" s="10" t="s">
        <v>5961</v>
      </c>
      <c r="I2096" s="10" t="s">
        <v>5838</v>
      </c>
    </row>
    <row r="2097" spans="1:9" x14ac:dyDescent="0.15">
      <c r="A2097" s="9">
        <v>2096</v>
      </c>
      <c r="B2097" s="10" t="s">
        <v>9</v>
      </c>
      <c r="C2097" s="10" t="s">
        <v>170</v>
      </c>
      <c r="D2097" s="10" t="s">
        <v>171</v>
      </c>
      <c r="E2097" s="11" t="str">
        <f>+HYPERLINK("http://trademark.i-assist.jp/data/china/image_1900th/78897410.pdf", "78897410")</f>
        <v>78897410</v>
      </c>
      <c r="F2097" s="10" t="s">
        <v>5962</v>
      </c>
      <c r="G2097" s="10" t="s">
        <v>5963</v>
      </c>
      <c r="H2097" s="10" t="s">
        <v>5964</v>
      </c>
      <c r="I2097" s="10" t="s">
        <v>5838</v>
      </c>
    </row>
    <row r="2098" spans="1:9" x14ac:dyDescent="0.15">
      <c r="A2098" s="9">
        <v>2097</v>
      </c>
      <c r="B2098" s="10" t="s">
        <v>9</v>
      </c>
      <c r="C2098" s="10" t="s">
        <v>170</v>
      </c>
      <c r="D2098" s="10" t="s">
        <v>171</v>
      </c>
      <c r="E2098" s="11" t="str">
        <f>+HYPERLINK("http://trademark.i-assist.jp/data/china/image_1900th/78897482.pdf", "78897482")</f>
        <v>78897482</v>
      </c>
      <c r="F2098" s="10" t="s">
        <v>15</v>
      </c>
      <c r="G2098" s="10" t="s">
        <v>5965</v>
      </c>
      <c r="H2098" s="10" t="s">
        <v>5966</v>
      </c>
      <c r="I2098" s="10" t="s">
        <v>5838</v>
      </c>
    </row>
    <row r="2099" spans="1:9" x14ac:dyDescent="0.15">
      <c r="A2099" s="9">
        <v>2098</v>
      </c>
      <c r="B2099" s="10" t="s">
        <v>9</v>
      </c>
      <c r="C2099" s="10" t="s">
        <v>170</v>
      </c>
      <c r="D2099" s="10" t="s">
        <v>171</v>
      </c>
      <c r="E2099" s="11" t="str">
        <f>+HYPERLINK("http://trademark.i-assist.jp/data/china/image_1900th/78897492.pdf", "78897492")</f>
        <v>78897492</v>
      </c>
      <c r="F2099" s="10" t="s">
        <v>5967</v>
      </c>
      <c r="G2099" s="10" t="s">
        <v>3525</v>
      </c>
      <c r="H2099" s="10" t="s">
        <v>5968</v>
      </c>
      <c r="I2099" s="10" t="s">
        <v>5838</v>
      </c>
    </row>
    <row r="2100" spans="1:9" x14ac:dyDescent="0.15">
      <c r="A2100" s="9">
        <v>2099</v>
      </c>
      <c r="B2100" s="10" t="s">
        <v>9</v>
      </c>
      <c r="C2100" s="10" t="s">
        <v>170</v>
      </c>
      <c r="D2100" s="10" t="s">
        <v>171</v>
      </c>
      <c r="E2100" s="11" t="str">
        <f>+HYPERLINK("http://trademark.i-assist.jp/data/china/image_1900th/78897574.pdf", "78897574")</f>
        <v>78897574</v>
      </c>
      <c r="F2100" s="10" t="s">
        <v>5969</v>
      </c>
      <c r="G2100" s="10" t="s">
        <v>5970</v>
      </c>
      <c r="H2100" s="10" t="s">
        <v>5971</v>
      </c>
      <c r="I2100" s="10" t="s">
        <v>5838</v>
      </c>
    </row>
    <row r="2101" spans="1:9" x14ac:dyDescent="0.15">
      <c r="A2101" s="9">
        <v>2100</v>
      </c>
      <c r="B2101" s="10" t="s">
        <v>9</v>
      </c>
      <c r="C2101" s="10" t="s">
        <v>170</v>
      </c>
      <c r="D2101" s="10" t="s">
        <v>171</v>
      </c>
      <c r="E2101" s="11" t="str">
        <f>+HYPERLINK("http://trademark.i-assist.jp/data/china/image_1900th/78897839.pdf", "78897839")</f>
        <v>78897839</v>
      </c>
      <c r="F2101" s="10" t="s">
        <v>5972</v>
      </c>
      <c r="G2101" s="10" t="s">
        <v>5973</v>
      </c>
      <c r="H2101" s="10" t="s">
        <v>5974</v>
      </c>
      <c r="I2101" s="10" t="s">
        <v>5838</v>
      </c>
    </row>
    <row r="2102" spans="1:9" x14ac:dyDescent="0.15">
      <c r="A2102" s="9">
        <v>2101</v>
      </c>
      <c r="B2102" s="10" t="s">
        <v>9</v>
      </c>
      <c r="C2102" s="10" t="s">
        <v>170</v>
      </c>
      <c r="D2102" s="10" t="s">
        <v>171</v>
      </c>
      <c r="E2102" s="11" t="str">
        <f>+HYPERLINK("http://trademark.i-assist.jp/data/china/image_1900th/78897857.pdf", "78897857")</f>
        <v>78897857</v>
      </c>
      <c r="F2102" s="10" t="s">
        <v>5975</v>
      </c>
      <c r="G2102" s="10" t="s">
        <v>5976</v>
      </c>
      <c r="H2102" s="10" t="s">
        <v>5977</v>
      </c>
      <c r="I2102" s="10" t="s">
        <v>5838</v>
      </c>
    </row>
    <row r="2103" spans="1:9" x14ac:dyDescent="0.15">
      <c r="A2103" s="9">
        <v>2102</v>
      </c>
      <c r="B2103" s="10" t="s">
        <v>9</v>
      </c>
      <c r="C2103" s="10" t="s">
        <v>170</v>
      </c>
      <c r="D2103" s="10" t="s">
        <v>171</v>
      </c>
      <c r="E2103" s="11" t="str">
        <f>+HYPERLINK("http://trademark.i-assist.jp/data/china/image_1900th/78897914.pdf", "78897914")</f>
        <v>78897914</v>
      </c>
      <c r="F2103" s="10" t="s">
        <v>5978</v>
      </c>
      <c r="G2103" s="10" t="s">
        <v>5979</v>
      </c>
      <c r="H2103" s="10" t="s">
        <v>5980</v>
      </c>
      <c r="I2103" s="10" t="s">
        <v>5838</v>
      </c>
    </row>
    <row r="2104" spans="1:9" x14ac:dyDescent="0.15">
      <c r="A2104" s="9">
        <v>2103</v>
      </c>
      <c r="B2104" s="10" t="s">
        <v>9</v>
      </c>
      <c r="C2104" s="10" t="s">
        <v>170</v>
      </c>
      <c r="D2104" s="10" t="s">
        <v>171</v>
      </c>
      <c r="E2104" s="11" t="str">
        <f>+HYPERLINK("http://trademark.i-assist.jp/data/china/image_1900th/78898061.pdf", "78898061")</f>
        <v>78898061</v>
      </c>
      <c r="F2104" s="10" t="s">
        <v>5981</v>
      </c>
      <c r="G2104" s="10" t="s">
        <v>5982</v>
      </c>
      <c r="H2104" s="10" t="s">
        <v>5983</v>
      </c>
      <c r="I2104" s="10" t="s">
        <v>5838</v>
      </c>
    </row>
    <row r="2105" spans="1:9" x14ac:dyDescent="0.15">
      <c r="A2105" s="9">
        <v>2104</v>
      </c>
      <c r="B2105" s="10" t="s">
        <v>9</v>
      </c>
      <c r="C2105" s="10" t="s">
        <v>170</v>
      </c>
      <c r="D2105" s="10" t="s">
        <v>171</v>
      </c>
      <c r="E2105" s="11" t="str">
        <f>+HYPERLINK("http://trademark.i-assist.jp/data/china/image_1900th/78898433.pdf", "78898433")</f>
        <v>78898433</v>
      </c>
      <c r="F2105" s="10" t="s">
        <v>5984</v>
      </c>
      <c r="G2105" s="10" t="s">
        <v>5985</v>
      </c>
      <c r="H2105" s="10" t="s">
        <v>5986</v>
      </c>
      <c r="I2105" s="10" t="s">
        <v>5838</v>
      </c>
    </row>
    <row r="2106" spans="1:9" x14ac:dyDescent="0.15">
      <c r="A2106" s="9">
        <v>2105</v>
      </c>
      <c r="B2106" s="10" t="s">
        <v>9</v>
      </c>
      <c r="C2106" s="10" t="s">
        <v>170</v>
      </c>
      <c r="D2106" s="10" t="s">
        <v>171</v>
      </c>
      <c r="E2106" s="11" t="str">
        <f>+HYPERLINK("http://trademark.i-assist.jp/data/china/image_1900th/78898455.pdf", "78898455")</f>
        <v>78898455</v>
      </c>
      <c r="F2106" s="10" t="s">
        <v>5987</v>
      </c>
      <c r="G2106" s="10" t="s">
        <v>5988</v>
      </c>
      <c r="H2106" s="10" t="s">
        <v>5989</v>
      </c>
      <c r="I2106" s="10" t="s">
        <v>5838</v>
      </c>
    </row>
    <row r="2107" spans="1:9" x14ac:dyDescent="0.15">
      <c r="A2107" s="9">
        <v>2106</v>
      </c>
      <c r="B2107" s="10" t="s">
        <v>9</v>
      </c>
      <c r="C2107" s="10" t="s">
        <v>170</v>
      </c>
      <c r="D2107" s="10" t="s">
        <v>171</v>
      </c>
      <c r="E2107" s="11" t="str">
        <f>+HYPERLINK("http://trademark.i-assist.jp/data/china/image_1900th/78898518.pdf", "78898518")</f>
        <v>78898518</v>
      </c>
      <c r="F2107" s="10" t="s">
        <v>5990</v>
      </c>
      <c r="G2107" s="10" t="s">
        <v>5991</v>
      </c>
      <c r="H2107" s="10" t="s">
        <v>5992</v>
      </c>
      <c r="I2107" s="10" t="s">
        <v>5838</v>
      </c>
    </row>
    <row r="2108" spans="1:9" x14ac:dyDescent="0.15">
      <c r="A2108" s="9">
        <v>2107</v>
      </c>
      <c r="B2108" s="10" t="s">
        <v>9</v>
      </c>
      <c r="C2108" s="10" t="s">
        <v>170</v>
      </c>
      <c r="D2108" s="10" t="s">
        <v>171</v>
      </c>
      <c r="E2108" s="11" t="str">
        <f>+HYPERLINK("http://trademark.i-assist.jp/data/china/image_1900th/78898567.pdf", "78898567")</f>
        <v>78898567</v>
      </c>
      <c r="F2108" s="10" t="s">
        <v>5993</v>
      </c>
      <c r="G2108" s="10" t="s">
        <v>5994</v>
      </c>
      <c r="H2108" s="10" t="s">
        <v>5995</v>
      </c>
      <c r="I2108" s="10" t="s">
        <v>5838</v>
      </c>
    </row>
    <row r="2109" spans="1:9" x14ac:dyDescent="0.15">
      <c r="A2109" s="9">
        <v>2108</v>
      </c>
      <c r="B2109" s="10" t="s">
        <v>9</v>
      </c>
      <c r="C2109" s="10" t="s">
        <v>170</v>
      </c>
      <c r="D2109" s="10" t="s">
        <v>171</v>
      </c>
      <c r="E2109" s="11" t="str">
        <f>+HYPERLINK("http://trademark.i-assist.jp/data/china/image_1900th/78898623.pdf", "78898623")</f>
        <v>78898623</v>
      </c>
      <c r="F2109" s="10" t="s">
        <v>5996</v>
      </c>
      <c r="G2109" s="10" t="s">
        <v>5997</v>
      </c>
      <c r="H2109" s="10" t="s">
        <v>5998</v>
      </c>
      <c r="I2109" s="10" t="s">
        <v>5838</v>
      </c>
    </row>
    <row r="2110" spans="1:9" x14ac:dyDescent="0.15">
      <c r="A2110" s="9">
        <v>2109</v>
      </c>
      <c r="B2110" s="10" t="s">
        <v>9</v>
      </c>
      <c r="C2110" s="10" t="s">
        <v>170</v>
      </c>
      <c r="D2110" s="10" t="s">
        <v>171</v>
      </c>
      <c r="E2110" s="11" t="str">
        <f>+HYPERLINK("http://trademark.i-assist.jp/data/china/image_1900th/78898651.pdf", "78898651")</f>
        <v>78898651</v>
      </c>
      <c r="F2110" s="10" t="s">
        <v>5999</v>
      </c>
      <c r="G2110" s="10" t="s">
        <v>6000</v>
      </c>
      <c r="H2110" s="10" t="s">
        <v>6001</v>
      </c>
      <c r="I2110" s="10" t="s">
        <v>5838</v>
      </c>
    </row>
    <row r="2111" spans="1:9" x14ac:dyDescent="0.15">
      <c r="A2111" s="9">
        <v>2110</v>
      </c>
      <c r="B2111" s="10" t="s">
        <v>9</v>
      </c>
      <c r="C2111" s="10" t="s">
        <v>170</v>
      </c>
      <c r="D2111" s="10" t="s">
        <v>171</v>
      </c>
      <c r="E2111" s="11" t="str">
        <f>+HYPERLINK("http://trademark.i-assist.jp/data/china/image_1900th/78898703.pdf", "78898703")</f>
        <v>78898703</v>
      </c>
      <c r="F2111" s="10" t="s">
        <v>6002</v>
      </c>
      <c r="G2111" s="10" t="s">
        <v>6003</v>
      </c>
      <c r="H2111" s="10" t="s">
        <v>6004</v>
      </c>
      <c r="I2111" s="10" t="s">
        <v>5838</v>
      </c>
    </row>
    <row r="2112" spans="1:9" x14ac:dyDescent="0.15">
      <c r="A2112" s="9">
        <v>2111</v>
      </c>
      <c r="B2112" s="10" t="s">
        <v>9</v>
      </c>
      <c r="C2112" s="10" t="s">
        <v>170</v>
      </c>
      <c r="D2112" s="10" t="s">
        <v>171</v>
      </c>
      <c r="E2112" s="11" t="str">
        <f>+HYPERLINK("http://trademark.i-assist.jp/data/china/image_1900th/78898743.pdf", "78898743")</f>
        <v>78898743</v>
      </c>
      <c r="F2112" s="10" t="s">
        <v>6005</v>
      </c>
      <c r="G2112" s="10" t="s">
        <v>6006</v>
      </c>
      <c r="H2112" s="10" t="s">
        <v>6007</v>
      </c>
      <c r="I2112" s="10" t="s">
        <v>5838</v>
      </c>
    </row>
    <row r="2113" spans="1:9" x14ac:dyDescent="0.15">
      <c r="A2113" s="9">
        <v>2112</v>
      </c>
      <c r="B2113" s="10" t="s">
        <v>9</v>
      </c>
      <c r="C2113" s="10" t="s">
        <v>170</v>
      </c>
      <c r="D2113" s="10" t="s">
        <v>171</v>
      </c>
      <c r="E2113" s="11" t="str">
        <f>+HYPERLINK("http://trademark.i-assist.jp/data/china/image_1900th/78898924.pdf", "78898924")</f>
        <v>78898924</v>
      </c>
      <c r="F2113" s="10" t="s">
        <v>6008</v>
      </c>
      <c r="G2113" s="10" t="s">
        <v>6009</v>
      </c>
      <c r="H2113" s="10" t="s">
        <v>6010</v>
      </c>
      <c r="I2113" s="10" t="s">
        <v>5838</v>
      </c>
    </row>
    <row r="2114" spans="1:9" x14ac:dyDescent="0.15">
      <c r="A2114" s="9">
        <v>2113</v>
      </c>
      <c r="B2114" s="10" t="s">
        <v>9</v>
      </c>
      <c r="C2114" s="10" t="s">
        <v>170</v>
      </c>
      <c r="D2114" s="10" t="s">
        <v>171</v>
      </c>
      <c r="E2114" s="11" t="str">
        <f>+HYPERLINK("http://trademark.i-assist.jp/data/china/image_1900th/78898968.pdf", "78898968")</f>
        <v>78898968</v>
      </c>
      <c r="F2114" s="10" t="s">
        <v>6011</v>
      </c>
      <c r="G2114" s="10" t="s">
        <v>5866</v>
      </c>
      <c r="H2114" s="10" t="s">
        <v>6012</v>
      </c>
      <c r="I2114" s="10" t="s">
        <v>5838</v>
      </c>
    </row>
    <row r="2115" spans="1:9" x14ac:dyDescent="0.15">
      <c r="A2115" s="9">
        <v>2114</v>
      </c>
      <c r="B2115" s="10" t="s">
        <v>9</v>
      </c>
      <c r="C2115" s="10" t="s">
        <v>170</v>
      </c>
      <c r="D2115" s="10" t="s">
        <v>171</v>
      </c>
      <c r="E2115" s="11" t="str">
        <f>+HYPERLINK("http://trademark.i-assist.jp/data/china/image_1900th/78898993.pdf", "78898993")</f>
        <v>78898993</v>
      </c>
      <c r="F2115" s="10" t="s">
        <v>6013</v>
      </c>
      <c r="G2115" s="10" t="s">
        <v>5887</v>
      </c>
      <c r="H2115" s="10" t="s">
        <v>6014</v>
      </c>
      <c r="I2115" s="10" t="s">
        <v>5838</v>
      </c>
    </row>
    <row r="2116" spans="1:9" x14ac:dyDescent="0.15">
      <c r="A2116" s="9">
        <v>2115</v>
      </c>
      <c r="B2116" s="10" t="s">
        <v>9</v>
      </c>
      <c r="C2116" s="10" t="s">
        <v>170</v>
      </c>
      <c r="D2116" s="10" t="s">
        <v>171</v>
      </c>
      <c r="E2116" s="11" t="str">
        <f>+HYPERLINK("http://trademark.i-assist.jp/data/china/image_1900th/78899037.pdf", "78899037")</f>
        <v>78899037</v>
      </c>
      <c r="F2116" s="10" t="s">
        <v>6015</v>
      </c>
      <c r="G2116" s="10" t="s">
        <v>6016</v>
      </c>
      <c r="H2116" s="10" t="s">
        <v>6017</v>
      </c>
      <c r="I2116" s="10" t="s">
        <v>5838</v>
      </c>
    </row>
    <row r="2117" spans="1:9" x14ac:dyDescent="0.15">
      <c r="A2117" s="9">
        <v>2116</v>
      </c>
      <c r="B2117" s="10" t="s">
        <v>9</v>
      </c>
      <c r="C2117" s="10" t="s">
        <v>170</v>
      </c>
      <c r="D2117" s="10" t="s">
        <v>171</v>
      </c>
      <c r="E2117" s="11" t="str">
        <f>+HYPERLINK("http://trademark.i-assist.jp/data/china/image_1900th/78899220.pdf", "78899220")</f>
        <v>78899220</v>
      </c>
      <c r="F2117" s="10" t="s">
        <v>6018</v>
      </c>
      <c r="G2117" s="10" t="s">
        <v>6019</v>
      </c>
      <c r="H2117" s="10" t="s">
        <v>6020</v>
      </c>
      <c r="I2117" s="10" t="s">
        <v>5838</v>
      </c>
    </row>
    <row r="2118" spans="1:9" x14ac:dyDescent="0.15">
      <c r="A2118" s="9">
        <v>2117</v>
      </c>
      <c r="B2118" s="10" t="s">
        <v>9</v>
      </c>
      <c r="C2118" s="10" t="s">
        <v>170</v>
      </c>
      <c r="D2118" s="10" t="s">
        <v>171</v>
      </c>
      <c r="E2118" s="11" t="str">
        <f>+HYPERLINK("http://trademark.i-assist.jp/data/china/image_1900th/78899225.pdf", "78899225")</f>
        <v>78899225</v>
      </c>
      <c r="F2118" s="10" t="s">
        <v>6021</v>
      </c>
      <c r="G2118" s="10" t="s">
        <v>6019</v>
      </c>
      <c r="H2118" s="10" t="s">
        <v>6022</v>
      </c>
      <c r="I2118" s="10" t="s">
        <v>5838</v>
      </c>
    </row>
    <row r="2119" spans="1:9" x14ac:dyDescent="0.15">
      <c r="A2119" s="9">
        <v>2118</v>
      </c>
      <c r="B2119" s="10" t="s">
        <v>9</v>
      </c>
      <c r="C2119" s="10" t="s">
        <v>170</v>
      </c>
      <c r="D2119" s="10" t="s">
        <v>171</v>
      </c>
      <c r="E2119" s="11" t="str">
        <f>+HYPERLINK("http://trademark.i-assist.jp/data/china/image_1900th/78899243.pdf", "78899243")</f>
        <v>78899243</v>
      </c>
      <c r="F2119" s="10" t="s">
        <v>6023</v>
      </c>
      <c r="G2119" s="10" t="s">
        <v>6024</v>
      </c>
      <c r="H2119" s="10" t="s">
        <v>6025</v>
      </c>
      <c r="I2119" s="10" t="s">
        <v>5838</v>
      </c>
    </row>
    <row r="2120" spans="1:9" x14ac:dyDescent="0.15">
      <c r="A2120" s="9">
        <v>2119</v>
      </c>
      <c r="B2120" s="10" t="s">
        <v>9</v>
      </c>
      <c r="C2120" s="10" t="s">
        <v>170</v>
      </c>
      <c r="D2120" s="10" t="s">
        <v>171</v>
      </c>
      <c r="E2120" s="11" t="str">
        <f>+HYPERLINK("http://trademark.i-assist.jp/data/china/image_1900th/78899333.pdf", "78899333")</f>
        <v>78899333</v>
      </c>
      <c r="F2120" s="10" t="s">
        <v>6026</v>
      </c>
      <c r="G2120" s="10" t="s">
        <v>6027</v>
      </c>
      <c r="H2120" s="10" t="s">
        <v>6028</v>
      </c>
      <c r="I2120" s="10" t="s">
        <v>5838</v>
      </c>
    </row>
    <row r="2121" spans="1:9" x14ac:dyDescent="0.15">
      <c r="A2121" s="9">
        <v>2120</v>
      </c>
      <c r="B2121" s="10" t="s">
        <v>9</v>
      </c>
      <c r="C2121" s="10" t="s">
        <v>170</v>
      </c>
      <c r="D2121" s="10" t="s">
        <v>171</v>
      </c>
      <c r="E2121" s="11" t="str">
        <f>+HYPERLINK("http://trademark.i-assist.jp/data/china/image_1900th/78899451.pdf", "78899451")</f>
        <v>78899451</v>
      </c>
      <c r="F2121" s="10" t="s">
        <v>6029</v>
      </c>
      <c r="G2121" s="10" t="s">
        <v>6030</v>
      </c>
      <c r="H2121" s="10" t="s">
        <v>6031</v>
      </c>
      <c r="I2121" s="10" t="s">
        <v>5838</v>
      </c>
    </row>
    <row r="2122" spans="1:9" x14ac:dyDescent="0.15">
      <c r="A2122" s="9">
        <v>2121</v>
      </c>
      <c r="B2122" s="10" t="s">
        <v>9</v>
      </c>
      <c r="C2122" s="10" t="s">
        <v>170</v>
      </c>
      <c r="D2122" s="10" t="s">
        <v>171</v>
      </c>
      <c r="E2122" s="11" t="str">
        <f>+HYPERLINK("http://trademark.i-assist.jp/data/china/image_1900th/78899578.pdf", "78899578")</f>
        <v>78899578</v>
      </c>
      <c r="F2122" s="10" t="s">
        <v>6032</v>
      </c>
      <c r="G2122" s="10" t="s">
        <v>6033</v>
      </c>
      <c r="H2122" s="10" t="s">
        <v>6034</v>
      </c>
      <c r="I2122" s="10" t="s">
        <v>5838</v>
      </c>
    </row>
    <row r="2123" spans="1:9" x14ac:dyDescent="0.15">
      <c r="A2123" s="9">
        <v>2122</v>
      </c>
      <c r="B2123" s="10" t="s">
        <v>9</v>
      </c>
      <c r="C2123" s="10" t="s">
        <v>170</v>
      </c>
      <c r="D2123" s="10" t="s">
        <v>171</v>
      </c>
      <c r="E2123" s="11" t="str">
        <f>+HYPERLINK("http://trademark.i-assist.jp/data/china/image_1900th/78899615.pdf", "78899615")</f>
        <v>78899615</v>
      </c>
      <c r="F2123" s="10" t="s">
        <v>6035</v>
      </c>
      <c r="G2123" s="10" t="s">
        <v>6036</v>
      </c>
      <c r="H2123" s="10" t="s">
        <v>6037</v>
      </c>
      <c r="I2123" s="10" t="s">
        <v>5838</v>
      </c>
    </row>
    <row r="2124" spans="1:9" x14ac:dyDescent="0.15">
      <c r="A2124" s="9">
        <v>2123</v>
      </c>
      <c r="B2124" s="10" t="s">
        <v>9</v>
      </c>
      <c r="C2124" s="10" t="s">
        <v>170</v>
      </c>
      <c r="D2124" s="10" t="s">
        <v>171</v>
      </c>
      <c r="E2124" s="11" t="str">
        <f>+HYPERLINK("http://trademark.i-assist.jp/data/china/image_1900th/78899690.pdf", "78899690")</f>
        <v>78899690</v>
      </c>
      <c r="F2124" s="10" t="s">
        <v>6038</v>
      </c>
      <c r="G2124" s="10" t="s">
        <v>5866</v>
      </c>
      <c r="H2124" s="10" t="s">
        <v>6039</v>
      </c>
      <c r="I2124" s="10" t="s">
        <v>5838</v>
      </c>
    </row>
    <row r="2125" spans="1:9" x14ac:dyDescent="0.15">
      <c r="A2125" s="9">
        <v>2124</v>
      </c>
      <c r="B2125" s="10" t="s">
        <v>9</v>
      </c>
      <c r="C2125" s="10" t="s">
        <v>170</v>
      </c>
      <c r="D2125" s="10" t="s">
        <v>171</v>
      </c>
      <c r="E2125" s="11" t="str">
        <f>+HYPERLINK("http://trademark.i-assist.jp/data/china/image_1900th/78899746.pdf", "78899746")</f>
        <v>78899746</v>
      </c>
      <c r="F2125" s="10" t="s">
        <v>6040</v>
      </c>
      <c r="G2125" s="10" t="s">
        <v>5928</v>
      </c>
      <c r="H2125" s="10" t="s">
        <v>6041</v>
      </c>
      <c r="I2125" s="10" t="s">
        <v>5838</v>
      </c>
    </row>
    <row r="2126" spans="1:9" x14ac:dyDescent="0.15">
      <c r="A2126" s="9">
        <v>2125</v>
      </c>
      <c r="B2126" s="10" t="s">
        <v>9</v>
      </c>
      <c r="C2126" s="10" t="s">
        <v>170</v>
      </c>
      <c r="D2126" s="10" t="s">
        <v>171</v>
      </c>
      <c r="E2126" s="11" t="str">
        <f>+HYPERLINK("http://trademark.i-assist.jp/data/china/image_1900th/78899810.pdf", "78899810")</f>
        <v>78899810</v>
      </c>
      <c r="F2126" s="10" t="s">
        <v>6042</v>
      </c>
      <c r="G2126" s="10" t="s">
        <v>6043</v>
      </c>
      <c r="H2126" s="10" t="s">
        <v>6044</v>
      </c>
      <c r="I2126" s="10" t="s">
        <v>5838</v>
      </c>
    </row>
    <row r="2127" spans="1:9" x14ac:dyDescent="0.15">
      <c r="A2127" s="9">
        <v>2126</v>
      </c>
      <c r="B2127" s="10" t="s">
        <v>9</v>
      </c>
      <c r="C2127" s="10" t="s">
        <v>170</v>
      </c>
      <c r="D2127" s="10" t="s">
        <v>171</v>
      </c>
      <c r="E2127" s="11" t="str">
        <f>+HYPERLINK("http://trademark.i-assist.jp/data/china/image_1900th/78900028.pdf", "78900028")</f>
        <v>78900028</v>
      </c>
      <c r="F2127" s="10" t="s">
        <v>6045</v>
      </c>
      <c r="G2127" s="10" t="s">
        <v>6046</v>
      </c>
      <c r="H2127" s="10" t="s">
        <v>6047</v>
      </c>
      <c r="I2127" s="10" t="s">
        <v>5838</v>
      </c>
    </row>
    <row r="2128" spans="1:9" x14ac:dyDescent="0.15">
      <c r="A2128" s="9">
        <v>2127</v>
      </c>
      <c r="B2128" s="10" t="s">
        <v>9</v>
      </c>
      <c r="C2128" s="10" t="s">
        <v>170</v>
      </c>
      <c r="D2128" s="10" t="s">
        <v>171</v>
      </c>
      <c r="E2128" s="11" t="str">
        <f>+HYPERLINK("http://trademark.i-assist.jp/data/china/image_1900th/78900035.pdf", "78900035")</f>
        <v>78900035</v>
      </c>
      <c r="F2128" s="10" t="s">
        <v>6048</v>
      </c>
      <c r="G2128" s="10" t="s">
        <v>5689</v>
      </c>
      <c r="H2128" s="10" t="s">
        <v>6049</v>
      </c>
      <c r="I2128" s="10" t="s">
        <v>5838</v>
      </c>
    </row>
    <row r="2129" spans="1:9" x14ac:dyDescent="0.15">
      <c r="A2129" s="9">
        <v>2128</v>
      </c>
      <c r="B2129" s="10" t="s">
        <v>9</v>
      </c>
      <c r="C2129" s="10" t="s">
        <v>170</v>
      </c>
      <c r="D2129" s="10" t="s">
        <v>171</v>
      </c>
      <c r="E2129" s="11" t="str">
        <f>+HYPERLINK("http://trademark.i-assist.jp/data/china/image_1900th/78900047.pdf", "78900047")</f>
        <v>78900047</v>
      </c>
      <c r="F2129" s="10" t="s">
        <v>6050</v>
      </c>
      <c r="G2129" s="10" t="s">
        <v>6051</v>
      </c>
      <c r="H2129" s="10" t="s">
        <v>6052</v>
      </c>
      <c r="I2129" s="10" t="s">
        <v>5838</v>
      </c>
    </row>
    <row r="2130" spans="1:9" x14ac:dyDescent="0.15">
      <c r="A2130" s="9">
        <v>2129</v>
      </c>
      <c r="B2130" s="10" t="s">
        <v>9</v>
      </c>
      <c r="C2130" s="10" t="s">
        <v>170</v>
      </c>
      <c r="D2130" s="10" t="s">
        <v>171</v>
      </c>
      <c r="E2130" s="11" t="str">
        <f>+HYPERLINK("http://trademark.i-assist.jp/data/china/image_1900th/78900136.pdf", "78900136")</f>
        <v>78900136</v>
      </c>
      <c r="F2130" s="10" t="s">
        <v>6053</v>
      </c>
      <c r="G2130" s="10" t="s">
        <v>6054</v>
      </c>
      <c r="H2130" s="10" t="s">
        <v>6055</v>
      </c>
      <c r="I2130" s="10" t="s">
        <v>5838</v>
      </c>
    </row>
    <row r="2131" spans="1:9" x14ac:dyDescent="0.15">
      <c r="A2131" s="9">
        <v>2130</v>
      </c>
      <c r="B2131" s="10" t="s">
        <v>9</v>
      </c>
      <c r="C2131" s="10" t="s">
        <v>170</v>
      </c>
      <c r="D2131" s="10" t="s">
        <v>171</v>
      </c>
      <c r="E2131" s="11" t="str">
        <f>+HYPERLINK("http://trademark.i-assist.jp/data/china/image_1900th/78900231.pdf", "78900231")</f>
        <v>78900231</v>
      </c>
      <c r="F2131" s="10" t="s">
        <v>6056</v>
      </c>
      <c r="G2131" s="10" t="s">
        <v>6057</v>
      </c>
      <c r="H2131" s="10" t="s">
        <v>6058</v>
      </c>
      <c r="I2131" s="10" t="s">
        <v>5838</v>
      </c>
    </row>
    <row r="2132" spans="1:9" x14ac:dyDescent="0.15">
      <c r="A2132" s="9">
        <v>2131</v>
      </c>
      <c r="B2132" s="10" t="s">
        <v>9</v>
      </c>
      <c r="C2132" s="10" t="s">
        <v>170</v>
      </c>
      <c r="D2132" s="10" t="s">
        <v>171</v>
      </c>
      <c r="E2132" s="11" t="str">
        <f>+HYPERLINK("http://trademark.i-assist.jp/data/china/image_1900th/78900251.pdf", "78900251")</f>
        <v>78900251</v>
      </c>
      <c r="F2132" s="10" t="s">
        <v>6059</v>
      </c>
      <c r="G2132" s="10" t="s">
        <v>6060</v>
      </c>
      <c r="H2132" s="10" t="s">
        <v>6061</v>
      </c>
      <c r="I2132" s="10" t="s">
        <v>5838</v>
      </c>
    </row>
    <row r="2133" spans="1:9" x14ac:dyDescent="0.15">
      <c r="A2133" s="9">
        <v>2132</v>
      </c>
      <c r="B2133" s="10" t="s">
        <v>9</v>
      </c>
      <c r="C2133" s="10" t="s">
        <v>170</v>
      </c>
      <c r="D2133" s="10" t="s">
        <v>171</v>
      </c>
      <c r="E2133" s="11" t="str">
        <f>+HYPERLINK("http://trademark.i-assist.jp/data/china/image_1900th/78900373.pdf", "78900373")</f>
        <v>78900373</v>
      </c>
      <c r="F2133" s="10" t="s">
        <v>6062</v>
      </c>
      <c r="G2133" s="10" t="s">
        <v>6063</v>
      </c>
      <c r="H2133" s="10" t="s">
        <v>6064</v>
      </c>
      <c r="I2133" s="10" t="s">
        <v>5838</v>
      </c>
    </row>
    <row r="2134" spans="1:9" x14ac:dyDescent="0.15">
      <c r="A2134" s="9">
        <v>2133</v>
      </c>
      <c r="B2134" s="10" t="s">
        <v>9</v>
      </c>
      <c r="C2134" s="10" t="s">
        <v>170</v>
      </c>
      <c r="D2134" s="10" t="s">
        <v>171</v>
      </c>
      <c r="E2134" s="11" t="str">
        <f>+HYPERLINK("http://trademark.i-assist.jp/data/china/image_1900th/78900408.pdf", "78900408")</f>
        <v>78900408</v>
      </c>
      <c r="F2134" s="10" t="s">
        <v>6065</v>
      </c>
      <c r="G2134" s="10" t="s">
        <v>6066</v>
      </c>
      <c r="H2134" s="10" t="s">
        <v>6067</v>
      </c>
      <c r="I2134" s="10" t="s">
        <v>5838</v>
      </c>
    </row>
    <row r="2135" spans="1:9" x14ac:dyDescent="0.15">
      <c r="A2135" s="9">
        <v>2134</v>
      </c>
      <c r="B2135" s="10" t="s">
        <v>9</v>
      </c>
      <c r="C2135" s="10" t="s">
        <v>170</v>
      </c>
      <c r="D2135" s="10" t="s">
        <v>171</v>
      </c>
      <c r="E2135" s="11" t="str">
        <f>+HYPERLINK("http://trademark.i-assist.jp/data/china/image_1900th/78900429.pdf", "78900429")</f>
        <v>78900429</v>
      </c>
      <c r="F2135" s="10" t="s">
        <v>6068</v>
      </c>
      <c r="G2135" s="10" t="s">
        <v>5843</v>
      </c>
      <c r="H2135" s="10" t="s">
        <v>6069</v>
      </c>
      <c r="I2135" s="10" t="s">
        <v>5838</v>
      </c>
    </row>
    <row r="2136" spans="1:9" x14ac:dyDescent="0.15">
      <c r="A2136" s="9">
        <v>2135</v>
      </c>
      <c r="B2136" s="10" t="s">
        <v>9</v>
      </c>
      <c r="C2136" s="10" t="s">
        <v>170</v>
      </c>
      <c r="D2136" s="10" t="s">
        <v>171</v>
      </c>
      <c r="E2136" s="11" t="str">
        <f>+HYPERLINK("http://trademark.i-assist.jp/data/china/image_1900th/78900463.pdf", "78900463")</f>
        <v>78900463</v>
      </c>
      <c r="F2136" s="10" t="s">
        <v>6070</v>
      </c>
      <c r="G2136" s="10" t="s">
        <v>5843</v>
      </c>
      <c r="H2136" s="10" t="s">
        <v>6071</v>
      </c>
      <c r="I2136" s="10" t="s">
        <v>5838</v>
      </c>
    </row>
    <row r="2137" spans="1:9" x14ac:dyDescent="0.15">
      <c r="A2137" s="9">
        <v>2136</v>
      </c>
      <c r="B2137" s="10" t="s">
        <v>9</v>
      </c>
      <c r="C2137" s="10" t="s">
        <v>170</v>
      </c>
      <c r="D2137" s="10" t="s">
        <v>171</v>
      </c>
      <c r="E2137" s="11" t="str">
        <f>+HYPERLINK("http://trademark.i-assist.jp/data/china/image_1900th/78900507.pdf", "78900507")</f>
        <v>78900507</v>
      </c>
      <c r="F2137" s="10" t="s">
        <v>6072</v>
      </c>
      <c r="G2137" s="10" t="s">
        <v>6073</v>
      </c>
      <c r="H2137" s="10" t="s">
        <v>6074</v>
      </c>
      <c r="I2137" s="10" t="s">
        <v>5838</v>
      </c>
    </row>
    <row r="2138" spans="1:9" x14ac:dyDescent="0.15">
      <c r="A2138" s="9">
        <v>2137</v>
      </c>
      <c r="B2138" s="10" t="s">
        <v>9</v>
      </c>
      <c r="C2138" s="10" t="s">
        <v>170</v>
      </c>
      <c r="D2138" s="10" t="s">
        <v>171</v>
      </c>
      <c r="E2138" s="11" t="str">
        <f>+HYPERLINK("http://trademark.i-assist.jp/data/china/image_1900th/78900511.pdf", "78900511")</f>
        <v>78900511</v>
      </c>
      <c r="F2138" s="10" t="s">
        <v>6075</v>
      </c>
      <c r="G2138" s="10" t="s">
        <v>5866</v>
      </c>
      <c r="H2138" s="10" t="s">
        <v>6076</v>
      </c>
      <c r="I2138" s="10" t="s">
        <v>5838</v>
      </c>
    </row>
    <row r="2139" spans="1:9" x14ac:dyDescent="0.15">
      <c r="A2139" s="9">
        <v>2138</v>
      </c>
      <c r="B2139" s="10" t="s">
        <v>9</v>
      </c>
      <c r="C2139" s="10" t="s">
        <v>170</v>
      </c>
      <c r="D2139" s="10" t="s">
        <v>171</v>
      </c>
      <c r="E2139" s="11" t="str">
        <f>+HYPERLINK("http://trademark.i-assist.jp/data/china/image_1900th/78900627.pdf", "78900627")</f>
        <v>78900627</v>
      </c>
      <c r="F2139" s="10" t="s">
        <v>6077</v>
      </c>
      <c r="G2139" s="10" t="s">
        <v>157</v>
      </c>
      <c r="H2139" s="10" t="s">
        <v>6078</v>
      </c>
      <c r="I2139" s="10" t="s">
        <v>5838</v>
      </c>
    </row>
    <row r="2140" spans="1:9" x14ac:dyDescent="0.15">
      <c r="A2140" s="9">
        <v>2139</v>
      </c>
      <c r="B2140" s="10" t="s">
        <v>9</v>
      </c>
      <c r="C2140" s="10" t="s">
        <v>170</v>
      </c>
      <c r="D2140" s="10" t="s">
        <v>171</v>
      </c>
      <c r="E2140" s="11" t="str">
        <f>+HYPERLINK("http://trademark.i-assist.jp/data/china/image_1900th/78900816.pdf", "78900816")</f>
        <v>78900816</v>
      </c>
      <c r="F2140" s="10" t="s">
        <v>6079</v>
      </c>
      <c r="G2140" s="10" t="s">
        <v>5982</v>
      </c>
      <c r="H2140" s="10" t="s">
        <v>6080</v>
      </c>
      <c r="I2140" s="10" t="s">
        <v>5838</v>
      </c>
    </row>
    <row r="2141" spans="1:9" x14ac:dyDescent="0.15">
      <c r="A2141" s="9">
        <v>2140</v>
      </c>
      <c r="B2141" s="10" t="s">
        <v>9</v>
      </c>
      <c r="C2141" s="10" t="s">
        <v>170</v>
      </c>
      <c r="D2141" s="10" t="s">
        <v>171</v>
      </c>
      <c r="E2141" s="11" t="str">
        <f>+HYPERLINK("http://trademark.i-assist.jp/data/china/image_1900th/78900901.pdf", "78900901")</f>
        <v>78900901</v>
      </c>
      <c r="F2141" s="10" t="s">
        <v>6081</v>
      </c>
      <c r="G2141" s="10" t="s">
        <v>151</v>
      </c>
      <c r="H2141" s="10" t="s">
        <v>6082</v>
      </c>
      <c r="I2141" s="10" t="s">
        <v>5838</v>
      </c>
    </row>
    <row r="2142" spans="1:9" x14ac:dyDescent="0.15">
      <c r="A2142" s="9">
        <v>2141</v>
      </c>
      <c r="B2142" s="10" t="s">
        <v>9</v>
      </c>
      <c r="C2142" s="10" t="s">
        <v>170</v>
      </c>
      <c r="D2142" s="10" t="s">
        <v>171</v>
      </c>
      <c r="E2142" s="11" t="str">
        <f>+HYPERLINK("http://trademark.i-assist.jp/data/china/image_1900th/78900924.pdf", "78900924")</f>
        <v>78900924</v>
      </c>
      <c r="F2142" s="10" t="s">
        <v>6083</v>
      </c>
      <c r="G2142" s="10" t="s">
        <v>5846</v>
      </c>
      <c r="H2142" s="10" t="s">
        <v>6084</v>
      </c>
      <c r="I2142" s="10" t="s">
        <v>5838</v>
      </c>
    </row>
    <row r="2143" spans="1:9" x14ac:dyDescent="0.15">
      <c r="A2143" s="9">
        <v>2142</v>
      </c>
      <c r="B2143" s="10" t="s">
        <v>9</v>
      </c>
      <c r="C2143" s="10" t="s">
        <v>170</v>
      </c>
      <c r="D2143" s="10" t="s">
        <v>171</v>
      </c>
      <c r="E2143" s="11" t="str">
        <f>+HYPERLINK("http://trademark.i-assist.jp/data/china/image_1900th/78901357.pdf", "78901357")</f>
        <v>78901357</v>
      </c>
      <c r="F2143" s="10" t="s">
        <v>6085</v>
      </c>
      <c r="G2143" s="10" t="s">
        <v>6086</v>
      </c>
      <c r="H2143" s="10" t="s">
        <v>6087</v>
      </c>
      <c r="I2143" s="10" t="s">
        <v>5838</v>
      </c>
    </row>
    <row r="2144" spans="1:9" x14ac:dyDescent="0.15">
      <c r="A2144" s="9">
        <v>2143</v>
      </c>
      <c r="B2144" s="10" t="s">
        <v>9</v>
      </c>
      <c r="C2144" s="10" t="s">
        <v>170</v>
      </c>
      <c r="D2144" s="10" t="s">
        <v>171</v>
      </c>
      <c r="E2144" s="11" t="str">
        <f>+HYPERLINK("http://trademark.i-assist.jp/data/china/image_1900th/78901736.pdf", "78901736")</f>
        <v>78901736</v>
      </c>
      <c r="F2144" s="10" t="s">
        <v>6088</v>
      </c>
      <c r="G2144" s="10" t="s">
        <v>4926</v>
      </c>
      <c r="H2144" s="10" t="s">
        <v>30</v>
      </c>
      <c r="I2144" s="10" t="s">
        <v>5838</v>
      </c>
    </row>
    <row r="2145" spans="1:9" x14ac:dyDescent="0.15">
      <c r="A2145" s="9">
        <v>2144</v>
      </c>
      <c r="B2145" s="10" t="s">
        <v>9</v>
      </c>
      <c r="C2145" s="10" t="s">
        <v>170</v>
      </c>
      <c r="D2145" s="10" t="s">
        <v>171</v>
      </c>
      <c r="E2145" s="11" t="str">
        <f>+HYPERLINK("http://trademark.i-assist.jp/data/china/image_1900th/78901760.pdf", "78901760")</f>
        <v>78901760</v>
      </c>
      <c r="F2145" s="10" t="s">
        <v>6089</v>
      </c>
      <c r="G2145" s="10" t="s">
        <v>6090</v>
      </c>
      <c r="H2145" s="10" t="s">
        <v>6091</v>
      </c>
      <c r="I2145" s="10" t="s">
        <v>5838</v>
      </c>
    </row>
    <row r="2146" spans="1:9" x14ac:dyDescent="0.15">
      <c r="A2146" s="9">
        <v>2145</v>
      </c>
      <c r="B2146" s="10" t="s">
        <v>9</v>
      </c>
      <c r="C2146" s="10" t="s">
        <v>170</v>
      </c>
      <c r="D2146" s="10" t="s">
        <v>171</v>
      </c>
      <c r="E2146" s="11" t="str">
        <f>+HYPERLINK("http://trademark.i-assist.jp/data/china/image_1900th/78901983.pdf", "78901983")</f>
        <v>78901983</v>
      </c>
      <c r="F2146" s="10" t="s">
        <v>6092</v>
      </c>
      <c r="G2146" s="10" t="s">
        <v>2142</v>
      </c>
      <c r="H2146" s="10" t="s">
        <v>6093</v>
      </c>
      <c r="I2146" s="10" t="s">
        <v>5838</v>
      </c>
    </row>
    <row r="2147" spans="1:9" x14ac:dyDescent="0.15">
      <c r="A2147" s="9">
        <v>2146</v>
      </c>
      <c r="B2147" s="10" t="s">
        <v>9</v>
      </c>
      <c r="C2147" s="10" t="s">
        <v>170</v>
      </c>
      <c r="D2147" s="10" t="s">
        <v>171</v>
      </c>
      <c r="E2147" s="11" t="str">
        <f>+HYPERLINK("http://trademark.i-assist.jp/data/china/image_1900th/78902018.pdf", "78902018")</f>
        <v>78902018</v>
      </c>
      <c r="F2147" s="10" t="s">
        <v>6094</v>
      </c>
      <c r="G2147" s="10" t="s">
        <v>6095</v>
      </c>
      <c r="H2147" s="10" t="s">
        <v>6096</v>
      </c>
      <c r="I2147" s="10" t="s">
        <v>5838</v>
      </c>
    </row>
    <row r="2148" spans="1:9" x14ac:dyDescent="0.15">
      <c r="A2148" s="9">
        <v>2147</v>
      </c>
      <c r="B2148" s="10" t="s">
        <v>9</v>
      </c>
      <c r="C2148" s="10" t="s">
        <v>170</v>
      </c>
      <c r="D2148" s="10" t="s">
        <v>171</v>
      </c>
      <c r="E2148" s="11" t="str">
        <f>+HYPERLINK("http://trademark.i-assist.jp/data/china/image_1900th/78902407.pdf", "78902407")</f>
        <v>78902407</v>
      </c>
      <c r="F2148" s="10" t="s">
        <v>6097</v>
      </c>
      <c r="G2148" s="10" t="s">
        <v>6073</v>
      </c>
      <c r="H2148" s="10" t="s">
        <v>6098</v>
      </c>
      <c r="I2148" s="10" t="s">
        <v>5838</v>
      </c>
    </row>
    <row r="2149" spans="1:9" x14ac:dyDescent="0.15">
      <c r="A2149" s="9">
        <v>2148</v>
      </c>
      <c r="B2149" s="10" t="s">
        <v>9</v>
      </c>
      <c r="C2149" s="10" t="s">
        <v>170</v>
      </c>
      <c r="D2149" s="10" t="s">
        <v>171</v>
      </c>
      <c r="E2149" s="11" t="str">
        <f>+HYPERLINK("http://trademark.i-assist.jp/data/china/image_1900th/78902430.pdf", "78902430")</f>
        <v>78902430</v>
      </c>
      <c r="F2149" s="10" t="s">
        <v>6099</v>
      </c>
      <c r="G2149" s="10" t="s">
        <v>6100</v>
      </c>
      <c r="H2149" s="10" t="s">
        <v>6101</v>
      </c>
      <c r="I2149" s="10" t="s">
        <v>5838</v>
      </c>
    </row>
    <row r="2150" spans="1:9" x14ac:dyDescent="0.15">
      <c r="A2150" s="9">
        <v>2149</v>
      </c>
      <c r="B2150" s="10" t="s">
        <v>9</v>
      </c>
      <c r="C2150" s="10" t="s">
        <v>170</v>
      </c>
      <c r="D2150" s="10" t="s">
        <v>171</v>
      </c>
      <c r="E2150" s="11" t="str">
        <f>+HYPERLINK("http://trademark.i-assist.jp/data/china/image_1900th/78902437.pdf", "78902437")</f>
        <v>78902437</v>
      </c>
      <c r="F2150" s="10" t="s">
        <v>6102</v>
      </c>
      <c r="G2150" s="10" t="s">
        <v>6103</v>
      </c>
      <c r="H2150" s="10" t="s">
        <v>6104</v>
      </c>
      <c r="I2150" s="10" t="s">
        <v>5838</v>
      </c>
    </row>
    <row r="2151" spans="1:9" x14ac:dyDescent="0.15">
      <c r="A2151" s="9">
        <v>2150</v>
      </c>
      <c r="B2151" s="10" t="s">
        <v>9</v>
      </c>
      <c r="C2151" s="10" t="s">
        <v>170</v>
      </c>
      <c r="D2151" s="10" t="s">
        <v>171</v>
      </c>
      <c r="E2151" s="11" t="str">
        <f>+HYPERLINK("http://trademark.i-assist.jp/data/china/image_1900th/78902458.pdf", "78902458")</f>
        <v>78902458</v>
      </c>
      <c r="F2151" s="10" t="s">
        <v>6105</v>
      </c>
      <c r="G2151" s="10" t="s">
        <v>6090</v>
      </c>
      <c r="H2151" s="10" t="s">
        <v>6106</v>
      </c>
      <c r="I2151" s="10" t="s">
        <v>5838</v>
      </c>
    </row>
    <row r="2152" spans="1:9" x14ac:dyDescent="0.15">
      <c r="A2152" s="9">
        <v>2151</v>
      </c>
      <c r="B2152" s="10" t="s">
        <v>9</v>
      </c>
      <c r="C2152" s="10" t="s">
        <v>170</v>
      </c>
      <c r="D2152" s="10" t="s">
        <v>171</v>
      </c>
      <c r="E2152" s="11" t="str">
        <f>+HYPERLINK("http://trademark.i-assist.jp/data/china/image_1900th/78902712.pdf", "78902712")</f>
        <v>78902712</v>
      </c>
      <c r="F2152" s="10" t="s">
        <v>6107</v>
      </c>
      <c r="G2152" s="10" t="s">
        <v>6108</v>
      </c>
      <c r="H2152" s="10" t="s">
        <v>6109</v>
      </c>
      <c r="I2152" s="10" t="s">
        <v>5838</v>
      </c>
    </row>
    <row r="2153" spans="1:9" x14ac:dyDescent="0.15">
      <c r="A2153" s="9">
        <v>2152</v>
      </c>
      <c r="B2153" s="10" t="s">
        <v>9</v>
      </c>
      <c r="C2153" s="10" t="s">
        <v>170</v>
      </c>
      <c r="D2153" s="10" t="s">
        <v>171</v>
      </c>
      <c r="E2153" s="11" t="str">
        <f>+HYPERLINK("http://trademark.i-assist.jp/data/china/image_1900th/78902735.pdf", "78902735")</f>
        <v>78902735</v>
      </c>
      <c r="F2153" s="10" t="s">
        <v>6110</v>
      </c>
      <c r="G2153" s="10" t="s">
        <v>6111</v>
      </c>
      <c r="H2153" s="10" t="s">
        <v>6112</v>
      </c>
      <c r="I2153" s="10" t="s">
        <v>5838</v>
      </c>
    </row>
    <row r="2154" spans="1:9" x14ac:dyDescent="0.15">
      <c r="A2154" s="9">
        <v>2153</v>
      </c>
      <c r="B2154" s="10" t="s">
        <v>9</v>
      </c>
      <c r="C2154" s="10" t="s">
        <v>170</v>
      </c>
      <c r="D2154" s="10" t="s">
        <v>171</v>
      </c>
      <c r="E2154" s="11" t="str">
        <f>+HYPERLINK("http://trademark.i-assist.jp/data/china/image_1900th/78903063.pdf", "78903063")</f>
        <v>78903063</v>
      </c>
      <c r="F2154" s="10" t="s">
        <v>6113</v>
      </c>
      <c r="G2154" s="10" t="s">
        <v>6066</v>
      </c>
      <c r="H2154" s="10" t="s">
        <v>6114</v>
      </c>
      <c r="I2154" s="10" t="s">
        <v>5838</v>
      </c>
    </row>
    <row r="2155" spans="1:9" x14ac:dyDescent="0.15">
      <c r="A2155" s="9">
        <v>2154</v>
      </c>
      <c r="B2155" s="10" t="s">
        <v>9</v>
      </c>
      <c r="C2155" s="10" t="s">
        <v>170</v>
      </c>
      <c r="D2155" s="10" t="s">
        <v>171</v>
      </c>
      <c r="E2155" s="11" t="str">
        <f>+HYPERLINK("http://trademark.i-assist.jp/data/china/image_1900th/78903072.pdf", "78903072")</f>
        <v>78903072</v>
      </c>
      <c r="F2155" s="10" t="s">
        <v>6115</v>
      </c>
      <c r="G2155" s="10" t="s">
        <v>6116</v>
      </c>
      <c r="H2155" s="10" t="s">
        <v>6117</v>
      </c>
      <c r="I2155" s="10" t="s">
        <v>5838</v>
      </c>
    </row>
    <row r="2156" spans="1:9" x14ac:dyDescent="0.15">
      <c r="A2156" s="9">
        <v>2155</v>
      </c>
      <c r="B2156" s="10" t="s">
        <v>9</v>
      </c>
      <c r="C2156" s="10" t="s">
        <v>170</v>
      </c>
      <c r="D2156" s="10" t="s">
        <v>171</v>
      </c>
      <c r="E2156" s="11" t="str">
        <f>+HYPERLINK("http://trademark.i-assist.jp/data/china/image_1900th/78903100.pdf", "78903100")</f>
        <v>78903100</v>
      </c>
      <c r="F2156" s="10" t="s">
        <v>6118</v>
      </c>
      <c r="G2156" s="10" t="s">
        <v>6119</v>
      </c>
      <c r="H2156" s="10" t="s">
        <v>6120</v>
      </c>
      <c r="I2156" s="10" t="s">
        <v>5838</v>
      </c>
    </row>
    <row r="2157" spans="1:9" x14ac:dyDescent="0.15">
      <c r="A2157" s="9">
        <v>2156</v>
      </c>
      <c r="B2157" s="10" t="s">
        <v>9</v>
      </c>
      <c r="C2157" s="10" t="s">
        <v>170</v>
      </c>
      <c r="D2157" s="10" t="s">
        <v>171</v>
      </c>
      <c r="E2157" s="11" t="str">
        <f>+HYPERLINK("http://trademark.i-assist.jp/data/china/image_1900th/78903111.pdf", "78903111")</f>
        <v>78903111</v>
      </c>
      <c r="F2157" s="10" t="s">
        <v>6121</v>
      </c>
      <c r="G2157" s="10" t="s">
        <v>5840</v>
      </c>
      <c r="H2157" s="10" t="s">
        <v>6122</v>
      </c>
      <c r="I2157" s="10" t="s">
        <v>5838</v>
      </c>
    </row>
    <row r="2158" spans="1:9" x14ac:dyDescent="0.15">
      <c r="A2158" s="9">
        <v>2157</v>
      </c>
      <c r="B2158" s="10" t="s">
        <v>9</v>
      </c>
      <c r="C2158" s="10" t="s">
        <v>170</v>
      </c>
      <c r="D2158" s="10" t="s">
        <v>171</v>
      </c>
      <c r="E2158" s="11" t="str">
        <f>+HYPERLINK("http://trademark.i-assist.jp/data/china/image_1900th/78903147.pdf", "78903147")</f>
        <v>78903147</v>
      </c>
      <c r="F2158" s="10" t="s">
        <v>6123</v>
      </c>
      <c r="G2158" s="10" t="s">
        <v>6124</v>
      </c>
      <c r="H2158" s="10" t="s">
        <v>6125</v>
      </c>
      <c r="I2158" s="10" t="s">
        <v>5838</v>
      </c>
    </row>
    <row r="2159" spans="1:9" x14ac:dyDescent="0.15">
      <c r="A2159" s="9">
        <v>2158</v>
      </c>
      <c r="B2159" s="10" t="s">
        <v>9</v>
      </c>
      <c r="C2159" s="10" t="s">
        <v>170</v>
      </c>
      <c r="D2159" s="10" t="s">
        <v>171</v>
      </c>
      <c r="E2159" s="11" t="str">
        <f>+HYPERLINK("http://trademark.i-assist.jp/data/china/image_1900th/78903206.pdf", "78903206")</f>
        <v>78903206</v>
      </c>
      <c r="F2159" s="10" t="s">
        <v>6126</v>
      </c>
      <c r="G2159" s="10" t="s">
        <v>6127</v>
      </c>
      <c r="H2159" s="10" t="s">
        <v>6128</v>
      </c>
      <c r="I2159" s="10" t="s">
        <v>5838</v>
      </c>
    </row>
    <row r="2160" spans="1:9" x14ac:dyDescent="0.15">
      <c r="A2160" s="9">
        <v>2159</v>
      </c>
      <c r="B2160" s="10" t="s">
        <v>9</v>
      </c>
      <c r="C2160" s="10" t="s">
        <v>170</v>
      </c>
      <c r="D2160" s="10" t="s">
        <v>171</v>
      </c>
      <c r="E2160" s="11" t="str">
        <f>+HYPERLINK("http://trademark.i-assist.jp/data/china/image_1900th/78903266.pdf", "78903266")</f>
        <v>78903266</v>
      </c>
      <c r="F2160" s="10" t="s">
        <v>6129</v>
      </c>
      <c r="G2160" s="10" t="s">
        <v>6090</v>
      </c>
      <c r="H2160" s="10" t="s">
        <v>6130</v>
      </c>
      <c r="I2160" s="10" t="s">
        <v>5838</v>
      </c>
    </row>
    <row r="2161" spans="1:9" x14ac:dyDescent="0.15">
      <c r="A2161" s="9">
        <v>2160</v>
      </c>
      <c r="B2161" s="10" t="s">
        <v>9</v>
      </c>
      <c r="C2161" s="10" t="s">
        <v>170</v>
      </c>
      <c r="D2161" s="10" t="s">
        <v>171</v>
      </c>
      <c r="E2161" s="11" t="str">
        <f>+HYPERLINK("http://trademark.i-assist.jp/data/china/image_1900th/78903282.pdf", "78903282")</f>
        <v>78903282</v>
      </c>
      <c r="F2161" s="10" t="s">
        <v>15</v>
      </c>
      <c r="G2161" s="10" t="s">
        <v>5876</v>
      </c>
      <c r="H2161" s="10" t="s">
        <v>6131</v>
      </c>
      <c r="I2161" s="10" t="s">
        <v>5838</v>
      </c>
    </row>
    <row r="2162" spans="1:9" x14ac:dyDescent="0.15">
      <c r="A2162" s="9">
        <v>2161</v>
      </c>
      <c r="B2162" s="10" t="s">
        <v>9</v>
      </c>
      <c r="C2162" s="10" t="s">
        <v>170</v>
      </c>
      <c r="D2162" s="10" t="s">
        <v>171</v>
      </c>
      <c r="E2162" s="11" t="str">
        <f>+HYPERLINK("http://trademark.i-assist.jp/data/china/image_1900th/78903290.pdf", "78903290")</f>
        <v>78903290</v>
      </c>
      <c r="F2162" s="10" t="s">
        <v>6132</v>
      </c>
      <c r="G2162" s="10" t="s">
        <v>6133</v>
      </c>
      <c r="H2162" s="10" t="s">
        <v>6134</v>
      </c>
      <c r="I2162" s="10" t="s">
        <v>5838</v>
      </c>
    </row>
    <row r="2163" spans="1:9" x14ac:dyDescent="0.15">
      <c r="A2163" s="9">
        <v>2162</v>
      </c>
      <c r="B2163" s="10" t="s">
        <v>9</v>
      </c>
      <c r="C2163" s="10" t="s">
        <v>170</v>
      </c>
      <c r="D2163" s="10" t="s">
        <v>171</v>
      </c>
      <c r="E2163" s="11" t="str">
        <f>+HYPERLINK("http://trademark.i-assist.jp/data/china/image_1900th/78903327.pdf", "78903327")</f>
        <v>78903327</v>
      </c>
      <c r="F2163" s="10" t="s">
        <v>6135</v>
      </c>
      <c r="G2163" s="10" t="s">
        <v>6136</v>
      </c>
      <c r="H2163" s="10" t="s">
        <v>6137</v>
      </c>
      <c r="I2163" s="10" t="s">
        <v>5838</v>
      </c>
    </row>
    <row r="2164" spans="1:9" x14ac:dyDescent="0.15">
      <c r="A2164" s="9">
        <v>2163</v>
      </c>
      <c r="B2164" s="10" t="s">
        <v>9</v>
      </c>
      <c r="C2164" s="10" t="s">
        <v>170</v>
      </c>
      <c r="D2164" s="10" t="s">
        <v>171</v>
      </c>
      <c r="E2164" s="11" t="str">
        <f>+HYPERLINK("http://trademark.i-assist.jp/data/china/image_1900th/78903335.pdf", "78903335")</f>
        <v>78903335</v>
      </c>
      <c r="F2164" s="10" t="s">
        <v>6138</v>
      </c>
      <c r="G2164" s="10" t="s">
        <v>6139</v>
      </c>
      <c r="H2164" s="10" t="s">
        <v>6140</v>
      </c>
      <c r="I2164" s="10" t="s">
        <v>5838</v>
      </c>
    </row>
    <row r="2165" spans="1:9" x14ac:dyDescent="0.15">
      <c r="A2165" s="9">
        <v>2164</v>
      </c>
      <c r="B2165" s="10" t="s">
        <v>9</v>
      </c>
      <c r="C2165" s="10" t="s">
        <v>170</v>
      </c>
      <c r="D2165" s="10" t="s">
        <v>171</v>
      </c>
      <c r="E2165" s="11" t="str">
        <f>+HYPERLINK("http://trademark.i-assist.jp/data/china/image_1900th/78903368.pdf", "78903368")</f>
        <v>78903368</v>
      </c>
      <c r="F2165" s="10" t="s">
        <v>6141</v>
      </c>
      <c r="G2165" s="10" t="s">
        <v>5639</v>
      </c>
      <c r="H2165" s="10" t="s">
        <v>6142</v>
      </c>
      <c r="I2165" s="10" t="s">
        <v>5838</v>
      </c>
    </row>
    <row r="2166" spans="1:9" x14ac:dyDescent="0.15">
      <c r="A2166" s="9">
        <v>2165</v>
      </c>
      <c r="B2166" s="10" t="s">
        <v>9</v>
      </c>
      <c r="C2166" s="10" t="s">
        <v>170</v>
      </c>
      <c r="D2166" s="10" t="s">
        <v>171</v>
      </c>
      <c r="E2166" s="11" t="str">
        <f>+HYPERLINK("http://trademark.i-assist.jp/data/china/image_1900th/78903616.pdf", "78903616")</f>
        <v>78903616</v>
      </c>
      <c r="F2166" s="10" t="s">
        <v>6143</v>
      </c>
      <c r="G2166" s="10" t="s">
        <v>5463</v>
      </c>
      <c r="H2166" s="10" t="s">
        <v>6144</v>
      </c>
      <c r="I2166" s="10" t="s">
        <v>5838</v>
      </c>
    </row>
    <row r="2167" spans="1:9" x14ac:dyDescent="0.15">
      <c r="A2167" s="9">
        <v>2166</v>
      </c>
      <c r="B2167" s="10" t="s">
        <v>9</v>
      </c>
      <c r="C2167" s="10" t="s">
        <v>170</v>
      </c>
      <c r="D2167" s="10" t="s">
        <v>171</v>
      </c>
      <c r="E2167" s="11" t="str">
        <f>+HYPERLINK("http://trademark.i-assist.jp/data/china/image_1900th/78903639.pdf", "78903639")</f>
        <v>78903639</v>
      </c>
      <c r="F2167" s="10" t="s">
        <v>6145</v>
      </c>
      <c r="G2167" s="10" t="s">
        <v>6146</v>
      </c>
      <c r="H2167" s="10" t="s">
        <v>6147</v>
      </c>
      <c r="I2167" s="10" t="s">
        <v>5838</v>
      </c>
    </row>
    <row r="2168" spans="1:9" x14ac:dyDescent="0.15">
      <c r="A2168" s="9">
        <v>2167</v>
      </c>
      <c r="B2168" s="10" t="s">
        <v>9</v>
      </c>
      <c r="C2168" s="10" t="s">
        <v>170</v>
      </c>
      <c r="D2168" s="10" t="s">
        <v>171</v>
      </c>
      <c r="E2168" s="11" t="str">
        <f>+HYPERLINK("http://trademark.i-assist.jp/data/china/image_1900th/78903755.pdf", "78903755")</f>
        <v>78903755</v>
      </c>
      <c r="F2168" s="10" t="s">
        <v>6148</v>
      </c>
      <c r="G2168" s="10" t="s">
        <v>6149</v>
      </c>
      <c r="H2168" s="10" t="s">
        <v>6150</v>
      </c>
      <c r="I2168" s="10" t="s">
        <v>5838</v>
      </c>
    </row>
    <row r="2169" spans="1:9" x14ac:dyDescent="0.15">
      <c r="A2169" s="9">
        <v>2168</v>
      </c>
      <c r="B2169" s="10" t="s">
        <v>9</v>
      </c>
      <c r="C2169" s="10" t="s">
        <v>170</v>
      </c>
      <c r="D2169" s="10" t="s">
        <v>171</v>
      </c>
      <c r="E2169" s="11" t="str">
        <f>+HYPERLINK("http://trademark.i-assist.jp/data/china/image_1900th/78903779.pdf", "78903779")</f>
        <v>78903779</v>
      </c>
      <c r="F2169" s="10" t="s">
        <v>6151</v>
      </c>
      <c r="G2169" s="10" t="s">
        <v>6152</v>
      </c>
      <c r="H2169" s="10" t="s">
        <v>6153</v>
      </c>
      <c r="I2169" s="10" t="s">
        <v>5838</v>
      </c>
    </row>
    <row r="2170" spans="1:9" x14ac:dyDescent="0.15">
      <c r="A2170" s="9">
        <v>2169</v>
      </c>
      <c r="B2170" s="10" t="s">
        <v>9</v>
      </c>
      <c r="C2170" s="10" t="s">
        <v>170</v>
      </c>
      <c r="D2170" s="10" t="s">
        <v>171</v>
      </c>
      <c r="E2170" s="11" t="str">
        <f>+HYPERLINK("http://trademark.i-assist.jp/data/china/image_1900th/78903926.pdf", "78903926")</f>
        <v>78903926</v>
      </c>
      <c r="F2170" s="10" t="s">
        <v>6154</v>
      </c>
      <c r="G2170" s="10" t="s">
        <v>6155</v>
      </c>
      <c r="H2170" s="10" t="s">
        <v>6156</v>
      </c>
      <c r="I2170" s="10" t="s">
        <v>5838</v>
      </c>
    </row>
    <row r="2171" spans="1:9" x14ac:dyDescent="0.15">
      <c r="A2171" s="9">
        <v>2170</v>
      </c>
      <c r="B2171" s="10" t="s">
        <v>9</v>
      </c>
      <c r="C2171" s="10" t="s">
        <v>170</v>
      </c>
      <c r="D2171" s="10" t="s">
        <v>171</v>
      </c>
      <c r="E2171" s="11" t="str">
        <f>+HYPERLINK("http://trademark.i-assist.jp/data/china/image_1900th/78904169.pdf", "78904169")</f>
        <v>78904169</v>
      </c>
      <c r="F2171" s="10" t="s">
        <v>6157</v>
      </c>
      <c r="G2171" s="10" t="s">
        <v>5866</v>
      </c>
      <c r="H2171" s="10" t="s">
        <v>6158</v>
      </c>
      <c r="I2171" s="10" t="s">
        <v>5838</v>
      </c>
    </row>
    <row r="2172" spans="1:9" x14ac:dyDescent="0.15">
      <c r="A2172" s="9">
        <v>2171</v>
      </c>
      <c r="B2172" s="10" t="s">
        <v>9</v>
      </c>
      <c r="C2172" s="10" t="s">
        <v>170</v>
      </c>
      <c r="D2172" s="10" t="s">
        <v>171</v>
      </c>
      <c r="E2172" s="11" t="str">
        <f>+HYPERLINK("http://trademark.i-assist.jp/data/china/image_1900th/78904240.pdf", "78904240")</f>
        <v>78904240</v>
      </c>
      <c r="F2172" s="10" t="s">
        <v>6159</v>
      </c>
      <c r="G2172" s="10" t="s">
        <v>6160</v>
      </c>
      <c r="H2172" s="10" t="s">
        <v>6161</v>
      </c>
      <c r="I2172" s="10" t="s">
        <v>5838</v>
      </c>
    </row>
    <row r="2173" spans="1:9" x14ac:dyDescent="0.15">
      <c r="A2173" s="9">
        <v>2172</v>
      </c>
      <c r="B2173" s="10" t="s">
        <v>9</v>
      </c>
      <c r="C2173" s="10" t="s">
        <v>170</v>
      </c>
      <c r="D2173" s="10" t="s">
        <v>171</v>
      </c>
      <c r="E2173" s="11" t="str">
        <f>+HYPERLINK("http://trademark.i-assist.jp/data/china/image_1900th/78904417.pdf", "78904417")</f>
        <v>78904417</v>
      </c>
      <c r="F2173" s="10" t="s">
        <v>6162</v>
      </c>
      <c r="G2173" s="10" t="s">
        <v>5874</v>
      </c>
      <c r="H2173" s="10" t="s">
        <v>6163</v>
      </c>
      <c r="I2173" s="10" t="s">
        <v>5838</v>
      </c>
    </row>
    <row r="2174" spans="1:9" x14ac:dyDescent="0.15">
      <c r="A2174" s="9">
        <v>2173</v>
      </c>
      <c r="B2174" s="10" t="s">
        <v>9</v>
      </c>
      <c r="C2174" s="10" t="s">
        <v>170</v>
      </c>
      <c r="D2174" s="10" t="s">
        <v>171</v>
      </c>
      <c r="E2174" s="11" t="str">
        <f>+HYPERLINK("http://trademark.i-assist.jp/data/china/image_1900th/78904496.pdf", "78904496")</f>
        <v>78904496</v>
      </c>
      <c r="F2174" s="10" t="s">
        <v>6164</v>
      </c>
      <c r="G2174" s="10" t="s">
        <v>4146</v>
      </c>
      <c r="H2174" s="10" t="s">
        <v>6165</v>
      </c>
      <c r="I2174" s="10" t="s">
        <v>5838</v>
      </c>
    </row>
    <row r="2175" spans="1:9" x14ac:dyDescent="0.15">
      <c r="A2175" s="9">
        <v>2174</v>
      </c>
      <c r="B2175" s="10" t="s">
        <v>9</v>
      </c>
      <c r="C2175" s="10" t="s">
        <v>170</v>
      </c>
      <c r="D2175" s="10" t="s">
        <v>171</v>
      </c>
      <c r="E2175" s="11" t="str">
        <f>+HYPERLINK("http://trademark.i-assist.jp/data/china/image_1900th/78904546.pdf", "78904546")</f>
        <v>78904546</v>
      </c>
      <c r="F2175" s="10" t="s">
        <v>6166</v>
      </c>
      <c r="G2175" s="10" t="s">
        <v>6167</v>
      </c>
      <c r="H2175" s="10" t="s">
        <v>6168</v>
      </c>
      <c r="I2175" s="10" t="s">
        <v>5838</v>
      </c>
    </row>
    <row r="2176" spans="1:9" x14ac:dyDescent="0.15">
      <c r="A2176" s="9">
        <v>2175</v>
      </c>
      <c r="B2176" s="10" t="s">
        <v>9</v>
      </c>
      <c r="C2176" s="10" t="s">
        <v>170</v>
      </c>
      <c r="D2176" s="10" t="s">
        <v>171</v>
      </c>
      <c r="E2176" s="11" t="str">
        <f>+HYPERLINK("http://trademark.i-assist.jp/data/china/image_1900th/78904605.pdf", "78904605")</f>
        <v>78904605</v>
      </c>
      <c r="F2176" s="10" t="s">
        <v>6169</v>
      </c>
      <c r="G2176" s="10" t="s">
        <v>6063</v>
      </c>
      <c r="H2176" s="10" t="s">
        <v>6170</v>
      </c>
      <c r="I2176" s="10" t="s">
        <v>5838</v>
      </c>
    </row>
    <row r="2177" spans="1:9" x14ac:dyDescent="0.15">
      <c r="A2177" s="9">
        <v>2176</v>
      </c>
      <c r="B2177" s="10" t="s">
        <v>9</v>
      </c>
      <c r="C2177" s="10" t="s">
        <v>170</v>
      </c>
      <c r="D2177" s="10" t="s">
        <v>171</v>
      </c>
      <c r="E2177" s="11" t="str">
        <f>+HYPERLINK("http://trademark.i-assist.jp/data/china/image_1900th/78904616.pdf", "78904616")</f>
        <v>78904616</v>
      </c>
      <c r="F2177" s="10" t="s">
        <v>6171</v>
      </c>
      <c r="G2177" s="10" t="s">
        <v>5849</v>
      </c>
      <c r="H2177" s="10" t="s">
        <v>6172</v>
      </c>
      <c r="I2177" s="10" t="s">
        <v>5838</v>
      </c>
    </row>
    <row r="2178" spans="1:9" x14ac:dyDescent="0.15">
      <c r="A2178" s="9">
        <v>2177</v>
      </c>
      <c r="B2178" s="10" t="s">
        <v>9</v>
      </c>
      <c r="C2178" s="10" t="s">
        <v>170</v>
      </c>
      <c r="D2178" s="10" t="s">
        <v>171</v>
      </c>
      <c r="E2178" s="11" t="str">
        <f>+HYPERLINK("http://trademark.i-assist.jp/data/china/image_1900th/78904753.pdf", "78904753")</f>
        <v>78904753</v>
      </c>
      <c r="F2178" s="10" t="s">
        <v>6173</v>
      </c>
      <c r="G2178" s="10" t="s">
        <v>6174</v>
      </c>
      <c r="H2178" s="10" t="s">
        <v>6175</v>
      </c>
      <c r="I2178" s="10" t="s">
        <v>5838</v>
      </c>
    </row>
    <row r="2179" spans="1:9" x14ac:dyDescent="0.15">
      <c r="A2179" s="9">
        <v>2178</v>
      </c>
      <c r="B2179" s="10" t="s">
        <v>9</v>
      </c>
      <c r="C2179" s="10" t="s">
        <v>170</v>
      </c>
      <c r="D2179" s="10" t="s">
        <v>171</v>
      </c>
      <c r="E2179" s="11" t="str">
        <f>+HYPERLINK("http://trademark.i-assist.jp/data/china/image_1900th/78904843.pdf", "78904843")</f>
        <v>78904843</v>
      </c>
      <c r="F2179" s="10" t="s">
        <v>6176</v>
      </c>
      <c r="G2179" s="10" t="s">
        <v>2183</v>
      </c>
      <c r="H2179" s="10" t="s">
        <v>6177</v>
      </c>
      <c r="I2179" s="10" t="s">
        <v>5838</v>
      </c>
    </row>
    <row r="2180" spans="1:9" x14ac:dyDescent="0.15">
      <c r="A2180" s="9">
        <v>2179</v>
      </c>
      <c r="B2180" s="10" t="s">
        <v>9</v>
      </c>
      <c r="C2180" s="10" t="s">
        <v>170</v>
      </c>
      <c r="D2180" s="10" t="s">
        <v>171</v>
      </c>
      <c r="E2180" s="11" t="str">
        <f>+HYPERLINK("http://trademark.i-assist.jp/data/china/image_1900th/78904951.pdf", "78904951")</f>
        <v>78904951</v>
      </c>
      <c r="F2180" s="10" t="s">
        <v>6178</v>
      </c>
      <c r="G2180" s="10" t="s">
        <v>6116</v>
      </c>
      <c r="H2180" s="10" t="s">
        <v>6179</v>
      </c>
      <c r="I2180" s="10" t="s">
        <v>5838</v>
      </c>
    </row>
    <row r="2181" spans="1:9" x14ac:dyDescent="0.15">
      <c r="A2181" s="9">
        <v>2180</v>
      </c>
      <c r="B2181" s="10" t="s">
        <v>9</v>
      </c>
      <c r="C2181" s="10" t="s">
        <v>170</v>
      </c>
      <c r="D2181" s="10" t="s">
        <v>171</v>
      </c>
      <c r="E2181" s="11" t="str">
        <f>+HYPERLINK("http://trademark.i-assist.jp/data/china/image_1900th/78904954.pdf", "78904954")</f>
        <v>78904954</v>
      </c>
      <c r="F2181" s="10" t="s">
        <v>6180</v>
      </c>
      <c r="G2181" s="10" t="s">
        <v>6181</v>
      </c>
      <c r="H2181" s="10" t="s">
        <v>6182</v>
      </c>
      <c r="I2181" s="10" t="s">
        <v>5838</v>
      </c>
    </row>
    <row r="2182" spans="1:9" x14ac:dyDescent="0.15">
      <c r="A2182" s="9">
        <v>2181</v>
      </c>
      <c r="B2182" s="10" t="s">
        <v>9</v>
      </c>
      <c r="C2182" s="10" t="s">
        <v>170</v>
      </c>
      <c r="D2182" s="10" t="s">
        <v>171</v>
      </c>
      <c r="E2182" s="11" t="str">
        <f>+HYPERLINK("http://trademark.i-assist.jp/data/china/image_1900th/78904963.pdf", "78904963")</f>
        <v>78904963</v>
      </c>
      <c r="F2182" s="10" t="s">
        <v>6183</v>
      </c>
      <c r="G2182" s="10" t="s">
        <v>6184</v>
      </c>
      <c r="H2182" s="10" t="s">
        <v>6185</v>
      </c>
      <c r="I2182" s="10" t="s">
        <v>5838</v>
      </c>
    </row>
    <row r="2183" spans="1:9" x14ac:dyDescent="0.15">
      <c r="A2183" s="9">
        <v>2182</v>
      </c>
      <c r="B2183" s="10" t="s">
        <v>9</v>
      </c>
      <c r="C2183" s="10" t="s">
        <v>170</v>
      </c>
      <c r="D2183" s="10" t="s">
        <v>171</v>
      </c>
      <c r="E2183" s="11" t="str">
        <f>+HYPERLINK("http://trademark.i-assist.jp/data/china/image_1900th/78904980.pdf", "78904980")</f>
        <v>78904980</v>
      </c>
      <c r="F2183" s="10" t="s">
        <v>6186</v>
      </c>
      <c r="G2183" s="10" t="s">
        <v>5917</v>
      </c>
      <c r="H2183" s="10" t="s">
        <v>6187</v>
      </c>
      <c r="I2183" s="10" t="s">
        <v>5838</v>
      </c>
    </row>
    <row r="2184" spans="1:9" x14ac:dyDescent="0.15">
      <c r="A2184" s="9">
        <v>2183</v>
      </c>
      <c r="B2184" s="10" t="s">
        <v>9</v>
      </c>
      <c r="C2184" s="10" t="s">
        <v>170</v>
      </c>
      <c r="D2184" s="10" t="s">
        <v>171</v>
      </c>
      <c r="E2184" s="11" t="str">
        <f>+HYPERLINK("http://trademark.i-assist.jp/data/china/image_1900th/78904985.pdf", "78904985")</f>
        <v>78904985</v>
      </c>
      <c r="F2184" s="10" t="s">
        <v>6188</v>
      </c>
      <c r="G2184" s="10" t="s">
        <v>5917</v>
      </c>
      <c r="H2184" s="10" t="s">
        <v>6189</v>
      </c>
      <c r="I2184" s="10" t="s">
        <v>5838</v>
      </c>
    </row>
    <row r="2185" spans="1:9" x14ac:dyDescent="0.15">
      <c r="A2185" s="9">
        <v>2184</v>
      </c>
      <c r="B2185" s="10" t="s">
        <v>9</v>
      </c>
      <c r="C2185" s="10" t="s">
        <v>170</v>
      </c>
      <c r="D2185" s="10" t="s">
        <v>171</v>
      </c>
      <c r="E2185" s="11" t="str">
        <f>+HYPERLINK("http://trademark.i-assist.jp/data/china/image_1900th/78905239.pdf", "78905239")</f>
        <v>78905239</v>
      </c>
      <c r="F2185" s="10" t="s">
        <v>6190</v>
      </c>
      <c r="G2185" s="10" t="s">
        <v>6191</v>
      </c>
      <c r="H2185" s="10" t="s">
        <v>6192</v>
      </c>
      <c r="I2185" s="10" t="s">
        <v>5838</v>
      </c>
    </row>
    <row r="2186" spans="1:9" x14ac:dyDescent="0.15">
      <c r="A2186" s="9">
        <v>2185</v>
      </c>
      <c r="B2186" s="10" t="s">
        <v>9</v>
      </c>
      <c r="C2186" s="10" t="s">
        <v>170</v>
      </c>
      <c r="D2186" s="10" t="s">
        <v>171</v>
      </c>
      <c r="E2186" s="11" t="str">
        <f>+HYPERLINK("http://trademark.i-assist.jp/data/china/image_1900th/78905300.pdf", "78905300")</f>
        <v>78905300</v>
      </c>
      <c r="F2186" s="10" t="s">
        <v>6193</v>
      </c>
      <c r="G2186" s="10" t="s">
        <v>6194</v>
      </c>
      <c r="H2186" s="10" t="s">
        <v>6195</v>
      </c>
      <c r="I2186" s="10" t="s">
        <v>5838</v>
      </c>
    </row>
    <row r="2187" spans="1:9" x14ac:dyDescent="0.15">
      <c r="A2187" s="9">
        <v>2186</v>
      </c>
      <c r="B2187" s="10" t="s">
        <v>9</v>
      </c>
      <c r="C2187" s="10" t="s">
        <v>170</v>
      </c>
      <c r="D2187" s="10" t="s">
        <v>171</v>
      </c>
      <c r="E2187" s="11" t="str">
        <f>+HYPERLINK("http://trademark.i-assist.jp/data/china/image_1900th/78905321.pdf", "78905321")</f>
        <v>78905321</v>
      </c>
      <c r="F2187" s="10" t="s">
        <v>6196</v>
      </c>
      <c r="G2187" s="10" t="s">
        <v>6197</v>
      </c>
      <c r="H2187" s="10" t="s">
        <v>6198</v>
      </c>
      <c r="I2187" s="10" t="s">
        <v>5838</v>
      </c>
    </row>
    <row r="2188" spans="1:9" x14ac:dyDescent="0.15">
      <c r="A2188" s="9">
        <v>2187</v>
      </c>
      <c r="B2188" s="10" t="s">
        <v>9</v>
      </c>
      <c r="C2188" s="10" t="s">
        <v>170</v>
      </c>
      <c r="D2188" s="10" t="s">
        <v>171</v>
      </c>
      <c r="E2188" s="11" t="str">
        <f>+HYPERLINK("http://trademark.i-assist.jp/data/china/image_1900th/78905394.pdf", "78905394")</f>
        <v>78905394</v>
      </c>
      <c r="F2188" s="10" t="s">
        <v>6199</v>
      </c>
      <c r="G2188" s="10" t="s">
        <v>60</v>
      </c>
      <c r="H2188" s="10" t="s">
        <v>6200</v>
      </c>
      <c r="I2188" s="10" t="s">
        <v>5838</v>
      </c>
    </row>
    <row r="2189" spans="1:9" x14ac:dyDescent="0.15">
      <c r="A2189" s="9">
        <v>2188</v>
      </c>
      <c r="B2189" s="10" t="s">
        <v>9</v>
      </c>
      <c r="C2189" s="10" t="s">
        <v>170</v>
      </c>
      <c r="D2189" s="10" t="s">
        <v>171</v>
      </c>
      <c r="E2189" s="11" t="str">
        <f>+HYPERLINK("http://trademark.i-assist.jp/data/china/image_1900th/78905514.pdf", "78905514")</f>
        <v>78905514</v>
      </c>
      <c r="F2189" s="10" t="s">
        <v>15</v>
      </c>
      <c r="G2189" s="10" t="s">
        <v>5639</v>
      </c>
      <c r="H2189" s="10" t="s">
        <v>6201</v>
      </c>
      <c r="I2189" s="10" t="s">
        <v>5838</v>
      </c>
    </row>
    <row r="2190" spans="1:9" x14ac:dyDescent="0.15">
      <c r="A2190" s="9">
        <v>2189</v>
      </c>
      <c r="B2190" s="10" t="s">
        <v>9</v>
      </c>
      <c r="C2190" s="10" t="s">
        <v>170</v>
      </c>
      <c r="D2190" s="10" t="s">
        <v>171</v>
      </c>
      <c r="E2190" s="11" t="str">
        <f>+HYPERLINK("http://trademark.i-assist.jp/data/china/image_1900th/78905564.pdf", "78905564")</f>
        <v>78905564</v>
      </c>
      <c r="F2190" s="10" t="s">
        <v>6202</v>
      </c>
      <c r="G2190" s="10" t="s">
        <v>6203</v>
      </c>
      <c r="H2190" s="10" t="s">
        <v>6204</v>
      </c>
      <c r="I2190" s="10" t="s">
        <v>5838</v>
      </c>
    </row>
    <row r="2191" spans="1:9" x14ac:dyDescent="0.15">
      <c r="A2191" s="9">
        <v>2190</v>
      </c>
      <c r="B2191" s="10" t="s">
        <v>9</v>
      </c>
      <c r="C2191" s="10" t="s">
        <v>170</v>
      </c>
      <c r="D2191" s="10" t="s">
        <v>171</v>
      </c>
      <c r="E2191" s="11" t="str">
        <f>+HYPERLINK("http://trademark.i-assist.jp/data/china/image_1900th/78905621.pdf", "78905621")</f>
        <v>78905621</v>
      </c>
      <c r="F2191" s="10" t="s">
        <v>6205</v>
      </c>
      <c r="G2191" s="10" t="s">
        <v>5952</v>
      </c>
      <c r="H2191" s="10" t="s">
        <v>6206</v>
      </c>
      <c r="I2191" s="10" t="s">
        <v>5838</v>
      </c>
    </row>
    <row r="2192" spans="1:9" x14ac:dyDescent="0.15">
      <c r="A2192" s="9">
        <v>2191</v>
      </c>
      <c r="B2192" s="10" t="s">
        <v>9</v>
      </c>
      <c r="C2192" s="10" t="s">
        <v>170</v>
      </c>
      <c r="D2192" s="10" t="s">
        <v>171</v>
      </c>
      <c r="E2192" s="11" t="str">
        <f>+HYPERLINK("http://trademark.i-assist.jp/data/china/image_1900th/78906103.pdf", "78906103")</f>
        <v>78906103</v>
      </c>
      <c r="F2192" s="10" t="s">
        <v>6207</v>
      </c>
      <c r="G2192" s="10" t="s">
        <v>6208</v>
      </c>
      <c r="H2192" s="10" t="s">
        <v>4540</v>
      </c>
      <c r="I2192" s="10" t="s">
        <v>5838</v>
      </c>
    </row>
    <row r="2193" spans="1:9" x14ac:dyDescent="0.15">
      <c r="A2193" s="9">
        <v>2192</v>
      </c>
      <c r="B2193" s="10" t="s">
        <v>9</v>
      </c>
      <c r="C2193" s="10" t="s">
        <v>170</v>
      </c>
      <c r="D2193" s="10" t="s">
        <v>171</v>
      </c>
      <c r="E2193" s="11" t="str">
        <f>+HYPERLINK("http://trademark.i-assist.jp/data/china/image_1900th/78906249.pdf", "78906249")</f>
        <v>78906249</v>
      </c>
      <c r="F2193" s="10" t="s">
        <v>6209</v>
      </c>
      <c r="G2193" s="10" t="s">
        <v>6210</v>
      </c>
      <c r="H2193" s="10" t="s">
        <v>6211</v>
      </c>
      <c r="I2193" s="10" t="s">
        <v>5838</v>
      </c>
    </row>
    <row r="2194" spans="1:9" x14ac:dyDescent="0.15">
      <c r="A2194" s="9">
        <v>2193</v>
      </c>
      <c r="B2194" s="10" t="s">
        <v>9</v>
      </c>
      <c r="C2194" s="10" t="s">
        <v>170</v>
      </c>
      <c r="D2194" s="10" t="s">
        <v>171</v>
      </c>
      <c r="E2194" s="11" t="str">
        <f>+HYPERLINK("http://trademark.i-assist.jp/data/china/image_1900th/78906256.pdf", "78906256")</f>
        <v>78906256</v>
      </c>
      <c r="F2194" s="10" t="s">
        <v>15</v>
      </c>
      <c r="G2194" s="10" t="s">
        <v>6212</v>
      </c>
      <c r="H2194" s="10" t="s">
        <v>6213</v>
      </c>
      <c r="I2194" s="10" t="s">
        <v>5838</v>
      </c>
    </row>
    <row r="2195" spans="1:9" x14ac:dyDescent="0.15">
      <c r="A2195" s="9">
        <v>2194</v>
      </c>
      <c r="B2195" s="10" t="s">
        <v>9</v>
      </c>
      <c r="C2195" s="10" t="s">
        <v>170</v>
      </c>
      <c r="D2195" s="10" t="s">
        <v>171</v>
      </c>
      <c r="E2195" s="11" t="str">
        <f>+HYPERLINK("http://trademark.i-assist.jp/data/china/image_1900th/78906305.pdf", "78906305")</f>
        <v>78906305</v>
      </c>
      <c r="F2195" s="10" t="s">
        <v>6214</v>
      </c>
      <c r="G2195" s="10" t="s">
        <v>6215</v>
      </c>
      <c r="H2195" s="10" t="s">
        <v>6216</v>
      </c>
      <c r="I2195" s="10" t="s">
        <v>5838</v>
      </c>
    </row>
    <row r="2196" spans="1:9" x14ac:dyDescent="0.15">
      <c r="A2196" s="9">
        <v>2195</v>
      </c>
      <c r="B2196" s="10" t="s">
        <v>9</v>
      </c>
      <c r="C2196" s="10" t="s">
        <v>170</v>
      </c>
      <c r="D2196" s="10" t="s">
        <v>171</v>
      </c>
      <c r="E2196" s="11" t="str">
        <f>+HYPERLINK("http://trademark.i-assist.jp/data/china/image_1900th/78906318.pdf", "78906318")</f>
        <v>78906318</v>
      </c>
      <c r="F2196" s="10" t="s">
        <v>6217</v>
      </c>
      <c r="G2196" s="10" t="s">
        <v>6218</v>
      </c>
      <c r="H2196" s="10" t="s">
        <v>6219</v>
      </c>
      <c r="I2196" s="10" t="s">
        <v>5838</v>
      </c>
    </row>
    <row r="2197" spans="1:9" x14ac:dyDescent="0.15">
      <c r="A2197" s="9">
        <v>2196</v>
      </c>
      <c r="B2197" s="10" t="s">
        <v>9</v>
      </c>
      <c r="C2197" s="10" t="s">
        <v>170</v>
      </c>
      <c r="D2197" s="10" t="s">
        <v>171</v>
      </c>
      <c r="E2197" s="11" t="str">
        <f>+HYPERLINK("http://trademark.i-assist.jp/data/china/image_1900th/78906429.pdf", "78906429")</f>
        <v>78906429</v>
      </c>
      <c r="F2197" s="10" t="s">
        <v>6220</v>
      </c>
      <c r="G2197" s="10" t="s">
        <v>6221</v>
      </c>
      <c r="H2197" s="10" t="s">
        <v>6222</v>
      </c>
      <c r="I2197" s="10" t="s">
        <v>5838</v>
      </c>
    </row>
    <row r="2198" spans="1:9" x14ac:dyDescent="0.15">
      <c r="A2198" s="9">
        <v>2197</v>
      </c>
      <c r="B2198" s="10" t="s">
        <v>9</v>
      </c>
      <c r="C2198" s="10" t="s">
        <v>170</v>
      </c>
      <c r="D2198" s="10" t="s">
        <v>171</v>
      </c>
      <c r="E2198" s="11" t="str">
        <f>+HYPERLINK("http://trademark.i-assist.jp/data/china/image_1900th/78906452.pdf", "78906452")</f>
        <v>78906452</v>
      </c>
      <c r="F2198" s="10" t="s">
        <v>6223</v>
      </c>
      <c r="G2198" s="10" t="s">
        <v>6224</v>
      </c>
      <c r="H2198" s="10" t="s">
        <v>6225</v>
      </c>
      <c r="I2198" s="10" t="s">
        <v>5838</v>
      </c>
    </row>
    <row r="2199" spans="1:9" x14ac:dyDescent="0.15">
      <c r="A2199" s="9">
        <v>2198</v>
      </c>
      <c r="B2199" s="10" t="s">
        <v>9</v>
      </c>
      <c r="C2199" s="10" t="s">
        <v>170</v>
      </c>
      <c r="D2199" s="10" t="s">
        <v>171</v>
      </c>
      <c r="E2199" s="11" t="str">
        <f>+HYPERLINK("http://trademark.i-assist.jp/data/china/image_1900th/78906549.pdf", "78906549")</f>
        <v>78906549</v>
      </c>
      <c r="F2199" s="10" t="s">
        <v>6226</v>
      </c>
      <c r="G2199" s="10" t="s">
        <v>6227</v>
      </c>
      <c r="H2199" s="10" t="s">
        <v>6228</v>
      </c>
      <c r="I2199" s="10" t="s">
        <v>5838</v>
      </c>
    </row>
    <row r="2200" spans="1:9" x14ac:dyDescent="0.15">
      <c r="A2200" s="9">
        <v>2199</v>
      </c>
      <c r="B2200" s="10" t="s">
        <v>9</v>
      </c>
      <c r="C2200" s="10" t="s">
        <v>170</v>
      </c>
      <c r="D2200" s="10" t="s">
        <v>171</v>
      </c>
      <c r="E2200" s="11" t="str">
        <f>+HYPERLINK("http://trademark.i-assist.jp/data/china/image_1900th/78906695.pdf", "78906695")</f>
        <v>78906695</v>
      </c>
      <c r="F2200" s="10" t="s">
        <v>6229</v>
      </c>
      <c r="G2200" s="10" t="s">
        <v>6230</v>
      </c>
      <c r="H2200" s="10" t="s">
        <v>6231</v>
      </c>
      <c r="I2200" s="10" t="s">
        <v>5838</v>
      </c>
    </row>
    <row r="2201" spans="1:9" x14ac:dyDescent="0.15">
      <c r="A2201" s="9">
        <v>2200</v>
      </c>
      <c r="B2201" s="10" t="s">
        <v>9</v>
      </c>
      <c r="C2201" s="10" t="s">
        <v>170</v>
      </c>
      <c r="D2201" s="10" t="s">
        <v>171</v>
      </c>
      <c r="E2201" s="11" t="str">
        <f>+HYPERLINK("http://trademark.i-assist.jp/data/china/image_1900th/78906797.pdf", "78906797")</f>
        <v>78906797</v>
      </c>
      <c r="F2201" s="10" t="s">
        <v>6232</v>
      </c>
      <c r="G2201" s="10" t="s">
        <v>6233</v>
      </c>
      <c r="H2201" s="10" t="s">
        <v>6234</v>
      </c>
      <c r="I2201" s="10" t="s">
        <v>5838</v>
      </c>
    </row>
    <row r="2202" spans="1:9" x14ac:dyDescent="0.15">
      <c r="A2202" s="9">
        <v>2201</v>
      </c>
      <c r="B2202" s="10" t="s">
        <v>9</v>
      </c>
      <c r="C2202" s="10" t="s">
        <v>170</v>
      </c>
      <c r="D2202" s="10" t="s">
        <v>171</v>
      </c>
      <c r="E2202" s="11" t="str">
        <f>+HYPERLINK("http://trademark.i-assist.jp/data/china/image_1900th/78906882.pdf", "78906882")</f>
        <v>78906882</v>
      </c>
      <c r="F2202" s="10" t="s">
        <v>6235</v>
      </c>
      <c r="G2202" s="10" t="s">
        <v>6236</v>
      </c>
      <c r="H2202" s="10" t="s">
        <v>6237</v>
      </c>
      <c r="I2202" s="10" t="s">
        <v>5838</v>
      </c>
    </row>
    <row r="2203" spans="1:9" x14ac:dyDescent="0.15">
      <c r="A2203" s="9">
        <v>2202</v>
      </c>
      <c r="B2203" s="10" t="s">
        <v>9</v>
      </c>
      <c r="C2203" s="10" t="s">
        <v>170</v>
      </c>
      <c r="D2203" s="10" t="s">
        <v>171</v>
      </c>
      <c r="E2203" s="11" t="str">
        <f>+HYPERLINK("http://trademark.i-assist.jp/data/china/image_1900th/78906976.pdf", "78906976")</f>
        <v>78906976</v>
      </c>
      <c r="F2203" s="10" t="s">
        <v>6238</v>
      </c>
      <c r="G2203" s="10" t="s">
        <v>3534</v>
      </c>
      <c r="H2203" s="10" t="s">
        <v>6239</v>
      </c>
      <c r="I2203" s="10" t="s">
        <v>5838</v>
      </c>
    </row>
    <row r="2204" spans="1:9" x14ac:dyDescent="0.15">
      <c r="A2204" s="9">
        <v>2203</v>
      </c>
      <c r="B2204" s="10" t="s">
        <v>9</v>
      </c>
      <c r="C2204" s="10" t="s">
        <v>170</v>
      </c>
      <c r="D2204" s="10" t="s">
        <v>171</v>
      </c>
      <c r="E2204" s="11" t="str">
        <f>+HYPERLINK("http://trademark.i-assist.jp/data/china/image_1900th/78907049.pdf", "78907049")</f>
        <v>78907049</v>
      </c>
      <c r="F2204" s="10" t="s">
        <v>6240</v>
      </c>
      <c r="G2204" s="10" t="s">
        <v>6241</v>
      </c>
      <c r="H2204" s="10" t="s">
        <v>6242</v>
      </c>
      <c r="I2204" s="10" t="s">
        <v>5838</v>
      </c>
    </row>
    <row r="2205" spans="1:9" x14ac:dyDescent="0.15">
      <c r="A2205" s="9">
        <v>2204</v>
      </c>
      <c r="B2205" s="10" t="s">
        <v>9</v>
      </c>
      <c r="C2205" s="10" t="s">
        <v>170</v>
      </c>
      <c r="D2205" s="10" t="s">
        <v>171</v>
      </c>
      <c r="E2205" s="11" t="str">
        <f>+HYPERLINK("http://trademark.i-assist.jp/data/china/image_1900th/78907088.pdf", "78907088")</f>
        <v>78907088</v>
      </c>
      <c r="F2205" s="10" t="s">
        <v>6243</v>
      </c>
      <c r="G2205" s="10" t="s">
        <v>6244</v>
      </c>
      <c r="H2205" s="10" t="s">
        <v>6245</v>
      </c>
      <c r="I2205" s="10" t="s">
        <v>5838</v>
      </c>
    </row>
    <row r="2206" spans="1:9" x14ac:dyDescent="0.15">
      <c r="A2206" s="9">
        <v>2205</v>
      </c>
      <c r="B2206" s="10" t="s">
        <v>9</v>
      </c>
      <c r="C2206" s="10" t="s">
        <v>170</v>
      </c>
      <c r="D2206" s="10" t="s">
        <v>171</v>
      </c>
      <c r="E2206" s="11" t="str">
        <f>+HYPERLINK("http://trademark.i-assist.jp/data/china/image_1900th/78907179.pdf", "78907179")</f>
        <v>78907179</v>
      </c>
      <c r="F2206" s="10" t="s">
        <v>6246</v>
      </c>
      <c r="G2206" s="10" t="s">
        <v>6233</v>
      </c>
      <c r="H2206" s="10" t="s">
        <v>6247</v>
      </c>
      <c r="I2206" s="10" t="s">
        <v>5838</v>
      </c>
    </row>
    <row r="2207" spans="1:9" x14ac:dyDescent="0.15">
      <c r="A2207" s="9">
        <v>2206</v>
      </c>
      <c r="B2207" s="10" t="s">
        <v>9</v>
      </c>
      <c r="C2207" s="10" t="s">
        <v>170</v>
      </c>
      <c r="D2207" s="10" t="s">
        <v>171</v>
      </c>
      <c r="E2207" s="11" t="str">
        <f>+HYPERLINK("http://trademark.i-assist.jp/data/china/image_1900th/78907204.pdf", "78907204")</f>
        <v>78907204</v>
      </c>
      <c r="F2207" s="10" t="s">
        <v>6248</v>
      </c>
      <c r="G2207" s="10" t="s">
        <v>6249</v>
      </c>
      <c r="H2207" s="10" t="s">
        <v>6250</v>
      </c>
      <c r="I2207" s="10" t="s">
        <v>5838</v>
      </c>
    </row>
    <row r="2208" spans="1:9" x14ac:dyDescent="0.15">
      <c r="A2208" s="9">
        <v>2207</v>
      </c>
      <c r="B2208" s="10" t="s">
        <v>9</v>
      </c>
      <c r="C2208" s="10" t="s">
        <v>170</v>
      </c>
      <c r="D2208" s="10" t="s">
        <v>171</v>
      </c>
      <c r="E2208" s="11" t="str">
        <f>+HYPERLINK("http://trademark.i-assist.jp/data/china/image_1900th/78907528.pdf", "78907528")</f>
        <v>78907528</v>
      </c>
      <c r="F2208" s="10" t="s">
        <v>6251</v>
      </c>
      <c r="G2208" s="10" t="s">
        <v>5843</v>
      </c>
      <c r="H2208" s="10" t="s">
        <v>6252</v>
      </c>
      <c r="I2208" s="10" t="s">
        <v>5838</v>
      </c>
    </row>
    <row r="2209" spans="1:9" x14ac:dyDescent="0.15">
      <c r="A2209" s="9">
        <v>2208</v>
      </c>
      <c r="B2209" s="10" t="s">
        <v>9</v>
      </c>
      <c r="C2209" s="10" t="s">
        <v>170</v>
      </c>
      <c r="D2209" s="10" t="s">
        <v>171</v>
      </c>
      <c r="E2209" s="11" t="str">
        <f>+HYPERLINK("http://trademark.i-assist.jp/data/china/image_1900th/78907550.pdf", "78907550")</f>
        <v>78907550</v>
      </c>
      <c r="F2209" s="10" t="s">
        <v>6253</v>
      </c>
      <c r="G2209" s="10" t="s">
        <v>6254</v>
      </c>
      <c r="H2209" s="10" t="s">
        <v>6255</v>
      </c>
      <c r="I2209" s="10" t="s">
        <v>5838</v>
      </c>
    </row>
    <row r="2210" spans="1:9" x14ac:dyDescent="0.15">
      <c r="A2210" s="9">
        <v>2209</v>
      </c>
      <c r="B2210" s="10" t="s">
        <v>9</v>
      </c>
      <c r="C2210" s="10" t="s">
        <v>170</v>
      </c>
      <c r="D2210" s="10" t="s">
        <v>171</v>
      </c>
      <c r="E2210" s="11" t="str">
        <f>+HYPERLINK("http://trademark.i-assist.jp/data/china/image_1900th/78907663.pdf", "78907663")</f>
        <v>78907663</v>
      </c>
      <c r="F2210" s="10" t="s">
        <v>6256</v>
      </c>
      <c r="G2210" s="10" t="s">
        <v>6257</v>
      </c>
      <c r="H2210" s="10" t="s">
        <v>6258</v>
      </c>
      <c r="I2210" s="10" t="s">
        <v>5838</v>
      </c>
    </row>
    <row r="2211" spans="1:9" x14ac:dyDescent="0.15">
      <c r="A2211" s="9">
        <v>2210</v>
      </c>
      <c r="B2211" s="10" t="s">
        <v>9</v>
      </c>
      <c r="C2211" s="10" t="s">
        <v>170</v>
      </c>
      <c r="D2211" s="10" t="s">
        <v>171</v>
      </c>
      <c r="E2211" s="11" t="str">
        <f>+HYPERLINK("http://trademark.i-assist.jp/data/china/image_1900th/78907858.pdf", "78907858")</f>
        <v>78907858</v>
      </c>
      <c r="F2211" s="10" t="s">
        <v>6259</v>
      </c>
      <c r="G2211" s="10" t="s">
        <v>6260</v>
      </c>
      <c r="H2211" s="10" t="s">
        <v>6261</v>
      </c>
      <c r="I2211" s="10" t="s">
        <v>5838</v>
      </c>
    </row>
    <row r="2212" spans="1:9" x14ac:dyDescent="0.15">
      <c r="A2212" s="9">
        <v>2211</v>
      </c>
      <c r="B2212" s="10" t="s">
        <v>9</v>
      </c>
      <c r="C2212" s="10" t="s">
        <v>170</v>
      </c>
      <c r="D2212" s="10" t="s">
        <v>171</v>
      </c>
      <c r="E2212" s="11" t="str">
        <f>+HYPERLINK("http://trademark.i-assist.jp/data/china/image_1900th/78907887.pdf", "78907887")</f>
        <v>78907887</v>
      </c>
      <c r="F2212" s="10" t="s">
        <v>6262</v>
      </c>
      <c r="G2212" s="10" t="s">
        <v>6263</v>
      </c>
      <c r="H2212" s="10" t="s">
        <v>6264</v>
      </c>
      <c r="I2212" s="10" t="s">
        <v>5838</v>
      </c>
    </row>
    <row r="2213" spans="1:9" x14ac:dyDescent="0.15">
      <c r="A2213" s="9">
        <v>2212</v>
      </c>
      <c r="B2213" s="10" t="s">
        <v>9</v>
      </c>
      <c r="C2213" s="10" t="s">
        <v>170</v>
      </c>
      <c r="D2213" s="10" t="s">
        <v>171</v>
      </c>
      <c r="E2213" s="11" t="str">
        <f>+HYPERLINK("http://trademark.i-assist.jp/data/china/image_1900th/78908107.pdf", "78908107")</f>
        <v>78908107</v>
      </c>
      <c r="F2213" s="10" t="s">
        <v>6265</v>
      </c>
      <c r="G2213" s="10" t="s">
        <v>5866</v>
      </c>
      <c r="H2213" s="10" t="s">
        <v>6266</v>
      </c>
      <c r="I2213" s="10" t="s">
        <v>5838</v>
      </c>
    </row>
    <row r="2214" spans="1:9" x14ac:dyDescent="0.15">
      <c r="A2214" s="9">
        <v>2213</v>
      </c>
      <c r="B2214" s="10" t="s">
        <v>9</v>
      </c>
      <c r="C2214" s="10" t="s">
        <v>170</v>
      </c>
      <c r="D2214" s="10" t="s">
        <v>171</v>
      </c>
      <c r="E2214" s="11" t="str">
        <f>+HYPERLINK("http://trademark.i-assist.jp/data/china/image_1900th/78908169.pdf", "78908169")</f>
        <v>78908169</v>
      </c>
      <c r="F2214" s="10" t="s">
        <v>6267</v>
      </c>
      <c r="G2214" s="10" t="s">
        <v>5928</v>
      </c>
      <c r="H2214" s="10" t="s">
        <v>6268</v>
      </c>
      <c r="I2214" s="10" t="s">
        <v>5838</v>
      </c>
    </row>
    <row r="2215" spans="1:9" x14ac:dyDescent="0.15">
      <c r="A2215" s="9">
        <v>2214</v>
      </c>
      <c r="B2215" s="10" t="s">
        <v>9</v>
      </c>
      <c r="C2215" s="10" t="s">
        <v>170</v>
      </c>
      <c r="D2215" s="10" t="s">
        <v>171</v>
      </c>
      <c r="E2215" s="11" t="str">
        <f>+HYPERLINK("http://trademark.i-assist.jp/data/china/image_1900th/78908190.pdf", "78908190")</f>
        <v>78908190</v>
      </c>
      <c r="F2215" s="10" t="s">
        <v>6269</v>
      </c>
      <c r="G2215" s="10" t="s">
        <v>6270</v>
      </c>
      <c r="H2215" s="10" t="s">
        <v>6271</v>
      </c>
      <c r="I2215" s="10" t="s">
        <v>5838</v>
      </c>
    </row>
    <row r="2216" spans="1:9" x14ac:dyDescent="0.15">
      <c r="A2216" s="9">
        <v>2215</v>
      </c>
      <c r="B2216" s="10" t="s">
        <v>9</v>
      </c>
      <c r="C2216" s="10" t="s">
        <v>170</v>
      </c>
      <c r="D2216" s="10" t="s">
        <v>171</v>
      </c>
      <c r="E2216" s="11" t="str">
        <f>+HYPERLINK("http://trademark.i-assist.jp/data/china/image_1900th/78908438.pdf", "78908438")</f>
        <v>78908438</v>
      </c>
      <c r="F2216" s="10" t="s">
        <v>6272</v>
      </c>
      <c r="G2216" s="10" t="s">
        <v>6273</v>
      </c>
      <c r="H2216" s="10" t="s">
        <v>6274</v>
      </c>
      <c r="I2216" s="10" t="s">
        <v>5838</v>
      </c>
    </row>
    <row r="2217" spans="1:9" x14ac:dyDescent="0.15">
      <c r="A2217" s="9">
        <v>2216</v>
      </c>
      <c r="B2217" s="10" t="s">
        <v>9</v>
      </c>
      <c r="C2217" s="10" t="s">
        <v>170</v>
      </c>
      <c r="D2217" s="10" t="s">
        <v>171</v>
      </c>
      <c r="E2217" s="11" t="str">
        <f>+HYPERLINK("http://trademark.i-assist.jp/data/china/image_1900th/78908582.pdf", "78908582")</f>
        <v>78908582</v>
      </c>
      <c r="F2217" s="10" t="s">
        <v>6275</v>
      </c>
      <c r="G2217" s="10" t="s">
        <v>6276</v>
      </c>
      <c r="H2217" s="10" t="s">
        <v>6277</v>
      </c>
      <c r="I2217" s="10" t="s">
        <v>5838</v>
      </c>
    </row>
    <row r="2218" spans="1:9" x14ac:dyDescent="0.15">
      <c r="A2218" s="9">
        <v>2217</v>
      </c>
      <c r="B2218" s="10" t="s">
        <v>9</v>
      </c>
      <c r="C2218" s="10" t="s">
        <v>170</v>
      </c>
      <c r="D2218" s="10" t="s">
        <v>171</v>
      </c>
      <c r="E2218" s="11" t="str">
        <f>+HYPERLINK("http://trademark.i-assist.jp/data/china/image_1900th/78908590.pdf", "78908590")</f>
        <v>78908590</v>
      </c>
      <c r="F2218" s="10" t="s">
        <v>6278</v>
      </c>
      <c r="G2218" s="10" t="s">
        <v>6279</v>
      </c>
      <c r="H2218" s="10" t="s">
        <v>6280</v>
      </c>
      <c r="I2218" s="10" t="s">
        <v>5838</v>
      </c>
    </row>
    <row r="2219" spans="1:9" x14ac:dyDescent="0.15">
      <c r="A2219" s="9">
        <v>2218</v>
      </c>
      <c r="B2219" s="10" t="s">
        <v>9</v>
      </c>
      <c r="C2219" s="10" t="s">
        <v>170</v>
      </c>
      <c r="D2219" s="10" t="s">
        <v>171</v>
      </c>
      <c r="E2219" s="11" t="str">
        <f>+HYPERLINK("http://trademark.i-assist.jp/data/china/image_1900th/78908719.pdf", "78908719")</f>
        <v>78908719</v>
      </c>
      <c r="F2219" s="10" t="s">
        <v>6281</v>
      </c>
      <c r="G2219" s="10" t="s">
        <v>6282</v>
      </c>
      <c r="H2219" s="10" t="s">
        <v>6283</v>
      </c>
      <c r="I2219" s="10" t="s">
        <v>5838</v>
      </c>
    </row>
    <row r="2220" spans="1:9" x14ac:dyDescent="0.15">
      <c r="A2220" s="9">
        <v>2219</v>
      </c>
      <c r="B2220" s="10" t="s">
        <v>9</v>
      </c>
      <c r="C2220" s="10" t="s">
        <v>170</v>
      </c>
      <c r="D2220" s="10" t="s">
        <v>171</v>
      </c>
      <c r="E2220" s="11" t="str">
        <f>+HYPERLINK("http://trademark.i-assist.jp/data/china/image_1900th/78909065.pdf", "78909065")</f>
        <v>78909065</v>
      </c>
      <c r="F2220" s="10" t="s">
        <v>5978</v>
      </c>
      <c r="G2220" s="10" t="s">
        <v>5979</v>
      </c>
      <c r="H2220" s="10" t="s">
        <v>6284</v>
      </c>
      <c r="I2220" s="10" t="s">
        <v>5838</v>
      </c>
    </row>
    <row r="2221" spans="1:9" x14ac:dyDescent="0.15">
      <c r="A2221" s="9">
        <v>2220</v>
      </c>
      <c r="B2221" s="10" t="s">
        <v>9</v>
      </c>
      <c r="C2221" s="10" t="s">
        <v>170</v>
      </c>
      <c r="D2221" s="10" t="s">
        <v>171</v>
      </c>
      <c r="E2221" s="11" t="str">
        <f>+HYPERLINK("http://trademark.i-assist.jp/data/china/image_1900th/78909207.pdf", "78909207")</f>
        <v>78909207</v>
      </c>
      <c r="F2221" s="10" t="s">
        <v>6285</v>
      </c>
      <c r="G2221" s="10" t="s">
        <v>6063</v>
      </c>
      <c r="H2221" s="10" t="s">
        <v>6286</v>
      </c>
      <c r="I2221" s="10" t="s">
        <v>5838</v>
      </c>
    </row>
    <row r="2222" spans="1:9" x14ac:dyDescent="0.15">
      <c r="A2222" s="9">
        <v>2221</v>
      </c>
      <c r="B2222" s="10" t="s">
        <v>9</v>
      </c>
      <c r="C2222" s="10" t="s">
        <v>170</v>
      </c>
      <c r="D2222" s="10" t="s">
        <v>171</v>
      </c>
      <c r="E2222" s="11" t="str">
        <f>+HYPERLINK("http://trademark.i-assist.jp/data/china/image_1900th/78909312.pdf", "78909312")</f>
        <v>78909312</v>
      </c>
      <c r="F2222" s="10" t="s">
        <v>6287</v>
      </c>
      <c r="G2222" s="10" t="s">
        <v>6288</v>
      </c>
      <c r="H2222" s="10" t="s">
        <v>6289</v>
      </c>
      <c r="I2222" s="10" t="s">
        <v>5838</v>
      </c>
    </row>
    <row r="2223" spans="1:9" x14ac:dyDescent="0.15">
      <c r="A2223" s="9">
        <v>2222</v>
      </c>
      <c r="B2223" s="10" t="s">
        <v>9</v>
      </c>
      <c r="C2223" s="10" t="s">
        <v>170</v>
      </c>
      <c r="D2223" s="10" t="s">
        <v>171</v>
      </c>
      <c r="E2223" s="11" t="str">
        <f>+HYPERLINK("http://trademark.i-assist.jp/data/china/image_1900th/78909397.pdf", "78909397")</f>
        <v>78909397</v>
      </c>
      <c r="F2223" s="10" t="s">
        <v>6290</v>
      </c>
      <c r="G2223" s="10" t="s">
        <v>151</v>
      </c>
      <c r="H2223" s="10" t="s">
        <v>6291</v>
      </c>
      <c r="I2223" s="10" t="s">
        <v>5838</v>
      </c>
    </row>
    <row r="2224" spans="1:9" x14ac:dyDescent="0.15">
      <c r="A2224" s="9">
        <v>2223</v>
      </c>
      <c r="B2224" s="10" t="s">
        <v>9</v>
      </c>
      <c r="C2224" s="10" t="s">
        <v>170</v>
      </c>
      <c r="D2224" s="10" t="s">
        <v>171</v>
      </c>
      <c r="E2224" s="11" t="str">
        <f>+HYPERLINK("http://trademark.i-assist.jp/data/china/image_1900th/78909894.pdf", "78909894")</f>
        <v>78909894</v>
      </c>
      <c r="F2224" s="10" t="s">
        <v>6292</v>
      </c>
      <c r="G2224" s="10" t="s">
        <v>52</v>
      </c>
      <c r="H2224" s="10" t="s">
        <v>6293</v>
      </c>
      <c r="I2224" s="10" t="s">
        <v>5838</v>
      </c>
    </row>
    <row r="2225" spans="1:9" x14ac:dyDescent="0.15">
      <c r="A2225" s="9">
        <v>2224</v>
      </c>
      <c r="B2225" s="10" t="s">
        <v>9</v>
      </c>
      <c r="C2225" s="10" t="s">
        <v>170</v>
      </c>
      <c r="D2225" s="10" t="s">
        <v>171</v>
      </c>
      <c r="E2225" s="11" t="str">
        <f>+HYPERLINK("http://trademark.i-assist.jp/data/china/image_1900th/78909937.pdf", "78909937")</f>
        <v>78909937</v>
      </c>
      <c r="F2225" s="10" t="s">
        <v>6294</v>
      </c>
      <c r="G2225" s="10" t="s">
        <v>150</v>
      </c>
      <c r="H2225" s="10" t="s">
        <v>6295</v>
      </c>
      <c r="I2225" s="10" t="s">
        <v>5838</v>
      </c>
    </row>
    <row r="2226" spans="1:9" x14ac:dyDescent="0.15">
      <c r="A2226" s="9">
        <v>2225</v>
      </c>
      <c r="B2226" s="10" t="s">
        <v>9</v>
      </c>
      <c r="C2226" s="10" t="s">
        <v>170</v>
      </c>
      <c r="D2226" s="10" t="s">
        <v>171</v>
      </c>
      <c r="E2226" s="11" t="str">
        <f>+HYPERLINK("http://trademark.i-assist.jp/data/china/image_1900th/78909979.pdf", "78909979")</f>
        <v>78909979</v>
      </c>
      <c r="F2226" s="10" t="s">
        <v>6296</v>
      </c>
      <c r="G2226" s="10" t="s">
        <v>6297</v>
      </c>
      <c r="H2226" s="10" t="s">
        <v>6298</v>
      </c>
      <c r="I2226" s="10" t="s">
        <v>5838</v>
      </c>
    </row>
    <row r="2227" spans="1:9" x14ac:dyDescent="0.15">
      <c r="A2227" s="9">
        <v>2226</v>
      </c>
      <c r="B2227" s="10" t="s">
        <v>9</v>
      </c>
      <c r="C2227" s="10" t="s">
        <v>170</v>
      </c>
      <c r="D2227" s="10" t="s">
        <v>171</v>
      </c>
      <c r="E2227" s="11" t="str">
        <f>+HYPERLINK("http://trademark.i-assist.jp/data/china/image_1900th/78910345.pdf", "78910345")</f>
        <v>78910345</v>
      </c>
      <c r="F2227" s="10" t="s">
        <v>6299</v>
      </c>
      <c r="G2227" s="10" t="s">
        <v>6300</v>
      </c>
      <c r="H2227" s="10" t="s">
        <v>6301</v>
      </c>
      <c r="I2227" s="10" t="s">
        <v>5838</v>
      </c>
    </row>
    <row r="2228" spans="1:9" x14ac:dyDescent="0.15">
      <c r="A2228" s="9">
        <v>2227</v>
      </c>
      <c r="B2228" s="10" t="s">
        <v>9</v>
      </c>
      <c r="C2228" s="10" t="s">
        <v>170</v>
      </c>
      <c r="D2228" s="10" t="s">
        <v>171</v>
      </c>
      <c r="E2228" s="11" t="str">
        <f>+HYPERLINK("http://trademark.i-assist.jp/data/china/image_1900th/78910464.pdf", "78910464")</f>
        <v>78910464</v>
      </c>
      <c r="F2228" s="10" t="s">
        <v>6302</v>
      </c>
      <c r="G2228" s="10" t="s">
        <v>6303</v>
      </c>
      <c r="H2228" s="10" t="s">
        <v>6304</v>
      </c>
      <c r="I2228" s="10" t="s">
        <v>5838</v>
      </c>
    </row>
    <row r="2229" spans="1:9" x14ac:dyDescent="0.15">
      <c r="A2229" s="9">
        <v>2228</v>
      </c>
      <c r="B2229" s="10" t="s">
        <v>9</v>
      </c>
      <c r="C2229" s="10" t="s">
        <v>170</v>
      </c>
      <c r="D2229" s="10" t="s">
        <v>171</v>
      </c>
      <c r="E2229" s="11" t="str">
        <f>+HYPERLINK("http://trademark.i-assist.jp/data/china/image_1900th/78910541.pdf", "78910541")</f>
        <v>78910541</v>
      </c>
      <c r="F2229" s="10" t="s">
        <v>6305</v>
      </c>
      <c r="G2229" s="10" t="s">
        <v>6152</v>
      </c>
      <c r="H2229" s="10" t="s">
        <v>6306</v>
      </c>
      <c r="I2229" s="10" t="s">
        <v>5838</v>
      </c>
    </row>
    <row r="2230" spans="1:9" x14ac:dyDescent="0.15">
      <c r="A2230" s="9">
        <v>2229</v>
      </c>
      <c r="B2230" s="10" t="s">
        <v>9</v>
      </c>
      <c r="C2230" s="10" t="s">
        <v>170</v>
      </c>
      <c r="D2230" s="10" t="s">
        <v>171</v>
      </c>
      <c r="E2230" s="11" t="str">
        <f>+HYPERLINK("http://trademark.i-assist.jp/data/china/image_1900th/78910991.pdf", "78910991")</f>
        <v>78910991</v>
      </c>
      <c r="F2230" s="10" t="s">
        <v>6307</v>
      </c>
      <c r="G2230" s="10" t="s">
        <v>6308</v>
      </c>
      <c r="H2230" s="10" t="s">
        <v>6309</v>
      </c>
      <c r="I2230" s="10" t="s">
        <v>5838</v>
      </c>
    </row>
    <row r="2231" spans="1:9" x14ac:dyDescent="0.15">
      <c r="A2231" s="9">
        <v>2230</v>
      </c>
      <c r="B2231" s="10" t="s">
        <v>9</v>
      </c>
      <c r="C2231" s="10" t="s">
        <v>170</v>
      </c>
      <c r="D2231" s="10" t="s">
        <v>171</v>
      </c>
      <c r="E2231" s="11" t="str">
        <f>+HYPERLINK("http://trademark.i-assist.jp/data/china/image_1900th/78911143.pdf", "78911143")</f>
        <v>78911143</v>
      </c>
      <c r="F2231" s="10" t="s">
        <v>6310</v>
      </c>
      <c r="G2231" s="10" t="s">
        <v>6311</v>
      </c>
      <c r="H2231" s="10" t="s">
        <v>6312</v>
      </c>
      <c r="I2231" s="10" t="s">
        <v>5838</v>
      </c>
    </row>
    <row r="2232" spans="1:9" x14ac:dyDescent="0.15">
      <c r="A2232" s="9">
        <v>2231</v>
      </c>
      <c r="B2232" s="10" t="s">
        <v>9</v>
      </c>
      <c r="C2232" s="10" t="s">
        <v>170</v>
      </c>
      <c r="D2232" s="10" t="s">
        <v>171</v>
      </c>
      <c r="E2232" s="11" t="str">
        <f>+HYPERLINK("http://trademark.i-assist.jp/data/china/image_1900th/78911395.pdf", "78911395")</f>
        <v>78911395</v>
      </c>
      <c r="F2232" s="10" t="s">
        <v>6313</v>
      </c>
      <c r="G2232" s="10" t="s">
        <v>6314</v>
      </c>
      <c r="H2232" s="10" t="s">
        <v>6315</v>
      </c>
      <c r="I2232" s="10" t="s">
        <v>5838</v>
      </c>
    </row>
    <row r="2233" spans="1:9" x14ac:dyDescent="0.15">
      <c r="A2233" s="9">
        <v>2232</v>
      </c>
      <c r="B2233" s="10" t="s">
        <v>9</v>
      </c>
      <c r="C2233" s="10" t="s">
        <v>170</v>
      </c>
      <c r="D2233" s="10" t="s">
        <v>171</v>
      </c>
      <c r="E2233" s="11" t="str">
        <f>+HYPERLINK("http://trademark.i-assist.jp/data/china/image_1900th/78911431.pdf", "78911431")</f>
        <v>78911431</v>
      </c>
      <c r="F2233" s="10" t="s">
        <v>6316</v>
      </c>
      <c r="G2233" s="10" t="s">
        <v>5970</v>
      </c>
      <c r="H2233" s="10" t="s">
        <v>6317</v>
      </c>
      <c r="I2233" s="10" t="s">
        <v>5838</v>
      </c>
    </row>
    <row r="2234" spans="1:9" x14ac:dyDescent="0.15">
      <c r="A2234" s="9">
        <v>2233</v>
      </c>
      <c r="B2234" s="10" t="s">
        <v>9</v>
      </c>
      <c r="C2234" s="10" t="s">
        <v>170</v>
      </c>
      <c r="D2234" s="10" t="s">
        <v>171</v>
      </c>
      <c r="E2234" s="11" t="str">
        <f>+HYPERLINK("http://trademark.i-assist.jp/data/china/image_1900th/78911558.pdf", "78911558")</f>
        <v>78911558</v>
      </c>
      <c r="F2234" s="10" t="s">
        <v>15</v>
      </c>
      <c r="G2234" s="10" t="s">
        <v>6318</v>
      </c>
      <c r="H2234" s="10" t="s">
        <v>6319</v>
      </c>
      <c r="I2234" s="10" t="s">
        <v>5838</v>
      </c>
    </row>
    <row r="2235" spans="1:9" x14ac:dyDescent="0.15">
      <c r="A2235" s="9">
        <v>2234</v>
      </c>
      <c r="B2235" s="10" t="s">
        <v>9</v>
      </c>
      <c r="C2235" s="10" t="s">
        <v>170</v>
      </c>
      <c r="D2235" s="10" t="s">
        <v>171</v>
      </c>
      <c r="E2235" s="11" t="str">
        <f>+HYPERLINK("http://trademark.i-assist.jp/data/china/image_1900th/78911667.pdf", "78911667")</f>
        <v>78911667</v>
      </c>
      <c r="F2235" s="10" t="s">
        <v>6320</v>
      </c>
      <c r="G2235" s="10" t="s">
        <v>6321</v>
      </c>
      <c r="H2235" s="10" t="s">
        <v>6322</v>
      </c>
      <c r="I2235" s="10" t="s">
        <v>5838</v>
      </c>
    </row>
    <row r="2236" spans="1:9" x14ac:dyDescent="0.15">
      <c r="A2236" s="9">
        <v>2235</v>
      </c>
      <c r="B2236" s="10" t="s">
        <v>9</v>
      </c>
      <c r="C2236" s="10" t="s">
        <v>170</v>
      </c>
      <c r="D2236" s="10" t="s">
        <v>171</v>
      </c>
      <c r="E2236" s="11" t="str">
        <f>+HYPERLINK("http://trademark.i-assist.jp/data/china/image_1900th/78912029.pdf", "78912029")</f>
        <v>78912029</v>
      </c>
      <c r="F2236" s="10" t="s">
        <v>6323</v>
      </c>
      <c r="G2236" s="10" t="s">
        <v>6124</v>
      </c>
      <c r="H2236" s="10" t="s">
        <v>6324</v>
      </c>
      <c r="I2236" s="10" t="s">
        <v>5838</v>
      </c>
    </row>
    <row r="2237" spans="1:9" x14ac:dyDescent="0.15">
      <c r="A2237" s="9">
        <v>2236</v>
      </c>
      <c r="B2237" s="10" t="s">
        <v>9</v>
      </c>
      <c r="C2237" s="10" t="s">
        <v>170</v>
      </c>
      <c r="D2237" s="10" t="s">
        <v>171</v>
      </c>
      <c r="E2237" s="11" t="str">
        <f>+HYPERLINK("http://trademark.i-assist.jp/data/china/image_1900th/78912089.pdf", "78912089")</f>
        <v>78912089</v>
      </c>
      <c r="F2237" s="10" t="s">
        <v>6325</v>
      </c>
      <c r="G2237" s="10" t="s">
        <v>6124</v>
      </c>
      <c r="H2237" s="10" t="s">
        <v>6326</v>
      </c>
      <c r="I2237" s="10" t="s">
        <v>5838</v>
      </c>
    </row>
    <row r="2238" spans="1:9" x14ac:dyDescent="0.15">
      <c r="A2238" s="9">
        <v>2237</v>
      </c>
      <c r="B2238" s="10" t="s">
        <v>9</v>
      </c>
      <c r="C2238" s="10" t="s">
        <v>170</v>
      </c>
      <c r="D2238" s="10" t="s">
        <v>171</v>
      </c>
      <c r="E2238" s="11" t="str">
        <f>+HYPERLINK("http://trademark.i-assist.jp/data/china/image_1900th/78912168.pdf", "78912168")</f>
        <v>78912168</v>
      </c>
      <c r="F2238" s="10" t="s">
        <v>6327</v>
      </c>
      <c r="G2238" s="10" t="s">
        <v>6116</v>
      </c>
      <c r="H2238" s="10" t="s">
        <v>6328</v>
      </c>
      <c r="I2238" s="10" t="s">
        <v>5838</v>
      </c>
    </row>
    <row r="2239" spans="1:9" x14ac:dyDescent="0.15">
      <c r="A2239" s="9">
        <v>2238</v>
      </c>
      <c r="B2239" s="10" t="s">
        <v>9</v>
      </c>
      <c r="C2239" s="10" t="s">
        <v>170</v>
      </c>
      <c r="D2239" s="10" t="s">
        <v>171</v>
      </c>
      <c r="E2239" s="11" t="str">
        <f>+HYPERLINK("http://trademark.i-assist.jp/data/china/image_1900th/78912170.pdf", "78912170")</f>
        <v>78912170</v>
      </c>
      <c r="F2239" s="10" t="s">
        <v>6329</v>
      </c>
      <c r="G2239" s="10" t="s">
        <v>6273</v>
      </c>
      <c r="H2239" s="10" t="s">
        <v>6330</v>
      </c>
      <c r="I2239" s="10" t="s">
        <v>5838</v>
      </c>
    </row>
    <row r="2240" spans="1:9" x14ac:dyDescent="0.15">
      <c r="A2240" s="9">
        <v>2239</v>
      </c>
      <c r="B2240" s="10" t="s">
        <v>9</v>
      </c>
      <c r="C2240" s="10" t="s">
        <v>170</v>
      </c>
      <c r="D2240" s="10" t="s">
        <v>171</v>
      </c>
      <c r="E2240" s="11" t="str">
        <f>+HYPERLINK("http://trademark.i-assist.jp/data/china/image_1900th/78912235.pdf", "78912235")</f>
        <v>78912235</v>
      </c>
      <c r="F2240" s="10" t="s">
        <v>6331</v>
      </c>
      <c r="G2240" s="10" t="s">
        <v>5917</v>
      </c>
      <c r="H2240" s="10" t="s">
        <v>6332</v>
      </c>
      <c r="I2240" s="10" t="s">
        <v>5838</v>
      </c>
    </row>
    <row r="2241" spans="1:9" x14ac:dyDescent="0.15">
      <c r="A2241" s="9">
        <v>2240</v>
      </c>
      <c r="B2241" s="10" t="s">
        <v>9</v>
      </c>
      <c r="C2241" s="10" t="s">
        <v>170</v>
      </c>
      <c r="D2241" s="10" t="s">
        <v>171</v>
      </c>
      <c r="E2241" s="11" t="str">
        <f>+HYPERLINK("http://trademark.i-assist.jp/data/china/image_1900th/78912310.pdf", "78912310")</f>
        <v>78912310</v>
      </c>
      <c r="F2241" s="10" t="s">
        <v>6333</v>
      </c>
      <c r="G2241" s="10" t="s">
        <v>6334</v>
      </c>
      <c r="H2241" s="10" t="s">
        <v>6335</v>
      </c>
      <c r="I2241" s="10" t="s">
        <v>5838</v>
      </c>
    </row>
    <row r="2242" spans="1:9" x14ac:dyDescent="0.15">
      <c r="A2242" s="9">
        <v>2241</v>
      </c>
      <c r="B2242" s="10" t="s">
        <v>9</v>
      </c>
      <c r="C2242" s="10" t="s">
        <v>170</v>
      </c>
      <c r="D2242" s="10" t="s">
        <v>171</v>
      </c>
      <c r="E2242" s="11" t="str">
        <f>+HYPERLINK("http://trademark.i-assist.jp/data/china/image_1900th/78912406.pdf", "78912406")</f>
        <v>78912406</v>
      </c>
      <c r="F2242" s="10" t="s">
        <v>6336</v>
      </c>
      <c r="G2242" s="10" t="s">
        <v>6337</v>
      </c>
      <c r="H2242" s="10" t="s">
        <v>6338</v>
      </c>
      <c r="I2242" s="10" t="s">
        <v>5838</v>
      </c>
    </row>
    <row r="2243" spans="1:9" x14ac:dyDescent="0.15">
      <c r="A2243" s="9">
        <v>2242</v>
      </c>
      <c r="B2243" s="10" t="s">
        <v>9</v>
      </c>
      <c r="C2243" s="10" t="s">
        <v>170</v>
      </c>
      <c r="D2243" s="10" t="s">
        <v>171</v>
      </c>
      <c r="E2243" s="11" t="str">
        <f>+HYPERLINK("http://trademark.i-assist.jp/data/china/image_1900th/78912694.pdf", "78912694")</f>
        <v>78912694</v>
      </c>
      <c r="F2243" s="10" t="s">
        <v>6339</v>
      </c>
      <c r="G2243" s="10" t="s">
        <v>6340</v>
      </c>
      <c r="H2243" s="10" t="s">
        <v>6341</v>
      </c>
      <c r="I2243" s="10" t="s">
        <v>5838</v>
      </c>
    </row>
    <row r="2244" spans="1:9" x14ac:dyDescent="0.15">
      <c r="A2244" s="9">
        <v>2243</v>
      </c>
      <c r="B2244" s="10" t="s">
        <v>9</v>
      </c>
      <c r="C2244" s="10" t="s">
        <v>170</v>
      </c>
      <c r="D2244" s="10" t="s">
        <v>171</v>
      </c>
      <c r="E2244" s="11" t="str">
        <f>+HYPERLINK("http://trademark.i-assist.jp/data/china/image_1900th/78912796.pdf", "78912796")</f>
        <v>78912796</v>
      </c>
      <c r="F2244" s="10" t="s">
        <v>6342</v>
      </c>
      <c r="G2244" s="10" t="s">
        <v>6343</v>
      </c>
      <c r="H2244" s="10" t="s">
        <v>6344</v>
      </c>
      <c r="I2244" s="10" t="s">
        <v>5838</v>
      </c>
    </row>
    <row r="2245" spans="1:9" x14ac:dyDescent="0.15">
      <c r="A2245" s="9">
        <v>2244</v>
      </c>
      <c r="B2245" s="10" t="s">
        <v>9</v>
      </c>
      <c r="C2245" s="10" t="s">
        <v>170</v>
      </c>
      <c r="D2245" s="10" t="s">
        <v>171</v>
      </c>
      <c r="E2245" s="11" t="str">
        <f>+HYPERLINK("http://trademark.i-assist.jp/data/china/image_1900th/78912940.pdf", "78912940")</f>
        <v>78912940</v>
      </c>
      <c r="F2245" s="10" t="s">
        <v>6345</v>
      </c>
      <c r="G2245" s="10" t="s">
        <v>5874</v>
      </c>
      <c r="H2245" s="10" t="s">
        <v>6346</v>
      </c>
      <c r="I2245" s="10" t="s">
        <v>5838</v>
      </c>
    </row>
    <row r="2246" spans="1:9" x14ac:dyDescent="0.15">
      <c r="A2246" s="9">
        <v>2245</v>
      </c>
      <c r="B2246" s="10" t="s">
        <v>9</v>
      </c>
      <c r="C2246" s="10" t="s">
        <v>170</v>
      </c>
      <c r="D2246" s="10" t="s">
        <v>171</v>
      </c>
      <c r="E2246" s="11" t="str">
        <f>+HYPERLINK("http://trademark.i-assist.jp/data/china/image_1900th/78912943.pdf", "78912943")</f>
        <v>78912943</v>
      </c>
      <c r="F2246" s="10" t="s">
        <v>6347</v>
      </c>
      <c r="G2246" s="10" t="s">
        <v>5874</v>
      </c>
      <c r="H2246" s="10" t="s">
        <v>6348</v>
      </c>
      <c r="I2246" s="10" t="s">
        <v>5838</v>
      </c>
    </row>
    <row r="2247" spans="1:9" x14ac:dyDescent="0.15">
      <c r="A2247" s="9">
        <v>2246</v>
      </c>
      <c r="B2247" s="10" t="s">
        <v>9</v>
      </c>
      <c r="C2247" s="10" t="s">
        <v>170</v>
      </c>
      <c r="D2247" s="10" t="s">
        <v>171</v>
      </c>
      <c r="E2247" s="11" t="str">
        <f>+HYPERLINK("http://trademark.i-assist.jp/data/china/image_1900th/78913023.pdf", "78913023")</f>
        <v>78913023</v>
      </c>
      <c r="F2247" s="10" t="s">
        <v>6349</v>
      </c>
      <c r="G2247" s="10" t="s">
        <v>6350</v>
      </c>
      <c r="H2247" s="10" t="s">
        <v>6351</v>
      </c>
      <c r="I2247" s="10" t="s">
        <v>5838</v>
      </c>
    </row>
    <row r="2248" spans="1:9" x14ac:dyDescent="0.15">
      <c r="A2248" s="9">
        <v>2247</v>
      </c>
      <c r="B2248" s="10" t="s">
        <v>9</v>
      </c>
      <c r="C2248" s="10" t="s">
        <v>170</v>
      </c>
      <c r="D2248" s="10" t="s">
        <v>171</v>
      </c>
      <c r="E2248" s="11" t="str">
        <f>+HYPERLINK("http://trademark.i-assist.jp/data/china/image_1900th/78913411.pdf", "78913411")</f>
        <v>78913411</v>
      </c>
      <c r="F2248" s="10" t="s">
        <v>6352</v>
      </c>
      <c r="G2248" s="10" t="s">
        <v>151</v>
      </c>
      <c r="H2248" s="10" t="s">
        <v>6353</v>
      </c>
      <c r="I2248" s="10" t="s">
        <v>5838</v>
      </c>
    </row>
    <row r="2249" spans="1:9" x14ac:dyDescent="0.15">
      <c r="A2249" s="9">
        <v>2248</v>
      </c>
      <c r="B2249" s="10" t="s">
        <v>9</v>
      </c>
      <c r="C2249" s="10" t="s">
        <v>170</v>
      </c>
      <c r="D2249" s="10" t="s">
        <v>171</v>
      </c>
      <c r="E2249" s="11" t="str">
        <f>+HYPERLINK("http://trademark.i-assist.jp/data/china/image_1900th/78913532.pdf", "78913532")</f>
        <v>78913532</v>
      </c>
      <c r="F2249" s="10" t="s">
        <v>15</v>
      </c>
      <c r="G2249" s="10" t="s">
        <v>6354</v>
      </c>
      <c r="H2249" s="10" t="s">
        <v>6355</v>
      </c>
      <c r="I2249" s="10" t="s">
        <v>5838</v>
      </c>
    </row>
    <row r="2250" spans="1:9" x14ac:dyDescent="0.15">
      <c r="A2250" s="9">
        <v>2249</v>
      </c>
      <c r="B2250" s="10" t="s">
        <v>9</v>
      </c>
      <c r="C2250" s="10" t="s">
        <v>170</v>
      </c>
      <c r="D2250" s="10" t="s">
        <v>171</v>
      </c>
      <c r="E2250" s="11" t="str">
        <f>+HYPERLINK("http://trademark.i-assist.jp/data/china/image_1900th/78913779.pdf", "78913779")</f>
        <v>78913779</v>
      </c>
      <c r="F2250" s="10" t="s">
        <v>6356</v>
      </c>
      <c r="G2250" s="10" t="s">
        <v>6357</v>
      </c>
      <c r="H2250" s="10" t="s">
        <v>6358</v>
      </c>
      <c r="I2250" s="10" t="s">
        <v>5838</v>
      </c>
    </row>
    <row r="2251" spans="1:9" x14ac:dyDescent="0.15">
      <c r="A2251" s="9">
        <v>2250</v>
      </c>
      <c r="B2251" s="10" t="s">
        <v>9</v>
      </c>
      <c r="C2251" s="10" t="s">
        <v>170</v>
      </c>
      <c r="D2251" s="10" t="s">
        <v>171</v>
      </c>
      <c r="E2251" s="11" t="str">
        <f>+HYPERLINK("http://trademark.i-assist.jp/data/china/image_1900th/78914211.pdf", "78914211")</f>
        <v>78914211</v>
      </c>
      <c r="F2251" s="10" t="s">
        <v>6359</v>
      </c>
      <c r="G2251" s="10" t="s">
        <v>6360</v>
      </c>
      <c r="H2251" s="10" t="s">
        <v>6361</v>
      </c>
      <c r="I2251" s="10" t="s">
        <v>5838</v>
      </c>
    </row>
    <row r="2252" spans="1:9" x14ac:dyDescent="0.15">
      <c r="A2252" s="9">
        <v>2251</v>
      </c>
      <c r="B2252" s="10" t="s">
        <v>9</v>
      </c>
      <c r="C2252" s="10" t="s">
        <v>170</v>
      </c>
      <c r="D2252" s="10" t="s">
        <v>171</v>
      </c>
      <c r="E2252" s="11" t="str">
        <f>+HYPERLINK("http://trademark.i-assist.jp/data/china/image_1900th/78914230.pdf", "78914230")</f>
        <v>78914230</v>
      </c>
      <c r="F2252" s="10" t="s">
        <v>6362</v>
      </c>
      <c r="G2252" s="10" t="s">
        <v>6363</v>
      </c>
      <c r="H2252" s="10" t="s">
        <v>6364</v>
      </c>
      <c r="I2252" s="10" t="s">
        <v>5838</v>
      </c>
    </row>
    <row r="2253" spans="1:9" x14ac:dyDescent="0.15">
      <c r="A2253" s="9">
        <v>2252</v>
      </c>
      <c r="B2253" s="10" t="s">
        <v>9</v>
      </c>
      <c r="C2253" s="10" t="s">
        <v>170</v>
      </c>
      <c r="D2253" s="10" t="s">
        <v>171</v>
      </c>
      <c r="E2253" s="11" t="str">
        <f>+HYPERLINK("http://trademark.i-assist.jp/data/china/image_1900th/78914465.pdf", "78914465")</f>
        <v>78914465</v>
      </c>
      <c r="F2253" s="10" t="s">
        <v>6365</v>
      </c>
      <c r="G2253" s="10" t="s">
        <v>5836</v>
      </c>
      <c r="H2253" s="10" t="s">
        <v>6366</v>
      </c>
      <c r="I2253" s="10" t="s">
        <v>5838</v>
      </c>
    </row>
    <row r="2254" spans="1:9" x14ac:dyDescent="0.15">
      <c r="A2254" s="9">
        <v>2253</v>
      </c>
      <c r="B2254" s="10" t="s">
        <v>9</v>
      </c>
      <c r="C2254" s="10" t="s">
        <v>170</v>
      </c>
      <c r="D2254" s="10" t="s">
        <v>171</v>
      </c>
      <c r="E2254" s="11" t="str">
        <f>+HYPERLINK("http://trademark.i-assist.jp/data/china/image_1900th/78914477.pdf", "78914477")</f>
        <v>78914477</v>
      </c>
      <c r="F2254" s="10" t="s">
        <v>6367</v>
      </c>
      <c r="G2254" s="10" t="s">
        <v>6036</v>
      </c>
      <c r="H2254" s="10" t="s">
        <v>6368</v>
      </c>
      <c r="I2254" s="10" t="s">
        <v>5838</v>
      </c>
    </row>
    <row r="2255" spans="1:9" x14ac:dyDescent="0.15">
      <c r="A2255" s="9">
        <v>2254</v>
      </c>
      <c r="B2255" s="10" t="s">
        <v>9</v>
      </c>
      <c r="C2255" s="10" t="s">
        <v>170</v>
      </c>
      <c r="D2255" s="10" t="s">
        <v>171</v>
      </c>
      <c r="E2255" s="11" t="str">
        <f>+HYPERLINK("http://trademark.i-assist.jp/data/china/image_1900th/78914695.pdf", "78914695")</f>
        <v>78914695</v>
      </c>
      <c r="F2255" s="10" t="s">
        <v>6369</v>
      </c>
      <c r="G2255" s="10" t="s">
        <v>6370</v>
      </c>
      <c r="H2255" s="10" t="s">
        <v>6371</v>
      </c>
      <c r="I2255" s="10" t="s">
        <v>5838</v>
      </c>
    </row>
    <row r="2256" spans="1:9" x14ac:dyDescent="0.15">
      <c r="A2256" s="9">
        <v>2255</v>
      </c>
      <c r="B2256" s="10" t="s">
        <v>9</v>
      </c>
      <c r="C2256" s="10" t="s">
        <v>170</v>
      </c>
      <c r="D2256" s="10" t="s">
        <v>171</v>
      </c>
      <c r="E2256" s="11" t="str">
        <f>+HYPERLINK("http://trademark.i-assist.jp/data/china/image_1900th/78914756.pdf", "78914756")</f>
        <v>78914756</v>
      </c>
      <c r="F2256" s="10" t="s">
        <v>6372</v>
      </c>
      <c r="G2256" s="10" t="s">
        <v>5871</v>
      </c>
      <c r="H2256" s="10" t="s">
        <v>6373</v>
      </c>
      <c r="I2256" s="10" t="s">
        <v>5838</v>
      </c>
    </row>
    <row r="2257" spans="1:9" x14ac:dyDescent="0.15">
      <c r="A2257" s="9">
        <v>2256</v>
      </c>
      <c r="B2257" s="10" t="s">
        <v>9</v>
      </c>
      <c r="C2257" s="10" t="s">
        <v>170</v>
      </c>
      <c r="D2257" s="10" t="s">
        <v>171</v>
      </c>
      <c r="E2257" s="11" t="str">
        <f>+HYPERLINK("http://trademark.i-assist.jp/data/china/image_1900th/78914887.pdf", "78914887")</f>
        <v>78914887</v>
      </c>
      <c r="F2257" s="10" t="s">
        <v>6374</v>
      </c>
      <c r="G2257" s="10" t="s">
        <v>6375</v>
      </c>
      <c r="H2257" s="10" t="s">
        <v>6376</v>
      </c>
      <c r="I2257" s="10" t="s">
        <v>5838</v>
      </c>
    </row>
    <row r="2258" spans="1:9" x14ac:dyDescent="0.15">
      <c r="A2258" s="9">
        <v>2257</v>
      </c>
      <c r="B2258" s="10" t="s">
        <v>9</v>
      </c>
      <c r="C2258" s="10" t="s">
        <v>170</v>
      </c>
      <c r="D2258" s="10" t="s">
        <v>171</v>
      </c>
      <c r="E2258" s="11" t="str">
        <f>+HYPERLINK("http://trademark.i-assist.jp/data/china/image_1900th/78915264.pdf", "78915264")</f>
        <v>78915264</v>
      </c>
      <c r="F2258" s="10" t="s">
        <v>6377</v>
      </c>
      <c r="G2258" s="10" t="s">
        <v>6378</v>
      </c>
      <c r="H2258" s="10" t="s">
        <v>6379</v>
      </c>
      <c r="I2258" s="10" t="s">
        <v>5838</v>
      </c>
    </row>
    <row r="2259" spans="1:9" x14ac:dyDescent="0.15">
      <c r="A2259" s="9">
        <v>2258</v>
      </c>
      <c r="B2259" s="10" t="s">
        <v>9</v>
      </c>
      <c r="C2259" s="10" t="s">
        <v>170</v>
      </c>
      <c r="D2259" s="10" t="s">
        <v>171</v>
      </c>
      <c r="E2259" s="11" t="str">
        <f>+HYPERLINK("http://trademark.i-assist.jp/data/china/image_1900th/78915601.pdf", "78915601")</f>
        <v>78915601</v>
      </c>
      <c r="F2259" s="10" t="s">
        <v>6380</v>
      </c>
      <c r="G2259" s="10" t="s">
        <v>6381</v>
      </c>
      <c r="H2259" s="10" t="s">
        <v>6382</v>
      </c>
      <c r="I2259" s="10" t="s">
        <v>5838</v>
      </c>
    </row>
    <row r="2260" spans="1:9" x14ac:dyDescent="0.15">
      <c r="A2260" s="9">
        <v>2259</v>
      </c>
      <c r="B2260" s="10" t="s">
        <v>9</v>
      </c>
      <c r="C2260" s="10" t="s">
        <v>170</v>
      </c>
      <c r="D2260" s="10" t="s">
        <v>171</v>
      </c>
      <c r="E2260" s="11" t="str">
        <f>+HYPERLINK("http://trademark.i-assist.jp/data/china/image_1900th/78915632.pdf", "78915632")</f>
        <v>78915632</v>
      </c>
      <c r="F2260" s="10" t="s">
        <v>6383</v>
      </c>
      <c r="G2260" s="10" t="s">
        <v>6384</v>
      </c>
      <c r="H2260" s="10" t="s">
        <v>6385</v>
      </c>
      <c r="I2260" s="10" t="s">
        <v>5838</v>
      </c>
    </row>
    <row r="2261" spans="1:9" x14ac:dyDescent="0.15">
      <c r="A2261" s="9">
        <v>2260</v>
      </c>
      <c r="B2261" s="10" t="s">
        <v>9</v>
      </c>
      <c r="C2261" s="10" t="s">
        <v>170</v>
      </c>
      <c r="D2261" s="10" t="s">
        <v>171</v>
      </c>
      <c r="E2261" s="11" t="str">
        <f>+HYPERLINK("http://trademark.i-assist.jp/data/china/image_1900th/78915841.pdf", "78915841")</f>
        <v>78915841</v>
      </c>
      <c r="F2261" s="10" t="s">
        <v>6386</v>
      </c>
      <c r="G2261" s="10" t="s">
        <v>6387</v>
      </c>
      <c r="H2261" s="10" t="s">
        <v>6388</v>
      </c>
      <c r="I2261" s="10" t="s">
        <v>5838</v>
      </c>
    </row>
    <row r="2262" spans="1:9" x14ac:dyDescent="0.15">
      <c r="A2262" s="9">
        <v>2261</v>
      </c>
      <c r="B2262" s="10" t="s">
        <v>9</v>
      </c>
      <c r="C2262" s="10" t="s">
        <v>170</v>
      </c>
      <c r="D2262" s="10" t="s">
        <v>171</v>
      </c>
      <c r="E2262" s="11" t="str">
        <f>+HYPERLINK("http://trademark.i-assist.jp/data/china/image_1900th/78915910.pdf", "78915910")</f>
        <v>78915910</v>
      </c>
      <c r="F2262" s="10" t="s">
        <v>5691</v>
      </c>
      <c r="G2262" s="10" t="s">
        <v>5692</v>
      </c>
      <c r="H2262" s="10" t="s">
        <v>6389</v>
      </c>
      <c r="I2262" s="10" t="s">
        <v>5838</v>
      </c>
    </row>
    <row r="2263" spans="1:9" x14ac:dyDescent="0.15">
      <c r="A2263" s="9">
        <v>2262</v>
      </c>
      <c r="B2263" s="10" t="s">
        <v>9</v>
      </c>
      <c r="C2263" s="10" t="s">
        <v>170</v>
      </c>
      <c r="D2263" s="10" t="s">
        <v>171</v>
      </c>
      <c r="E2263" s="11" t="str">
        <f>+HYPERLINK("http://trademark.i-assist.jp/data/china/image_1900th/78916169.pdf", "78916169")</f>
        <v>78916169</v>
      </c>
      <c r="F2263" s="10" t="s">
        <v>6390</v>
      </c>
      <c r="G2263" s="10" t="s">
        <v>6181</v>
      </c>
      <c r="H2263" s="10" t="s">
        <v>6391</v>
      </c>
      <c r="I2263" s="10" t="s">
        <v>5838</v>
      </c>
    </row>
    <row r="2264" spans="1:9" x14ac:dyDescent="0.15">
      <c r="A2264" s="9">
        <v>2263</v>
      </c>
      <c r="B2264" s="10" t="s">
        <v>9</v>
      </c>
      <c r="C2264" s="10" t="s">
        <v>170</v>
      </c>
      <c r="D2264" s="10" t="s">
        <v>171</v>
      </c>
      <c r="E2264" s="11" t="str">
        <f>+HYPERLINK("http://trademark.i-assist.jp/data/china/image_1900th/78916173.pdf", "78916173")</f>
        <v>78916173</v>
      </c>
      <c r="F2264" s="10" t="s">
        <v>6392</v>
      </c>
      <c r="G2264" s="10" t="s">
        <v>5840</v>
      </c>
      <c r="H2264" s="10" t="s">
        <v>6393</v>
      </c>
      <c r="I2264" s="10" t="s">
        <v>5838</v>
      </c>
    </row>
    <row r="2265" spans="1:9" x14ac:dyDescent="0.15">
      <c r="A2265" s="9">
        <v>2264</v>
      </c>
      <c r="B2265" s="10" t="s">
        <v>9</v>
      </c>
      <c r="C2265" s="10" t="s">
        <v>170</v>
      </c>
      <c r="D2265" s="10" t="s">
        <v>171</v>
      </c>
      <c r="E2265" s="11" t="str">
        <f>+HYPERLINK("http://trademark.i-assist.jp/data/china/image_1900th/78916200.pdf", "78916200")</f>
        <v>78916200</v>
      </c>
      <c r="F2265" s="10" t="s">
        <v>6394</v>
      </c>
      <c r="G2265" s="10" t="s">
        <v>5917</v>
      </c>
      <c r="H2265" s="10" t="s">
        <v>6395</v>
      </c>
      <c r="I2265" s="10" t="s">
        <v>5838</v>
      </c>
    </row>
    <row r="2266" spans="1:9" x14ac:dyDescent="0.15">
      <c r="A2266" s="9">
        <v>2265</v>
      </c>
      <c r="B2266" s="10" t="s">
        <v>9</v>
      </c>
      <c r="C2266" s="10" t="s">
        <v>170</v>
      </c>
      <c r="D2266" s="10" t="s">
        <v>171</v>
      </c>
      <c r="E2266" s="11" t="str">
        <f>+HYPERLINK("http://trademark.i-assist.jp/data/china/image_1900th/78916791.pdf", "78916791")</f>
        <v>78916791</v>
      </c>
      <c r="F2266" s="10" t="s">
        <v>6396</v>
      </c>
      <c r="G2266" s="10" t="s">
        <v>6397</v>
      </c>
      <c r="H2266" s="10" t="s">
        <v>6398</v>
      </c>
      <c r="I2266" s="10" t="s">
        <v>5838</v>
      </c>
    </row>
    <row r="2267" spans="1:9" x14ac:dyDescent="0.15">
      <c r="A2267" s="9">
        <v>2266</v>
      </c>
      <c r="B2267" s="10" t="s">
        <v>9</v>
      </c>
      <c r="C2267" s="10" t="s">
        <v>170</v>
      </c>
      <c r="D2267" s="10" t="s">
        <v>171</v>
      </c>
      <c r="E2267" s="11" t="str">
        <f>+HYPERLINK("http://trademark.i-assist.jp/data/china/image_1900th/78916802.pdf", "78916802")</f>
        <v>78916802</v>
      </c>
      <c r="F2267" s="10" t="s">
        <v>6399</v>
      </c>
      <c r="G2267" s="10" t="s">
        <v>6400</v>
      </c>
      <c r="H2267" s="10" t="s">
        <v>6401</v>
      </c>
      <c r="I2267" s="10" t="s">
        <v>5838</v>
      </c>
    </row>
    <row r="2268" spans="1:9" x14ac:dyDescent="0.15">
      <c r="A2268" s="9">
        <v>2267</v>
      </c>
      <c r="B2268" s="10" t="s">
        <v>9</v>
      </c>
      <c r="C2268" s="10" t="s">
        <v>170</v>
      </c>
      <c r="D2268" s="10" t="s">
        <v>171</v>
      </c>
      <c r="E2268" s="11" t="str">
        <f>+HYPERLINK("http://trademark.i-assist.jp/data/china/image_1900th/78916993.pdf", "78916993")</f>
        <v>78916993</v>
      </c>
      <c r="F2268" s="10" t="s">
        <v>6402</v>
      </c>
      <c r="G2268" s="10" t="s">
        <v>6403</v>
      </c>
      <c r="H2268" s="10" t="s">
        <v>6404</v>
      </c>
      <c r="I2268" s="10" t="s">
        <v>5838</v>
      </c>
    </row>
    <row r="2269" spans="1:9" x14ac:dyDescent="0.15">
      <c r="A2269" s="9">
        <v>2268</v>
      </c>
      <c r="B2269" s="10" t="s">
        <v>9</v>
      </c>
      <c r="C2269" s="10" t="s">
        <v>170</v>
      </c>
      <c r="D2269" s="10" t="s">
        <v>171</v>
      </c>
      <c r="E2269" s="11" t="str">
        <f>+HYPERLINK("http://trademark.i-assist.jp/data/china/image_1900th/78917222.pdf", "78917222")</f>
        <v>78917222</v>
      </c>
      <c r="F2269" s="10" t="s">
        <v>6405</v>
      </c>
      <c r="G2269" s="10" t="s">
        <v>6090</v>
      </c>
      <c r="H2269" s="10" t="s">
        <v>6406</v>
      </c>
      <c r="I2269" s="10" t="s">
        <v>5838</v>
      </c>
    </row>
    <row r="2270" spans="1:9" x14ac:dyDescent="0.15">
      <c r="A2270" s="9">
        <v>2269</v>
      </c>
      <c r="B2270" s="10" t="s">
        <v>9</v>
      </c>
      <c r="C2270" s="10" t="s">
        <v>170</v>
      </c>
      <c r="D2270" s="10" t="s">
        <v>171</v>
      </c>
      <c r="E2270" s="11" t="str">
        <f>+HYPERLINK("http://trademark.i-assist.jp/data/china/image_1900th/78917229.pdf", "78917229")</f>
        <v>78917229</v>
      </c>
      <c r="F2270" s="10" t="s">
        <v>6407</v>
      </c>
      <c r="G2270" s="10" t="s">
        <v>6408</v>
      </c>
      <c r="H2270" s="10" t="s">
        <v>6409</v>
      </c>
      <c r="I2270" s="10" t="s">
        <v>5838</v>
      </c>
    </row>
    <row r="2271" spans="1:9" x14ac:dyDescent="0.15">
      <c r="A2271" s="9">
        <v>2270</v>
      </c>
      <c r="B2271" s="10" t="s">
        <v>9</v>
      </c>
      <c r="C2271" s="10" t="s">
        <v>170</v>
      </c>
      <c r="D2271" s="10" t="s">
        <v>171</v>
      </c>
      <c r="E2271" s="11" t="str">
        <f>+HYPERLINK("http://trademark.i-assist.jp/data/china/image_1900th/78917241.pdf", "78917241")</f>
        <v>78917241</v>
      </c>
      <c r="F2271" s="10" t="s">
        <v>6410</v>
      </c>
      <c r="G2271" s="10" t="s">
        <v>6411</v>
      </c>
      <c r="H2271" s="10" t="s">
        <v>6412</v>
      </c>
      <c r="I2271" s="10" t="s">
        <v>5838</v>
      </c>
    </row>
    <row r="2272" spans="1:9" x14ac:dyDescent="0.15">
      <c r="A2272" s="9">
        <v>2271</v>
      </c>
      <c r="B2272" s="10" t="s">
        <v>9</v>
      </c>
      <c r="C2272" s="10" t="s">
        <v>170</v>
      </c>
      <c r="D2272" s="10" t="s">
        <v>171</v>
      </c>
      <c r="E2272" s="11" t="str">
        <f>+HYPERLINK("http://trademark.i-assist.jp/data/china/image_1900th/78917358.pdf", "78917358")</f>
        <v>78917358</v>
      </c>
      <c r="F2272" s="10" t="s">
        <v>6413</v>
      </c>
      <c r="G2272" s="10" t="s">
        <v>6414</v>
      </c>
      <c r="H2272" s="10" t="s">
        <v>6415</v>
      </c>
      <c r="I2272" s="10" t="s">
        <v>5838</v>
      </c>
    </row>
    <row r="2273" spans="1:9" x14ac:dyDescent="0.15">
      <c r="A2273" s="9">
        <v>2272</v>
      </c>
      <c r="B2273" s="10" t="s">
        <v>9</v>
      </c>
      <c r="C2273" s="10" t="s">
        <v>170</v>
      </c>
      <c r="D2273" s="10" t="s">
        <v>171</v>
      </c>
      <c r="E2273" s="11" t="str">
        <f>+HYPERLINK("http://trademark.i-assist.jp/data/china/image_1900th/78917382.pdf", "78917382")</f>
        <v>78917382</v>
      </c>
      <c r="F2273" s="10" t="s">
        <v>6416</v>
      </c>
      <c r="G2273" s="10" t="s">
        <v>5970</v>
      </c>
      <c r="H2273" s="10" t="s">
        <v>6417</v>
      </c>
      <c r="I2273" s="10" t="s">
        <v>5838</v>
      </c>
    </row>
    <row r="2274" spans="1:9" x14ac:dyDescent="0.15">
      <c r="A2274" s="9">
        <v>2273</v>
      </c>
      <c r="B2274" s="10" t="s">
        <v>9</v>
      </c>
      <c r="C2274" s="10" t="s">
        <v>170</v>
      </c>
      <c r="D2274" s="10" t="s">
        <v>171</v>
      </c>
      <c r="E2274" s="11" t="str">
        <f>+HYPERLINK("http://trademark.i-assist.jp/data/china/image_1900th/78917421.pdf", "78917421")</f>
        <v>78917421</v>
      </c>
      <c r="F2274" s="10" t="s">
        <v>6418</v>
      </c>
      <c r="G2274" s="10" t="s">
        <v>6419</v>
      </c>
      <c r="H2274" s="10" t="s">
        <v>6420</v>
      </c>
      <c r="I2274" s="10" t="s">
        <v>5838</v>
      </c>
    </row>
    <row r="2275" spans="1:9" x14ac:dyDescent="0.15">
      <c r="A2275" s="9">
        <v>2274</v>
      </c>
      <c r="B2275" s="10" t="s">
        <v>9</v>
      </c>
      <c r="C2275" s="10" t="s">
        <v>170</v>
      </c>
      <c r="D2275" s="10" t="s">
        <v>171</v>
      </c>
      <c r="E2275" s="11" t="str">
        <f>+HYPERLINK("http://trademark.i-assist.jp/data/china/image_1900th/78917453.pdf", "78917453")</f>
        <v>78917453</v>
      </c>
      <c r="F2275" s="10" t="s">
        <v>6421</v>
      </c>
      <c r="G2275" s="10" t="s">
        <v>6422</v>
      </c>
      <c r="H2275" s="10" t="s">
        <v>6423</v>
      </c>
      <c r="I2275" s="10" t="s">
        <v>5838</v>
      </c>
    </row>
    <row r="2276" spans="1:9" x14ac:dyDescent="0.15">
      <c r="A2276" s="9">
        <v>2275</v>
      </c>
      <c r="B2276" s="10" t="s">
        <v>9</v>
      </c>
      <c r="C2276" s="10" t="s">
        <v>170</v>
      </c>
      <c r="D2276" s="10" t="s">
        <v>171</v>
      </c>
      <c r="E2276" s="11" t="str">
        <f>+HYPERLINK("http://trademark.i-assist.jp/data/china/image_1900th/78917474.pdf", "78917474")</f>
        <v>78917474</v>
      </c>
      <c r="F2276" s="10" t="s">
        <v>6424</v>
      </c>
      <c r="G2276" s="10" t="s">
        <v>6425</v>
      </c>
      <c r="H2276" s="10" t="s">
        <v>6426</v>
      </c>
      <c r="I2276" s="10" t="s">
        <v>5838</v>
      </c>
    </row>
    <row r="2277" spans="1:9" x14ac:dyDescent="0.15">
      <c r="A2277" s="9">
        <v>2276</v>
      </c>
      <c r="B2277" s="10" t="s">
        <v>9</v>
      </c>
      <c r="C2277" s="10" t="s">
        <v>170</v>
      </c>
      <c r="D2277" s="10" t="s">
        <v>171</v>
      </c>
      <c r="E2277" s="11" t="str">
        <f>+HYPERLINK("http://trademark.i-assist.jp/data/china/image_1900th/78917641.pdf", "78917641")</f>
        <v>78917641</v>
      </c>
      <c r="F2277" s="10" t="s">
        <v>6427</v>
      </c>
      <c r="G2277" s="10" t="s">
        <v>6428</v>
      </c>
      <c r="H2277" s="10" t="s">
        <v>6429</v>
      </c>
      <c r="I2277" s="10" t="s">
        <v>5838</v>
      </c>
    </row>
    <row r="2278" spans="1:9" x14ac:dyDescent="0.15">
      <c r="A2278" s="9">
        <v>2277</v>
      </c>
      <c r="B2278" s="10" t="s">
        <v>9</v>
      </c>
      <c r="C2278" s="10" t="s">
        <v>170</v>
      </c>
      <c r="D2278" s="10" t="s">
        <v>171</v>
      </c>
      <c r="E2278" s="11" t="str">
        <f>+HYPERLINK("http://trademark.i-assist.jp/data/china/image_1900th/78917696.pdf", "78917696")</f>
        <v>78917696</v>
      </c>
      <c r="F2278" s="10" t="s">
        <v>6430</v>
      </c>
      <c r="G2278" s="10" t="s">
        <v>6431</v>
      </c>
      <c r="H2278" s="10" t="s">
        <v>6432</v>
      </c>
      <c r="I2278" s="10" t="s">
        <v>5838</v>
      </c>
    </row>
    <row r="2279" spans="1:9" x14ac:dyDescent="0.15">
      <c r="A2279" s="9">
        <v>2278</v>
      </c>
      <c r="B2279" s="10" t="s">
        <v>9</v>
      </c>
      <c r="C2279" s="10" t="s">
        <v>170</v>
      </c>
      <c r="D2279" s="10" t="s">
        <v>171</v>
      </c>
      <c r="E2279" s="11" t="str">
        <f>+HYPERLINK("http://trademark.i-assist.jp/data/china/image_1900th/78917973.pdf", "78917973")</f>
        <v>78917973</v>
      </c>
      <c r="F2279" s="10" t="s">
        <v>6433</v>
      </c>
      <c r="G2279" s="10" t="s">
        <v>6434</v>
      </c>
      <c r="H2279" s="10" t="s">
        <v>6435</v>
      </c>
      <c r="I2279" s="10" t="s">
        <v>5838</v>
      </c>
    </row>
    <row r="2280" spans="1:9" x14ac:dyDescent="0.15">
      <c r="A2280" s="9">
        <v>2279</v>
      </c>
      <c r="B2280" s="10" t="s">
        <v>9</v>
      </c>
      <c r="C2280" s="10" t="s">
        <v>170</v>
      </c>
      <c r="D2280" s="10" t="s">
        <v>171</v>
      </c>
      <c r="E2280" s="11" t="str">
        <f>+HYPERLINK("http://trademark.i-assist.jp/data/china/image_1900th/78918643.pdf", "78918643")</f>
        <v>78918643</v>
      </c>
      <c r="F2280" s="10" t="s">
        <v>6436</v>
      </c>
      <c r="G2280" s="10" t="s">
        <v>5917</v>
      </c>
      <c r="H2280" s="10" t="s">
        <v>6437</v>
      </c>
      <c r="I2280" s="10" t="s">
        <v>5838</v>
      </c>
    </row>
    <row r="2281" spans="1:9" x14ac:dyDescent="0.15">
      <c r="A2281" s="9">
        <v>2280</v>
      </c>
      <c r="B2281" s="10" t="s">
        <v>9</v>
      </c>
      <c r="C2281" s="10" t="s">
        <v>170</v>
      </c>
      <c r="D2281" s="10" t="s">
        <v>171</v>
      </c>
      <c r="E2281" s="11" t="str">
        <f>+HYPERLINK("http://trademark.i-assist.jp/data/china/image_1900th/78918719.pdf", "78918719")</f>
        <v>78918719</v>
      </c>
      <c r="F2281" s="10" t="s">
        <v>6438</v>
      </c>
      <c r="G2281" s="10" t="s">
        <v>5866</v>
      </c>
      <c r="H2281" s="10" t="s">
        <v>6439</v>
      </c>
      <c r="I2281" s="10" t="s">
        <v>5838</v>
      </c>
    </row>
    <row r="2282" spans="1:9" x14ac:dyDescent="0.15">
      <c r="A2282" s="9">
        <v>2281</v>
      </c>
      <c r="B2282" s="10" t="s">
        <v>9</v>
      </c>
      <c r="C2282" s="10" t="s">
        <v>170</v>
      </c>
      <c r="D2282" s="10" t="s">
        <v>171</v>
      </c>
      <c r="E2282" s="11" t="str">
        <f>+HYPERLINK("http://trademark.i-assist.jp/data/china/image_1900th/78918731.pdf", "78918731")</f>
        <v>78918731</v>
      </c>
      <c r="F2282" s="10" t="s">
        <v>6440</v>
      </c>
      <c r="G2282" s="10" t="s">
        <v>6384</v>
      </c>
      <c r="H2282" s="10" t="s">
        <v>6441</v>
      </c>
      <c r="I2282" s="10" t="s">
        <v>5838</v>
      </c>
    </row>
    <row r="2283" spans="1:9" x14ac:dyDescent="0.15">
      <c r="A2283" s="9">
        <v>2282</v>
      </c>
      <c r="B2283" s="10" t="s">
        <v>9</v>
      </c>
      <c r="C2283" s="10" t="s">
        <v>170</v>
      </c>
      <c r="D2283" s="10" t="s">
        <v>171</v>
      </c>
      <c r="E2283" s="11" t="str">
        <f>+HYPERLINK("http://trademark.i-assist.jp/data/china/image_1900th/78918782.pdf", "78918782")</f>
        <v>78918782</v>
      </c>
      <c r="F2283" s="10" t="s">
        <v>6442</v>
      </c>
      <c r="G2283" s="10" t="s">
        <v>5931</v>
      </c>
      <c r="H2283" s="10" t="s">
        <v>6443</v>
      </c>
      <c r="I2283" s="10" t="s">
        <v>5838</v>
      </c>
    </row>
    <row r="2284" spans="1:9" x14ac:dyDescent="0.15">
      <c r="A2284" s="9">
        <v>2283</v>
      </c>
      <c r="B2284" s="10" t="s">
        <v>9</v>
      </c>
      <c r="C2284" s="10" t="s">
        <v>170</v>
      </c>
      <c r="D2284" s="10" t="s">
        <v>171</v>
      </c>
      <c r="E2284" s="11" t="str">
        <f>+HYPERLINK("http://trademark.i-assist.jp/data/china/image_1900th/78918784.pdf", "78918784")</f>
        <v>78918784</v>
      </c>
      <c r="F2284" s="10" t="s">
        <v>6444</v>
      </c>
      <c r="G2284" s="10" t="s">
        <v>6428</v>
      </c>
      <c r="H2284" s="10" t="s">
        <v>6445</v>
      </c>
      <c r="I2284" s="10" t="s">
        <v>5838</v>
      </c>
    </row>
    <row r="2285" spans="1:9" x14ac:dyDescent="0.15">
      <c r="A2285" s="9">
        <v>2284</v>
      </c>
      <c r="B2285" s="10" t="s">
        <v>9</v>
      </c>
      <c r="C2285" s="10" t="s">
        <v>170</v>
      </c>
      <c r="D2285" s="10" t="s">
        <v>171</v>
      </c>
      <c r="E2285" s="11" t="str">
        <f>+HYPERLINK("http://trademark.i-assist.jp/data/china/image_1900th/78918867.pdf", "78918867")</f>
        <v>78918867</v>
      </c>
      <c r="F2285" s="10" t="s">
        <v>6446</v>
      </c>
      <c r="G2285" s="10" t="s">
        <v>6447</v>
      </c>
      <c r="H2285" s="10" t="s">
        <v>6448</v>
      </c>
      <c r="I2285" s="10" t="s">
        <v>5838</v>
      </c>
    </row>
    <row r="2286" spans="1:9" x14ac:dyDescent="0.15">
      <c r="A2286" s="9">
        <v>2285</v>
      </c>
      <c r="B2286" s="10" t="s">
        <v>9</v>
      </c>
      <c r="C2286" s="10" t="s">
        <v>170</v>
      </c>
      <c r="D2286" s="10" t="s">
        <v>171</v>
      </c>
      <c r="E2286" s="11" t="str">
        <f>+HYPERLINK("http://trademark.i-assist.jp/data/china/image_1900th/78919129.pdf", "78919129")</f>
        <v>78919129</v>
      </c>
      <c r="F2286" s="10" t="s">
        <v>6449</v>
      </c>
      <c r="G2286" s="10" t="s">
        <v>6167</v>
      </c>
      <c r="H2286" s="10" t="s">
        <v>6450</v>
      </c>
      <c r="I2286" s="10" t="s">
        <v>5838</v>
      </c>
    </row>
    <row r="2287" spans="1:9" x14ac:dyDescent="0.15">
      <c r="A2287" s="9">
        <v>2286</v>
      </c>
      <c r="B2287" s="10" t="s">
        <v>9</v>
      </c>
      <c r="C2287" s="10" t="s">
        <v>170</v>
      </c>
      <c r="D2287" s="10" t="s">
        <v>171</v>
      </c>
      <c r="E2287" s="11" t="str">
        <f>+HYPERLINK("http://trademark.i-assist.jp/data/china/image_1900th/78919141.pdf", "78919141")</f>
        <v>78919141</v>
      </c>
      <c r="F2287" s="10" t="s">
        <v>6451</v>
      </c>
      <c r="G2287" s="10" t="s">
        <v>6167</v>
      </c>
      <c r="H2287" s="10" t="s">
        <v>6452</v>
      </c>
      <c r="I2287" s="10" t="s">
        <v>5838</v>
      </c>
    </row>
    <row r="2288" spans="1:9" x14ac:dyDescent="0.15">
      <c r="A2288" s="9">
        <v>2287</v>
      </c>
      <c r="B2288" s="10" t="s">
        <v>9</v>
      </c>
      <c r="C2288" s="10" t="s">
        <v>170</v>
      </c>
      <c r="D2288" s="10" t="s">
        <v>171</v>
      </c>
      <c r="E2288" s="11" t="str">
        <f>+HYPERLINK("http://trademark.i-assist.jp/data/china/image_1900th/78919406.pdf", "78919406")</f>
        <v>78919406</v>
      </c>
      <c r="F2288" s="10" t="s">
        <v>6453</v>
      </c>
      <c r="G2288" s="10" t="s">
        <v>6454</v>
      </c>
      <c r="H2288" s="10" t="s">
        <v>6455</v>
      </c>
      <c r="I2288" s="10" t="s">
        <v>5838</v>
      </c>
    </row>
    <row r="2289" spans="1:9" x14ac:dyDescent="0.15">
      <c r="A2289" s="9">
        <v>2288</v>
      </c>
      <c r="B2289" s="10" t="s">
        <v>9</v>
      </c>
      <c r="C2289" s="10" t="s">
        <v>170</v>
      </c>
      <c r="D2289" s="10" t="s">
        <v>171</v>
      </c>
      <c r="E2289" s="11" t="str">
        <f>+HYPERLINK("http://trademark.i-assist.jp/data/china/image_1900th/78919510.pdf", "78919510")</f>
        <v>78919510</v>
      </c>
      <c r="F2289" s="10" t="s">
        <v>6456</v>
      </c>
      <c r="G2289" s="10" t="s">
        <v>6457</v>
      </c>
      <c r="H2289" s="10" t="s">
        <v>6458</v>
      </c>
      <c r="I2289" s="10" t="s">
        <v>5838</v>
      </c>
    </row>
    <row r="2290" spans="1:9" x14ac:dyDescent="0.15">
      <c r="A2290" s="9">
        <v>2289</v>
      </c>
      <c r="B2290" s="10" t="s">
        <v>9</v>
      </c>
      <c r="C2290" s="10" t="s">
        <v>170</v>
      </c>
      <c r="D2290" s="10" t="s">
        <v>171</v>
      </c>
      <c r="E2290" s="11" t="str">
        <f>+HYPERLINK("http://trademark.i-assist.jp/data/china/image_1900th/78919519.pdf", "78919519")</f>
        <v>78919519</v>
      </c>
      <c r="F2290" s="10" t="s">
        <v>6459</v>
      </c>
      <c r="G2290" s="10" t="s">
        <v>6460</v>
      </c>
      <c r="H2290" s="10" t="s">
        <v>6461</v>
      </c>
      <c r="I2290" s="10" t="s">
        <v>5838</v>
      </c>
    </row>
    <row r="2291" spans="1:9" x14ac:dyDescent="0.15">
      <c r="A2291" s="9">
        <v>2290</v>
      </c>
      <c r="B2291" s="10" t="s">
        <v>9</v>
      </c>
      <c r="C2291" s="10" t="s">
        <v>170</v>
      </c>
      <c r="D2291" s="10" t="s">
        <v>171</v>
      </c>
      <c r="E2291" s="11" t="str">
        <f>+HYPERLINK("http://trademark.i-assist.jp/data/china/image_1900th/78919531.pdf", "78919531")</f>
        <v>78919531</v>
      </c>
      <c r="F2291" s="10" t="s">
        <v>6462</v>
      </c>
      <c r="G2291" s="10" t="s">
        <v>6463</v>
      </c>
      <c r="H2291" s="10" t="s">
        <v>6464</v>
      </c>
      <c r="I2291" s="10" t="s">
        <v>5838</v>
      </c>
    </row>
    <row r="2292" spans="1:9" x14ac:dyDescent="0.15">
      <c r="A2292" s="9">
        <v>2291</v>
      </c>
      <c r="B2292" s="10" t="s">
        <v>9</v>
      </c>
      <c r="C2292" s="10" t="s">
        <v>170</v>
      </c>
      <c r="D2292" s="10" t="s">
        <v>171</v>
      </c>
      <c r="E2292" s="11" t="str">
        <f>+HYPERLINK("http://trademark.i-assist.jp/data/china/image_1900th/78919688.pdf", "78919688")</f>
        <v>78919688</v>
      </c>
      <c r="F2292" s="10" t="s">
        <v>6465</v>
      </c>
      <c r="G2292" s="10" t="s">
        <v>6466</v>
      </c>
      <c r="H2292" s="10" t="s">
        <v>6467</v>
      </c>
      <c r="I2292" s="10" t="s">
        <v>5838</v>
      </c>
    </row>
    <row r="2293" spans="1:9" x14ac:dyDescent="0.15">
      <c r="A2293" s="9">
        <v>2292</v>
      </c>
      <c r="B2293" s="10" t="s">
        <v>9</v>
      </c>
      <c r="C2293" s="10" t="s">
        <v>170</v>
      </c>
      <c r="D2293" s="10" t="s">
        <v>171</v>
      </c>
      <c r="E2293" s="11" t="str">
        <f>+HYPERLINK("http://trademark.i-assist.jp/data/china/image_1900th/78919697.pdf", "78919697")</f>
        <v>78919697</v>
      </c>
      <c r="F2293" s="10" t="s">
        <v>6468</v>
      </c>
      <c r="G2293" s="10" t="s">
        <v>5836</v>
      </c>
      <c r="H2293" s="10" t="s">
        <v>6469</v>
      </c>
      <c r="I2293" s="10" t="s">
        <v>5838</v>
      </c>
    </row>
    <row r="2294" spans="1:9" x14ac:dyDescent="0.15">
      <c r="A2294" s="9">
        <v>2293</v>
      </c>
      <c r="B2294" s="10" t="s">
        <v>9</v>
      </c>
      <c r="C2294" s="10" t="s">
        <v>170</v>
      </c>
      <c r="D2294" s="10" t="s">
        <v>171</v>
      </c>
      <c r="E2294" s="11" t="str">
        <f>+HYPERLINK("http://trademark.i-assist.jp/data/china/image_1900th/78919707.pdf", "78919707")</f>
        <v>78919707</v>
      </c>
      <c r="F2294" s="10" t="s">
        <v>6470</v>
      </c>
      <c r="G2294" s="10" t="s">
        <v>6471</v>
      </c>
      <c r="H2294" s="10" t="s">
        <v>6472</v>
      </c>
      <c r="I2294" s="10" t="s">
        <v>5838</v>
      </c>
    </row>
    <row r="2295" spans="1:9" x14ac:dyDescent="0.15">
      <c r="A2295" s="9">
        <v>2294</v>
      </c>
      <c r="B2295" s="10" t="s">
        <v>9</v>
      </c>
      <c r="C2295" s="10" t="s">
        <v>170</v>
      </c>
      <c r="D2295" s="10" t="s">
        <v>171</v>
      </c>
      <c r="E2295" s="11" t="str">
        <f>+HYPERLINK("http://trademark.i-assist.jp/data/china/image_1900th/78919718.pdf", "78919718")</f>
        <v>78919718</v>
      </c>
      <c r="F2295" s="10" t="s">
        <v>6473</v>
      </c>
      <c r="G2295" s="10" t="s">
        <v>6181</v>
      </c>
      <c r="H2295" s="10" t="s">
        <v>6474</v>
      </c>
      <c r="I2295" s="10" t="s">
        <v>5838</v>
      </c>
    </row>
    <row r="2296" spans="1:9" x14ac:dyDescent="0.15">
      <c r="A2296" s="9">
        <v>2295</v>
      </c>
      <c r="B2296" s="10" t="s">
        <v>9</v>
      </c>
      <c r="C2296" s="10" t="s">
        <v>170</v>
      </c>
      <c r="D2296" s="10" t="s">
        <v>171</v>
      </c>
      <c r="E2296" s="11" t="str">
        <f>+HYPERLINK("http://trademark.i-assist.jp/data/china/image_1900th/78919868.pdf", "78919868")</f>
        <v>78919868</v>
      </c>
      <c r="F2296" s="10" t="s">
        <v>6475</v>
      </c>
      <c r="G2296" s="10" t="s">
        <v>6476</v>
      </c>
      <c r="H2296" s="10" t="s">
        <v>6477</v>
      </c>
      <c r="I2296" s="10" t="s">
        <v>5838</v>
      </c>
    </row>
    <row r="2297" spans="1:9" x14ac:dyDescent="0.15">
      <c r="A2297" s="9">
        <v>2296</v>
      </c>
      <c r="B2297" s="10" t="s">
        <v>9</v>
      </c>
      <c r="C2297" s="10" t="s">
        <v>170</v>
      </c>
      <c r="D2297" s="10" t="s">
        <v>171</v>
      </c>
      <c r="E2297" s="11" t="str">
        <f>+HYPERLINK("http://trademark.i-assist.jp/data/china/image_1900th/78919951.pdf", "78919951")</f>
        <v>78919951</v>
      </c>
      <c r="F2297" s="10" t="s">
        <v>6478</v>
      </c>
      <c r="G2297" s="10" t="s">
        <v>81</v>
      </c>
      <c r="H2297" s="10" t="s">
        <v>6479</v>
      </c>
      <c r="I2297" s="10" t="s">
        <v>5838</v>
      </c>
    </row>
    <row r="2298" spans="1:9" x14ac:dyDescent="0.15">
      <c r="A2298" s="9">
        <v>2297</v>
      </c>
      <c r="B2298" s="10" t="s">
        <v>9</v>
      </c>
      <c r="C2298" s="10" t="s">
        <v>170</v>
      </c>
      <c r="D2298" s="10" t="s">
        <v>171</v>
      </c>
      <c r="E2298" s="11" t="str">
        <f>+HYPERLINK("http://trademark.i-assist.jp/data/china/image_1900th/78920112.pdf", "78920112")</f>
        <v>78920112</v>
      </c>
      <c r="F2298" s="10" t="s">
        <v>6480</v>
      </c>
      <c r="G2298" s="10" t="s">
        <v>6481</v>
      </c>
      <c r="H2298" s="10" t="s">
        <v>6482</v>
      </c>
      <c r="I2298" s="10" t="s">
        <v>5838</v>
      </c>
    </row>
    <row r="2299" spans="1:9" x14ac:dyDescent="0.15">
      <c r="A2299" s="9">
        <v>2298</v>
      </c>
      <c r="B2299" s="10" t="s">
        <v>9</v>
      </c>
      <c r="C2299" s="10" t="s">
        <v>170</v>
      </c>
      <c r="D2299" s="10" t="s">
        <v>171</v>
      </c>
      <c r="E2299" s="11" t="str">
        <f>+HYPERLINK("http://trademark.i-assist.jp/data/china/image_1900th/78920735.pdf", "78920735")</f>
        <v>78920735</v>
      </c>
      <c r="F2299" s="10" t="s">
        <v>6483</v>
      </c>
      <c r="G2299" s="10" t="s">
        <v>122</v>
      </c>
      <c r="H2299" s="10" t="s">
        <v>6484</v>
      </c>
      <c r="I2299" s="10" t="s">
        <v>6485</v>
      </c>
    </row>
    <row r="2300" spans="1:9" x14ac:dyDescent="0.15">
      <c r="A2300" s="9">
        <v>2299</v>
      </c>
      <c r="B2300" s="10" t="s">
        <v>9</v>
      </c>
      <c r="C2300" s="10" t="s">
        <v>170</v>
      </c>
      <c r="D2300" s="10" t="s">
        <v>171</v>
      </c>
      <c r="E2300" s="11" t="str">
        <f>+HYPERLINK("http://trademark.i-assist.jp/data/china/image_1900th/78920785.pdf", "78920785")</f>
        <v>78920785</v>
      </c>
      <c r="F2300" s="10" t="s">
        <v>6486</v>
      </c>
      <c r="G2300" s="10" t="s">
        <v>6487</v>
      </c>
      <c r="H2300" s="10" t="s">
        <v>6488</v>
      </c>
      <c r="I2300" s="10" t="s">
        <v>6485</v>
      </c>
    </row>
    <row r="2301" spans="1:9" x14ac:dyDescent="0.15">
      <c r="A2301" s="9">
        <v>2300</v>
      </c>
      <c r="B2301" s="10" t="s">
        <v>9</v>
      </c>
      <c r="C2301" s="10" t="s">
        <v>170</v>
      </c>
      <c r="D2301" s="10" t="s">
        <v>171</v>
      </c>
      <c r="E2301" s="11" t="str">
        <f>+HYPERLINK("http://trademark.i-assist.jp/data/china/image_1900th/78920845.pdf", "78920845")</f>
        <v>78920845</v>
      </c>
      <c r="F2301" s="10" t="s">
        <v>6489</v>
      </c>
      <c r="G2301" s="10" t="s">
        <v>6490</v>
      </c>
      <c r="H2301" s="10" t="s">
        <v>6491</v>
      </c>
      <c r="I2301" s="10" t="s">
        <v>6485</v>
      </c>
    </row>
    <row r="2302" spans="1:9" x14ac:dyDescent="0.15">
      <c r="A2302" s="9">
        <v>2301</v>
      </c>
      <c r="B2302" s="10" t="s">
        <v>9</v>
      </c>
      <c r="C2302" s="10" t="s">
        <v>170</v>
      </c>
      <c r="D2302" s="10" t="s">
        <v>171</v>
      </c>
      <c r="E2302" s="11" t="str">
        <f>+HYPERLINK("http://trademark.i-assist.jp/data/china/image_1900th/78921046.pdf", "78921046")</f>
        <v>78921046</v>
      </c>
      <c r="F2302" s="10" t="s">
        <v>6492</v>
      </c>
      <c r="G2302" s="10" t="s">
        <v>6493</v>
      </c>
      <c r="H2302" s="10" t="s">
        <v>6494</v>
      </c>
      <c r="I2302" s="10" t="s">
        <v>6485</v>
      </c>
    </row>
    <row r="2303" spans="1:9" x14ac:dyDescent="0.15">
      <c r="A2303" s="9">
        <v>2302</v>
      </c>
      <c r="B2303" s="10" t="s">
        <v>9</v>
      </c>
      <c r="C2303" s="10" t="s">
        <v>170</v>
      </c>
      <c r="D2303" s="10" t="s">
        <v>171</v>
      </c>
      <c r="E2303" s="11" t="str">
        <f>+HYPERLINK("http://trademark.i-assist.jp/data/china/image_1900th/78921100.pdf", "78921100")</f>
        <v>78921100</v>
      </c>
      <c r="F2303" s="10" t="s">
        <v>6495</v>
      </c>
      <c r="G2303" s="10" t="s">
        <v>6496</v>
      </c>
      <c r="H2303" s="10" t="s">
        <v>6497</v>
      </c>
      <c r="I2303" s="10" t="s">
        <v>6485</v>
      </c>
    </row>
    <row r="2304" spans="1:9" x14ac:dyDescent="0.15">
      <c r="A2304" s="9">
        <v>2303</v>
      </c>
      <c r="B2304" s="10" t="s">
        <v>9</v>
      </c>
      <c r="C2304" s="10" t="s">
        <v>170</v>
      </c>
      <c r="D2304" s="10" t="s">
        <v>171</v>
      </c>
      <c r="E2304" s="11" t="str">
        <f>+HYPERLINK("http://trademark.i-assist.jp/data/china/image_1900th/78921185.pdf", "78921185")</f>
        <v>78921185</v>
      </c>
      <c r="F2304" s="10" t="s">
        <v>6498</v>
      </c>
      <c r="G2304" s="10" t="s">
        <v>6066</v>
      </c>
      <c r="H2304" s="10" t="s">
        <v>6499</v>
      </c>
      <c r="I2304" s="10" t="s">
        <v>6485</v>
      </c>
    </row>
    <row r="2305" spans="1:9" x14ac:dyDescent="0.15">
      <c r="A2305" s="9">
        <v>2304</v>
      </c>
      <c r="B2305" s="10" t="s">
        <v>9</v>
      </c>
      <c r="C2305" s="10" t="s">
        <v>170</v>
      </c>
      <c r="D2305" s="10" t="s">
        <v>171</v>
      </c>
      <c r="E2305" s="11" t="str">
        <f>+HYPERLINK("http://trademark.i-assist.jp/data/china/image_1900th/78921242.pdf", "78921242")</f>
        <v>78921242</v>
      </c>
      <c r="F2305" s="10" t="s">
        <v>6500</v>
      </c>
      <c r="G2305" s="10" t="s">
        <v>6501</v>
      </c>
      <c r="H2305" s="10" t="s">
        <v>6502</v>
      </c>
      <c r="I2305" s="10" t="s">
        <v>6485</v>
      </c>
    </row>
    <row r="2306" spans="1:9" x14ac:dyDescent="0.15">
      <c r="A2306" s="9">
        <v>2305</v>
      </c>
      <c r="B2306" s="10" t="s">
        <v>9</v>
      </c>
      <c r="C2306" s="10" t="s">
        <v>170</v>
      </c>
      <c r="D2306" s="10" t="s">
        <v>171</v>
      </c>
      <c r="E2306" s="11" t="str">
        <f>+HYPERLINK("http://trademark.i-assist.jp/data/china/image_1900th/78921255.pdf", "78921255")</f>
        <v>78921255</v>
      </c>
      <c r="F2306" s="10" t="s">
        <v>6503</v>
      </c>
      <c r="G2306" s="10" t="s">
        <v>6504</v>
      </c>
      <c r="H2306" s="10" t="s">
        <v>6505</v>
      </c>
      <c r="I2306" s="10" t="s">
        <v>6485</v>
      </c>
    </row>
    <row r="2307" spans="1:9" x14ac:dyDescent="0.15">
      <c r="A2307" s="9">
        <v>2306</v>
      </c>
      <c r="B2307" s="10" t="s">
        <v>9</v>
      </c>
      <c r="C2307" s="10" t="s">
        <v>170</v>
      </c>
      <c r="D2307" s="10" t="s">
        <v>171</v>
      </c>
      <c r="E2307" s="11" t="str">
        <f>+HYPERLINK("http://trademark.i-assist.jp/data/china/image_1900th/78921275.pdf", "78921275")</f>
        <v>78921275</v>
      </c>
      <c r="F2307" s="10" t="s">
        <v>6506</v>
      </c>
      <c r="G2307" s="10" t="s">
        <v>6507</v>
      </c>
      <c r="H2307" s="10" t="s">
        <v>6508</v>
      </c>
      <c r="I2307" s="10" t="s">
        <v>6485</v>
      </c>
    </row>
    <row r="2308" spans="1:9" x14ac:dyDescent="0.15">
      <c r="A2308" s="9">
        <v>2307</v>
      </c>
      <c r="B2308" s="10" t="s">
        <v>9</v>
      </c>
      <c r="C2308" s="10" t="s">
        <v>170</v>
      </c>
      <c r="D2308" s="10" t="s">
        <v>171</v>
      </c>
      <c r="E2308" s="11" t="str">
        <f>+HYPERLINK("http://trademark.i-assist.jp/data/china/image_1900th/78921453.pdf", "78921453")</f>
        <v>78921453</v>
      </c>
      <c r="F2308" s="10" t="s">
        <v>6509</v>
      </c>
      <c r="G2308" s="10" t="s">
        <v>6510</v>
      </c>
      <c r="H2308" s="10" t="s">
        <v>6511</v>
      </c>
      <c r="I2308" s="10" t="s">
        <v>6485</v>
      </c>
    </row>
    <row r="2309" spans="1:9" x14ac:dyDescent="0.15">
      <c r="A2309" s="9">
        <v>2308</v>
      </c>
      <c r="B2309" s="10" t="s">
        <v>9</v>
      </c>
      <c r="C2309" s="10" t="s">
        <v>170</v>
      </c>
      <c r="D2309" s="10" t="s">
        <v>171</v>
      </c>
      <c r="E2309" s="11" t="str">
        <f>+HYPERLINK("http://trademark.i-assist.jp/data/china/image_1900th/78921505.pdf", "78921505")</f>
        <v>78921505</v>
      </c>
      <c r="F2309" s="10" t="s">
        <v>6512</v>
      </c>
      <c r="G2309" s="10" t="s">
        <v>3304</v>
      </c>
      <c r="H2309" s="10" t="s">
        <v>6513</v>
      </c>
      <c r="I2309" s="10" t="s">
        <v>6485</v>
      </c>
    </row>
    <row r="2310" spans="1:9" x14ac:dyDescent="0.15">
      <c r="A2310" s="9">
        <v>2309</v>
      </c>
      <c r="B2310" s="10" t="s">
        <v>9</v>
      </c>
      <c r="C2310" s="10" t="s">
        <v>170</v>
      </c>
      <c r="D2310" s="10" t="s">
        <v>171</v>
      </c>
      <c r="E2310" s="11" t="str">
        <f>+HYPERLINK("http://trademark.i-assist.jp/data/china/image_1900th/78921631.pdf", "78921631")</f>
        <v>78921631</v>
      </c>
      <c r="F2310" s="10" t="s">
        <v>6514</v>
      </c>
      <c r="G2310" s="10" t="s">
        <v>6515</v>
      </c>
      <c r="H2310" s="10" t="s">
        <v>6516</v>
      </c>
      <c r="I2310" s="10" t="s">
        <v>6485</v>
      </c>
    </row>
    <row r="2311" spans="1:9" x14ac:dyDescent="0.15">
      <c r="A2311" s="9">
        <v>2310</v>
      </c>
      <c r="B2311" s="10" t="s">
        <v>9</v>
      </c>
      <c r="C2311" s="10" t="s">
        <v>170</v>
      </c>
      <c r="D2311" s="10" t="s">
        <v>171</v>
      </c>
      <c r="E2311" s="11" t="str">
        <f>+HYPERLINK("http://trademark.i-assist.jp/data/china/image_1900th/78921634.pdf", "78921634")</f>
        <v>78921634</v>
      </c>
      <c r="F2311" s="10" t="s">
        <v>6517</v>
      </c>
      <c r="G2311" s="10" t="s">
        <v>6518</v>
      </c>
      <c r="H2311" s="10" t="s">
        <v>6519</v>
      </c>
      <c r="I2311" s="10" t="s">
        <v>6485</v>
      </c>
    </row>
    <row r="2312" spans="1:9" x14ac:dyDescent="0.15">
      <c r="A2312" s="9">
        <v>2311</v>
      </c>
      <c r="B2312" s="10" t="s">
        <v>9</v>
      </c>
      <c r="C2312" s="10" t="s">
        <v>170</v>
      </c>
      <c r="D2312" s="10" t="s">
        <v>171</v>
      </c>
      <c r="E2312" s="11" t="str">
        <f>+HYPERLINK("http://trademark.i-assist.jp/data/china/image_1900th/78921642.pdf", "78921642")</f>
        <v>78921642</v>
      </c>
      <c r="F2312" s="10" t="s">
        <v>6520</v>
      </c>
      <c r="G2312" s="10" t="s">
        <v>6521</v>
      </c>
      <c r="H2312" s="10" t="s">
        <v>6522</v>
      </c>
      <c r="I2312" s="10" t="s">
        <v>6485</v>
      </c>
    </row>
    <row r="2313" spans="1:9" x14ac:dyDescent="0.15">
      <c r="A2313" s="9">
        <v>2312</v>
      </c>
      <c r="B2313" s="10" t="s">
        <v>9</v>
      </c>
      <c r="C2313" s="10" t="s">
        <v>170</v>
      </c>
      <c r="D2313" s="10" t="s">
        <v>171</v>
      </c>
      <c r="E2313" s="11" t="str">
        <f>+HYPERLINK("http://trademark.i-assist.jp/data/china/image_1900th/78921653.pdf", "78921653")</f>
        <v>78921653</v>
      </c>
      <c r="F2313" s="10" t="s">
        <v>6523</v>
      </c>
      <c r="G2313" s="10" t="s">
        <v>6524</v>
      </c>
      <c r="H2313" s="10" t="s">
        <v>6525</v>
      </c>
      <c r="I2313" s="10" t="s">
        <v>6485</v>
      </c>
    </row>
    <row r="2314" spans="1:9" x14ac:dyDescent="0.15">
      <c r="A2314" s="9">
        <v>2313</v>
      </c>
      <c r="B2314" s="10" t="s">
        <v>9</v>
      </c>
      <c r="C2314" s="10" t="s">
        <v>170</v>
      </c>
      <c r="D2314" s="10" t="s">
        <v>171</v>
      </c>
      <c r="E2314" s="11" t="str">
        <f>+HYPERLINK("http://trademark.i-assist.jp/data/china/image_1900th/78921688.pdf", "78921688")</f>
        <v>78921688</v>
      </c>
      <c r="F2314" s="10" t="s">
        <v>6526</v>
      </c>
      <c r="G2314" s="10" t="s">
        <v>6527</v>
      </c>
      <c r="H2314" s="10" t="s">
        <v>6528</v>
      </c>
      <c r="I2314" s="10" t="s">
        <v>6485</v>
      </c>
    </row>
    <row r="2315" spans="1:9" x14ac:dyDescent="0.15">
      <c r="A2315" s="9">
        <v>2314</v>
      </c>
      <c r="B2315" s="10" t="s">
        <v>9</v>
      </c>
      <c r="C2315" s="10" t="s">
        <v>170</v>
      </c>
      <c r="D2315" s="10" t="s">
        <v>171</v>
      </c>
      <c r="E2315" s="11" t="str">
        <f>+HYPERLINK("http://trademark.i-assist.jp/data/china/image_1900th/78921830.pdf", "78921830")</f>
        <v>78921830</v>
      </c>
      <c r="F2315" s="10" t="s">
        <v>6529</v>
      </c>
      <c r="G2315" s="10" t="s">
        <v>6530</v>
      </c>
      <c r="H2315" s="10" t="s">
        <v>6531</v>
      </c>
      <c r="I2315" s="10" t="s">
        <v>6485</v>
      </c>
    </row>
    <row r="2316" spans="1:9" x14ac:dyDescent="0.15">
      <c r="A2316" s="9">
        <v>2315</v>
      </c>
      <c r="B2316" s="10" t="s">
        <v>9</v>
      </c>
      <c r="C2316" s="10" t="s">
        <v>170</v>
      </c>
      <c r="D2316" s="10" t="s">
        <v>171</v>
      </c>
      <c r="E2316" s="11" t="str">
        <f>+HYPERLINK("http://trademark.i-assist.jp/data/china/image_1900th/78922083.pdf", "78922083")</f>
        <v>78922083</v>
      </c>
      <c r="F2316" s="10" t="s">
        <v>6532</v>
      </c>
      <c r="G2316" s="10" t="s">
        <v>1346</v>
      </c>
      <c r="H2316" s="10" t="s">
        <v>6533</v>
      </c>
      <c r="I2316" s="10" t="s">
        <v>6485</v>
      </c>
    </row>
    <row r="2317" spans="1:9" x14ac:dyDescent="0.15">
      <c r="A2317" s="9">
        <v>2316</v>
      </c>
      <c r="B2317" s="10" t="s">
        <v>9</v>
      </c>
      <c r="C2317" s="10" t="s">
        <v>170</v>
      </c>
      <c r="D2317" s="10" t="s">
        <v>171</v>
      </c>
      <c r="E2317" s="11" t="str">
        <f>+HYPERLINK("http://trademark.i-assist.jp/data/china/image_1900th/78922147.pdf", "78922147")</f>
        <v>78922147</v>
      </c>
      <c r="F2317" s="10" t="s">
        <v>6534</v>
      </c>
      <c r="G2317" s="10" t="s">
        <v>6535</v>
      </c>
      <c r="H2317" s="10" t="s">
        <v>6536</v>
      </c>
      <c r="I2317" s="10" t="s">
        <v>6485</v>
      </c>
    </row>
    <row r="2318" spans="1:9" x14ac:dyDescent="0.15">
      <c r="A2318" s="9">
        <v>2317</v>
      </c>
      <c r="B2318" s="10" t="s">
        <v>9</v>
      </c>
      <c r="C2318" s="10" t="s">
        <v>170</v>
      </c>
      <c r="D2318" s="10" t="s">
        <v>171</v>
      </c>
      <c r="E2318" s="11" t="str">
        <f>+HYPERLINK("http://trademark.i-assist.jp/data/china/image_1900th/78922168.pdf", "78922168")</f>
        <v>78922168</v>
      </c>
      <c r="F2318" s="10" t="s">
        <v>6537</v>
      </c>
      <c r="G2318" s="10" t="s">
        <v>6538</v>
      </c>
      <c r="H2318" s="10" t="s">
        <v>6539</v>
      </c>
      <c r="I2318" s="10" t="s">
        <v>6485</v>
      </c>
    </row>
    <row r="2319" spans="1:9" x14ac:dyDescent="0.15">
      <c r="A2319" s="9">
        <v>2318</v>
      </c>
      <c r="B2319" s="10" t="s">
        <v>9</v>
      </c>
      <c r="C2319" s="10" t="s">
        <v>170</v>
      </c>
      <c r="D2319" s="10" t="s">
        <v>171</v>
      </c>
      <c r="E2319" s="11" t="str">
        <f>+HYPERLINK("http://trademark.i-assist.jp/data/china/image_1900th/78922231.pdf", "78922231")</f>
        <v>78922231</v>
      </c>
      <c r="F2319" s="10" t="s">
        <v>6540</v>
      </c>
      <c r="G2319" s="10" t="s">
        <v>6541</v>
      </c>
      <c r="H2319" s="10" t="s">
        <v>6542</v>
      </c>
      <c r="I2319" s="10" t="s">
        <v>6485</v>
      </c>
    </row>
    <row r="2320" spans="1:9" x14ac:dyDescent="0.15">
      <c r="A2320" s="9">
        <v>2319</v>
      </c>
      <c r="B2320" s="10" t="s">
        <v>9</v>
      </c>
      <c r="C2320" s="10" t="s">
        <v>170</v>
      </c>
      <c r="D2320" s="10" t="s">
        <v>171</v>
      </c>
      <c r="E2320" s="11" t="str">
        <f>+HYPERLINK("http://trademark.i-assist.jp/data/china/image_1900th/78922895.pdf", "78922895")</f>
        <v>78922895</v>
      </c>
      <c r="F2320" s="10" t="s">
        <v>6543</v>
      </c>
      <c r="G2320" s="10" t="s">
        <v>6544</v>
      </c>
      <c r="H2320" s="10" t="s">
        <v>6545</v>
      </c>
      <c r="I2320" s="10" t="s">
        <v>6485</v>
      </c>
    </row>
    <row r="2321" spans="1:9" x14ac:dyDescent="0.15">
      <c r="A2321" s="9">
        <v>2320</v>
      </c>
      <c r="B2321" s="10" t="s">
        <v>9</v>
      </c>
      <c r="C2321" s="10" t="s">
        <v>170</v>
      </c>
      <c r="D2321" s="10" t="s">
        <v>171</v>
      </c>
      <c r="E2321" s="11" t="str">
        <f>+HYPERLINK("http://trademark.i-assist.jp/data/china/image_1900th/78923034.pdf", "78923034")</f>
        <v>78923034</v>
      </c>
      <c r="F2321" s="10" t="s">
        <v>6546</v>
      </c>
      <c r="G2321" s="10" t="s">
        <v>6547</v>
      </c>
      <c r="H2321" s="10" t="s">
        <v>6548</v>
      </c>
      <c r="I2321" s="10" t="s">
        <v>6485</v>
      </c>
    </row>
    <row r="2322" spans="1:9" x14ac:dyDescent="0.15">
      <c r="A2322" s="9">
        <v>2321</v>
      </c>
      <c r="B2322" s="10" t="s">
        <v>9</v>
      </c>
      <c r="C2322" s="10" t="s">
        <v>170</v>
      </c>
      <c r="D2322" s="10" t="s">
        <v>171</v>
      </c>
      <c r="E2322" s="11" t="str">
        <f>+HYPERLINK("http://trademark.i-assist.jp/data/china/image_1900th/78923048.pdf", "78923048")</f>
        <v>78923048</v>
      </c>
      <c r="F2322" s="10" t="s">
        <v>6549</v>
      </c>
      <c r="G2322" s="10" t="s">
        <v>6550</v>
      </c>
      <c r="H2322" s="10" t="s">
        <v>6551</v>
      </c>
      <c r="I2322" s="10" t="s">
        <v>6485</v>
      </c>
    </row>
    <row r="2323" spans="1:9" x14ac:dyDescent="0.15">
      <c r="A2323" s="9">
        <v>2322</v>
      </c>
      <c r="B2323" s="10" t="s">
        <v>9</v>
      </c>
      <c r="C2323" s="10" t="s">
        <v>170</v>
      </c>
      <c r="D2323" s="10" t="s">
        <v>171</v>
      </c>
      <c r="E2323" s="11" t="str">
        <f>+HYPERLINK("http://trademark.i-assist.jp/data/china/image_1900th/78923208.pdf", "78923208")</f>
        <v>78923208</v>
      </c>
      <c r="F2323" s="10" t="s">
        <v>6552</v>
      </c>
      <c r="G2323" s="10" t="s">
        <v>6553</v>
      </c>
      <c r="H2323" s="10" t="s">
        <v>6554</v>
      </c>
      <c r="I2323" s="10" t="s">
        <v>6485</v>
      </c>
    </row>
    <row r="2324" spans="1:9" x14ac:dyDescent="0.15">
      <c r="A2324" s="9">
        <v>2323</v>
      </c>
      <c r="B2324" s="10" t="s">
        <v>9</v>
      </c>
      <c r="C2324" s="10" t="s">
        <v>170</v>
      </c>
      <c r="D2324" s="10" t="s">
        <v>171</v>
      </c>
      <c r="E2324" s="11" t="str">
        <f>+HYPERLINK("http://trademark.i-assist.jp/data/china/image_1900th/78923648.pdf", "78923648")</f>
        <v>78923648</v>
      </c>
      <c r="F2324" s="10" t="s">
        <v>6555</v>
      </c>
      <c r="G2324" s="10" t="s">
        <v>6556</v>
      </c>
      <c r="H2324" s="10" t="s">
        <v>6557</v>
      </c>
      <c r="I2324" s="10" t="s">
        <v>6485</v>
      </c>
    </row>
    <row r="2325" spans="1:9" x14ac:dyDescent="0.15">
      <c r="A2325" s="9">
        <v>2324</v>
      </c>
      <c r="B2325" s="10" t="s">
        <v>9</v>
      </c>
      <c r="C2325" s="10" t="s">
        <v>170</v>
      </c>
      <c r="D2325" s="10" t="s">
        <v>171</v>
      </c>
      <c r="E2325" s="11" t="str">
        <f>+HYPERLINK("http://trademark.i-assist.jp/data/china/image_1900th/78923690.pdf", "78923690")</f>
        <v>78923690</v>
      </c>
      <c r="F2325" s="10" t="s">
        <v>6558</v>
      </c>
      <c r="G2325" s="10" t="s">
        <v>6559</v>
      </c>
      <c r="H2325" s="10" t="s">
        <v>6560</v>
      </c>
      <c r="I2325" s="10" t="s">
        <v>6485</v>
      </c>
    </row>
    <row r="2326" spans="1:9" x14ac:dyDescent="0.15">
      <c r="A2326" s="9">
        <v>2325</v>
      </c>
      <c r="B2326" s="10" t="s">
        <v>9</v>
      </c>
      <c r="C2326" s="10" t="s">
        <v>170</v>
      </c>
      <c r="D2326" s="10" t="s">
        <v>171</v>
      </c>
      <c r="E2326" s="11" t="str">
        <f>+HYPERLINK("http://trademark.i-assist.jp/data/china/image_1900th/78923790.pdf", "78923790")</f>
        <v>78923790</v>
      </c>
      <c r="F2326" s="10" t="s">
        <v>6561</v>
      </c>
      <c r="G2326" s="10" t="s">
        <v>6562</v>
      </c>
      <c r="H2326" s="10" t="s">
        <v>6563</v>
      </c>
      <c r="I2326" s="10" t="s">
        <v>6485</v>
      </c>
    </row>
    <row r="2327" spans="1:9" x14ac:dyDescent="0.15">
      <c r="A2327" s="9">
        <v>2326</v>
      </c>
      <c r="B2327" s="10" t="s">
        <v>9</v>
      </c>
      <c r="C2327" s="10" t="s">
        <v>170</v>
      </c>
      <c r="D2327" s="10" t="s">
        <v>171</v>
      </c>
      <c r="E2327" s="11" t="str">
        <f>+HYPERLINK("http://trademark.i-assist.jp/data/china/image_1900th/78923855.pdf", "78923855")</f>
        <v>78923855</v>
      </c>
      <c r="F2327" s="10" t="s">
        <v>6564</v>
      </c>
      <c r="G2327" s="10" t="s">
        <v>6565</v>
      </c>
      <c r="H2327" s="10" t="s">
        <v>6566</v>
      </c>
      <c r="I2327" s="10" t="s">
        <v>6485</v>
      </c>
    </row>
    <row r="2328" spans="1:9" x14ac:dyDescent="0.15">
      <c r="A2328" s="9">
        <v>2327</v>
      </c>
      <c r="B2328" s="10" t="s">
        <v>9</v>
      </c>
      <c r="C2328" s="10" t="s">
        <v>170</v>
      </c>
      <c r="D2328" s="10" t="s">
        <v>171</v>
      </c>
      <c r="E2328" s="11" t="str">
        <f>+HYPERLINK("http://trademark.i-assist.jp/data/china/image_1900th/78924231.pdf", "78924231")</f>
        <v>78924231</v>
      </c>
      <c r="F2328" s="10" t="s">
        <v>6567</v>
      </c>
      <c r="G2328" s="10" t="s">
        <v>6568</v>
      </c>
      <c r="H2328" s="10" t="s">
        <v>6569</v>
      </c>
      <c r="I2328" s="10" t="s">
        <v>6485</v>
      </c>
    </row>
    <row r="2329" spans="1:9" x14ac:dyDescent="0.15">
      <c r="A2329" s="9">
        <v>2328</v>
      </c>
      <c r="B2329" s="10" t="s">
        <v>9</v>
      </c>
      <c r="C2329" s="10" t="s">
        <v>170</v>
      </c>
      <c r="D2329" s="10" t="s">
        <v>171</v>
      </c>
      <c r="E2329" s="11" t="str">
        <f>+HYPERLINK("http://trademark.i-assist.jp/data/china/image_1900th/78924238.pdf", "78924238")</f>
        <v>78924238</v>
      </c>
      <c r="F2329" s="10" t="s">
        <v>6570</v>
      </c>
      <c r="G2329" s="10" t="s">
        <v>6571</v>
      </c>
      <c r="H2329" s="10" t="s">
        <v>6572</v>
      </c>
      <c r="I2329" s="10" t="s">
        <v>6485</v>
      </c>
    </row>
    <row r="2330" spans="1:9" x14ac:dyDescent="0.15">
      <c r="A2330" s="9">
        <v>2329</v>
      </c>
      <c r="B2330" s="10" t="s">
        <v>9</v>
      </c>
      <c r="C2330" s="10" t="s">
        <v>170</v>
      </c>
      <c r="D2330" s="10" t="s">
        <v>171</v>
      </c>
      <c r="E2330" s="11" t="str">
        <f>+HYPERLINK("http://trademark.i-assist.jp/data/china/image_1900th/78924426.pdf", "78924426")</f>
        <v>78924426</v>
      </c>
      <c r="F2330" s="10" t="s">
        <v>6573</v>
      </c>
      <c r="G2330" s="10" t="s">
        <v>6574</v>
      </c>
      <c r="H2330" s="10" t="s">
        <v>6575</v>
      </c>
      <c r="I2330" s="10" t="s">
        <v>6485</v>
      </c>
    </row>
    <row r="2331" spans="1:9" x14ac:dyDescent="0.15">
      <c r="A2331" s="9">
        <v>2330</v>
      </c>
      <c r="B2331" s="10" t="s">
        <v>9</v>
      </c>
      <c r="C2331" s="10" t="s">
        <v>170</v>
      </c>
      <c r="D2331" s="10" t="s">
        <v>171</v>
      </c>
      <c r="E2331" s="11" t="str">
        <f>+HYPERLINK("http://trademark.i-assist.jp/data/china/image_1900th/78924540.pdf", "78924540")</f>
        <v>78924540</v>
      </c>
      <c r="F2331" s="10" t="s">
        <v>6576</v>
      </c>
      <c r="G2331" s="10" t="s">
        <v>6577</v>
      </c>
      <c r="H2331" s="10" t="s">
        <v>6578</v>
      </c>
      <c r="I2331" s="10" t="s">
        <v>6485</v>
      </c>
    </row>
    <row r="2332" spans="1:9" x14ac:dyDescent="0.15">
      <c r="A2332" s="9">
        <v>2331</v>
      </c>
      <c r="B2332" s="10" t="s">
        <v>9</v>
      </c>
      <c r="C2332" s="10" t="s">
        <v>170</v>
      </c>
      <c r="D2332" s="10" t="s">
        <v>171</v>
      </c>
      <c r="E2332" s="11" t="str">
        <f>+HYPERLINK("http://trademark.i-assist.jp/data/china/image_1900th/78924577.pdf", "78924577")</f>
        <v>78924577</v>
      </c>
      <c r="F2332" s="10" t="s">
        <v>6579</v>
      </c>
      <c r="G2332" s="10" t="s">
        <v>6580</v>
      </c>
      <c r="H2332" s="10" t="s">
        <v>6581</v>
      </c>
      <c r="I2332" s="10" t="s">
        <v>6485</v>
      </c>
    </row>
    <row r="2333" spans="1:9" x14ac:dyDescent="0.15">
      <c r="A2333" s="9">
        <v>2332</v>
      </c>
      <c r="B2333" s="10" t="s">
        <v>9</v>
      </c>
      <c r="C2333" s="10" t="s">
        <v>170</v>
      </c>
      <c r="D2333" s="10" t="s">
        <v>171</v>
      </c>
      <c r="E2333" s="11" t="str">
        <f>+HYPERLINK("http://trademark.i-assist.jp/data/china/image_1900th/78924822.pdf", "78924822")</f>
        <v>78924822</v>
      </c>
      <c r="F2333" s="10" t="s">
        <v>15</v>
      </c>
      <c r="G2333" s="10" t="s">
        <v>6582</v>
      </c>
      <c r="H2333" s="10" t="s">
        <v>6583</v>
      </c>
      <c r="I2333" s="10" t="s">
        <v>6485</v>
      </c>
    </row>
    <row r="2334" spans="1:9" x14ac:dyDescent="0.15">
      <c r="A2334" s="9">
        <v>2333</v>
      </c>
      <c r="B2334" s="10" t="s">
        <v>9</v>
      </c>
      <c r="C2334" s="10" t="s">
        <v>170</v>
      </c>
      <c r="D2334" s="10" t="s">
        <v>171</v>
      </c>
      <c r="E2334" s="11" t="str">
        <f>+HYPERLINK("http://trademark.i-assist.jp/data/china/image_1900th/78924825.pdf", "78924825")</f>
        <v>78924825</v>
      </c>
      <c r="F2334" s="10" t="s">
        <v>6584</v>
      </c>
      <c r="G2334" s="10" t="s">
        <v>6541</v>
      </c>
      <c r="H2334" s="10" t="s">
        <v>6585</v>
      </c>
      <c r="I2334" s="10" t="s">
        <v>6485</v>
      </c>
    </row>
    <row r="2335" spans="1:9" x14ac:dyDescent="0.15">
      <c r="A2335" s="9">
        <v>2334</v>
      </c>
      <c r="B2335" s="10" t="s">
        <v>9</v>
      </c>
      <c r="C2335" s="10" t="s">
        <v>170</v>
      </c>
      <c r="D2335" s="10" t="s">
        <v>171</v>
      </c>
      <c r="E2335" s="11" t="str">
        <f>+HYPERLINK("http://trademark.i-assist.jp/data/china/image_1900th/78925196.pdf", "78925196")</f>
        <v>78925196</v>
      </c>
      <c r="F2335" s="10" t="s">
        <v>6586</v>
      </c>
      <c r="G2335" s="10" t="s">
        <v>900</v>
      </c>
      <c r="H2335" s="10" t="s">
        <v>6587</v>
      </c>
      <c r="I2335" s="10" t="s">
        <v>6485</v>
      </c>
    </row>
    <row r="2336" spans="1:9" x14ac:dyDescent="0.15">
      <c r="A2336" s="9">
        <v>2335</v>
      </c>
      <c r="B2336" s="10" t="s">
        <v>9</v>
      </c>
      <c r="C2336" s="10" t="s">
        <v>170</v>
      </c>
      <c r="D2336" s="10" t="s">
        <v>171</v>
      </c>
      <c r="E2336" s="11" t="str">
        <f>+HYPERLINK("http://trademark.i-assist.jp/data/china/image_1900th/78925206.pdf", "78925206")</f>
        <v>78925206</v>
      </c>
      <c r="F2336" s="10" t="s">
        <v>6588</v>
      </c>
      <c r="G2336" s="10" t="s">
        <v>900</v>
      </c>
      <c r="H2336" s="10" t="s">
        <v>6589</v>
      </c>
      <c r="I2336" s="10" t="s">
        <v>6485</v>
      </c>
    </row>
    <row r="2337" spans="1:9" x14ac:dyDescent="0.15">
      <c r="A2337" s="9">
        <v>2336</v>
      </c>
      <c r="B2337" s="10" t="s">
        <v>9</v>
      </c>
      <c r="C2337" s="10" t="s">
        <v>170</v>
      </c>
      <c r="D2337" s="10" t="s">
        <v>171</v>
      </c>
      <c r="E2337" s="11" t="str">
        <f>+HYPERLINK("http://trademark.i-assist.jp/data/china/image_1900th/78925236.pdf", "78925236")</f>
        <v>78925236</v>
      </c>
      <c r="F2337" s="10" t="s">
        <v>6590</v>
      </c>
      <c r="G2337" s="10" t="s">
        <v>127</v>
      </c>
      <c r="H2337" s="10" t="s">
        <v>6591</v>
      </c>
      <c r="I2337" s="10" t="s">
        <v>6485</v>
      </c>
    </row>
    <row r="2338" spans="1:9" x14ac:dyDescent="0.15">
      <c r="A2338" s="9">
        <v>2337</v>
      </c>
      <c r="B2338" s="10" t="s">
        <v>9</v>
      </c>
      <c r="C2338" s="10" t="s">
        <v>170</v>
      </c>
      <c r="D2338" s="10" t="s">
        <v>171</v>
      </c>
      <c r="E2338" s="11" t="str">
        <f>+HYPERLINK("http://trademark.i-assist.jp/data/china/image_1900th/78925378.pdf", "78925378")</f>
        <v>78925378</v>
      </c>
      <c r="F2338" s="10" t="s">
        <v>6592</v>
      </c>
      <c r="G2338" s="10" t="s">
        <v>6593</v>
      </c>
      <c r="H2338" s="10" t="s">
        <v>6594</v>
      </c>
      <c r="I2338" s="10" t="s">
        <v>6485</v>
      </c>
    </row>
    <row r="2339" spans="1:9" x14ac:dyDescent="0.15">
      <c r="A2339" s="9">
        <v>2338</v>
      </c>
      <c r="B2339" s="10" t="s">
        <v>9</v>
      </c>
      <c r="C2339" s="10" t="s">
        <v>170</v>
      </c>
      <c r="D2339" s="10" t="s">
        <v>171</v>
      </c>
      <c r="E2339" s="11" t="str">
        <f>+HYPERLINK("http://trademark.i-assist.jp/data/china/image_1900th/78925448.pdf", "78925448")</f>
        <v>78925448</v>
      </c>
      <c r="F2339" s="10" t="s">
        <v>6595</v>
      </c>
      <c r="G2339" s="10" t="s">
        <v>6596</v>
      </c>
      <c r="H2339" s="10" t="s">
        <v>6597</v>
      </c>
      <c r="I2339" s="10" t="s">
        <v>6485</v>
      </c>
    </row>
    <row r="2340" spans="1:9" x14ac:dyDescent="0.15">
      <c r="A2340" s="9">
        <v>2339</v>
      </c>
      <c r="B2340" s="10" t="s">
        <v>9</v>
      </c>
      <c r="C2340" s="10" t="s">
        <v>170</v>
      </c>
      <c r="D2340" s="10" t="s">
        <v>171</v>
      </c>
      <c r="E2340" s="11" t="str">
        <f>+HYPERLINK("http://trademark.i-assist.jp/data/china/image_1900th/78925520.pdf", "78925520")</f>
        <v>78925520</v>
      </c>
      <c r="F2340" s="10" t="s">
        <v>6598</v>
      </c>
      <c r="G2340" s="10" t="s">
        <v>6599</v>
      </c>
      <c r="H2340" s="10" t="s">
        <v>6600</v>
      </c>
      <c r="I2340" s="10" t="s">
        <v>6485</v>
      </c>
    </row>
    <row r="2341" spans="1:9" x14ac:dyDescent="0.15">
      <c r="A2341" s="9">
        <v>2340</v>
      </c>
      <c r="B2341" s="10" t="s">
        <v>9</v>
      </c>
      <c r="C2341" s="10" t="s">
        <v>170</v>
      </c>
      <c r="D2341" s="10" t="s">
        <v>171</v>
      </c>
      <c r="E2341" s="11" t="str">
        <f>+HYPERLINK("http://trademark.i-assist.jp/data/china/image_1900th/78925553.pdf", "78925553")</f>
        <v>78925553</v>
      </c>
      <c r="F2341" s="10" t="s">
        <v>6601</v>
      </c>
      <c r="G2341" s="10" t="s">
        <v>6602</v>
      </c>
      <c r="H2341" s="10" t="s">
        <v>6603</v>
      </c>
      <c r="I2341" s="10" t="s">
        <v>6485</v>
      </c>
    </row>
    <row r="2342" spans="1:9" x14ac:dyDescent="0.15">
      <c r="A2342" s="9">
        <v>2341</v>
      </c>
      <c r="B2342" s="10" t="s">
        <v>9</v>
      </c>
      <c r="C2342" s="10" t="s">
        <v>170</v>
      </c>
      <c r="D2342" s="10" t="s">
        <v>171</v>
      </c>
      <c r="E2342" s="11" t="str">
        <f>+HYPERLINK("http://trademark.i-assist.jp/data/china/image_1900th/78925940.pdf", "78925940")</f>
        <v>78925940</v>
      </c>
      <c r="F2342" s="10" t="s">
        <v>6604</v>
      </c>
      <c r="G2342" s="10" t="s">
        <v>6605</v>
      </c>
      <c r="H2342" s="10" t="s">
        <v>6606</v>
      </c>
      <c r="I2342" s="10" t="s">
        <v>6485</v>
      </c>
    </row>
    <row r="2343" spans="1:9" x14ac:dyDescent="0.15">
      <c r="A2343" s="9">
        <v>2342</v>
      </c>
      <c r="B2343" s="10" t="s">
        <v>9</v>
      </c>
      <c r="C2343" s="10" t="s">
        <v>170</v>
      </c>
      <c r="D2343" s="10" t="s">
        <v>171</v>
      </c>
      <c r="E2343" s="11" t="str">
        <f>+HYPERLINK("http://trademark.i-assist.jp/data/china/image_1900th/78926101.pdf", "78926101")</f>
        <v>78926101</v>
      </c>
      <c r="F2343" s="10" t="s">
        <v>6607</v>
      </c>
      <c r="G2343" s="10" t="s">
        <v>6608</v>
      </c>
      <c r="H2343" s="10" t="s">
        <v>6609</v>
      </c>
      <c r="I2343" s="10" t="s">
        <v>6485</v>
      </c>
    </row>
    <row r="2344" spans="1:9" x14ac:dyDescent="0.15">
      <c r="A2344" s="9">
        <v>2343</v>
      </c>
      <c r="B2344" s="10" t="s">
        <v>9</v>
      </c>
      <c r="C2344" s="10" t="s">
        <v>170</v>
      </c>
      <c r="D2344" s="10" t="s">
        <v>171</v>
      </c>
      <c r="E2344" s="11" t="str">
        <f>+HYPERLINK("http://trademark.i-assist.jp/data/china/image_1900th/78926124.pdf", "78926124")</f>
        <v>78926124</v>
      </c>
      <c r="F2344" s="10" t="s">
        <v>6610</v>
      </c>
      <c r="G2344" s="10" t="s">
        <v>6611</v>
      </c>
      <c r="H2344" s="10" t="s">
        <v>6612</v>
      </c>
      <c r="I2344" s="10" t="s">
        <v>6485</v>
      </c>
    </row>
    <row r="2345" spans="1:9" x14ac:dyDescent="0.15">
      <c r="A2345" s="9">
        <v>2344</v>
      </c>
      <c r="B2345" s="10" t="s">
        <v>9</v>
      </c>
      <c r="C2345" s="10" t="s">
        <v>170</v>
      </c>
      <c r="D2345" s="10" t="s">
        <v>171</v>
      </c>
      <c r="E2345" s="11" t="str">
        <f>+HYPERLINK("http://trademark.i-assist.jp/data/china/image_1900th/78926130.pdf", "78926130")</f>
        <v>78926130</v>
      </c>
      <c r="F2345" s="10" t="s">
        <v>6613</v>
      </c>
      <c r="G2345" s="10" t="s">
        <v>2490</v>
      </c>
      <c r="H2345" s="10" t="s">
        <v>6614</v>
      </c>
      <c r="I2345" s="10" t="s">
        <v>6485</v>
      </c>
    </row>
    <row r="2346" spans="1:9" x14ac:dyDescent="0.15">
      <c r="A2346" s="9">
        <v>2345</v>
      </c>
      <c r="B2346" s="10" t="s">
        <v>9</v>
      </c>
      <c r="C2346" s="10" t="s">
        <v>170</v>
      </c>
      <c r="D2346" s="10" t="s">
        <v>171</v>
      </c>
      <c r="E2346" s="11" t="str">
        <f>+HYPERLINK("http://trademark.i-assist.jp/data/china/image_1900th/78926172.pdf", "78926172")</f>
        <v>78926172</v>
      </c>
      <c r="F2346" s="10" t="s">
        <v>6615</v>
      </c>
      <c r="G2346" s="10" t="s">
        <v>6616</v>
      </c>
      <c r="H2346" s="10" t="s">
        <v>6617</v>
      </c>
      <c r="I2346" s="10" t="s">
        <v>6485</v>
      </c>
    </row>
    <row r="2347" spans="1:9" x14ac:dyDescent="0.15">
      <c r="A2347" s="9">
        <v>2346</v>
      </c>
      <c r="B2347" s="10" t="s">
        <v>9</v>
      </c>
      <c r="C2347" s="10" t="s">
        <v>170</v>
      </c>
      <c r="D2347" s="10" t="s">
        <v>171</v>
      </c>
      <c r="E2347" s="11" t="str">
        <f>+HYPERLINK("http://trademark.i-assist.jp/data/china/image_1900th/78926239.pdf", "78926239")</f>
        <v>78926239</v>
      </c>
      <c r="F2347" s="10" t="s">
        <v>6618</v>
      </c>
      <c r="G2347" s="10" t="s">
        <v>6619</v>
      </c>
      <c r="H2347" s="10" t="s">
        <v>6620</v>
      </c>
      <c r="I2347" s="10" t="s">
        <v>6485</v>
      </c>
    </row>
    <row r="2348" spans="1:9" x14ac:dyDescent="0.15">
      <c r="A2348" s="9">
        <v>2347</v>
      </c>
      <c r="B2348" s="10" t="s">
        <v>9</v>
      </c>
      <c r="C2348" s="10" t="s">
        <v>170</v>
      </c>
      <c r="D2348" s="10" t="s">
        <v>171</v>
      </c>
      <c r="E2348" s="11" t="str">
        <f>+HYPERLINK("http://trademark.i-assist.jp/data/china/image_1900th/78926260.pdf", "78926260")</f>
        <v>78926260</v>
      </c>
      <c r="F2348" s="10" t="s">
        <v>6621</v>
      </c>
      <c r="G2348" s="10" t="s">
        <v>6622</v>
      </c>
      <c r="H2348" s="10" t="s">
        <v>6623</v>
      </c>
      <c r="I2348" s="10" t="s">
        <v>6485</v>
      </c>
    </row>
    <row r="2349" spans="1:9" x14ac:dyDescent="0.15">
      <c r="A2349" s="9">
        <v>2348</v>
      </c>
      <c r="B2349" s="10" t="s">
        <v>9</v>
      </c>
      <c r="C2349" s="10" t="s">
        <v>170</v>
      </c>
      <c r="D2349" s="10" t="s">
        <v>171</v>
      </c>
      <c r="E2349" s="11" t="str">
        <f>+HYPERLINK("http://trademark.i-assist.jp/data/china/image_1900th/78926266.pdf", "78926266")</f>
        <v>78926266</v>
      </c>
      <c r="F2349" s="10" t="s">
        <v>6624</v>
      </c>
      <c r="G2349" s="10" t="s">
        <v>6625</v>
      </c>
      <c r="H2349" s="10" t="s">
        <v>6626</v>
      </c>
      <c r="I2349" s="10" t="s">
        <v>6485</v>
      </c>
    </row>
    <row r="2350" spans="1:9" x14ac:dyDescent="0.15">
      <c r="A2350" s="9">
        <v>2349</v>
      </c>
      <c r="B2350" s="10" t="s">
        <v>9</v>
      </c>
      <c r="C2350" s="10" t="s">
        <v>170</v>
      </c>
      <c r="D2350" s="10" t="s">
        <v>171</v>
      </c>
      <c r="E2350" s="11" t="str">
        <f>+HYPERLINK("http://trademark.i-assist.jp/data/china/image_1900th/78926669.pdf", "78926669")</f>
        <v>78926669</v>
      </c>
      <c r="F2350" s="10" t="s">
        <v>6627</v>
      </c>
      <c r="G2350" s="10" t="s">
        <v>6628</v>
      </c>
      <c r="H2350" s="10" t="s">
        <v>6629</v>
      </c>
      <c r="I2350" s="10" t="s">
        <v>6485</v>
      </c>
    </row>
    <row r="2351" spans="1:9" x14ac:dyDescent="0.15">
      <c r="A2351" s="9">
        <v>2350</v>
      </c>
      <c r="B2351" s="10" t="s">
        <v>9</v>
      </c>
      <c r="C2351" s="10" t="s">
        <v>170</v>
      </c>
      <c r="D2351" s="10" t="s">
        <v>171</v>
      </c>
      <c r="E2351" s="11" t="str">
        <f>+HYPERLINK("http://trademark.i-assist.jp/data/china/image_1900th/78926702.pdf", "78926702")</f>
        <v>78926702</v>
      </c>
      <c r="F2351" s="10" t="s">
        <v>6630</v>
      </c>
      <c r="G2351" s="10" t="s">
        <v>6631</v>
      </c>
      <c r="H2351" s="10" t="s">
        <v>6632</v>
      </c>
      <c r="I2351" s="10" t="s">
        <v>6485</v>
      </c>
    </row>
    <row r="2352" spans="1:9" x14ac:dyDescent="0.15">
      <c r="A2352" s="9">
        <v>2351</v>
      </c>
      <c r="B2352" s="10" t="s">
        <v>9</v>
      </c>
      <c r="C2352" s="10" t="s">
        <v>170</v>
      </c>
      <c r="D2352" s="10" t="s">
        <v>171</v>
      </c>
      <c r="E2352" s="11" t="str">
        <f>+HYPERLINK("http://trademark.i-assist.jp/data/china/image_1900th/78926720.pdf", "78926720")</f>
        <v>78926720</v>
      </c>
      <c r="F2352" s="10" t="s">
        <v>6633</v>
      </c>
      <c r="G2352" s="10" t="s">
        <v>6634</v>
      </c>
      <c r="H2352" s="10" t="s">
        <v>6635</v>
      </c>
      <c r="I2352" s="10" t="s">
        <v>6485</v>
      </c>
    </row>
    <row r="2353" spans="1:9" x14ac:dyDescent="0.15">
      <c r="A2353" s="9">
        <v>2352</v>
      </c>
      <c r="B2353" s="10" t="s">
        <v>9</v>
      </c>
      <c r="C2353" s="10" t="s">
        <v>170</v>
      </c>
      <c r="D2353" s="10" t="s">
        <v>171</v>
      </c>
      <c r="E2353" s="11" t="str">
        <f>+HYPERLINK("http://trademark.i-assist.jp/data/china/image_1900th/78926818.pdf", "78926818")</f>
        <v>78926818</v>
      </c>
      <c r="F2353" s="10" t="s">
        <v>6636</v>
      </c>
      <c r="G2353" s="10" t="s">
        <v>6637</v>
      </c>
      <c r="H2353" s="10" t="s">
        <v>6638</v>
      </c>
      <c r="I2353" s="10" t="s">
        <v>6485</v>
      </c>
    </row>
    <row r="2354" spans="1:9" x14ac:dyDescent="0.15">
      <c r="A2354" s="9">
        <v>2353</v>
      </c>
      <c r="B2354" s="10" t="s">
        <v>9</v>
      </c>
      <c r="C2354" s="10" t="s">
        <v>170</v>
      </c>
      <c r="D2354" s="10" t="s">
        <v>171</v>
      </c>
      <c r="E2354" s="11" t="str">
        <f>+HYPERLINK("http://trademark.i-assist.jp/data/china/image_1900th/78926877.pdf", "78926877")</f>
        <v>78926877</v>
      </c>
      <c r="F2354" s="10" t="s">
        <v>15</v>
      </c>
      <c r="G2354" s="10" t="s">
        <v>6639</v>
      </c>
      <c r="H2354" s="10" t="s">
        <v>6640</v>
      </c>
      <c r="I2354" s="10" t="s">
        <v>6485</v>
      </c>
    </row>
    <row r="2355" spans="1:9" x14ac:dyDescent="0.15">
      <c r="A2355" s="9">
        <v>2354</v>
      </c>
      <c r="B2355" s="10" t="s">
        <v>9</v>
      </c>
      <c r="C2355" s="10" t="s">
        <v>170</v>
      </c>
      <c r="D2355" s="10" t="s">
        <v>171</v>
      </c>
      <c r="E2355" s="11" t="str">
        <f>+HYPERLINK("http://trademark.i-assist.jp/data/china/image_1900th/78927040.pdf", "78927040")</f>
        <v>78927040</v>
      </c>
      <c r="F2355" s="10" t="s">
        <v>6641</v>
      </c>
      <c r="G2355" s="10" t="s">
        <v>6642</v>
      </c>
      <c r="H2355" s="10" t="s">
        <v>6643</v>
      </c>
      <c r="I2355" s="10" t="s">
        <v>6485</v>
      </c>
    </row>
    <row r="2356" spans="1:9" x14ac:dyDescent="0.15">
      <c r="A2356" s="9">
        <v>2355</v>
      </c>
      <c r="B2356" s="10" t="s">
        <v>9</v>
      </c>
      <c r="C2356" s="10" t="s">
        <v>170</v>
      </c>
      <c r="D2356" s="10" t="s">
        <v>171</v>
      </c>
      <c r="E2356" s="11" t="str">
        <f>+HYPERLINK("http://trademark.i-assist.jp/data/china/image_1900th/78927511.pdf", "78927511")</f>
        <v>78927511</v>
      </c>
      <c r="F2356" s="10" t="s">
        <v>6644</v>
      </c>
      <c r="G2356" s="10" t="s">
        <v>6645</v>
      </c>
      <c r="H2356" s="10" t="s">
        <v>6646</v>
      </c>
      <c r="I2356" s="10" t="s">
        <v>6485</v>
      </c>
    </row>
    <row r="2357" spans="1:9" x14ac:dyDescent="0.15">
      <c r="A2357" s="9">
        <v>2356</v>
      </c>
      <c r="B2357" s="10" t="s">
        <v>9</v>
      </c>
      <c r="C2357" s="10" t="s">
        <v>170</v>
      </c>
      <c r="D2357" s="10" t="s">
        <v>171</v>
      </c>
      <c r="E2357" s="11" t="str">
        <f>+HYPERLINK("http://trademark.i-assist.jp/data/china/image_1900th/78927705.pdf", "78927705")</f>
        <v>78927705</v>
      </c>
      <c r="F2357" s="10" t="s">
        <v>6647</v>
      </c>
      <c r="G2357" s="10" t="s">
        <v>6648</v>
      </c>
      <c r="H2357" s="10" t="s">
        <v>6649</v>
      </c>
      <c r="I2357" s="10" t="s">
        <v>6485</v>
      </c>
    </row>
    <row r="2358" spans="1:9" x14ac:dyDescent="0.15">
      <c r="A2358" s="9">
        <v>2357</v>
      </c>
      <c r="B2358" s="10" t="s">
        <v>9</v>
      </c>
      <c r="C2358" s="10" t="s">
        <v>170</v>
      </c>
      <c r="D2358" s="10" t="s">
        <v>171</v>
      </c>
      <c r="E2358" s="11" t="str">
        <f>+HYPERLINK("http://trademark.i-assist.jp/data/china/image_1900th/78927854.pdf", "78927854")</f>
        <v>78927854</v>
      </c>
      <c r="F2358" s="10" t="s">
        <v>6650</v>
      </c>
      <c r="G2358" s="10" t="s">
        <v>6651</v>
      </c>
      <c r="H2358" s="10" t="s">
        <v>6652</v>
      </c>
      <c r="I2358" s="10" t="s">
        <v>6485</v>
      </c>
    </row>
    <row r="2359" spans="1:9" x14ac:dyDescent="0.15">
      <c r="A2359" s="9">
        <v>2358</v>
      </c>
      <c r="B2359" s="10" t="s">
        <v>9</v>
      </c>
      <c r="C2359" s="10" t="s">
        <v>170</v>
      </c>
      <c r="D2359" s="10" t="s">
        <v>171</v>
      </c>
      <c r="E2359" s="11" t="str">
        <f>+HYPERLINK("http://trademark.i-assist.jp/data/china/image_1900th/78928015.pdf", "78928015")</f>
        <v>78928015</v>
      </c>
      <c r="F2359" s="10" t="s">
        <v>6653</v>
      </c>
      <c r="G2359" s="10" t="s">
        <v>6556</v>
      </c>
      <c r="H2359" s="10" t="s">
        <v>6654</v>
      </c>
      <c r="I2359" s="10" t="s">
        <v>6485</v>
      </c>
    </row>
    <row r="2360" spans="1:9" x14ac:dyDescent="0.15">
      <c r="A2360" s="9">
        <v>2359</v>
      </c>
      <c r="B2360" s="10" t="s">
        <v>9</v>
      </c>
      <c r="C2360" s="10" t="s">
        <v>170</v>
      </c>
      <c r="D2360" s="10" t="s">
        <v>171</v>
      </c>
      <c r="E2360" s="11" t="str">
        <f>+HYPERLINK("http://trademark.i-assist.jp/data/china/image_1900th/78928595.pdf", "78928595")</f>
        <v>78928595</v>
      </c>
      <c r="F2360" s="10" t="s">
        <v>6655</v>
      </c>
      <c r="G2360" s="10" t="s">
        <v>6656</v>
      </c>
      <c r="H2360" s="10" t="s">
        <v>6657</v>
      </c>
      <c r="I2360" s="10" t="s">
        <v>6485</v>
      </c>
    </row>
    <row r="2361" spans="1:9" x14ac:dyDescent="0.15">
      <c r="A2361" s="9">
        <v>2360</v>
      </c>
      <c r="B2361" s="10" t="s">
        <v>9</v>
      </c>
      <c r="C2361" s="10" t="s">
        <v>170</v>
      </c>
      <c r="D2361" s="10" t="s">
        <v>171</v>
      </c>
      <c r="E2361" s="11" t="str">
        <f>+HYPERLINK("http://trademark.i-assist.jp/data/china/image_1900th/78928622.pdf", "78928622")</f>
        <v>78928622</v>
      </c>
      <c r="F2361" s="10" t="s">
        <v>6658</v>
      </c>
      <c r="G2361" s="10" t="s">
        <v>4022</v>
      </c>
      <c r="H2361" s="10" t="s">
        <v>6659</v>
      </c>
      <c r="I2361" s="10" t="s">
        <v>6485</v>
      </c>
    </row>
    <row r="2362" spans="1:9" x14ac:dyDescent="0.15">
      <c r="A2362" s="9">
        <v>2361</v>
      </c>
      <c r="B2362" s="10" t="s">
        <v>9</v>
      </c>
      <c r="C2362" s="10" t="s">
        <v>170</v>
      </c>
      <c r="D2362" s="10" t="s">
        <v>171</v>
      </c>
      <c r="E2362" s="11" t="str">
        <f>+HYPERLINK("http://trademark.i-assist.jp/data/china/image_1900th/78928836.pdf", "78928836")</f>
        <v>78928836</v>
      </c>
      <c r="F2362" s="10" t="s">
        <v>6660</v>
      </c>
      <c r="G2362" s="10" t="s">
        <v>6661</v>
      </c>
      <c r="H2362" s="10" t="s">
        <v>6662</v>
      </c>
      <c r="I2362" s="10" t="s">
        <v>6485</v>
      </c>
    </row>
    <row r="2363" spans="1:9" x14ac:dyDescent="0.15">
      <c r="A2363" s="9">
        <v>2362</v>
      </c>
      <c r="B2363" s="10" t="s">
        <v>9</v>
      </c>
      <c r="C2363" s="10" t="s">
        <v>170</v>
      </c>
      <c r="D2363" s="10" t="s">
        <v>171</v>
      </c>
      <c r="E2363" s="11" t="str">
        <f>+HYPERLINK("http://trademark.i-assist.jp/data/china/image_1900th/78928953.pdf", "78928953")</f>
        <v>78928953</v>
      </c>
      <c r="F2363" s="10" t="s">
        <v>6663</v>
      </c>
      <c r="G2363" s="10" t="s">
        <v>6664</v>
      </c>
      <c r="H2363" s="10" t="s">
        <v>6665</v>
      </c>
      <c r="I2363" s="10" t="s">
        <v>6485</v>
      </c>
    </row>
    <row r="2364" spans="1:9" x14ac:dyDescent="0.15">
      <c r="A2364" s="9">
        <v>2363</v>
      </c>
      <c r="B2364" s="10" t="s">
        <v>9</v>
      </c>
      <c r="C2364" s="10" t="s">
        <v>170</v>
      </c>
      <c r="D2364" s="10" t="s">
        <v>171</v>
      </c>
      <c r="E2364" s="11" t="str">
        <f>+HYPERLINK("http://trademark.i-assist.jp/data/china/image_1900th/78929140.pdf", "78929140")</f>
        <v>78929140</v>
      </c>
      <c r="F2364" s="10" t="s">
        <v>6666</v>
      </c>
      <c r="G2364" s="10" t="s">
        <v>6667</v>
      </c>
      <c r="H2364" s="10" t="s">
        <v>6668</v>
      </c>
      <c r="I2364" s="10" t="s">
        <v>6485</v>
      </c>
    </row>
    <row r="2365" spans="1:9" x14ac:dyDescent="0.15">
      <c r="A2365" s="9">
        <v>2364</v>
      </c>
      <c r="B2365" s="10" t="s">
        <v>9</v>
      </c>
      <c r="C2365" s="10" t="s">
        <v>170</v>
      </c>
      <c r="D2365" s="10" t="s">
        <v>171</v>
      </c>
      <c r="E2365" s="11" t="str">
        <f>+HYPERLINK("http://trademark.i-assist.jp/data/china/image_1900th/78929165.pdf", "78929165")</f>
        <v>78929165</v>
      </c>
      <c r="F2365" s="10" t="s">
        <v>6669</v>
      </c>
      <c r="G2365" s="10" t="s">
        <v>6507</v>
      </c>
      <c r="H2365" s="10" t="s">
        <v>6670</v>
      </c>
      <c r="I2365" s="10" t="s">
        <v>6485</v>
      </c>
    </row>
    <row r="2366" spans="1:9" x14ac:dyDescent="0.15">
      <c r="A2366" s="9">
        <v>2365</v>
      </c>
      <c r="B2366" s="10" t="s">
        <v>9</v>
      </c>
      <c r="C2366" s="10" t="s">
        <v>170</v>
      </c>
      <c r="D2366" s="10" t="s">
        <v>171</v>
      </c>
      <c r="E2366" s="11" t="str">
        <f>+HYPERLINK("http://trademark.i-assist.jp/data/china/image_1900th/78929169.pdf", "78929169")</f>
        <v>78929169</v>
      </c>
      <c r="F2366" s="10" t="s">
        <v>15</v>
      </c>
      <c r="G2366" s="10" t="s">
        <v>6671</v>
      </c>
      <c r="H2366" s="10" t="s">
        <v>6672</v>
      </c>
      <c r="I2366" s="10" t="s">
        <v>6485</v>
      </c>
    </row>
    <row r="2367" spans="1:9" x14ac:dyDescent="0.15">
      <c r="A2367" s="9">
        <v>2366</v>
      </c>
      <c r="B2367" s="10" t="s">
        <v>9</v>
      </c>
      <c r="C2367" s="10" t="s">
        <v>170</v>
      </c>
      <c r="D2367" s="10" t="s">
        <v>171</v>
      </c>
      <c r="E2367" s="11" t="str">
        <f>+HYPERLINK("http://trademark.i-assist.jp/data/china/image_1900th/78929241.pdf", "78929241")</f>
        <v>78929241</v>
      </c>
      <c r="F2367" s="10" t="s">
        <v>6673</v>
      </c>
      <c r="G2367" s="10" t="s">
        <v>6674</v>
      </c>
      <c r="H2367" s="10" t="s">
        <v>6675</v>
      </c>
      <c r="I2367" s="10" t="s">
        <v>6485</v>
      </c>
    </row>
    <row r="2368" spans="1:9" x14ac:dyDescent="0.15">
      <c r="A2368" s="9">
        <v>2367</v>
      </c>
      <c r="B2368" s="10" t="s">
        <v>9</v>
      </c>
      <c r="C2368" s="10" t="s">
        <v>170</v>
      </c>
      <c r="D2368" s="10" t="s">
        <v>171</v>
      </c>
      <c r="E2368" s="11" t="str">
        <f>+HYPERLINK("http://trademark.i-assist.jp/data/china/image_1900th/78929265.pdf", "78929265")</f>
        <v>78929265</v>
      </c>
      <c r="F2368" s="10" t="s">
        <v>6676</v>
      </c>
      <c r="G2368" s="10" t="s">
        <v>153</v>
      </c>
      <c r="H2368" s="10" t="s">
        <v>6677</v>
      </c>
      <c r="I2368" s="10" t="s">
        <v>6485</v>
      </c>
    </row>
    <row r="2369" spans="1:9" x14ac:dyDescent="0.15">
      <c r="A2369" s="9">
        <v>2368</v>
      </c>
      <c r="B2369" s="10" t="s">
        <v>9</v>
      </c>
      <c r="C2369" s="10" t="s">
        <v>170</v>
      </c>
      <c r="D2369" s="10" t="s">
        <v>171</v>
      </c>
      <c r="E2369" s="11" t="str">
        <f>+HYPERLINK("http://trademark.i-assist.jp/data/china/image_1900th/78929613.pdf", "78929613")</f>
        <v>78929613</v>
      </c>
      <c r="F2369" s="10" t="s">
        <v>6678</v>
      </c>
      <c r="G2369" s="10" t="s">
        <v>6679</v>
      </c>
      <c r="H2369" s="10" t="s">
        <v>6680</v>
      </c>
      <c r="I2369" s="10" t="s">
        <v>6485</v>
      </c>
    </row>
    <row r="2370" spans="1:9" x14ac:dyDescent="0.15">
      <c r="A2370" s="9">
        <v>2369</v>
      </c>
      <c r="B2370" s="10" t="s">
        <v>9</v>
      </c>
      <c r="C2370" s="10" t="s">
        <v>170</v>
      </c>
      <c r="D2370" s="10" t="s">
        <v>171</v>
      </c>
      <c r="E2370" s="11" t="str">
        <f>+HYPERLINK("http://trademark.i-assist.jp/data/china/image_1900th/78929658.pdf", "78929658")</f>
        <v>78929658</v>
      </c>
      <c r="F2370" s="10" t="s">
        <v>6681</v>
      </c>
      <c r="G2370" s="10" t="s">
        <v>6682</v>
      </c>
      <c r="H2370" s="10" t="s">
        <v>6683</v>
      </c>
      <c r="I2370" s="10" t="s">
        <v>6485</v>
      </c>
    </row>
    <row r="2371" spans="1:9" x14ac:dyDescent="0.15">
      <c r="A2371" s="9">
        <v>2370</v>
      </c>
      <c r="B2371" s="10" t="s">
        <v>9</v>
      </c>
      <c r="C2371" s="10" t="s">
        <v>170</v>
      </c>
      <c r="D2371" s="10" t="s">
        <v>171</v>
      </c>
      <c r="E2371" s="11" t="str">
        <f>+HYPERLINK("http://trademark.i-assist.jp/data/china/image_1900th/78929700.pdf", "78929700")</f>
        <v>78929700</v>
      </c>
      <c r="F2371" s="10" t="s">
        <v>6684</v>
      </c>
      <c r="G2371" s="10" t="s">
        <v>6685</v>
      </c>
      <c r="H2371" s="10" t="s">
        <v>6686</v>
      </c>
      <c r="I2371" s="10" t="s">
        <v>6485</v>
      </c>
    </row>
    <row r="2372" spans="1:9" x14ac:dyDescent="0.15">
      <c r="A2372" s="9">
        <v>2371</v>
      </c>
      <c r="B2372" s="10" t="s">
        <v>9</v>
      </c>
      <c r="C2372" s="10" t="s">
        <v>170</v>
      </c>
      <c r="D2372" s="10" t="s">
        <v>171</v>
      </c>
      <c r="E2372" s="11" t="str">
        <f>+HYPERLINK("http://trademark.i-assist.jp/data/china/image_1900th/78929730.pdf", "78929730")</f>
        <v>78929730</v>
      </c>
      <c r="F2372" s="10" t="s">
        <v>6687</v>
      </c>
      <c r="G2372" s="10" t="s">
        <v>6667</v>
      </c>
      <c r="H2372" s="10" t="s">
        <v>6688</v>
      </c>
      <c r="I2372" s="10" t="s">
        <v>6485</v>
      </c>
    </row>
    <row r="2373" spans="1:9" x14ac:dyDescent="0.15">
      <c r="A2373" s="9">
        <v>2372</v>
      </c>
      <c r="B2373" s="10" t="s">
        <v>9</v>
      </c>
      <c r="C2373" s="10" t="s">
        <v>170</v>
      </c>
      <c r="D2373" s="10" t="s">
        <v>171</v>
      </c>
      <c r="E2373" s="11" t="str">
        <f>+HYPERLINK("http://trademark.i-assist.jp/data/china/image_1900th/78930011.pdf", "78930011")</f>
        <v>78930011</v>
      </c>
      <c r="F2373" s="10" t="s">
        <v>6689</v>
      </c>
      <c r="G2373" s="10" t="s">
        <v>6634</v>
      </c>
      <c r="H2373" s="10" t="s">
        <v>6690</v>
      </c>
      <c r="I2373" s="10" t="s">
        <v>6485</v>
      </c>
    </row>
    <row r="2374" spans="1:9" x14ac:dyDescent="0.15">
      <c r="A2374" s="9">
        <v>2373</v>
      </c>
      <c r="B2374" s="10" t="s">
        <v>9</v>
      </c>
      <c r="C2374" s="10" t="s">
        <v>170</v>
      </c>
      <c r="D2374" s="10" t="s">
        <v>171</v>
      </c>
      <c r="E2374" s="11" t="str">
        <f>+HYPERLINK("http://trademark.i-assist.jp/data/china/image_1900th/78930051.pdf", "78930051")</f>
        <v>78930051</v>
      </c>
      <c r="F2374" s="10" t="s">
        <v>6691</v>
      </c>
      <c r="G2374" s="10" t="s">
        <v>6692</v>
      </c>
      <c r="H2374" s="10" t="s">
        <v>6693</v>
      </c>
      <c r="I2374" s="10" t="s">
        <v>6485</v>
      </c>
    </row>
    <row r="2375" spans="1:9" x14ac:dyDescent="0.15">
      <c r="A2375" s="9">
        <v>2374</v>
      </c>
      <c r="B2375" s="10" t="s">
        <v>9</v>
      </c>
      <c r="C2375" s="10" t="s">
        <v>170</v>
      </c>
      <c r="D2375" s="10" t="s">
        <v>171</v>
      </c>
      <c r="E2375" s="11" t="str">
        <f>+HYPERLINK("http://trademark.i-assist.jp/data/china/image_1900th/78930055.pdf", "78930055")</f>
        <v>78930055</v>
      </c>
      <c r="F2375" s="10" t="s">
        <v>6694</v>
      </c>
      <c r="G2375" s="10" t="s">
        <v>6487</v>
      </c>
      <c r="H2375" s="10" t="s">
        <v>6695</v>
      </c>
      <c r="I2375" s="10" t="s">
        <v>6485</v>
      </c>
    </row>
    <row r="2376" spans="1:9" x14ac:dyDescent="0.15">
      <c r="A2376" s="9">
        <v>2375</v>
      </c>
      <c r="B2376" s="10" t="s">
        <v>9</v>
      </c>
      <c r="C2376" s="10" t="s">
        <v>170</v>
      </c>
      <c r="D2376" s="10" t="s">
        <v>171</v>
      </c>
      <c r="E2376" s="11" t="str">
        <f>+HYPERLINK("http://trademark.i-assist.jp/data/china/image_1900th/78930056.pdf", "78930056")</f>
        <v>78930056</v>
      </c>
      <c r="F2376" s="10" t="s">
        <v>6696</v>
      </c>
      <c r="G2376" s="10" t="s">
        <v>6697</v>
      </c>
      <c r="H2376" s="10" t="s">
        <v>6698</v>
      </c>
      <c r="I2376" s="10" t="s">
        <v>6485</v>
      </c>
    </row>
    <row r="2377" spans="1:9" x14ac:dyDescent="0.15">
      <c r="A2377" s="9">
        <v>2376</v>
      </c>
      <c r="B2377" s="10" t="s">
        <v>9</v>
      </c>
      <c r="C2377" s="10" t="s">
        <v>170</v>
      </c>
      <c r="D2377" s="10" t="s">
        <v>171</v>
      </c>
      <c r="E2377" s="11" t="str">
        <f>+HYPERLINK("http://trademark.i-assist.jp/data/china/image_1900th/78930432.pdf", "78930432")</f>
        <v>78930432</v>
      </c>
      <c r="F2377" s="10" t="s">
        <v>6699</v>
      </c>
      <c r="G2377" s="10" t="s">
        <v>6700</v>
      </c>
      <c r="H2377" s="10" t="s">
        <v>6701</v>
      </c>
      <c r="I2377" s="10" t="s">
        <v>6485</v>
      </c>
    </row>
    <row r="2378" spans="1:9" x14ac:dyDescent="0.15">
      <c r="A2378" s="9">
        <v>2377</v>
      </c>
      <c r="B2378" s="10" t="s">
        <v>9</v>
      </c>
      <c r="C2378" s="10" t="s">
        <v>170</v>
      </c>
      <c r="D2378" s="10" t="s">
        <v>171</v>
      </c>
      <c r="E2378" s="11" t="str">
        <f>+HYPERLINK("http://trademark.i-assist.jp/data/china/image_1900th/78930538.pdf", "78930538")</f>
        <v>78930538</v>
      </c>
      <c r="F2378" s="10" t="s">
        <v>6702</v>
      </c>
      <c r="G2378" s="10" t="s">
        <v>1346</v>
      </c>
      <c r="H2378" s="10" t="s">
        <v>6703</v>
      </c>
      <c r="I2378" s="10" t="s">
        <v>6485</v>
      </c>
    </row>
    <row r="2379" spans="1:9" x14ac:dyDescent="0.15">
      <c r="A2379" s="9">
        <v>2378</v>
      </c>
      <c r="B2379" s="10" t="s">
        <v>9</v>
      </c>
      <c r="C2379" s="10" t="s">
        <v>170</v>
      </c>
      <c r="D2379" s="10" t="s">
        <v>171</v>
      </c>
      <c r="E2379" s="11" t="str">
        <f>+HYPERLINK("http://trademark.i-assist.jp/data/china/image_1900th/78930559.pdf", "78930559")</f>
        <v>78930559</v>
      </c>
      <c r="F2379" s="10" t="s">
        <v>6704</v>
      </c>
      <c r="G2379" s="10" t="s">
        <v>1346</v>
      </c>
      <c r="H2379" s="10" t="s">
        <v>6705</v>
      </c>
      <c r="I2379" s="10" t="s">
        <v>6485</v>
      </c>
    </row>
    <row r="2380" spans="1:9" x14ac:dyDescent="0.15">
      <c r="A2380" s="9">
        <v>2379</v>
      </c>
      <c r="B2380" s="10" t="s">
        <v>9</v>
      </c>
      <c r="C2380" s="10" t="s">
        <v>170</v>
      </c>
      <c r="D2380" s="10" t="s">
        <v>171</v>
      </c>
      <c r="E2380" s="11" t="str">
        <f>+HYPERLINK("http://trademark.i-assist.jp/data/china/image_1900th/78930627.pdf", "78930627")</f>
        <v>78930627</v>
      </c>
      <c r="F2380" s="10" t="s">
        <v>6706</v>
      </c>
      <c r="G2380" s="10" t="s">
        <v>6707</v>
      </c>
      <c r="H2380" s="10" t="s">
        <v>6708</v>
      </c>
      <c r="I2380" s="10" t="s">
        <v>6485</v>
      </c>
    </row>
    <row r="2381" spans="1:9" x14ac:dyDescent="0.15">
      <c r="A2381" s="9">
        <v>2380</v>
      </c>
      <c r="B2381" s="10" t="s">
        <v>9</v>
      </c>
      <c r="C2381" s="10" t="s">
        <v>170</v>
      </c>
      <c r="D2381" s="10" t="s">
        <v>171</v>
      </c>
      <c r="E2381" s="11" t="str">
        <f>+HYPERLINK("http://trademark.i-assist.jp/data/china/image_1900th/78930856.pdf", "78930856")</f>
        <v>78930856</v>
      </c>
      <c r="F2381" s="10" t="s">
        <v>6709</v>
      </c>
      <c r="G2381" s="10" t="s">
        <v>6710</v>
      </c>
      <c r="H2381" s="10" t="s">
        <v>6711</v>
      </c>
      <c r="I2381" s="10" t="s">
        <v>6485</v>
      </c>
    </row>
    <row r="2382" spans="1:9" x14ac:dyDescent="0.15">
      <c r="A2382" s="9">
        <v>2381</v>
      </c>
      <c r="B2382" s="10" t="s">
        <v>9</v>
      </c>
      <c r="C2382" s="10" t="s">
        <v>170</v>
      </c>
      <c r="D2382" s="10" t="s">
        <v>171</v>
      </c>
      <c r="E2382" s="11" t="str">
        <f>+HYPERLINK("http://trademark.i-assist.jp/data/china/image_1900th/78930869.pdf", "78930869")</f>
        <v>78930869</v>
      </c>
      <c r="F2382" s="10" t="s">
        <v>15</v>
      </c>
      <c r="G2382" s="10" t="s">
        <v>6712</v>
      </c>
      <c r="H2382" s="10" t="s">
        <v>6713</v>
      </c>
      <c r="I2382" s="10" t="s">
        <v>6485</v>
      </c>
    </row>
    <row r="2383" spans="1:9" x14ac:dyDescent="0.15">
      <c r="A2383" s="9">
        <v>2382</v>
      </c>
      <c r="B2383" s="10" t="s">
        <v>9</v>
      </c>
      <c r="C2383" s="10" t="s">
        <v>170</v>
      </c>
      <c r="D2383" s="10" t="s">
        <v>171</v>
      </c>
      <c r="E2383" s="11" t="str">
        <f>+HYPERLINK("http://trademark.i-assist.jp/data/china/image_1900th/78930891.pdf", "78930891")</f>
        <v>78930891</v>
      </c>
      <c r="F2383" s="10" t="s">
        <v>6714</v>
      </c>
      <c r="G2383" s="10" t="s">
        <v>6715</v>
      </c>
      <c r="H2383" s="10" t="s">
        <v>6716</v>
      </c>
      <c r="I2383" s="10" t="s">
        <v>6485</v>
      </c>
    </row>
    <row r="2384" spans="1:9" x14ac:dyDescent="0.15">
      <c r="A2384" s="9">
        <v>2383</v>
      </c>
      <c r="B2384" s="10" t="s">
        <v>9</v>
      </c>
      <c r="C2384" s="10" t="s">
        <v>170</v>
      </c>
      <c r="D2384" s="10" t="s">
        <v>171</v>
      </c>
      <c r="E2384" s="11" t="str">
        <f>+HYPERLINK("http://trademark.i-assist.jp/data/china/image_1900th/78931309.pdf", "78931309")</f>
        <v>78931309</v>
      </c>
      <c r="F2384" s="10" t="s">
        <v>6717</v>
      </c>
      <c r="G2384" s="10" t="s">
        <v>6718</v>
      </c>
      <c r="H2384" s="10" t="s">
        <v>6719</v>
      </c>
      <c r="I2384" s="10" t="s">
        <v>6485</v>
      </c>
    </row>
    <row r="2385" spans="1:9" x14ac:dyDescent="0.15">
      <c r="A2385" s="9">
        <v>2384</v>
      </c>
      <c r="B2385" s="10" t="s">
        <v>9</v>
      </c>
      <c r="C2385" s="10" t="s">
        <v>170</v>
      </c>
      <c r="D2385" s="10" t="s">
        <v>171</v>
      </c>
      <c r="E2385" s="11" t="str">
        <f>+HYPERLINK("http://trademark.i-assist.jp/data/china/image_1900th/78931685.pdf", "78931685")</f>
        <v>78931685</v>
      </c>
      <c r="F2385" s="10" t="s">
        <v>6720</v>
      </c>
      <c r="G2385" s="10" t="s">
        <v>6507</v>
      </c>
      <c r="H2385" s="10" t="s">
        <v>6721</v>
      </c>
      <c r="I2385" s="10" t="s">
        <v>6485</v>
      </c>
    </row>
    <row r="2386" spans="1:9" x14ac:dyDescent="0.15">
      <c r="A2386" s="9">
        <v>2385</v>
      </c>
      <c r="B2386" s="10" t="s">
        <v>9</v>
      </c>
      <c r="C2386" s="10" t="s">
        <v>170</v>
      </c>
      <c r="D2386" s="10" t="s">
        <v>171</v>
      </c>
      <c r="E2386" s="11" t="str">
        <f>+HYPERLINK("http://trademark.i-assist.jp/data/china/image_1900th/78931816.pdf", "78931816")</f>
        <v>78931816</v>
      </c>
      <c r="F2386" s="10" t="s">
        <v>6722</v>
      </c>
      <c r="G2386" s="10" t="s">
        <v>6723</v>
      </c>
      <c r="H2386" s="10" t="s">
        <v>6724</v>
      </c>
      <c r="I2386" s="10" t="s">
        <v>6485</v>
      </c>
    </row>
    <row r="2387" spans="1:9" x14ac:dyDescent="0.15">
      <c r="A2387" s="9">
        <v>2386</v>
      </c>
      <c r="B2387" s="10" t="s">
        <v>9</v>
      </c>
      <c r="C2387" s="10" t="s">
        <v>170</v>
      </c>
      <c r="D2387" s="10" t="s">
        <v>171</v>
      </c>
      <c r="E2387" s="11" t="str">
        <f>+HYPERLINK("http://trademark.i-assist.jp/data/china/image_1900th/78931967.pdf", "78931967")</f>
        <v>78931967</v>
      </c>
      <c r="F2387" s="10" t="s">
        <v>6725</v>
      </c>
      <c r="G2387" s="10" t="s">
        <v>6726</v>
      </c>
      <c r="H2387" s="10" t="s">
        <v>6727</v>
      </c>
      <c r="I2387" s="10" t="s">
        <v>6485</v>
      </c>
    </row>
    <row r="2388" spans="1:9" x14ac:dyDescent="0.15">
      <c r="A2388" s="9">
        <v>2387</v>
      </c>
      <c r="B2388" s="10" t="s">
        <v>9</v>
      </c>
      <c r="C2388" s="10" t="s">
        <v>170</v>
      </c>
      <c r="D2388" s="10" t="s">
        <v>171</v>
      </c>
      <c r="E2388" s="11" t="str">
        <f>+HYPERLINK("http://trademark.i-assist.jp/data/china/image_1900th/78931996.pdf", "78931996")</f>
        <v>78931996</v>
      </c>
      <c r="F2388" s="10" t="s">
        <v>6728</v>
      </c>
      <c r="G2388" s="10" t="s">
        <v>6634</v>
      </c>
      <c r="H2388" s="10" t="s">
        <v>6729</v>
      </c>
      <c r="I2388" s="10" t="s">
        <v>6485</v>
      </c>
    </row>
    <row r="2389" spans="1:9" x14ac:dyDescent="0.15">
      <c r="A2389" s="9">
        <v>2388</v>
      </c>
      <c r="B2389" s="10" t="s">
        <v>9</v>
      </c>
      <c r="C2389" s="10" t="s">
        <v>170</v>
      </c>
      <c r="D2389" s="10" t="s">
        <v>171</v>
      </c>
      <c r="E2389" s="11" t="str">
        <f>+HYPERLINK("http://trademark.i-assist.jp/data/china/image_1900th/78932046.pdf", "78932046")</f>
        <v>78932046</v>
      </c>
      <c r="F2389" s="10" t="s">
        <v>6730</v>
      </c>
      <c r="G2389" s="10" t="s">
        <v>6731</v>
      </c>
      <c r="H2389" s="10" t="s">
        <v>6732</v>
      </c>
      <c r="I2389" s="10" t="s">
        <v>6485</v>
      </c>
    </row>
    <row r="2390" spans="1:9" x14ac:dyDescent="0.15">
      <c r="A2390" s="9">
        <v>2389</v>
      </c>
      <c r="B2390" s="10" t="s">
        <v>9</v>
      </c>
      <c r="C2390" s="10" t="s">
        <v>170</v>
      </c>
      <c r="D2390" s="10" t="s">
        <v>171</v>
      </c>
      <c r="E2390" s="11" t="str">
        <f>+HYPERLINK("http://trademark.i-assist.jp/data/china/image_1900th/78932218.pdf", "78932218")</f>
        <v>78932218</v>
      </c>
      <c r="F2390" s="10" t="s">
        <v>6733</v>
      </c>
      <c r="G2390" s="10" t="s">
        <v>6734</v>
      </c>
      <c r="H2390" s="10" t="s">
        <v>6735</v>
      </c>
      <c r="I2390" s="10" t="s">
        <v>6485</v>
      </c>
    </row>
    <row r="2391" spans="1:9" x14ac:dyDescent="0.15">
      <c r="A2391" s="9">
        <v>2390</v>
      </c>
      <c r="B2391" s="10" t="s">
        <v>9</v>
      </c>
      <c r="C2391" s="10" t="s">
        <v>170</v>
      </c>
      <c r="D2391" s="10" t="s">
        <v>171</v>
      </c>
      <c r="E2391" s="11" t="str">
        <f>+HYPERLINK("http://trademark.i-assist.jp/data/china/image_1900th/78932254.pdf", "78932254")</f>
        <v>78932254</v>
      </c>
      <c r="F2391" s="10" t="s">
        <v>6736</v>
      </c>
      <c r="G2391" s="10" t="s">
        <v>6737</v>
      </c>
      <c r="H2391" s="10" t="s">
        <v>6738</v>
      </c>
      <c r="I2391" s="10" t="s">
        <v>6485</v>
      </c>
    </row>
    <row r="2392" spans="1:9" x14ac:dyDescent="0.15">
      <c r="A2392" s="9">
        <v>2391</v>
      </c>
      <c r="B2392" s="10" t="s">
        <v>9</v>
      </c>
      <c r="C2392" s="10" t="s">
        <v>170</v>
      </c>
      <c r="D2392" s="10" t="s">
        <v>171</v>
      </c>
      <c r="E2392" s="11" t="str">
        <f>+HYPERLINK("http://trademark.i-assist.jp/data/china/image_1900th/78932312.pdf", "78932312")</f>
        <v>78932312</v>
      </c>
      <c r="F2392" s="10" t="s">
        <v>6739</v>
      </c>
      <c r="G2392" s="10" t="s">
        <v>6740</v>
      </c>
      <c r="H2392" s="10" t="s">
        <v>24</v>
      </c>
      <c r="I2392" s="10" t="s">
        <v>6485</v>
      </c>
    </row>
    <row r="2393" spans="1:9" x14ac:dyDescent="0.15">
      <c r="A2393" s="9">
        <v>2392</v>
      </c>
      <c r="B2393" s="10" t="s">
        <v>9</v>
      </c>
      <c r="C2393" s="10" t="s">
        <v>170</v>
      </c>
      <c r="D2393" s="10" t="s">
        <v>171</v>
      </c>
      <c r="E2393" s="11" t="str">
        <f>+HYPERLINK("http://trademark.i-assist.jp/data/china/image_1900th/78932444.pdf", "78932444")</f>
        <v>78932444</v>
      </c>
      <c r="F2393" s="10" t="s">
        <v>6741</v>
      </c>
      <c r="G2393" s="10" t="s">
        <v>164</v>
      </c>
      <c r="H2393" s="10" t="s">
        <v>6742</v>
      </c>
      <c r="I2393" s="10" t="s">
        <v>6485</v>
      </c>
    </row>
    <row r="2394" spans="1:9" x14ac:dyDescent="0.15">
      <c r="A2394" s="9">
        <v>2393</v>
      </c>
      <c r="B2394" s="10" t="s">
        <v>9</v>
      </c>
      <c r="C2394" s="10" t="s">
        <v>170</v>
      </c>
      <c r="D2394" s="10" t="s">
        <v>171</v>
      </c>
      <c r="E2394" s="11" t="str">
        <f>+HYPERLINK("http://trademark.i-assist.jp/data/china/image_1900th/78932533.pdf", "78932533")</f>
        <v>78932533</v>
      </c>
      <c r="F2394" s="10" t="s">
        <v>6743</v>
      </c>
      <c r="G2394" s="10" t="s">
        <v>6744</v>
      </c>
      <c r="H2394" s="10" t="s">
        <v>6745</v>
      </c>
      <c r="I2394" s="10" t="s">
        <v>6485</v>
      </c>
    </row>
    <row r="2395" spans="1:9" x14ac:dyDescent="0.15">
      <c r="A2395" s="9">
        <v>2394</v>
      </c>
      <c r="B2395" s="10" t="s">
        <v>9</v>
      </c>
      <c r="C2395" s="10" t="s">
        <v>170</v>
      </c>
      <c r="D2395" s="10" t="s">
        <v>171</v>
      </c>
      <c r="E2395" s="11" t="str">
        <f>+HYPERLINK("http://trademark.i-assist.jp/data/china/image_1900th/78932694.pdf", "78932694")</f>
        <v>78932694</v>
      </c>
      <c r="F2395" s="10" t="s">
        <v>6746</v>
      </c>
      <c r="G2395" s="10" t="s">
        <v>6747</v>
      </c>
      <c r="H2395" s="10" t="s">
        <v>6748</v>
      </c>
      <c r="I2395" s="10" t="s">
        <v>6485</v>
      </c>
    </row>
    <row r="2396" spans="1:9" x14ac:dyDescent="0.15">
      <c r="A2396" s="9">
        <v>2395</v>
      </c>
      <c r="B2396" s="10" t="s">
        <v>9</v>
      </c>
      <c r="C2396" s="10" t="s">
        <v>170</v>
      </c>
      <c r="D2396" s="10" t="s">
        <v>171</v>
      </c>
      <c r="E2396" s="11" t="str">
        <f>+HYPERLINK("http://trademark.i-assist.jp/data/china/image_1900th/78932699.pdf", "78932699")</f>
        <v>78932699</v>
      </c>
      <c r="F2396" s="10" t="s">
        <v>6749</v>
      </c>
      <c r="G2396" s="10" t="s">
        <v>6747</v>
      </c>
      <c r="H2396" s="10" t="s">
        <v>6750</v>
      </c>
      <c r="I2396" s="10" t="s">
        <v>6485</v>
      </c>
    </row>
    <row r="2397" spans="1:9" x14ac:dyDescent="0.15">
      <c r="A2397" s="9">
        <v>2396</v>
      </c>
      <c r="B2397" s="10" t="s">
        <v>9</v>
      </c>
      <c r="C2397" s="10" t="s">
        <v>170</v>
      </c>
      <c r="D2397" s="10" t="s">
        <v>171</v>
      </c>
      <c r="E2397" s="11" t="str">
        <f>+HYPERLINK("http://trademark.i-assist.jp/data/china/image_1900th/78932905.pdf", "78932905")</f>
        <v>78932905</v>
      </c>
      <c r="F2397" s="10" t="s">
        <v>6751</v>
      </c>
      <c r="G2397" s="10" t="s">
        <v>6605</v>
      </c>
      <c r="H2397" s="10" t="s">
        <v>6752</v>
      </c>
      <c r="I2397" s="10" t="s">
        <v>6485</v>
      </c>
    </row>
    <row r="2398" spans="1:9" x14ac:dyDescent="0.15">
      <c r="A2398" s="9">
        <v>2397</v>
      </c>
      <c r="B2398" s="10" t="s">
        <v>9</v>
      </c>
      <c r="C2398" s="10" t="s">
        <v>170</v>
      </c>
      <c r="D2398" s="10" t="s">
        <v>171</v>
      </c>
      <c r="E2398" s="11" t="str">
        <f>+HYPERLINK("http://trademark.i-assist.jp/data/china/image_1900th/78932934.pdf", "78932934")</f>
        <v>78932934</v>
      </c>
      <c r="F2398" s="10" t="s">
        <v>6753</v>
      </c>
      <c r="G2398" s="10" t="s">
        <v>6754</v>
      </c>
      <c r="H2398" s="10" t="s">
        <v>6755</v>
      </c>
      <c r="I2398" s="10" t="s">
        <v>6485</v>
      </c>
    </row>
    <row r="2399" spans="1:9" x14ac:dyDescent="0.15">
      <c r="A2399" s="9">
        <v>2398</v>
      </c>
      <c r="B2399" s="10" t="s">
        <v>9</v>
      </c>
      <c r="C2399" s="10" t="s">
        <v>170</v>
      </c>
      <c r="D2399" s="10" t="s">
        <v>171</v>
      </c>
      <c r="E2399" s="11" t="str">
        <f>+HYPERLINK("http://trademark.i-assist.jp/data/china/image_1900th/78933027.pdf", "78933027")</f>
        <v>78933027</v>
      </c>
      <c r="F2399" s="10" t="s">
        <v>6756</v>
      </c>
      <c r="G2399" s="10" t="s">
        <v>6757</v>
      </c>
      <c r="H2399" s="10" t="s">
        <v>6758</v>
      </c>
      <c r="I2399" s="10" t="s">
        <v>6485</v>
      </c>
    </row>
    <row r="2400" spans="1:9" x14ac:dyDescent="0.15">
      <c r="A2400" s="9">
        <v>2399</v>
      </c>
      <c r="B2400" s="10" t="s">
        <v>9</v>
      </c>
      <c r="C2400" s="10" t="s">
        <v>170</v>
      </c>
      <c r="D2400" s="10" t="s">
        <v>171</v>
      </c>
      <c r="E2400" s="11" t="str">
        <f>+HYPERLINK("http://trademark.i-assist.jp/data/china/image_1900th/78933093.pdf", "78933093")</f>
        <v>78933093</v>
      </c>
      <c r="F2400" s="10" t="s">
        <v>6759</v>
      </c>
      <c r="G2400" s="10" t="s">
        <v>6596</v>
      </c>
      <c r="H2400" s="10" t="s">
        <v>6760</v>
      </c>
      <c r="I2400" s="10" t="s">
        <v>6485</v>
      </c>
    </row>
    <row r="2401" spans="1:9" x14ac:dyDescent="0.15">
      <c r="A2401" s="9">
        <v>2400</v>
      </c>
      <c r="B2401" s="10" t="s">
        <v>9</v>
      </c>
      <c r="C2401" s="10" t="s">
        <v>170</v>
      </c>
      <c r="D2401" s="10" t="s">
        <v>171</v>
      </c>
      <c r="E2401" s="11" t="str">
        <f>+HYPERLINK("http://trademark.i-assist.jp/data/china/image_1900th/78933155.pdf", "78933155")</f>
        <v>78933155</v>
      </c>
      <c r="F2401" s="10" t="s">
        <v>6761</v>
      </c>
      <c r="G2401" s="10" t="s">
        <v>6762</v>
      </c>
      <c r="H2401" s="10" t="s">
        <v>6763</v>
      </c>
      <c r="I2401" s="10" t="s">
        <v>6485</v>
      </c>
    </row>
    <row r="2402" spans="1:9" x14ac:dyDescent="0.15">
      <c r="A2402" s="9">
        <v>2401</v>
      </c>
      <c r="B2402" s="10" t="s">
        <v>9</v>
      </c>
      <c r="C2402" s="10" t="s">
        <v>170</v>
      </c>
      <c r="D2402" s="10" t="s">
        <v>171</v>
      </c>
      <c r="E2402" s="11" t="str">
        <f>+HYPERLINK("http://trademark.i-assist.jp/data/china/image_1900th/78933256.pdf", "78933256")</f>
        <v>78933256</v>
      </c>
      <c r="F2402" s="10" t="s">
        <v>15</v>
      </c>
      <c r="G2402" s="10" t="s">
        <v>6764</v>
      </c>
      <c r="H2402" s="10" t="s">
        <v>6765</v>
      </c>
      <c r="I2402" s="10" t="s">
        <v>6485</v>
      </c>
    </row>
    <row r="2403" spans="1:9" x14ac:dyDescent="0.15">
      <c r="A2403" s="9">
        <v>2402</v>
      </c>
      <c r="B2403" s="10" t="s">
        <v>9</v>
      </c>
      <c r="C2403" s="10" t="s">
        <v>170</v>
      </c>
      <c r="D2403" s="10" t="s">
        <v>171</v>
      </c>
      <c r="E2403" s="11" t="str">
        <f>+HYPERLINK("http://trademark.i-assist.jp/data/china/image_1900th/78933834.pdf", "78933834")</f>
        <v>78933834</v>
      </c>
      <c r="F2403" s="10" t="s">
        <v>6766</v>
      </c>
      <c r="G2403" s="10" t="s">
        <v>6767</v>
      </c>
      <c r="H2403" s="10" t="s">
        <v>6768</v>
      </c>
      <c r="I2403" s="10" t="s">
        <v>6485</v>
      </c>
    </row>
    <row r="2404" spans="1:9" x14ac:dyDescent="0.15">
      <c r="A2404" s="9">
        <v>2403</v>
      </c>
      <c r="B2404" s="10" t="s">
        <v>9</v>
      </c>
      <c r="C2404" s="10" t="s">
        <v>170</v>
      </c>
      <c r="D2404" s="10" t="s">
        <v>171</v>
      </c>
      <c r="E2404" s="11" t="str">
        <f>+HYPERLINK("http://trademark.i-assist.jp/data/china/image_1900th/78934182.pdf", "78934182")</f>
        <v>78934182</v>
      </c>
      <c r="F2404" s="10" t="s">
        <v>6769</v>
      </c>
      <c r="G2404" s="10" t="s">
        <v>6770</v>
      </c>
      <c r="H2404" s="10" t="s">
        <v>6771</v>
      </c>
      <c r="I2404" s="10" t="s">
        <v>6485</v>
      </c>
    </row>
    <row r="2405" spans="1:9" x14ac:dyDescent="0.15">
      <c r="A2405" s="9">
        <v>2404</v>
      </c>
      <c r="B2405" s="10" t="s">
        <v>9</v>
      </c>
      <c r="C2405" s="10" t="s">
        <v>170</v>
      </c>
      <c r="D2405" s="10" t="s">
        <v>171</v>
      </c>
      <c r="E2405" s="11" t="str">
        <f>+HYPERLINK("http://trademark.i-assist.jp/data/china/image_1900th/78934242.pdf", "78934242")</f>
        <v>78934242</v>
      </c>
      <c r="F2405" s="10" t="s">
        <v>6772</v>
      </c>
      <c r="G2405" s="10" t="s">
        <v>5021</v>
      </c>
      <c r="H2405" s="10" t="s">
        <v>6773</v>
      </c>
      <c r="I2405" s="10" t="s">
        <v>6485</v>
      </c>
    </row>
    <row r="2406" spans="1:9" x14ac:dyDescent="0.15">
      <c r="A2406" s="9">
        <v>2405</v>
      </c>
      <c r="B2406" s="10" t="s">
        <v>9</v>
      </c>
      <c r="C2406" s="10" t="s">
        <v>170</v>
      </c>
      <c r="D2406" s="10" t="s">
        <v>171</v>
      </c>
      <c r="E2406" s="11" t="str">
        <f>+HYPERLINK("http://trademark.i-assist.jp/data/china/image_1900th/78934429.pdf", "78934429")</f>
        <v>78934429</v>
      </c>
      <c r="F2406" s="10" t="s">
        <v>15</v>
      </c>
      <c r="G2406" s="10" t="s">
        <v>6774</v>
      </c>
      <c r="H2406" s="10" t="s">
        <v>6775</v>
      </c>
      <c r="I2406" s="10" t="s">
        <v>6485</v>
      </c>
    </row>
    <row r="2407" spans="1:9" x14ac:dyDescent="0.15">
      <c r="A2407" s="9">
        <v>2406</v>
      </c>
      <c r="B2407" s="10" t="s">
        <v>9</v>
      </c>
      <c r="C2407" s="10" t="s">
        <v>170</v>
      </c>
      <c r="D2407" s="10" t="s">
        <v>171</v>
      </c>
      <c r="E2407" s="11" t="str">
        <f>+HYPERLINK("http://trademark.i-assist.jp/data/china/image_1900th/78934543.pdf", "78934543")</f>
        <v>78934543</v>
      </c>
      <c r="F2407" s="10" t="s">
        <v>6776</v>
      </c>
      <c r="G2407" s="10" t="s">
        <v>6777</v>
      </c>
      <c r="H2407" s="10" t="s">
        <v>6778</v>
      </c>
      <c r="I2407" s="10" t="s">
        <v>6485</v>
      </c>
    </row>
    <row r="2408" spans="1:9" x14ac:dyDescent="0.15">
      <c r="A2408" s="9">
        <v>2407</v>
      </c>
      <c r="B2408" s="10" t="s">
        <v>9</v>
      </c>
      <c r="C2408" s="10" t="s">
        <v>170</v>
      </c>
      <c r="D2408" s="10" t="s">
        <v>171</v>
      </c>
      <c r="E2408" s="11" t="str">
        <f>+HYPERLINK("http://trademark.i-assist.jp/data/china/image_1900th/78934692.pdf", "78934692")</f>
        <v>78934692</v>
      </c>
      <c r="F2408" s="10" t="s">
        <v>6779</v>
      </c>
      <c r="G2408" s="10" t="s">
        <v>6780</v>
      </c>
      <c r="H2408" s="10" t="s">
        <v>6781</v>
      </c>
      <c r="I2408" s="10" t="s">
        <v>6485</v>
      </c>
    </row>
    <row r="2409" spans="1:9" x14ac:dyDescent="0.15">
      <c r="A2409" s="9">
        <v>2408</v>
      </c>
      <c r="B2409" s="10" t="s">
        <v>9</v>
      </c>
      <c r="C2409" s="10" t="s">
        <v>170</v>
      </c>
      <c r="D2409" s="10" t="s">
        <v>171</v>
      </c>
      <c r="E2409" s="11" t="str">
        <f>+HYPERLINK("http://trademark.i-assist.jp/data/china/image_1900th/78934722.pdf", "78934722")</f>
        <v>78934722</v>
      </c>
      <c r="F2409" s="10" t="s">
        <v>6782</v>
      </c>
      <c r="G2409" s="10" t="s">
        <v>6622</v>
      </c>
      <c r="H2409" s="10" t="s">
        <v>6783</v>
      </c>
      <c r="I2409" s="10" t="s">
        <v>6485</v>
      </c>
    </row>
    <row r="2410" spans="1:9" x14ac:dyDescent="0.15">
      <c r="A2410" s="9">
        <v>2409</v>
      </c>
      <c r="B2410" s="10" t="s">
        <v>9</v>
      </c>
      <c r="C2410" s="10" t="s">
        <v>170</v>
      </c>
      <c r="D2410" s="10" t="s">
        <v>171</v>
      </c>
      <c r="E2410" s="11" t="str">
        <f>+HYPERLINK("http://trademark.i-assist.jp/data/china/image_1900th/78934997.pdf", "78934997")</f>
        <v>78934997</v>
      </c>
      <c r="F2410" s="10" t="s">
        <v>6784</v>
      </c>
      <c r="G2410" s="10" t="s">
        <v>6785</v>
      </c>
      <c r="H2410" s="10" t="s">
        <v>6786</v>
      </c>
      <c r="I2410" s="10" t="s">
        <v>6485</v>
      </c>
    </row>
    <row r="2411" spans="1:9" x14ac:dyDescent="0.15">
      <c r="A2411" s="9">
        <v>2410</v>
      </c>
      <c r="B2411" s="10" t="s">
        <v>9</v>
      </c>
      <c r="C2411" s="10" t="s">
        <v>170</v>
      </c>
      <c r="D2411" s="10" t="s">
        <v>171</v>
      </c>
      <c r="E2411" s="11" t="str">
        <f>+HYPERLINK("http://trademark.i-assist.jp/data/china/image_1900th/78935060.pdf", "78935060")</f>
        <v>78935060</v>
      </c>
      <c r="F2411" s="10" t="s">
        <v>6787</v>
      </c>
      <c r="G2411" s="10" t="s">
        <v>6788</v>
      </c>
      <c r="H2411" s="10" t="s">
        <v>6789</v>
      </c>
      <c r="I2411" s="10" t="s">
        <v>6485</v>
      </c>
    </row>
    <row r="2412" spans="1:9" x14ac:dyDescent="0.15">
      <c r="A2412" s="9">
        <v>2411</v>
      </c>
      <c r="B2412" s="10" t="s">
        <v>9</v>
      </c>
      <c r="C2412" s="10" t="s">
        <v>170</v>
      </c>
      <c r="D2412" s="10" t="s">
        <v>171</v>
      </c>
      <c r="E2412" s="11" t="str">
        <f>+HYPERLINK("http://trademark.i-assist.jp/data/china/image_1900th/78935161.pdf", "78935161")</f>
        <v>78935161</v>
      </c>
      <c r="F2412" s="10" t="s">
        <v>15</v>
      </c>
      <c r="G2412" s="10" t="s">
        <v>6790</v>
      </c>
      <c r="H2412" s="10" t="s">
        <v>6791</v>
      </c>
      <c r="I2412" s="10" t="s">
        <v>6485</v>
      </c>
    </row>
    <row r="2413" spans="1:9" x14ac:dyDescent="0.15">
      <c r="A2413" s="9">
        <v>2412</v>
      </c>
      <c r="B2413" s="10" t="s">
        <v>9</v>
      </c>
      <c r="C2413" s="10" t="s">
        <v>170</v>
      </c>
      <c r="D2413" s="10" t="s">
        <v>171</v>
      </c>
      <c r="E2413" s="11" t="str">
        <f>+HYPERLINK("http://trademark.i-assist.jp/data/china/image_1900th/78935373.pdf", "78935373")</f>
        <v>78935373</v>
      </c>
      <c r="F2413" s="10" t="s">
        <v>6792</v>
      </c>
      <c r="G2413" s="10" t="s">
        <v>6793</v>
      </c>
      <c r="H2413" s="10" t="s">
        <v>6794</v>
      </c>
      <c r="I2413" s="10" t="s">
        <v>6485</v>
      </c>
    </row>
    <row r="2414" spans="1:9" x14ac:dyDescent="0.15">
      <c r="A2414" s="9">
        <v>2413</v>
      </c>
      <c r="B2414" s="10" t="s">
        <v>9</v>
      </c>
      <c r="C2414" s="10" t="s">
        <v>170</v>
      </c>
      <c r="D2414" s="10" t="s">
        <v>171</v>
      </c>
      <c r="E2414" s="11" t="str">
        <f>+HYPERLINK("http://trademark.i-assist.jp/data/china/image_1900th/78935920.pdf", "78935920")</f>
        <v>78935920</v>
      </c>
      <c r="F2414" s="10" t="s">
        <v>6795</v>
      </c>
      <c r="G2414" s="10" t="s">
        <v>6796</v>
      </c>
      <c r="H2414" s="10" t="s">
        <v>6797</v>
      </c>
      <c r="I2414" s="10" t="s">
        <v>6485</v>
      </c>
    </row>
    <row r="2415" spans="1:9" x14ac:dyDescent="0.15">
      <c r="A2415" s="9">
        <v>2414</v>
      </c>
      <c r="B2415" s="10" t="s">
        <v>9</v>
      </c>
      <c r="C2415" s="10" t="s">
        <v>170</v>
      </c>
      <c r="D2415" s="10" t="s">
        <v>171</v>
      </c>
      <c r="E2415" s="11" t="str">
        <f>+HYPERLINK("http://trademark.i-assist.jp/data/china/image_1900th/78936078.pdf", "78936078")</f>
        <v>78936078</v>
      </c>
      <c r="F2415" s="10" t="s">
        <v>6798</v>
      </c>
      <c r="G2415" s="10" t="s">
        <v>6799</v>
      </c>
      <c r="H2415" s="10" t="s">
        <v>6800</v>
      </c>
      <c r="I2415" s="10" t="s">
        <v>6485</v>
      </c>
    </row>
    <row r="2416" spans="1:9" x14ac:dyDescent="0.15">
      <c r="A2416" s="9">
        <v>2415</v>
      </c>
      <c r="B2416" s="10" t="s">
        <v>9</v>
      </c>
      <c r="C2416" s="10" t="s">
        <v>170</v>
      </c>
      <c r="D2416" s="10" t="s">
        <v>171</v>
      </c>
      <c r="E2416" s="11" t="str">
        <f>+HYPERLINK("http://trademark.i-assist.jp/data/china/image_1900th/78936199.pdf", "78936199")</f>
        <v>78936199</v>
      </c>
      <c r="F2416" s="10" t="s">
        <v>6801</v>
      </c>
      <c r="G2416" s="10" t="s">
        <v>6802</v>
      </c>
      <c r="H2416" s="10" t="s">
        <v>6803</v>
      </c>
      <c r="I2416" s="10" t="s">
        <v>6485</v>
      </c>
    </row>
    <row r="2417" spans="1:9" x14ac:dyDescent="0.15">
      <c r="A2417" s="9">
        <v>2416</v>
      </c>
      <c r="B2417" s="10" t="s">
        <v>9</v>
      </c>
      <c r="C2417" s="10" t="s">
        <v>170</v>
      </c>
      <c r="D2417" s="10" t="s">
        <v>171</v>
      </c>
      <c r="E2417" s="11" t="str">
        <f>+HYPERLINK("http://trademark.i-assist.jp/data/china/image_1900th/78936428.pdf", "78936428")</f>
        <v>78936428</v>
      </c>
      <c r="F2417" s="10" t="s">
        <v>6804</v>
      </c>
      <c r="G2417" s="10" t="s">
        <v>6805</v>
      </c>
      <c r="H2417" s="10" t="s">
        <v>6806</v>
      </c>
      <c r="I2417" s="10" t="s">
        <v>6485</v>
      </c>
    </row>
    <row r="2418" spans="1:9" x14ac:dyDescent="0.15">
      <c r="A2418" s="9">
        <v>2417</v>
      </c>
      <c r="B2418" s="10" t="s">
        <v>9</v>
      </c>
      <c r="C2418" s="10" t="s">
        <v>170</v>
      </c>
      <c r="D2418" s="10" t="s">
        <v>171</v>
      </c>
      <c r="E2418" s="11" t="str">
        <f>+HYPERLINK("http://trademark.i-assist.jp/data/china/image_1900th/78936578.pdf", "78936578")</f>
        <v>78936578</v>
      </c>
      <c r="F2418" s="10" t="s">
        <v>6807</v>
      </c>
      <c r="G2418" s="10" t="s">
        <v>6808</v>
      </c>
      <c r="H2418" s="10" t="s">
        <v>6809</v>
      </c>
      <c r="I2418" s="10" t="s">
        <v>6485</v>
      </c>
    </row>
    <row r="2419" spans="1:9" x14ac:dyDescent="0.15">
      <c r="A2419" s="9">
        <v>2418</v>
      </c>
      <c r="B2419" s="10" t="s">
        <v>9</v>
      </c>
      <c r="C2419" s="10" t="s">
        <v>170</v>
      </c>
      <c r="D2419" s="10" t="s">
        <v>171</v>
      </c>
      <c r="E2419" s="11" t="str">
        <f>+HYPERLINK("http://trademark.i-assist.jp/data/china/image_1900th/78936625.pdf", "78936625")</f>
        <v>78936625</v>
      </c>
      <c r="F2419" s="10" t="s">
        <v>6810</v>
      </c>
      <c r="G2419" s="10" t="s">
        <v>2490</v>
      </c>
      <c r="H2419" s="10" t="s">
        <v>6811</v>
      </c>
      <c r="I2419" s="10" t="s">
        <v>6485</v>
      </c>
    </row>
    <row r="2420" spans="1:9" x14ac:dyDescent="0.15">
      <c r="A2420" s="9">
        <v>2419</v>
      </c>
      <c r="B2420" s="10" t="s">
        <v>9</v>
      </c>
      <c r="C2420" s="10" t="s">
        <v>170</v>
      </c>
      <c r="D2420" s="10" t="s">
        <v>171</v>
      </c>
      <c r="E2420" s="11" t="str">
        <f>+HYPERLINK("http://trademark.i-assist.jp/data/china/image_1900th/78936665.pdf", "78936665")</f>
        <v>78936665</v>
      </c>
      <c r="F2420" s="10" t="s">
        <v>6812</v>
      </c>
      <c r="G2420" s="10" t="s">
        <v>6813</v>
      </c>
      <c r="H2420" s="10" t="s">
        <v>6814</v>
      </c>
      <c r="I2420" s="10" t="s">
        <v>6485</v>
      </c>
    </row>
    <row r="2421" spans="1:9" x14ac:dyDescent="0.15">
      <c r="A2421" s="9">
        <v>2420</v>
      </c>
      <c r="B2421" s="10" t="s">
        <v>9</v>
      </c>
      <c r="C2421" s="10" t="s">
        <v>170</v>
      </c>
      <c r="D2421" s="10" t="s">
        <v>171</v>
      </c>
      <c r="E2421" s="11" t="str">
        <f>+HYPERLINK("http://trademark.i-assist.jp/data/china/image_1900th/78936771.pdf", "78936771")</f>
        <v>78936771</v>
      </c>
      <c r="F2421" s="10" t="s">
        <v>6815</v>
      </c>
      <c r="G2421" s="10" t="s">
        <v>6664</v>
      </c>
      <c r="H2421" s="10" t="s">
        <v>6816</v>
      </c>
      <c r="I2421" s="10" t="s">
        <v>6485</v>
      </c>
    </row>
    <row r="2422" spans="1:9" x14ac:dyDescent="0.15">
      <c r="A2422" s="9">
        <v>2421</v>
      </c>
      <c r="B2422" s="10" t="s">
        <v>9</v>
      </c>
      <c r="C2422" s="10" t="s">
        <v>170</v>
      </c>
      <c r="D2422" s="10" t="s">
        <v>171</v>
      </c>
      <c r="E2422" s="11" t="str">
        <f>+HYPERLINK("http://trademark.i-assist.jp/data/china/image_1900th/78936820.pdf", "78936820")</f>
        <v>78936820</v>
      </c>
      <c r="F2422" s="10" t="s">
        <v>6817</v>
      </c>
      <c r="G2422" s="10" t="s">
        <v>6818</v>
      </c>
      <c r="H2422" s="10" t="s">
        <v>6819</v>
      </c>
      <c r="I2422" s="10" t="s">
        <v>6485</v>
      </c>
    </row>
    <row r="2423" spans="1:9" x14ac:dyDescent="0.15">
      <c r="A2423" s="9">
        <v>2422</v>
      </c>
      <c r="B2423" s="10" t="s">
        <v>9</v>
      </c>
      <c r="C2423" s="10" t="s">
        <v>170</v>
      </c>
      <c r="D2423" s="10" t="s">
        <v>171</v>
      </c>
      <c r="E2423" s="11" t="str">
        <f>+HYPERLINK("http://trademark.i-assist.jp/data/china/image_1900th/78936874.pdf", "78936874")</f>
        <v>78936874</v>
      </c>
      <c r="F2423" s="10" t="s">
        <v>6820</v>
      </c>
      <c r="G2423" s="10" t="s">
        <v>6788</v>
      </c>
      <c r="H2423" s="10" t="s">
        <v>6821</v>
      </c>
      <c r="I2423" s="10" t="s">
        <v>6485</v>
      </c>
    </row>
    <row r="2424" spans="1:9" x14ac:dyDescent="0.15">
      <c r="A2424" s="9">
        <v>2423</v>
      </c>
      <c r="B2424" s="10" t="s">
        <v>9</v>
      </c>
      <c r="C2424" s="10" t="s">
        <v>170</v>
      </c>
      <c r="D2424" s="10" t="s">
        <v>171</v>
      </c>
      <c r="E2424" s="11" t="str">
        <f>+HYPERLINK("http://trademark.i-assist.jp/data/china/image_1900th/78937104.pdf", "78937104")</f>
        <v>78937104</v>
      </c>
      <c r="F2424" s="10" t="s">
        <v>6822</v>
      </c>
      <c r="G2424" s="10" t="s">
        <v>6823</v>
      </c>
      <c r="H2424" s="10" t="s">
        <v>6824</v>
      </c>
      <c r="I2424" s="10" t="s">
        <v>6485</v>
      </c>
    </row>
    <row r="2425" spans="1:9" x14ac:dyDescent="0.15">
      <c r="A2425" s="9">
        <v>2424</v>
      </c>
      <c r="B2425" s="10" t="s">
        <v>9</v>
      </c>
      <c r="C2425" s="10" t="s">
        <v>170</v>
      </c>
      <c r="D2425" s="10" t="s">
        <v>171</v>
      </c>
      <c r="E2425" s="11" t="str">
        <f>+HYPERLINK("http://trademark.i-assist.jp/data/china/image_1900th/78937116.pdf", "78937116")</f>
        <v>78937116</v>
      </c>
      <c r="F2425" s="10" t="s">
        <v>6825</v>
      </c>
      <c r="G2425" s="10" t="s">
        <v>6682</v>
      </c>
      <c r="H2425" s="10" t="s">
        <v>6826</v>
      </c>
      <c r="I2425" s="10" t="s">
        <v>6485</v>
      </c>
    </row>
    <row r="2426" spans="1:9" x14ac:dyDescent="0.15">
      <c r="A2426" s="9">
        <v>2425</v>
      </c>
      <c r="B2426" s="10" t="s">
        <v>9</v>
      </c>
      <c r="C2426" s="10" t="s">
        <v>170</v>
      </c>
      <c r="D2426" s="10" t="s">
        <v>171</v>
      </c>
      <c r="E2426" s="11" t="str">
        <f>+HYPERLINK("http://trademark.i-assist.jp/data/china/image_1900th/78937453.pdf", "78937453")</f>
        <v>78937453</v>
      </c>
      <c r="F2426" s="10" t="s">
        <v>6827</v>
      </c>
      <c r="G2426" s="10" t="s">
        <v>6828</v>
      </c>
      <c r="H2426" s="10" t="s">
        <v>6829</v>
      </c>
      <c r="I2426" s="10" t="s">
        <v>6485</v>
      </c>
    </row>
    <row r="2427" spans="1:9" x14ac:dyDescent="0.15">
      <c r="A2427" s="9">
        <v>2426</v>
      </c>
      <c r="B2427" s="10" t="s">
        <v>9</v>
      </c>
      <c r="C2427" s="10" t="s">
        <v>170</v>
      </c>
      <c r="D2427" s="10" t="s">
        <v>171</v>
      </c>
      <c r="E2427" s="11" t="str">
        <f>+HYPERLINK("http://trademark.i-assist.jp/data/china/image_1900th/78937522.pdf", "78937522")</f>
        <v>78937522</v>
      </c>
      <c r="F2427" s="10" t="s">
        <v>6830</v>
      </c>
      <c r="G2427" s="10" t="s">
        <v>6831</v>
      </c>
      <c r="H2427" s="10" t="s">
        <v>6832</v>
      </c>
      <c r="I2427" s="10" t="s">
        <v>6485</v>
      </c>
    </row>
    <row r="2428" spans="1:9" x14ac:dyDescent="0.15">
      <c r="A2428" s="9">
        <v>2427</v>
      </c>
      <c r="B2428" s="10" t="s">
        <v>9</v>
      </c>
      <c r="C2428" s="10" t="s">
        <v>170</v>
      </c>
      <c r="D2428" s="10" t="s">
        <v>171</v>
      </c>
      <c r="E2428" s="11" t="str">
        <f>+HYPERLINK("http://trademark.i-assist.jp/data/china/image_1900th/78937691.pdf", "78937691")</f>
        <v>78937691</v>
      </c>
      <c r="F2428" s="10" t="s">
        <v>6833</v>
      </c>
      <c r="G2428" s="10" t="s">
        <v>6834</v>
      </c>
      <c r="H2428" s="10" t="s">
        <v>6835</v>
      </c>
      <c r="I2428" s="10" t="s">
        <v>6485</v>
      </c>
    </row>
    <row r="2429" spans="1:9" x14ac:dyDescent="0.15">
      <c r="A2429" s="9">
        <v>2428</v>
      </c>
      <c r="B2429" s="10" t="s">
        <v>9</v>
      </c>
      <c r="C2429" s="10" t="s">
        <v>170</v>
      </c>
      <c r="D2429" s="10" t="s">
        <v>171</v>
      </c>
      <c r="E2429" s="11" t="str">
        <f>+HYPERLINK("http://trademark.i-assist.jp/data/china/image_1900th/78938164.pdf", "78938164")</f>
        <v>78938164</v>
      </c>
      <c r="F2429" s="10" t="s">
        <v>6836</v>
      </c>
      <c r="G2429" s="10" t="s">
        <v>6837</v>
      </c>
      <c r="H2429" s="10" t="s">
        <v>6838</v>
      </c>
      <c r="I2429" s="10" t="s">
        <v>6485</v>
      </c>
    </row>
    <row r="2430" spans="1:9" x14ac:dyDescent="0.15">
      <c r="A2430" s="9">
        <v>2429</v>
      </c>
      <c r="B2430" s="10" t="s">
        <v>9</v>
      </c>
      <c r="C2430" s="10" t="s">
        <v>170</v>
      </c>
      <c r="D2430" s="10" t="s">
        <v>171</v>
      </c>
      <c r="E2430" s="11" t="str">
        <f>+HYPERLINK("http://trademark.i-assist.jp/data/china/image_1900th/78938478.pdf", "78938478")</f>
        <v>78938478</v>
      </c>
      <c r="F2430" s="10" t="s">
        <v>6839</v>
      </c>
      <c r="G2430" s="10" t="s">
        <v>6840</v>
      </c>
      <c r="H2430" s="10" t="s">
        <v>6841</v>
      </c>
      <c r="I2430" s="10" t="s">
        <v>6485</v>
      </c>
    </row>
    <row r="2431" spans="1:9" x14ac:dyDescent="0.15">
      <c r="A2431" s="9">
        <v>2430</v>
      </c>
      <c r="B2431" s="10" t="s">
        <v>9</v>
      </c>
      <c r="C2431" s="10" t="s">
        <v>170</v>
      </c>
      <c r="D2431" s="10" t="s">
        <v>171</v>
      </c>
      <c r="E2431" s="11" t="str">
        <f>+HYPERLINK("http://trademark.i-assist.jp/data/china/image_1900th/78938529.pdf", "78938529")</f>
        <v>78938529</v>
      </c>
      <c r="F2431" s="10" t="s">
        <v>6842</v>
      </c>
      <c r="G2431" s="10" t="s">
        <v>6843</v>
      </c>
      <c r="H2431" s="10" t="s">
        <v>6844</v>
      </c>
      <c r="I2431" s="10" t="s">
        <v>6485</v>
      </c>
    </row>
    <row r="2432" spans="1:9" x14ac:dyDescent="0.15">
      <c r="A2432" s="9">
        <v>2431</v>
      </c>
      <c r="B2432" s="10" t="s">
        <v>9</v>
      </c>
      <c r="C2432" s="10" t="s">
        <v>170</v>
      </c>
      <c r="D2432" s="10" t="s">
        <v>171</v>
      </c>
      <c r="E2432" s="11" t="str">
        <f>+HYPERLINK("http://trademark.i-assist.jp/data/china/image_1900th/78938899.pdf", "78938899")</f>
        <v>78938899</v>
      </c>
      <c r="F2432" s="10" t="s">
        <v>6845</v>
      </c>
      <c r="G2432" s="10" t="s">
        <v>6846</v>
      </c>
      <c r="H2432" s="10" t="s">
        <v>6847</v>
      </c>
      <c r="I2432" s="10" t="s">
        <v>6485</v>
      </c>
    </row>
    <row r="2433" spans="1:9" x14ac:dyDescent="0.15">
      <c r="A2433" s="9">
        <v>2432</v>
      </c>
      <c r="B2433" s="10" t="s">
        <v>9</v>
      </c>
      <c r="C2433" s="10" t="s">
        <v>170</v>
      </c>
      <c r="D2433" s="10" t="s">
        <v>171</v>
      </c>
      <c r="E2433" s="11" t="str">
        <f>+HYPERLINK("http://trademark.i-assist.jp/data/china/image_1900th/78938931.pdf", "78938931")</f>
        <v>78938931</v>
      </c>
      <c r="F2433" s="10" t="s">
        <v>6848</v>
      </c>
      <c r="G2433" s="10" t="s">
        <v>6747</v>
      </c>
      <c r="H2433" s="10" t="s">
        <v>6849</v>
      </c>
      <c r="I2433" s="10" t="s">
        <v>6485</v>
      </c>
    </row>
    <row r="2434" spans="1:9" x14ac:dyDescent="0.15">
      <c r="A2434" s="9">
        <v>2433</v>
      </c>
      <c r="B2434" s="10" t="s">
        <v>9</v>
      </c>
      <c r="C2434" s="10" t="s">
        <v>170</v>
      </c>
      <c r="D2434" s="10" t="s">
        <v>171</v>
      </c>
      <c r="E2434" s="11" t="str">
        <f>+HYPERLINK("http://trademark.i-assist.jp/data/china/image_1900th/78939339.pdf", "78939339")</f>
        <v>78939339</v>
      </c>
      <c r="F2434" s="10" t="s">
        <v>6850</v>
      </c>
      <c r="G2434" s="10" t="s">
        <v>6622</v>
      </c>
      <c r="H2434" s="10" t="s">
        <v>6851</v>
      </c>
      <c r="I2434" s="10" t="s">
        <v>6485</v>
      </c>
    </row>
    <row r="2435" spans="1:9" x14ac:dyDescent="0.15">
      <c r="A2435" s="9">
        <v>2434</v>
      </c>
      <c r="B2435" s="10" t="s">
        <v>9</v>
      </c>
      <c r="C2435" s="10" t="s">
        <v>170</v>
      </c>
      <c r="D2435" s="10" t="s">
        <v>171</v>
      </c>
      <c r="E2435" s="11" t="str">
        <f>+HYPERLINK("http://trademark.i-assist.jp/data/china/image_1900th/78939358.pdf", "78939358")</f>
        <v>78939358</v>
      </c>
      <c r="F2435" s="10" t="s">
        <v>6852</v>
      </c>
      <c r="G2435" s="10" t="s">
        <v>6853</v>
      </c>
      <c r="H2435" s="10" t="s">
        <v>6854</v>
      </c>
      <c r="I2435" s="10" t="s">
        <v>6485</v>
      </c>
    </row>
    <row r="2436" spans="1:9" x14ac:dyDescent="0.15">
      <c r="A2436" s="9">
        <v>2435</v>
      </c>
      <c r="B2436" s="10" t="s">
        <v>9</v>
      </c>
      <c r="C2436" s="10" t="s">
        <v>170</v>
      </c>
      <c r="D2436" s="10" t="s">
        <v>171</v>
      </c>
      <c r="E2436" s="11" t="str">
        <f>+HYPERLINK("http://trademark.i-assist.jp/data/china/image_1900th/78939394.pdf", "78939394")</f>
        <v>78939394</v>
      </c>
      <c r="F2436" s="10" t="s">
        <v>6855</v>
      </c>
      <c r="G2436" s="10" t="s">
        <v>6856</v>
      </c>
      <c r="H2436" s="10" t="s">
        <v>6857</v>
      </c>
      <c r="I2436" s="10" t="s">
        <v>6485</v>
      </c>
    </row>
    <row r="2437" spans="1:9" x14ac:dyDescent="0.15">
      <c r="A2437" s="9">
        <v>2436</v>
      </c>
      <c r="B2437" s="10" t="s">
        <v>9</v>
      </c>
      <c r="C2437" s="10" t="s">
        <v>170</v>
      </c>
      <c r="D2437" s="10" t="s">
        <v>171</v>
      </c>
      <c r="E2437" s="11" t="str">
        <f>+HYPERLINK("http://trademark.i-assist.jp/data/china/image_1900th/78939445.pdf", "78939445")</f>
        <v>78939445</v>
      </c>
      <c r="F2437" s="10" t="s">
        <v>6858</v>
      </c>
      <c r="G2437" s="10" t="s">
        <v>98</v>
      </c>
      <c r="H2437" s="10" t="s">
        <v>6859</v>
      </c>
      <c r="I2437" s="10" t="s">
        <v>6485</v>
      </c>
    </row>
    <row r="2438" spans="1:9" x14ac:dyDescent="0.15">
      <c r="A2438" s="9">
        <v>2437</v>
      </c>
      <c r="B2438" s="10" t="s">
        <v>9</v>
      </c>
      <c r="C2438" s="10" t="s">
        <v>170</v>
      </c>
      <c r="D2438" s="10" t="s">
        <v>171</v>
      </c>
      <c r="E2438" s="11" t="str">
        <f>+HYPERLINK("http://trademark.i-assist.jp/data/china/image_1900th/78939656.pdf", "78939656")</f>
        <v>78939656</v>
      </c>
      <c r="F2438" s="10" t="s">
        <v>6860</v>
      </c>
      <c r="G2438" s="10" t="s">
        <v>6861</v>
      </c>
      <c r="H2438" s="10" t="s">
        <v>6862</v>
      </c>
      <c r="I2438" s="10" t="s">
        <v>6485</v>
      </c>
    </row>
    <row r="2439" spans="1:9" x14ac:dyDescent="0.15">
      <c r="A2439" s="9">
        <v>2438</v>
      </c>
      <c r="B2439" s="10" t="s">
        <v>9</v>
      </c>
      <c r="C2439" s="10" t="s">
        <v>170</v>
      </c>
      <c r="D2439" s="10" t="s">
        <v>171</v>
      </c>
      <c r="E2439" s="11" t="str">
        <f>+HYPERLINK("http://trademark.i-assist.jp/data/china/image_1900th/78939664.pdf", "78939664")</f>
        <v>78939664</v>
      </c>
      <c r="F2439" s="10" t="s">
        <v>6863</v>
      </c>
      <c r="G2439" s="10" t="s">
        <v>6788</v>
      </c>
      <c r="H2439" s="10" t="s">
        <v>6864</v>
      </c>
      <c r="I2439" s="10" t="s">
        <v>6485</v>
      </c>
    </row>
    <row r="2440" spans="1:9" x14ac:dyDescent="0.15">
      <c r="A2440" s="9">
        <v>2439</v>
      </c>
      <c r="B2440" s="10" t="s">
        <v>9</v>
      </c>
      <c r="C2440" s="10" t="s">
        <v>170</v>
      </c>
      <c r="D2440" s="10" t="s">
        <v>171</v>
      </c>
      <c r="E2440" s="11" t="str">
        <f>+HYPERLINK("http://trademark.i-assist.jp/data/china/image_1900th/78939689.pdf", "78939689")</f>
        <v>78939689</v>
      </c>
      <c r="F2440" s="10" t="s">
        <v>6865</v>
      </c>
      <c r="G2440" s="10" t="s">
        <v>6866</v>
      </c>
      <c r="H2440" s="10" t="s">
        <v>6867</v>
      </c>
      <c r="I2440" s="10" t="s">
        <v>6485</v>
      </c>
    </row>
    <row r="2441" spans="1:9" x14ac:dyDescent="0.15">
      <c r="A2441" s="9">
        <v>2440</v>
      </c>
      <c r="B2441" s="10" t="s">
        <v>9</v>
      </c>
      <c r="C2441" s="10" t="s">
        <v>170</v>
      </c>
      <c r="D2441" s="10" t="s">
        <v>171</v>
      </c>
      <c r="E2441" s="11" t="str">
        <f>+HYPERLINK("http://trademark.i-assist.jp/data/china/image_1900th/78939767.pdf", "78939767")</f>
        <v>78939767</v>
      </c>
      <c r="F2441" s="10" t="s">
        <v>6868</v>
      </c>
      <c r="G2441" s="10" t="s">
        <v>6869</v>
      </c>
      <c r="H2441" s="10" t="s">
        <v>6870</v>
      </c>
      <c r="I2441" s="10" t="s">
        <v>6485</v>
      </c>
    </row>
    <row r="2442" spans="1:9" x14ac:dyDescent="0.15">
      <c r="A2442" s="9">
        <v>2441</v>
      </c>
      <c r="B2442" s="10" t="s">
        <v>9</v>
      </c>
      <c r="C2442" s="10" t="s">
        <v>170</v>
      </c>
      <c r="D2442" s="10" t="s">
        <v>171</v>
      </c>
      <c r="E2442" s="11" t="str">
        <f>+HYPERLINK("http://trademark.i-assist.jp/data/china/image_1900th/78939870.pdf", "78939870")</f>
        <v>78939870</v>
      </c>
      <c r="F2442" s="10" t="s">
        <v>6871</v>
      </c>
      <c r="G2442" s="10" t="s">
        <v>6544</v>
      </c>
      <c r="H2442" s="10" t="s">
        <v>6872</v>
      </c>
      <c r="I2442" s="10" t="s">
        <v>6485</v>
      </c>
    </row>
    <row r="2443" spans="1:9" x14ac:dyDescent="0.15">
      <c r="A2443" s="9">
        <v>2442</v>
      </c>
      <c r="B2443" s="10" t="s">
        <v>9</v>
      </c>
      <c r="C2443" s="10" t="s">
        <v>170</v>
      </c>
      <c r="D2443" s="10" t="s">
        <v>171</v>
      </c>
      <c r="E2443" s="11" t="str">
        <f>+HYPERLINK("http://trademark.i-assist.jp/data/china/image_1900th/78939990.pdf", "78939990")</f>
        <v>78939990</v>
      </c>
      <c r="F2443" s="10" t="s">
        <v>6873</v>
      </c>
      <c r="G2443" s="10" t="s">
        <v>6634</v>
      </c>
      <c r="H2443" s="10" t="s">
        <v>6874</v>
      </c>
      <c r="I2443" s="10" t="s">
        <v>6485</v>
      </c>
    </row>
    <row r="2444" spans="1:9" x14ac:dyDescent="0.15">
      <c r="A2444" s="9">
        <v>2443</v>
      </c>
      <c r="B2444" s="10" t="s">
        <v>9</v>
      </c>
      <c r="C2444" s="10" t="s">
        <v>170</v>
      </c>
      <c r="D2444" s="10" t="s">
        <v>171</v>
      </c>
      <c r="E2444" s="11" t="str">
        <f>+HYPERLINK("http://trademark.i-assist.jp/data/china/image_1900th/78939991.pdf", "78939991")</f>
        <v>78939991</v>
      </c>
      <c r="F2444" s="10" t="s">
        <v>6875</v>
      </c>
      <c r="G2444" s="10" t="s">
        <v>3304</v>
      </c>
      <c r="H2444" s="10" t="s">
        <v>6876</v>
      </c>
      <c r="I2444" s="10" t="s">
        <v>6485</v>
      </c>
    </row>
    <row r="2445" spans="1:9" x14ac:dyDescent="0.15">
      <c r="A2445" s="9">
        <v>2444</v>
      </c>
      <c r="B2445" s="10" t="s">
        <v>9</v>
      </c>
      <c r="C2445" s="10" t="s">
        <v>170</v>
      </c>
      <c r="D2445" s="10" t="s">
        <v>171</v>
      </c>
      <c r="E2445" s="11" t="str">
        <f>+HYPERLINK("http://trademark.i-assist.jp/data/china/image_1900th/78940308.pdf", "78940308")</f>
        <v>78940308</v>
      </c>
      <c r="F2445" s="10" t="s">
        <v>6877</v>
      </c>
      <c r="G2445" s="10" t="s">
        <v>6878</v>
      </c>
      <c r="H2445" s="10" t="s">
        <v>6879</v>
      </c>
      <c r="I2445" s="10" t="s">
        <v>6485</v>
      </c>
    </row>
    <row r="2446" spans="1:9" x14ac:dyDescent="0.15">
      <c r="A2446" s="9">
        <v>2445</v>
      </c>
      <c r="B2446" s="10" t="s">
        <v>9</v>
      </c>
      <c r="C2446" s="10" t="s">
        <v>170</v>
      </c>
      <c r="D2446" s="10" t="s">
        <v>171</v>
      </c>
      <c r="E2446" s="11" t="str">
        <f>+HYPERLINK("http://trademark.i-assist.jp/data/china/image_1900th/78940700.pdf", "78940700")</f>
        <v>78940700</v>
      </c>
      <c r="F2446" s="10" t="s">
        <v>6880</v>
      </c>
      <c r="G2446" s="10" t="s">
        <v>6881</v>
      </c>
      <c r="H2446" s="10" t="s">
        <v>6882</v>
      </c>
      <c r="I2446" s="10" t="s">
        <v>6485</v>
      </c>
    </row>
    <row r="2447" spans="1:9" x14ac:dyDescent="0.15">
      <c r="A2447" s="9">
        <v>2446</v>
      </c>
      <c r="B2447" s="10" t="s">
        <v>9</v>
      </c>
      <c r="C2447" s="10" t="s">
        <v>170</v>
      </c>
      <c r="D2447" s="10" t="s">
        <v>171</v>
      </c>
      <c r="E2447" s="11" t="str">
        <f>+HYPERLINK("http://trademark.i-assist.jp/data/china/image_1900th/78940804.pdf", "78940804")</f>
        <v>78940804</v>
      </c>
      <c r="F2447" s="10" t="s">
        <v>6883</v>
      </c>
      <c r="G2447" s="10" t="s">
        <v>6884</v>
      </c>
      <c r="H2447" s="10" t="s">
        <v>6885</v>
      </c>
      <c r="I2447" s="10" t="s">
        <v>6485</v>
      </c>
    </row>
    <row r="2448" spans="1:9" x14ac:dyDescent="0.15">
      <c r="A2448" s="9">
        <v>2447</v>
      </c>
      <c r="B2448" s="10" t="s">
        <v>9</v>
      </c>
      <c r="C2448" s="10" t="s">
        <v>170</v>
      </c>
      <c r="D2448" s="10" t="s">
        <v>171</v>
      </c>
      <c r="E2448" s="11" t="str">
        <f>+HYPERLINK("http://trademark.i-assist.jp/data/china/image_1900th/78940976.pdf", "78940976")</f>
        <v>78940976</v>
      </c>
      <c r="F2448" s="10" t="s">
        <v>6886</v>
      </c>
      <c r="G2448" s="10" t="s">
        <v>6887</v>
      </c>
      <c r="H2448" s="10" t="s">
        <v>6888</v>
      </c>
      <c r="I2448" s="10" t="s">
        <v>6485</v>
      </c>
    </row>
    <row r="2449" spans="1:9" x14ac:dyDescent="0.15">
      <c r="A2449" s="9">
        <v>2448</v>
      </c>
      <c r="B2449" s="10" t="s">
        <v>9</v>
      </c>
      <c r="C2449" s="10" t="s">
        <v>170</v>
      </c>
      <c r="D2449" s="10" t="s">
        <v>171</v>
      </c>
      <c r="E2449" s="11" t="str">
        <f>+HYPERLINK("http://trademark.i-assist.jp/data/china/image_1900th/78941180.pdf", "78941180")</f>
        <v>78941180</v>
      </c>
      <c r="F2449" s="10" t="s">
        <v>6889</v>
      </c>
      <c r="G2449" s="10" t="s">
        <v>6890</v>
      </c>
      <c r="H2449" s="10" t="s">
        <v>6891</v>
      </c>
      <c r="I2449" s="10" t="s">
        <v>6485</v>
      </c>
    </row>
    <row r="2450" spans="1:9" x14ac:dyDescent="0.15">
      <c r="A2450" s="9">
        <v>2449</v>
      </c>
      <c r="B2450" s="10" t="s">
        <v>9</v>
      </c>
      <c r="C2450" s="10" t="s">
        <v>170</v>
      </c>
      <c r="D2450" s="10" t="s">
        <v>171</v>
      </c>
      <c r="E2450" s="11" t="str">
        <f>+HYPERLINK("http://trademark.i-assist.jp/data/china/image_1900th/78941218.pdf", "78941218")</f>
        <v>78941218</v>
      </c>
      <c r="F2450" s="10" t="s">
        <v>6892</v>
      </c>
      <c r="G2450" s="10" t="s">
        <v>6893</v>
      </c>
      <c r="H2450" s="10" t="s">
        <v>6894</v>
      </c>
      <c r="I2450" s="10" t="s">
        <v>6485</v>
      </c>
    </row>
    <row r="2451" spans="1:9" x14ac:dyDescent="0.15">
      <c r="A2451" s="9">
        <v>2450</v>
      </c>
      <c r="B2451" s="10" t="s">
        <v>9</v>
      </c>
      <c r="C2451" s="10" t="s">
        <v>170</v>
      </c>
      <c r="D2451" s="10" t="s">
        <v>171</v>
      </c>
      <c r="E2451" s="11" t="str">
        <f>+HYPERLINK("http://trademark.i-assist.jp/data/china/image_1900th/78941438.pdf", "78941438")</f>
        <v>78941438</v>
      </c>
      <c r="F2451" s="10" t="s">
        <v>6895</v>
      </c>
      <c r="G2451" s="10" t="s">
        <v>6896</v>
      </c>
      <c r="H2451" s="10" t="s">
        <v>6897</v>
      </c>
      <c r="I2451" s="10" t="s">
        <v>6485</v>
      </c>
    </row>
    <row r="2452" spans="1:9" x14ac:dyDescent="0.15">
      <c r="A2452" s="9">
        <v>2451</v>
      </c>
      <c r="B2452" s="10" t="s">
        <v>9</v>
      </c>
      <c r="C2452" s="10" t="s">
        <v>170</v>
      </c>
      <c r="D2452" s="10" t="s">
        <v>171</v>
      </c>
      <c r="E2452" s="11" t="str">
        <f>+HYPERLINK("http://trademark.i-assist.jp/data/china/image_1900th/78942068.pdf", "78942068")</f>
        <v>78942068</v>
      </c>
      <c r="F2452" s="10" t="s">
        <v>6898</v>
      </c>
      <c r="G2452" s="10" t="s">
        <v>6616</v>
      </c>
      <c r="H2452" s="10" t="s">
        <v>6899</v>
      </c>
      <c r="I2452" s="10" t="s">
        <v>6485</v>
      </c>
    </row>
    <row r="2453" spans="1:9" x14ac:dyDescent="0.15">
      <c r="A2453" s="9">
        <v>2452</v>
      </c>
      <c r="B2453" s="10" t="s">
        <v>9</v>
      </c>
      <c r="C2453" s="10" t="s">
        <v>170</v>
      </c>
      <c r="D2453" s="10" t="s">
        <v>171</v>
      </c>
      <c r="E2453" s="11" t="str">
        <f>+HYPERLINK("http://trademark.i-assist.jp/data/china/image_1900th/78942112.pdf", "78942112")</f>
        <v>78942112</v>
      </c>
      <c r="F2453" s="10" t="s">
        <v>6900</v>
      </c>
      <c r="G2453" s="10" t="s">
        <v>6901</v>
      </c>
      <c r="H2453" s="10" t="s">
        <v>6902</v>
      </c>
      <c r="I2453" s="10" t="s">
        <v>6485</v>
      </c>
    </row>
    <row r="2454" spans="1:9" x14ac:dyDescent="0.15">
      <c r="A2454" s="9">
        <v>2453</v>
      </c>
      <c r="B2454" s="10" t="s">
        <v>9</v>
      </c>
      <c r="C2454" s="10" t="s">
        <v>170</v>
      </c>
      <c r="D2454" s="10" t="s">
        <v>171</v>
      </c>
      <c r="E2454" s="11" t="str">
        <f>+HYPERLINK("http://trademark.i-assist.jp/data/china/image_1900th/78942171.pdf", "78942171")</f>
        <v>78942171</v>
      </c>
      <c r="F2454" s="10" t="s">
        <v>6903</v>
      </c>
      <c r="G2454" s="10" t="s">
        <v>6904</v>
      </c>
      <c r="H2454" s="10" t="s">
        <v>6905</v>
      </c>
      <c r="I2454" s="10" t="s">
        <v>6485</v>
      </c>
    </row>
    <row r="2455" spans="1:9" x14ac:dyDescent="0.15">
      <c r="A2455" s="9">
        <v>2454</v>
      </c>
      <c r="B2455" s="10" t="s">
        <v>9</v>
      </c>
      <c r="C2455" s="10" t="s">
        <v>170</v>
      </c>
      <c r="D2455" s="10" t="s">
        <v>171</v>
      </c>
      <c r="E2455" s="11" t="str">
        <f>+HYPERLINK("http://trademark.i-assist.jp/data/china/image_1900th/78942219.pdf", "78942219")</f>
        <v>78942219</v>
      </c>
      <c r="F2455" s="10" t="s">
        <v>6906</v>
      </c>
      <c r="G2455" s="10" t="s">
        <v>6788</v>
      </c>
      <c r="H2455" s="10" t="s">
        <v>6907</v>
      </c>
      <c r="I2455" s="10" t="s">
        <v>6485</v>
      </c>
    </row>
    <row r="2456" spans="1:9" x14ac:dyDescent="0.15">
      <c r="A2456" s="9">
        <v>2455</v>
      </c>
      <c r="B2456" s="10" t="s">
        <v>9</v>
      </c>
      <c r="C2456" s="10" t="s">
        <v>170</v>
      </c>
      <c r="D2456" s="10" t="s">
        <v>171</v>
      </c>
      <c r="E2456" s="11" t="str">
        <f>+HYPERLINK("http://trademark.i-assist.jp/data/china/image_1900th/78942314.pdf", "78942314")</f>
        <v>78942314</v>
      </c>
      <c r="F2456" s="10" t="s">
        <v>6908</v>
      </c>
      <c r="G2456" s="10" t="s">
        <v>6909</v>
      </c>
      <c r="H2456" s="10" t="s">
        <v>6910</v>
      </c>
      <c r="I2456" s="10" t="s">
        <v>6485</v>
      </c>
    </row>
    <row r="2457" spans="1:9" x14ac:dyDescent="0.15">
      <c r="A2457" s="9">
        <v>2456</v>
      </c>
      <c r="B2457" s="10" t="s">
        <v>9</v>
      </c>
      <c r="C2457" s="10" t="s">
        <v>170</v>
      </c>
      <c r="D2457" s="10" t="s">
        <v>171</v>
      </c>
      <c r="E2457" s="11" t="str">
        <f>+HYPERLINK("http://trademark.i-assist.jp/data/china/image_1900th/78942482.pdf", "78942482")</f>
        <v>78942482</v>
      </c>
      <c r="F2457" s="10" t="s">
        <v>6911</v>
      </c>
      <c r="G2457" s="10" t="s">
        <v>6912</v>
      </c>
      <c r="H2457" s="10" t="s">
        <v>6913</v>
      </c>
      <c r="I2457" s="10" t="s">
        <v>6485</v>
      </c>
    </row>
    <row r="2458" spans="1:9" x14ac:dyDescent="0.15">
      <c r="A2458" s="9">
        <v>2457</v>
      </c>
      <c r="B2458" s="10" t="s">
        <v>9</v>
      </c>
      <c r="C2458" s="10" t="s">
        <v>170</v>
      </c>
      <c r="D2458" s="10" t="s">
        <v>171</v>
      </c>
      <c r="E2458" s="11" t="str">
        <f>+HYPERLINK("http://trademark.i-assist.jp/data/china/image_1900th/78942520.pdf", "78942520")</f>
        <v>78942520</v>
      </c>
      <c r="F2458" s="10" t="s">
        <v>6914</v>
      </c>
      <c r="G2458" s="10" t="s">
        <v>6915</v>
      </c>
      <c r="H2458" s="10" t="s">
        <v>6916</v>
      </c>
      <c r="I2458" s="10" t="s">
        <v>6485</v>
      </c>
    </row>
    <row r="2459" spans="1:9" x14ac:dyDescent="0.15">
      <c r="A2459" s="9">
        <v>2458</v>
      </c>
      <c r="B2459" s="10" t="s">
        <v>9</v>
      </c>
      <c r="C2459" s="10" t="s">
        <v>170</v>
      </c>
      <c r="D2459" s="10" t="s">
        <v>171</v>
      </c>
      <c r="E2459" s="11" t="str">
        <f>+HYPERLINK("http://trademark.i-assist.jp/data/china/image_1900th/78943229.pdf", "78943229")</f>
        <v>78943229</v>
      </c>
      <c r="F2459" s="10" t="s">
        <v>6917</v>
      </c>
      <c r="G2459" s="10" t="s">
        <v>6918</v>
      </c>
      <c r="H2459" s="10" t="s">
        <v>6919</v>
      </c>
      <c r="I2459" s="10" t="s">
        <v>6485</v>
      </c>
    </row>
    <row r="2460" spans="1:9" x14ac:dyDescent="0.15">
      <c r="A2460" s="9">
        <v>2459</v>
      </c>
      <c r="B2460" s="10" t="s">
        <v>9</v>
      </c>
      <c r="C2460" s="10" t="s">
        <v>170</v>
      </c>
      <c r="D2460" s="10" t="s">
        <v>171</v>
      </c>
      <c r="E2460" s="11" t="str">
        <f>+HYPERLINK("http://trademark.i-assist.jp/data/china/image_1900th/78943343.pdf", "78943343")</f>
        <v>78943343</v>
      </c>
      <c r="F2460" s="10" t="s">
        <v>6920</v>
      </c>
      <c r="G2460" s="10" t="s">
        <v>6921</v>
      </c>
      <c r="H2460" s="10" t="s">
        <v>6922</v>
      </c>
      <c r="I2460" s="10" t="s">
        <v>6485</v>
      </c>
    </row>
    <row r="2461" spans="1:9" x14ac:dyDescent="0.15">
      <c r="A2461" s="9">
        <v>2460</v>
      </c>
      <c r="B2461" s="10" t="s">
        <v>9</v>
      </c>
      <c r="C2461" s="10" t="s">
        <v>170</v>
      </c>
      <c r="D2461" s="10" t="s">
        <v>171</v>
      </c>
      <c r="E2461" s="11" t="str">
        <f>+HYPERLINK("http://trademark.i-assist.jp/data/china/image_1900th/78943424.pdf", "78943424")</f>
        <v>78943424</v>
      </c>
      <c r="F2461" s="10" t="s">
        <v>6923</v>
      </c>
      <c r="G2461" s="10" t="s">
        <v>6924</v>
      </c>
      <c r="H2461" s="10" t="s">
        <v>6925</v>
      </c>
      <c r="I2461" s="10" t="s">
        <v>6485</v>
      </c>
    </row>
    <row r="2462" spans="1:9" x14ac:dyDescent="0.15">
      <c r="A2462" s="9">
        <v>2461</v>
      </c>
      <c r="B2462" s="10" t="s">
        <v>9</v>
      </c>
      <c r="C2462" s="10" t="s">
        <v>170</v>
      </c>
      <c r="D2462" s="10" t="s">
        <v>171</v>
      </c>
      <c r="E2462" s="11" t="str">
        <f>+HYPERLINK("http://trademark.i-assist.jp/data/china/image_1900th/78943622.pdf", "78943622")</f>
        <v>78943622</v>
      </c>
      <c r="F2462" s="10" t="s">
        <v>6926</v>
      </c>
      <c r="G2462" s="10" t="s">
        <v>6927</v>
      </c>
      <c r="H2462" s="10" t="s">
        <v>6928</v>
      </c>
      <c r="I2462" s="10" t="s">
        <v>6485</v>
      </c>
    </row>
    <row r="2463" spans="1:9" x14ac:dyDescent="0.15">
      <c r="A2463" s="9">
        <v>2462</v>
      </c>
      <c r="B2463" s="10" t="s">
        <v>9</v>
      </c>
      <c r="C2463" s="10" t="s">
        <v>170</v>
      </c>
      <c r="D2463" s="10" t="s">
        <v>171</v>
      </c>
      <c r="E2463" s="11" t="str">
        <f>+HYPERLINK("http://trademark.i-assist.jp/data/china/image_1900th/78943885.pdf", "78943885")</f>
        <v>78943885</v>
      </c>
      <c r="F2463" s="10" t="s">
        <v>6929</v>
      </c>
      <c r="G2463" s="10" t="s">
        <v>6930</v>
      </c>
      <c r="H2463" s="10" t="s">
        <v>6931</v>
      </c>
      <c r="I2463" s="10" t="s">
        <v>6485</v>
      </c>
    </row>
    <row r="2464" spans="1:9" x14ac:dyDescent="0.15">
      <c r="A2464" s="9">
        <v>2463</v>
      </c>
      <c r="B2464" s="10" t="s">
        <v>9</v>
      </c>
      <c r="C2464" s="10" t="s">
        <v>170</v>
      </c>
      <c r="D2464" s="10" t="s">
        <v>171</v>
      </c>
      <c r="E2464" s="11" t="str">
        <f>+HYPERLINK("http://trademark.i-assist.jp/data/china/image_1900th/78943955.pdf", "78943955")</f>
        <v>78943955</v>
      </c>
      <c r="F2464" s="10" t="s">
        <v>6932</v>
      </c>
      <c r="G2464" s="10" t="s">
        <v>5469</v>
      </c>
      <c r="H2464" s="10" t="s">
        <v>6933</v>
      </c>
      <c r="I2464" s="10" t="s">
        <v>6485</v>
      </c>
    </row>
    <row r="2465" spans="1:9" x14ac:dyDescent="0.15">
      <c r="A2465" s="9">
        <v>2464</v>
      </c>
      <c r="B2465" s="10" t="s">
        <v>9</v>
      </c>
      <c r="C2465" s="10" t="s">
        <v>170</v>
      </c>
      <c r="D2465" s="10" t="s">
        <v>171</v>
      </c>
      <c r="E2465" s="11" t="str">
        <f>+HYPERLINK("http://trademark.i-assist.jp/data/china/image_1900th/78944072.pdf", "78944072")</f>
        <v>78944072</v>
      </c>
      <c r="F2465" s="10" t="s">
        <v>6934</v>
      </c>
      <c r="G2465" s="10" t="s">
        <v>6935</v>
      </c>
      <c r="H2465" s="10" t="s">
        <v>6936</v>
      </c>
      <c r="I2465" s="10" t="s">
        <v>6485</v>
      </c>
    </row>
    <row r="2466" spans="1:9" x14ac:dyDescent="0.15">
      <c r="A2466" s="9">
        <v>2465</v>
      </c>
      <c r="B2466" s="10" t="s">
        <v>9</v>
      </c>
      <c r="C2466" s="10" t="s">
        <v>170</v>
      </c>
      <c r="D2466" s="10" t="s">
        <v>171</v>
      </c>
      <c r="E2466" s="11" t="str">
        <f>+HYPERLINK("http://trademark.i-assist.jp/data/china/image_1900th/78944578.pdf", "78944578")</f>
        <v>78944578</v>
      </c>
      <c r="F2466" s="10" t="s">
        <v>6937</v>
      </c>
      <c r="G2466" s="10" t="s">
        <v>6938</v>
      </c>
      <c r="H2466" s="10" t="s">
        <v>6939</v>
      </c>
      <c r="I2466" s="10" t="s">
        <v>6485</v>
      </c>
    </row>
    <row r="2467" spans="1:9" x14ac:dyDescent="0.15">
      <c r="A2467" s="9">
        <v>2466</v>
      </c>
      <c r="B2467" s="10" t="s">
        <v>9</v>
      </c>
      <c r="C2467" s="10" t="s">
        <v>170</v>
      </c>
      <c r="D2467" s="10" t="s">
        <v>171</v>
      </c>
      <c r="E2467" s="11" t="str">
        <f>+HYPERLINK("http://trademark.i-assist.jp/data/china/image_1900th/78944844.pdf", "78944844")</f>
        <v>78944844</v>
      </c>
      <c r="F2467" s="10" t="s">
        <v>6940</v>
      </c>
      <c r="G2467" s="10" t="s">
        <v>6941</v>
      </c>
      <c r="H2467" s="10" t="s">
        <v>6942</v>
      </c>
      <c r="I2467" s="10" t="s">
        <v>6485</v>
      </c>
    </row>
    <row r="2468" spans="1:9" x14ac:dyDescent="0.15">
      <c r="A2468" s="9">
        <v>2467</v>
      </c>
      <c r="B2468" s="10" t="s">
        <v>9</v>
      </c>
      <c r="C2468" s="10" t="s">
        <v>170</v>
      </c>
      <c r="D2468" s="10" t="s">
        <v>171</v>
      </c>
      <c r="E2468" s="11" t="str">
        <f>+HYPERLINK("http://trademark.i-assist.jp/data/china/image_1900th/78944856.pdf", "78944856")</f>
        <v>78944856</v>
      </c>
      <c r="F2468" s="10" t="s">
        <v>6943</v>
      </c>
      <c r="G2468" s="10" t="s">
        <v>6493</v>
      </c>
      <c r="H2468" s="10" t="s">
        <v>6944</v>
      </c>
      <c r="I2468" s="10" t="s">
        <v>6485</v>
      </c>
    </row>
    <row r="2469" spans="1:9" x14ac:dyDescent="0.15">
      <c r="A2469" s="9">
        <v>2468</v>
      </c>
      <c r="B2469" s="10" t="s">
        <v>9</v>
      </c>
      <c r="C2469" s="10" t="s">
        <v>170</v>
      </c>
      <c r="D2469" s="10" t="s">
        <v>171</v>
      </c>
      <c r="E2469" s="11" t="str">
        <f>+HYPERLINK("http://trademark.i-assist.jp/data/china/image_1900th/78944951.pdf", "78944951")</f>
        <v>78944951</v>
      </c>
      <c r="F2469" s="10" t="s">
        <v>6945</v>
      </c>
      <c r="G2469" s="10" t="s">
        <v>164</v>
      </c>
      <c r="H2469" s="10" t="s">
        <v>6946</v>
      </c>
      <c r="I2469" s="10" t="s">
        <v>6485</v>
      </c>
    </row>
    <row r="2470" spans="1:9" x14ac:dyDescent="0.15">
      <c r="A2470" s="9">
        <v>2469</v>
      </c>
      <c r="B2470" s="10" t="s">
        <v>9</v>
      </c>
      <c r="C2470" s="10" t="s">
        <v>170</v>
      </c>
      <c r="D2470" s="10" t="s">
        <v>171</v>
      </c>
      <c r="E2470" s="11" t="str">
        <f>+HYPERLINK("http://trademark.i-assist.jp/data/china/image_1900th/78945050.pdf", "78945050")</f>
        <v>78945050</v>
      </c>
      <c r="F2470" s="10" t="s">
        <v>6947</v>
      </c>
      <c r="G2470" s="10" t="s">
        <v>6747</v>
      </c>
      <c r="H2470" s="10" t="s">
        <v>6948</v>
      </c>
      <c r="I2470" s="10" t="s">
        <v>6485</v>
      </c>
    </row>
    <row r="2471" spans="1:9" x14ac:dyDescent="0.15">
      <c r="A2471" s="9">
        <v>2470</v>
      </c>
      <c r="B2471" s="10" t="s">
        <v>9</v>
      </c>
      <c r="C2471" s="10" t="s">
        <v>170</v>
      </c>
      <c r="D2471" s="10" t="s">
        <v>171</v>
      </c>
      <c r="E2471" s="11" t="str">
        <f>+HYPERLINK("http://trademark.i-assist.jp/data/china/image_1900th/78945118.pdf", "78945118")</f>
        <v>78945118</v>
      </c>
      <c r="F2471" s="10" t="s">
        <v>6949</v>
      </c>
      <c r="G2471" s="10" t="s">
        <v>6901</v>
      </c>
      <c r="H2471" s="10" t="s">
        <v>6950</v>
      </c>
      <c r="I2471" s="10" t="s">
        <v>6485</v>
      </c>
    </row>
    <row r="2472" spans="1:9" x14ac:dyDescent="0.15">
      <c r="A2472" s="9">
        <v>2471</v>
      </c>
      <c r="B2472" s="10" t="s">
        <v>9</v>
      </c>
      <c r="C2472" s="10" t="s">
        <v>170</v>
      </c>
      <c r="D2472" s="10" t="s">
        <v>171</v>
      </c>
      <c r="E2472" s="11" t="str">
        <f>+HYPERLINK("http://trademark.i-assist.jp/data/china/image_1900th/78945315.pdf", "78945315")</f>
        <v>78945315</v>
      </c>
      <c r="F2472" s="10" t="s">
        <v>6951</v>
      </c>
      <c r="G2472" s="10" t="s">
        <v>6521</v>
      </c>
      <c r="H2472" s="10" t="s">
        <v>6952</v>
      </c>
      <c r="I2472" s="10" t="s">
        <v>6485</v>
      </c>
    </row>
    <row r="2473" spans="1:9" x14ac:dyDescent="0.15">
      <c r="A2473" s="9">
        <v>2472</v>
      </c>
      <c r="B2473" s="10" t="s">
        <v>9</v>
      </c>
      <c r="C2473" s="10" t="s">
        <v>170</v>
      </c>
      <c r="D2473" s="10" t="s">
        <v>171</v>
      </c>
      <c r="E2473" s="11" t="str">
        <f>+HYPERLINK("http://trademark.i-assist.jp/data/china/image_1900th/78945699.pdf", "78945699")</f>
        <v>78945699</v>
      </c>
      <c r="F2473" s="10" t="s">
        <v>15</v>
      </c>
      <c r="G2473" s="10" t="s">
        <v>6953</v>
      </c>
      <c r="H2473" s="10" t="s">
        <v>6954</v>
      </c>
      <c r="I2473" s="10" t="s">
        <v>6485</v>
      </c>
    </row>
    <row r="2474" spans="1:9" x14ac:dyDescent="0.15">
      <c r="A2474" s="9">
        <v>2473</v>
      </c>
      <c r="B2474" s="10" t="s">
        <v>9</v>
      </c>
      <c r="C2474" s="10" t="s">
        <v>170</v>
      </c>
      <c r="D2474" s="10" t="s">
        <v>171</v>
      </c>
      <c r="E2474" s="11" t="str">
        <f>+HYPERLINK("http://trademark.i-assist.jp/data/china/image_1900th/78945708.pdf", "78945708")</f>
        <v>78945708</v>
      </c>
      <c r="F2474" s="10" t="s">
        <v>6955</v>
      </c>
      <c r="G2474" s="10" t="s">
        <v>6556</v>
      </c>
      <c r="H2474" s="10" t="s">
        <v>6956</v>
      </c>
      <c r="I2474" s="10" t="s">
        <v>6485</v>
      </c>
    </row>
    <row r="2475" spans="1:9" x14ac:dyDescent="0.15">
      <c r="A2475" s="9">
        <v>2474</v>
      </c>
      <c r="B2475" s="10" t="s">
        <v>9</v>
      </c>
      <c r="C2475" s="10" t="s">
        <v>170</v>
      </c>
      <c r="D2475" s="10" t="s">
        <v>171</v>
      </c>
      <c r="E2475" s="11" t="str">
        <f>+HYPERLINK("http://trademark.i-assist.jp/data/china/image_1900th/78945719.pdf", "78945719")</f>
        <v>78945719</v>
      </c>
      <c r="F2475" s="10" t="s">
        <v>6957</v>
      </c>
      <c r="G2475" s="10" t="s">
        <v>6958</v>
      </c>
      <c r="H2475" s="10" t="s">
        <v>6959</v>
      </c>
      <c r="I2475" s="10" t="s">
        <v>6485</v>
      </c>
    </row>
    <row r="2476" spans="1:9" x14ac:dyDescent="0.15">
      <c r="A2476" s="9">
        <v>2475</v>
      </c>
      <c r="B2476" s="10" t="s">
        <v>9</v>
      </c>
      <c r="C2476" s="10" t="s">
        <v>170</v>
      </c>
      <c r="D2476" s="10" t="s">
        <v>171</v>
      </c>
      <c r="E2476" s="11" t="str">
        <f>+HYPERLINK("http://trademark.i-assist.jp/data/china/image_1900th/78945722.pdf", "78945722")</f>
        <v>78945722</v>
      </c>
      <c r="F2476" s="10" t="s">
        <v>6960</v>
      </c>
      <c r="G2476" s="10" t="s">
        <v>6556</v>
      </c>
      <c r="H2476" s="10" t="s">
        <v>6961</v>
      </c>
      <c r="I2476" s="10" t="s">
        <v>6485</v>
      </c>
    </row>
    <row r="2477" spans="1:9" x14ac:dyDescent="0.15">
      <c r="A2477" s="9">
        <v>2476</v>
      </c>
      <c r="B2477" s="10" t="s">
        <v>9</v>
      </c>
      <c r="C2477" s="10" t="s">
        <v>170</v>
      </c>
      <c r="D2477" s="10" t="s">
        <v>171</v>
      </c>
      <c r="E2477" s="11" t="str">
        <f>+HYPERLINK("http://trademark.i-assist.jp/data/china/image_1900th/78945801.pdf", "78945801")</f>
        <v>78945801</v>
      </c>
      <c r="F2477" s="10" t="s">
        <v>6962</v>
      </c>
      <c r="G2477" s="10" t="s">
        <v>6747</v>
      </c>
      <c r="H2477" s="10" t="s">
        <v>6963</v>
      </c>
      <c r="I2477" s="10" t="s">
        <v>6485</v>
      </c>
    </row>
    <row r="2478" spans="1:9" x14ac:dyDescent="0.15">
      <c r="A2478" s="9">
        <v>2477</v>
      </c>
      <c r="B2478" s="10" t="s">
        <v>9</v>
      </c>
      <c r="C2478" s="10" t="s">
        <v>170</v>
      </c>
      <c r="D2478" s="10" t="s">
        <v>171</v>
      </c>
      <c r="E2478" s="11" t="str">
        <f>+HYPERLINK("http://trademark.i-assist.jp/data/china/image_1900th/78945882.pdf", "78945882")</f>
        <v>78945882</v>
      </c>
      <c r="F2478" s="10" t="s">
        <v>6964</v>
      </c>
      <c r="G2478" s="10" t="s">
        <v>6667</v>
      </c>
      <c r="H2478" s="10" t="s">
        <v>6965</v>
      </c>
      <c r="I2478" s="10" t="s">
        <v>6485</v>
      </c>
    </row>
    <row r="2479" spans="1:9" x14ac:dyDescent="0.15">
      <c r="A2479" s="9">
        <v>2478</v>
      </c>
      <c r="B2479" s="10" t="s">
        <v>9</v>
      </c>
      <c r="C2479" s="10" t="s">
        <v>170</v>
      </c>
      <c r="D2479" s="10" t="s">
        <v>171</v>
      </c>
      <c r="E2479" s="11" t="str">
        <f>+HYPERLINK("http://trademark.i-assist.jp/data/china/image_1900th/78946211.pdf", "78946211")</f>
        <v>78946211</v>
      </c>
      <c r="F2479" s="10" t="s">
        <v>6966</v>
      </c>
      <c r="G2479" s="10" t="s">
        <v>6544</v>
      </c>
      <c r="H2479" s="10" t="s">
        <v>6967</v>
      </c>
      <c r="I2479" s="10" t="s">
        <v>6485</v>
      </c>
    </row>
    <row r="2480" spans="1:9" x14ac:dyDescent="0.15">
      <c r="A2480" s="9">
        <v>2479</v>
      </c>
      <c r="B2480" s="10" t="s">
        <v>9</v>
      </c>
      <c r="C2480" s="10" t="s">
        <v>170</v>
      </c>
      <c r="D2480" s="10" t="s">
        <v>171</v>
      </c>
      <c r="E2480" s="11" t="str">
        <f>+HYPERLINK("http://trademark.i-assist.jp/data/china/image_1900th/78946415.pdf", "78946415")</f>
        <v>78946415</v>
      </c>
      <c r="F2480" s="10" t="s">
        <v>6968</v>
      </c>
      <c r="G2480" s="10" t="s">
        <v>6843</v>
      </c>
      <c r="H2480" s="10" t="s">
        <v>6969</v>
      </c>
      <c r="I2480" s="10" t="s">
        <v>6485</v>
      </c>
    </row>
    <row r="2481" spans="1:9" x14ac:dyDescent="0.15">
      <c r="A2481" s="9">
        <v>2480</v>
      </c>
      <c r="B2481" s="10" t="s">
        <v>9</v>
      </c>
      <c r="C2481" s="10" t="s">
        <v>170</v>
      </c>
      <c r="D2481" s="10" t="s">
        <v>171</v>
      </c>
      <c r="E2481" s="11" t="str">
        <f>+HYPERLINK("http://trademark.i-assist.jp/data/china/image_1900th/78946690.pdf", "78946690")</f>
        <v>78946690</v>
      </c>
      <c r="F2481" s="10" t="s">
        <v>6970</v>
      </c>
      <c r="G2481" s="10" t="s">
        <v>6971</v>
      </c>
      <c r="H2481" s="10" t="s">
        <v>6972</v>
      </c>
      <c r="I2481" s="10" t="s">
        <v>6485</v>
      </c>
    </row>
    <row r="2482" spans="1:9" x14ac:dyDescent="0.15">
      <c r="A2482" s="9">
        <v>2481</v>
      </c>
      <c r="B2482" s="10" t="s">
        <v>9</v>
      </c>
      <c r="C2482" s="10" t="s">
        <v>170</v>
      </c>
      <c r="D2482" s="10" t="s">
        <v>171</v>
      </c>
      <c r="E2482" s="11" t="str">
        <f>+HYPERLINK("http://trademark.i-assist.jp/data/china/image_1900th/78946742.pdf", "78946742")</f>
        <v>78946742</v>
      </c>
      <c r="F2482" s="10" t="s">
        <v>6973</v>
      </c>
      <c r="G2482" s="10" t="s">
        <v>6974</v>
      </c>
      <c r="H2482" s="10" t="s">
        <v>6975</v>
      </c>
      <c r="I2482" s="10" t="s">
        <v>6485</v>
      </c>
    </row>
    <row r="2483" spans="1:9" x14ac:dyDescent="0.15">
      <c r="A2483" s="9">
        <v>2482</v>
      </c>
      <c r="B2483" s="10" t="s">
        <v>9</v>
      </c>
      <c r="C2483" s="10" t="s">
        <v>170</v>
      </c>
      <c r="D2483" s="10" t="s">
        <v>171</v>
      </c>
      <c r="E2483" s="11" t="str">
        <f>+HYPERLINK("http://trademark.i-assist.jp/data/china/image_1900th/78946876.pdf", "78946876")</f>
        <v>78946876</v>
      </c>
      <c r="F2483" s="10" t="s">
        <v>6976</v>
      </c>
      <c r="G2483" s="10" t="s">
        <v>6977</v>
      </c>
      <c r="H2483" s="10" t="s">
        <v>6978</v>
      </c>
      <c r="I2483" s="10" t="s">
        <v>6485</v>
      </c>
    </row>
    <row r="2484" spans="1:9" x14ac:dyDescent="0.15">
      <c r="A2484" s="9">
        <v>2483</v>
      </c>
      <c r="B2484" s="10" t="s">
        <v>9</v>
      </c>
      <c r="C2484" s="10" t="s">
        <v>170</v>
      </c>
      <c r="D2484" s="10" t="s">
        <v>171</v>
      </c>
      <c r="E2484" s="11" t="str">
        <f>+HYPERLINK("http://trademark.i-assist.jp/data/china/image_1900th/78946902.pdf", "78946902")</f>
        <v>78946902</v>
      </c>
      <c r="F2484" s="10" t="s">
        <v>6979</v>
      </c>
      <c r="G2484" s="10" t="s">
        <v>150</v>
      </c>
      <c r="H2484" s="10" t="s">
        <v>6980</v>
      </c>
      <c r="I2484" s="10" t="s">
        <v>6485</v>
      </c>
    </row>
    <row r="2485" spans="1:9" x14ac:dyDescent="0.15">
      <c r="A2485" s="9">
        <v>2484</v>
      </c>
      <c r="B2485" s="10" t="s">
        <v>9</v>
      </c>
      <c r="C2485" s="10" t="s">
        <v>170</v>
      </c>
      <c r="D2485" s="10" t="s">
        <v>171</v>
      </c>
      <c r="E2485" s="11" t="str">
        <f>+HYPERLINK("http://trademark.i-assist.jp/data/china/image_1900th/78946904.pdf", "78946904")</f>
        <v>78946904</v>
      </c>
      <c r="F2485" s="10" t="s">
        <v>6981</v>
      </c>
      <c r="G2485" s="10" t="s">
        <v>6982</v>
      </c>
      <c r="H2485" s="10" t="s">
        <v>6983</v>
      </c>
      <c r="I2485" s="10" t="s">
        <v>6485</v>
      </c>
    </row>
    <row r="2486" spans="1:9" x14ac:dyDescent="0.15">
      <c r="A2486" s="9">
        <v>2485</v>
      </c>
      <c r="B2486" s="10" t="s">
        <v>9</v>
      </c>
      <c r="C2486" s="10" t="s">
        <v>170</v>
      </c>
      <c r="D2486" s="10" t="s">
        <v>171</v>
      </c>
      <c r="E2486" s="11" t="str">
        <f>+HYPERLINK("http://trademark.i-assist.jp/data/china/image_1900th/78947022.pdf", "78947022")</f>
        <v>78947022</v>
      </c>
      <c r="F2486" s="10" t="s">
        <v>6984</v>
      </c>
      <c r="G2486" s="10" t="s">
        <v>6985</v>
      </c>
      <c r="H2486" s="10" t="s">
        <v>6986</v>
      </c>
      <c r="I2486" s="10" t="s">
        <v>6485</v>
      </c>
    </row>
    <row r="2487" spans="1:9" x14ac:dyDescent="0.15">
      <c r="A2487" s="9">
        <v>2486</v>
      </c>
      <c r="B2487" s="10" t="s">
        <v>9</v>
      </c>
      <c r="C2487" s="10" t="s">
        <v>170</v>
      </c>
      <c r="D2487" s="10" t="s">
        <v>171</v>
      </c>
      <c r="E2487" s="11" t="str">
        <f>+HYPERLINK("http://trademark.i-assist.jp/data/china/image_1900th/78947146.pdf", "78947146")</f>
        <v>78947146</v>
      </c>
      <c r="F2487" s="10" t="s">
        <v>6987</v>
      </c>
      <c r="G2487" s="10" t="s">
        <v>6988</v>
      </c>
      <c r="H2487" s="10" t="s">
        <v>6989</v>
      </c>
      <c r="I2487" s="10" t="s">
        <v>6485</v>
      </c>
    </row>
    <row r="2488" spans="1:9" x14ac:dyDescent="0.15">
      <c r="A2488" s="9">
        <v>2487</v>
      </c>
      <c r="B2488" s="10" t="s">
        <v>9</v>
      </c>
      <c r="C2488" s="10" t="s">
        <v>170</v>
      </c>
      <c r="D2488" s="10" t="s">
        <v>171</v>
      </c>
      <c r="E2488" s="11" t="str">
        <f>+HYPERLINK("http://trademark.i-assist.jp/data/china/image_1900th/78947167.pdf", "78947167")</f>
        <v>78947167</v>
      </c>
      <c r="F2488" s="10" t="s">
        <v>6990</v>
      </c>
      <c r="G2488" s="10" t="s">
        <v>6991</v>
      </c>
      <c r="H2488" s="10" t="s">
        <v>6992</v>
      </c>
      <c r="I2488" s="10" t="s">
        <v>6485</v>
      </c>
    </row>
    <row r="2489" spans="1:9" x14ac:dyDescent="0.15">
      <c r="A2489" s="9">
        <v>2488</v>
      </c>
      <c r="B2489" s="10" t="s">
        <v>9</v>
      </c>
      <c r="C2489" s="10" t="s">
        <v>170</v>
      </c>
      <c r="D2489" s="10" t="s">
        <v>171</v>
      </c>
      <c r="E2489" s="11" t="str">
        <f>+HYPERLINK("http://trademark.i-assist.jp/data/china/image_1900th/78947283.pdf", "78947283")</f>
        <v>78947283</v>
      </c>
      <c r="F2489" s="10" t="s">
        <v>6993</v>
      </c>
      <c r="G2489" s="10" t="s">
        <v>6837</v>
      </c>
      <c r="H2489" s="10" t="s">
        <v>6994</v>
      </c>
      <c r="I2489" s="10" t="s">
        <v>6485</v>
      </c>
    </row>
    <row r="2490" spans="1:9" x14ac:dyDescent="0.15">
      <c r="A2490" s="9">
        <v>2489</v>
      </c>
      <c r="B2490" s="10" t="s">
        <v>9</v>
      </c>
      <c r="C2490" s="10" t="s">
        <v>170</v>
      </c>
      <c r="D2490" s="10" t="s">
        <v>171</v>
      </c>
      <c r="E2490" s="11" t="str">
        <f>+HYPERLINK("http://trademark.i-assist.jp/data/china/image_1900th/78947471.pdf", "78947471")</f>
        <v>78947471</v>
      </c>
      <c r="F2490" s="10" t="s">
        <v>6995</v>
      </c>
      <c r="G2490" s="10" t="s">
        <v>6996</v>
      </c>
      <c r="H2490" s="10" t="s">
        <v>6997</v>
      </c>
      <c r="I2490" s="10" t="s">
        <v>6485</v>
      </c>
    </row>
    <row r="2491" spans="1:9" x14ac:dyDescent="0.15">
      <c r="A2491" s="9">
        <v>2490</v>
      </c>
      <c r="B2491" s="10" t="s">
        <v>9</v>
      </c>
      <c r="C2491" s="10" t="s">
        <v>170</v>
      </c>
      <c r="D2491" s="10" t="s">
        <v>171</v>
      </c>
      <c r="E2491" s="11" t="str">
        <f>+HYPERLINK("http://trademark.i-assist.jp/data/china/image_1900th/78948001.pdf", "78948001")</f>
        <v>78948001</v>
      </c>
      <c r="F2491" s="10" t="s">
        <v>6998</v>
      </c>
      <c r="G2491" s="10" t="s">
        <v>6999</v>
      </c>
      <c r="H2491" s="10" t="s">
        <v>7000</v>
      </c>
      <c r="I2491" s="10" t="s">
        <v>6485</v>
      </c>
    </row>
    <row r="2492" spans="1:9" x14ac:dyDescent="0.15">
      <c r="A2492" s="9">
        <v>2491</v>
      </c>
      <c r="B2492" s="10" t="s">
        <v>9</v>
      </c>
      <c r="C2492" s="10" t="s">
        <v>170</v>
      </c>
      <c r="D2492" s="10" t="s">
        <v>171</v>
      </c>
      <c r="E2492" s="11" t="str">
        <f>+HYPERLINK("http://trademark.i-assist.jp/data/china/image_1900th/78948506.pdf", "78948506")</f>
        <v>78948506</v>
      </c>
      <c r="F2492" s="10" t="s">
        <v>7001</v>
      </c>
      <c r="G2492" s="10" t="s">
        <v>7002</v>
      </c>
      <c r="H2492" s="10" t="s">
        <v>7003</v>
      </c>
      <c r="I2492" s="10" t="s">
        <v>7004</v>
      </c>
    </row>
    <row r="2493" spans="1:9" x14ac:dyDescent="0.15">
      <c r="A2493" s="9">
        <v>2492</v>
      </c>
      <c r="B2493" s="10" t="s">
        <v>9</v>
      </c>
      <c r="C2493" s="10" t="s">
        <v>170</v>
      </c>
      <c r="D2493" s="10" t="s">
        <v>171</v>
      </c>
      <c r="E2493" s="11" t="str">
        <f>+HYPERLINK("http://trademark.i-assist.jp/data/china/image_1900th/78948988.pdf", "78948988")</f>
        <v>78948988</v>
      </c>
      <c r="F2493" s="10" t="s">
        <v>7005</v>
      </c>
      <c r="G2493" s="10" t="s">
        <v>7006</v>
      </c>
      <c r="H2493" s="10" t="s">
        <v>7007</v>
      </c>
      <c r="I2493" s="10" t="s">
        <v>7004</v>
      </c>
    </row>
    <row r="2494" spans="1:9" x14ac:dyDescent="0.15">
      <c r="A2494" s="9">
        <v>2493</v>
      </c>
      <c r="B2494" s="10" t="s">
        <v>9</v>
      </c>
      <c r="C2494" s="10" t="s">
        <v>170</v>
      </c>
      <c r="D2494" s="10" t="s">
        <v>171</v>
      </c>
      <c r="E2494" s="11" t="str">
        <f>+HYPERLINK("http://trademark.i-assist.jp/data/china/image_1900th/78949119.pdf", "78949119")</f>
        <v>78949119</v>
      </c>
      <c r="F2494" s="10" t="s">
        <v>7008</v>
      </c>
      <c r="G2494" s="10" t="s">
        <v>7009</v>
      </c>
      <c r="H2494" s="10" t="s">
        <v>7010</v>
      </c>
      <c r="I2494" s="10" t="s">
        <v>7004</v>
      </c>
    </row>
    <row r="2495" spans="1:9" x14ac:dyDescent="0.15">
      <c r="A2495" s="9">
        <v>2494</v>
      </c>
      <c r="B2495" s="10" t="s">
        <v>9</v>
      </c>
      <c r="C2495" s="10" t="s">
        <v>170</v>
      </c>
      <c r="D2495" s="10" t="s">
        <v>171</v>
      </c>
      <c r="E2495" s="11" t="str">
        <f>+HYPERLINK("http://trademark.i-assist.jp/data/china/image_1900th/78949368.pdf", "78949368")</f>
        <v>78949368</v>
      </c>
      <c r="F2495" s="10" t="s">
        <v>7011</v>
      </c>
      <c r="G2495" s="10" t="s">
        <v>1385</v>
      </c>
      <c r="H2495" s="10" t="s">
        <v>7012</v>
      </c>
      <c r="I2495" s="10" t="s">
        <v>7004</v>
      </c>
    </row>
    <row r="2496" spans="1:9" x14ac:dyDescent="0.15">
      <c r="A2496" s="9">
        <v>2495</v>
      </c>
      <c r="B2496" s="10" t="s">
        <v>9</v>
      </c>
      <c r="C2496" s="10" t="s">
        <v>170</v>
      </c>
      <c r="D2496" s="10" t="s">
        <v>171</v>
      </c>
      <c r="E2496" s="11" t="str">
        <f>+HYPERLINK("http://trademark.i-assist.jp/data/china/image_1900th/78949595.pdf", "78949595")</f>
        <v>78949595</v>
      </c>
      <c r="F2496" s="10" t="s">
        <v>7013</v>
      </c>
      <c r="G2496" s="10" t="s">
        <v>7014</v>
      </c>
      <c r="H2496" s="10" t="s">
        <v>7015</v>
      </c>
      <c r="I2496" s="10" t="s">
        <v>7004</v>
      </c>
    </row>
    <row r="2497" spans="1:9" x14ac:dyDescent="0.15">
      <c r="A2497" s="9">
        <v>2496</v>
      </c>
      <c r="B2497" s="10" t="s">
        <v>9</v>
      </c>
      <c r="C2497" s="10" t="s">
        <v>170</v>
      </c>
      <c r="D2497" s="10" t="s">
        <v>171</v>
      </c>
      <c r="E2497" s="11" t="str">
        <f>+HYPERLINK("http://trademark.i-assist.jp/data/china/image_1900th/78949752.pdf", "78949752")</f>
        <v>78949752</v>
      </c>
      <c r="F2497" s="10" t="s">
        <v>7016</v>
      </c>
      <c r="G2497" s="10" t="s">
        <v>7017</v>
      </c>
      <c r="H2497" s="10" t="s">
        <v>7018</v>
      </c>
      <c r="I2497" s="10" t="s">
        <v>7004</v>
      </c>
    </row>
    <row r="2498" spans="1:9" x14ac:dyDescent="0.15">
      <c r="A2498" s="9">
        <v>2497</v>
      </c>
      <c r="B2498" s="10" t="s">
        <v>9</v>
      </c>
      <c r="C2498" s="10" t="s">
        <v>170</v>
      </c>
      <c r="D2498" s="10" t="s">
        <v>171</v>
      </c>
      <c r="E2498" s="11" t="str">
        <f>+HYPERLINK("http://trademark.i-assist.jp/data/china/image_1900th/78949807.pdf", "78949807")</f>
        <v>78949807</v>
      </c>
      <c r="F2498" s="10" t="s">
        <v>7019</v>
      </c>
      <c r="G2498" s="10" t="s">
        <v>7020</v>
      </c>
      <c r="H2498" s="10" t="s">
        <v>7021</v>
      </c>
      <c r="I2498" s="10" t="s">
        <v>7004</v>
      </c>
    </row>
    <row r="2499" spans="1:9" x14ac:dyDescent="0.15">
      <c r="A2499" s="9">
        <v>2498</v>
      </c>
      <c r="B2499" s="10" t="s">
        <v>9</v>
      </c>
      <c r="C2499" s="10" t="s">
        <v>170</v>
      </c>
      <c r="D2499" s="10" t="s">
        <v>171</v>
      </c>
      <c r="E2499" s="11" t="str">
        <f>+HYPERLINK("http://trademark.i-assist.jp/data/china/image_1900th/78949909.pdf", "78949909")</f>
        <v>78949909</v>
      </c>
      <c r="F2499" s="10" t="s">
        <v>7022</v>
      </c>
      <c r="G2499" s="10" t="s">
        <v>7023</v>
      </c>
      <c r="H2499" s="10" t="s">
        <v>7024</v>
      </c>
      <c r="I2499" s="10" t="s">
        <v>7004</v>
      </c>
    </row>
    <row r="2500" spans="1:9" x14ac:dyDescent="0.15">
      <c r="A2500" s="9">
        <v>2499</v>
      </c>
      <c r="B2500" s="10" t="s">
        <v>9</v>
      </c>
      <c r="C2500" s="10" t="s">
        <v>170</v>
      </c>
      <c r="D2500" s="10" t="s">
        <v>171</v>
      </c>
      <c r="E2500" s="11" t="str">
        <f>+HYPERLINK("http://trademark.i-assist.jp/data/china/image_1900th/78950029.pdf", "78950029")</f>
        <v>78950029</v>
      </c>
      <c r="F2500" s="10" t="s">
        <v>7025</v>
      </c>
      <c r="G2500" s="10" t="s">
        <v>7026</v>
      </c>
      <c r="H2500" s="10" t="s">
        <v>7027</v>
      </c>
      <c r="I2500" s="10" t="s">
        <v>7004</v>
      </c>
    </row>
    <row r="2501" spans="1:9" x14ac:dyDescent="0.15">
      <c r="A2501" s="9">
        <v>2500</v>
      </c>
      <c r="B2501" s="10" t="s">
        <v>9</v>
      </c>
      <c r="C2501" s="10" t="s">
        <v>170</v>
      </c>
      <c r="D2501" s="10" t="s">
        <v>171</v>
      </c>
      <c r="E2501" s="11" t="str">
        <f>+HYPERLINK("http://trademark.i-assist.jp/data/china/image_1900th/78950230.pdf", "78950230")</f>
        <v>78950230</v>
      </c>
      <c r="F2501" s="10" t="s">
        <v>7028</v>
      </c>
      <c r="G2501" s="10" t="s">
        <v>7029</v>
      </c>
      <c r="H2501" s="10" t="s">
        <v>7030</v>
      </c>
      <c r="I2501" s="10" t="s">
        <v>7004</v>
      </c>
    </row>
    <row r="2502" spans="1:9" x14ac:dyDescent="0.15">
      <c r="A2502" s="9">
        <v>2501</v>
      </c>
      <c r="B2502" s="10" t="s">
        <v>9</v>
      </c>
      <c r="C2502" s="10" t="s">
        <v>170</v>
      </c>
      <c r="D2502" s="10" t="s">
        <v>171</v>
      </c>
      <c r="E2502" s="11" t="str">
        <f>+HYPERLINK("http://trademark.i-assist.jp/data/china/image_1900th/78950251.pdf", "78950251")</f>
        <v>78950251</v>
      </c>
      <c r="F2502" s="10" t="s">
        <v>7031</v>
      </c>
      <c r="G2502" s="10" t="s">
        <v>7032</v>
      </c>
      <c r="H2502" s="10" t="s">
        <v>7033</v>
      </c>
      <c r="I2502" s="10" t="s">
        <v>7004</v>
      </c>
    </row>
    <row r="2503" spans="1:9" x14ac:dyDescent="0.15">
      <c r="A2503" s="9">
        <v>2502</v>
      </c>
      <c r="B2503" s="10" t="s">
        <v>9</v>
      </c>
      <c r="C2503" s="10" t="s">
        <v>170</v>
      </c>
      <c r="D2503" s="10" t="s">
        <v>171</v>
      </c>
      <c r="E2503" s="11" t="str">
        <f>+HYPERLINK("http://trademark.i-assist.jp/data/china/image_1900th/78950345.pdf", "78950345")</f>
        <v>78950345</v>
      </c>
      <c r="F2503" s="10" t="s">
        <v>7034</v>
      </c>
      <c r="G2503" s="10" t="s">
        <v>139</v>
      </c>
      <c r="H2503" s="10" t="s">
        <v>7035</v>
      </c>
      <c r="I2503" s="10" t="s">
        <v>7004</v>
      </c>
    </row>
    <row r="2504" spans="1:9" x14ac:dyDescent="0.15">
      <c r="A2504" s="9">
        <v>2503</v>
      </c>
      <c r="B2504" s="10" t="s">
        <v>9</v>
      </c>
      <c r="C2504" s="10" t="s">
        <v>170</v>
      </c>
      <c r="D2504" s="10" t="s">
        <v>171</v>
      </c>
      <c r="E2504" s="11" t="str">
        <f>+HYPERLINK("http://trademark.i-assist.jp/data/china/image_1900th/78950492.pdf", "78950492")</f>
        <v>78950492</v>
      </c>
      <c r="F2504" s="10" t="s">
        <v>15</v>
      </c>
      <c r="G2504" s="10" t="s">
        <v>7036</v>
      </c>
      <c r="H2504" s="10" t="s">
        <v>7037</v>
      </c>
      <c r="I2504" s="10" t="s">
        <v>7004</v>
      </c>
    </row>
    <row r="2505" spans="1:9" x14ac:dyDescent="0.15">
      <c r="A2505" s="9">
        <v>2504</v>
      </c>
      <c r="B2505" s="10" t="s">
        <v>9</v>
      </c>
      <c r="C2505" s="10" t="s">
        <v>170</v>
      </c>
      <c r="D2505" s="10" t="s">
        <v>171</v>
      </c>
      <c r="E2505" s="11" t="str">
        <f>+HYPERLINK("http://trademark.i-assist.jp/data/china/image_1900th/78950704.pdf", "78950704")</f>
        <v>78950704</v>
      </c>
      <c r="F2505" s="10" t="s">
        <v>7038</v>
      </c>
      <c r="G2505" s="10" t="s">
        <v>156</v>
      </c>
      <c r="H2505" s="10" t="s">
        <v>7039</v>
      </c>
      <c r="I2505" s="10" t="s">
        <v>7004</v>
      </c>
    </row>
    <row r="2506" spans="1:9" x14ac:dyDescent="0.15">
      <c r="A2506" s="9">
        <v>2505</v>
      </c>
      <c r="B2506" s="10" t="s">
        <v>9</v>
      </c>
      <c r="C2506" s="10" t="s">
        <v>170</v>
      </c>
      <c r="D2506" s="10" t="s">
        <v>171</v>
      </c>
      <c r="E2506" s="11" t="str">
        <f>+HYPERLINK("http://trademark.i-assist.jp/data/china/image_1900th/78950807.pdf", "78950807")</f>
        <v>78950807</v>
      </c>
      <c r="F2506" s="10" t="s">
        <v>7040</v>
      </c>
      <c r="G2506" s="10" t="s">
        <v>7041</v>
      </c>
      <c r="H2506" s="10" t="s">
        <v>7042</v>
      </c>
      <c r="I2506" s="10" t="s">
        <v>7004</v>
      </c>
    </row>
    <row r="2507" spans="1:9" x14ac:dyDescent="0.15">
      <c r="A2507" s="9">
        <v>2506</v>
      </c>
      <c r="B2507" s="10" t="s">
        <v>9</v>
      </c>
      <c r="C2507" s="10" t="s">
        <v>170</v>
      </c>
      <c r="D2507" s="10" t="s">
        <v>171</v>
      </c>
      <c r="E2507" s="11" t="str">
        <f>+HYPERLINK("http://trademark.i-assist.jp/data/china/image_1900th/78950956.pdf", "78950956")</f>
        <v>78950956</v>
      </c>
      <c r="F2507" s="10" t="s">
        <v>7043</v>
      </c>
      <c r="G2507" s="10" t="s">
        <v>7044</v>
      </c>
      <c r="H2507" s="10" t="s">
        <v>7045</v>
      </c>
      <c r="I2507" s="10" t="s">
        <v>7004</v>
      </c>
    </row>
    <row r="2508" spans="1:9" x14ac:dyDescent="0.15">
      <c r="A2508" s="9">
        <v>2507</v>
      </c>
      <c r="B2508" s="10" t="s">
        <v>9</v>
      </c>
      <c r="C2508" s="10" t="s">
        <v>170</v>
      </c>
      <c r="D2508" s="10" t="s">
        <v>171</v>
      </c>
      <c r="E2508" s="11" t="str">
        <f>+HYPERLINK("http://trademark.i-assist.jp/data/china/image_1900th/78951153.pdf", "78951153")</f>
        <v>78951153</v>
      </c>
      <c r="F2508" s="10" t="s">
        <v>7046</v>
      </c>
      <c r="G2508" s="10" t="s">
        <v>7047</v>
      </c>
      <c r="H2508" s="10" t="s">
        <v>7048</v>
      </c>
      <c r="I2508" s="10" t="s">
        <v>7004</v>
      </c>
    </row>
    <row r="2509" spans="1:9" x14ac:dyDescent="0.15">
      <c r="A2509" s="9">
        <v>2508</v>
      </c>
      <c r="B2509" s="10" t="s">
        <v>9</v>
      </c>
      <c r="C2509" s="10" t="s">
        <v>170</v>
      </c>
      <c r="D2509" s="10" t="s">
        <v>171</v>
      </c>
      <c r="E2509" s="11" t="str">
        <f>+HYPERLINK("http://trademark.i-assist.jp/data/china/image_1900th/78951591.pdf", "78951591")</f>
        <v>78951591</v>
      </c>
      <c r="F2509" s="10" t="s">
        <v>7049</v>
      </c>
      <c r="G2509" s="10" t="s">
        <v>7050</v>
      </c>
      <c r="H2509" s="10" t="s">
        <v>7051</v>
      </c>
      <c r="I2509" s="10" t="s">
        <v>7004</v>
      </c>
    </row>
    <row r="2510" spans="1:9" x14ac:dyDescent="0.15">
      <c r="A2510" s="9">
        <v>2509</v>
      </c>
      <c r="B2510" s="10" t="s">
        <v>9</v>
      </c>
      <c r="C2510" s="10" t="s">
        <v>170</v>
      </c>
      <c r="D2510" s="10" t="s">
        <v>171</v>
      </c>
      <c r="E2510" s="11" t="str">
        <f>+HYPERLINK("http://trademark.i-assist.jp/data/china/image_1900th/78951628.pdf", "78951628")</f>
        <v>78951628</v>
      </c>
      <c r="F2510" s="10" t="s">
        <v>7052</v>
      </c>
      <c r="G2510" s="10" t="s">
        <v>7053</v>
      </c>
      <c r="H2510" s="10" t="s">
        <v>7054</v>
      </c>
      <c r="I2510" s="10" t="s">
        <v>7004</v>
      </c>
    </row>
    <row r="2511" spans="1:9" x14ac:dyDescent="0.15">
      <c r="A2511" s="9">
        <v>2510</v>
      </c>
      <c r="B2511" s="10" t="s">
        <v>9</v>
      </c>
      <c r="C2511" s="10" t="s">
        <v>170</v>
      </c>
      <c r="D2511" s="10" t="s">
        <v>171</v>
      </c>
      <c r="E2511" s="11" t="str">
        <f>+HYPERLINK("http://trademark.i-assist.jp/data/china/image_1900th/78951696.pdf", "78951696")</f>
        <v>78951696</v>
      </c>
      <c r="F2511" s="10" t="s">
        <v>7055</v>
      </c>
      <c r="G2511" s="10" t="s">
        <v>7056</v>
      </c>
      <c r="H2511" s="10" t="s">
        <v>7057</v>
      </c>
      <c r="I2511" s="10" t="s">
        <v>7004</v>
      </c>
    </row>
    <row r="2512" spans="1:9" x14ac:dyDescent="0.15">
      <c r="A2512" s="9">
        <v>2511</v>
      </c>
      <c r="B2512" s="10" t="s">
        <v>9</v>
      </c>
      <c r="C2512" s="10" t="s">
        <v>170</v>
      </c>
      <c r="D2512" s="10" t="s">
        <v>171</v>
      </c>
      <c r="E2512" s="11" t="str">
        <f>+HYPERLINK("http://trademark.i-assist.jp/data/china/image_1900th/78951810.pdf", "78951810")</f>
        <v>78951810</v>
      </c>
      <c r="F2512" s="10" t="s">
        <v>7058</v>
      </c>
      <c r="G2512" s="10" t="s">
        <v>7032</v>
      </c>
      <c r="H2512" s="10" t="s">
        <v>7059</v>
      </c>
      <c r="I2512" s="10" t="s">
        <v>7004</v>
      </c>
    </row>
    <row r="2513" spans="1:9" x14ac:dyDescent="0.15">
      <c r="A2513" s="9">
        <v>2512</v>
      </c>
      <c r="B2513" s="10" t="s">
        <v>9</v>
      </c>
      <c r="C2513" s="10" t="s">
        <v>170</v>
      </c>
      <c r="D2513" s="10" t="s">
        <v>171</v>
      </c>
      <c r="E2513" s="11" t="str">
        <f>+HYPERLINK("http://trademark.i-assist.jp/data/china/image_1900th/78952268.pdf", "78952268")</f>
        <v>78952268</v>
      </c>
      <c r="F2513" s="10" t="s">
        <v>7060</v>
      </c>
      <c r="G2513" s="10" t="s">
        <v>7061</v>
      </c>
      <c r="H2513" s="10" t="s">
        <v>7062</v>
      </c>
      <c r="I2513" s="10" t="s">
        <v>7004</v>
      </c>
    </row>
    <row r="2514" spans="1:9" x14ac:dyDescent="0.15">
      <c r="A2514" s="9">
        <v>2513</v>
      </c>
      <c r="B2514" s="10" t="s">
        <v>9</v>
      </c>
      <c r="C2514" s="10" t="s">
        <v>170</v>
      </c>
      <c r="D2514" s="10" t="s">
        <v>171</v>
      </c>
      <c r="E2514" s="11" t="str">
        <f>+HYPERLINK("http://trademark.i-assist.jp/data/china/image_1900th/78952601.pdf", "78952601")</f>
        <v>78952601</v>
      </c>
      <c r="F2514" s="10" t="s">
        <v>7063</v>
      </c>
      <c r="G2514" s="10" t="s">
        <v>7064</v>
      </c>
      <c r="H2514" s="10" t="s">
        <v>7065</v>
      </c>
      <c r="I2514" s="10" t="s">
        <v>7004</v>
      </c>
    </row>
    <row r="2515" spans="1:9" x14ac:dyDescent="0.15">
      <c r="A2515" s="9">
        <v>2514</v>
      </c>
      <c r="B2515" s="10" t="s">
        <v>9</v>
      </c>
      <c r="C2515" s="10" t="s">
        <v>170</v>
      </c>
      <c r="D2515" s="10" t="s">
        <v>171</v>
      </c>
      <c r="E2515" s="11" t="str">
        <f>+HYPERLINK("http://trademark.i-assist.jp/data/china/image_1900th/78952875.pdf", "78952875")</f>
        <v>78952875</v>
      </c>
      <c r="F2515" s="10" t="s">
        <v>7066</v>
      </c>
      <c r="G2515" s="10" t="s">
        <v>7067</v>
      </c>
      <c r="H2515" s="10" t="s">
        <v>7068</v>
      </c>
      <c r="I2515" s="10" t="s">
        <v>7004</v>
      </c>
    </row>
    <row r="2516" spans="1:9" x14ac:dyDescent="0.15">
      <c r="A2516" s="9">
        <v>2515</v>
      </c>
      <c r="B2516" s="10" t="s">
        <v>9</v>
      </c>
      <c r="C2516" s="10" t="s">
        <v>170</v>
      </c>
      <c r="D2516" s="10" t="s">
        <v>171</v>
      </c>
      <c r="E2516" s="11" t="str">
        <f>+HYPERLINK("http://trademark.i-assist.jp/data/china/image_1900th/78953123.pdf", "78953123")</f>
        <v>78953123</v>
      </c>
      <c r="F2516" s="10" t="s">
        <v>7069</v>
      </c>
      <c r="G2516" s="10" t="s">
        <v>52</v>
      </c>
      <c r="H2516" s="10" t="s">
        <v>7070</v>
      </c>
      <c r="I2516" s="10" t="s">
        <v>7004</v>
      </c>
    </row>
    <row r="2517" spans="1:9" x14ac:dyDescent="0.15">
      <c r="A2517" s="9">
        <v>2516</v>
      </c>
      <c r="B2517" s="10" t="s">
        <v>9</v>
      </c>
      <c r="C2517" s="10" t="s">
        <v>170</v>
      </c>
      <c r="D2517" s="10" t="s">
        <v>171</v>
      </c>
      <c r="E2517" s="11" t="str">
        <f>+HYPERLINK("http://trademark.i-assist.jp/data/china/image_1900th/78953322.pdf", "78953322")</f>
        <v>78953322</v>
      </c>
      <c r="F2517" s="10" t="s">
        <v>7071</v>
      </c>
      <c r="G2517" s="10" t="s">
        <v>7072</v>
      </c>
      <c r="H2517" s="10" t="s">
        <v>7073</v>
      </c>
      <c r="I2517" s="10" t="s">
        <v>7004</v>
      </c>
    </row>
    <row r="2518" spans="1:9" x14ac:dyDescent="0.15">
      <c r="A2518" s="9">
        <v>2517</v>
      </c>
      <c r="B2518" s="10" t="s">
        <v>9</v>
      </c>
      <c r="C2518" s="10" t="s">
        <v>170</v>
      </c>
      <c r="D2518" s="10" t="s">
        <v>171</v>
      </c>
      <c r="E2518" s="11" t="str">
        <f>+HYPERLINK("http://trademark.i-assist.jp/data/china/image_1900th/78953513.pdf", "78953513")</f>
        <v>78953513</v>
      </c>
      <c r="F2518" s="10" t="s">
        <v>7074</v>
      </c>
      <c r="G2518" s="10" t="s">
        <v>7075</v>
      </c>
      <c r="H2518" s="10" t="s">
        <v>7076</v>
      </c>
      <c r="I2518" s="10" t="s">
        <v>7004</v>
      </c>
    </row>
    <row r="2519" spans="1:9" x14ac:dyDescent="0.15">
      <c r="A2519" s="9">
        <v>2518</v>
      </c>
      <c r="B2519" s="10" t="s">
        <v>9</v>
      </c>
      <c r="C2519" s="10" t="s">
        <v>170</v>
      </c>
      <c r="D2519" s="10" t="s">
        <v>171</v>
      </c>
      <c r="E2519" s="11" t="str">
        <f>+HYPERLINK("http://trademark.i-assist.jp/data/china/image_1900th/78953905.pdf", "78953905")</f>
        <v>78953905</v>
      </c>
      <c r="F2519" s="10" t="s">
        <v>7077</v>
      </c>
      <c r="G2519" s="10" t="s">
        <v>7061</v>
      </c>
      <c r="H2519" s="10" t="s">
        <v>7078</v>
      </c>
      <c r="I2519" s="10" t="s">
        <v>7004</v>
      </c>
    </row>
    <row r="2520" spans="1:9" x14ac:dyDescent="0.15">
      <c r="A2520" s="9">
        <v>2519</v>
      </c>
      <c r="B2520" s="10" t="s">
        <v>9</v>
      </c>
      <c r="C2520" s="10" t="s">
        <v>170</v>
      </c>
      <c r="D2520" s="10" t="s">
        <v>171</v>
      </c>
      <c r="E2520" s="11" t="str">
        <f>+HYPERLINK("http://trademark.i-assist.jp/data/china/image_1900th/78953932.pdf", "78953932")</f>
        <v>78953932</v>
      </c>
      <c r="F2520" s="10" t="s">
        <v>7079</v>
      </c>
      <c r="G2520" s="10" t="s">
        <v>7080</v>
      </c>
      <c r="H2520" s="10" t="s">
        <v>7081</v>
      </c>
      <c r="I2520" s="10" t="s">
        <v>7004</v>
      </c>
    </row>
    <row r="2521" spans="1:9" x14ac:dyDescent="0.15">
      <c r="A2521" s="9">
        <v>2520</v>
      </c>
      <c r="B2521" s="10" t="s">
        <v>9</v>
      </c>
      <c r="C2521" s="10" t="s">
        <v>170</v>
      </c>
      <c r="D2521" s="10" t="s">
        <v>171</v>
      </c>
      <c r="E2521" s="11" t="str">
        <f>+HYPERLINK("http://trademark.i-assist.jp/data/china/image_1900th/78953955.pdf", "78953955")</f>
        <v>78953955</v>
      </c>
      <c r="F2521" s="10" t="s">
        <v>15</v>
      </c>
      <c r="G2521" s="10" t="s">
        <v>7082</v>
      </c>
      <c r="H2521" s="10" t="s">
        <v>7083</v>
      </c>
      <c r="I2521" s="10" t="s">
        <v>7004</v>
      </c>
    </row>
    <row r="2522" spans="1:9" x14ac:dyDescent="0.15">
      <c r="A2522" s="9">
        <v>2521</v>
      </c>
      <c r="B2522" s="10" t="s">
        <v>9</v>
      </c>
      <c r="C2522" s="10" t="s">
        <v>170</v>
      </c>
      <c r="D2522" s="10" t="s">
        <v>171</v>
      </c>
      <c r="E2522" s="11" t="str">
        <f>+HYPERLINK("http://trademark.i-assist.jp/data/china/image_1900th/78954262.pdf", "78954262")</f>
        <v>78954262</v>
      </c>
      <c r="F2522" s="10" t="s">
        <v>7084</v>
      </c>
      <c r="G2522" s="10" t="s">
        <v>7085</v>
      </c>
      <c r="H2522" s="10" t="s">
        <v>7086</v>
      </c>
      <c r="I2522" s="10" t="s">
        <v>7004</v>
      </c>
    </row>
    <row r="2523" spans="1:9" x14ac:dyDescent="0.15">
      <c r="A2523" s="9">
        <v>2522</v>
      </c>
      <c r="B2523" s="10" t="s">
        <v>9</v>
      </c>
      <c r="C2523" s="10" t="s">
        <v>170</v>
      </c>
      <c r="D2523" s="10" t="s">
        <v>171</v>
      </c>
      <c r="E2523" s="11" t="str">
        <f>+HYPERLINK("http://trademark.i-assist.jp/data/china/image_1900th/78954671.pdf", "78954671")</f>
        <v>78954671</v>
      </c>
      <c r="F2523" s="10" t="s">
        <v>7087</v>
      </c>
      <c r="G2523" s="10" t="s">
        <v>7088</v>
      </c>
      <c r="H2523" s="10" t="s">
        <v>7089</v>
      </c>
      <c r="I2523" s="10" t="s">
        <v>7004</v>
      </c>
    </row>
    <row r="2524" spans="1:9" x14ac:dyDescent="0.15">
      <c r="A2524" s="9">
        <v>2523</v>
      </c>
      <c r="B2524" s="10" t="s">
        <v>9</v>
      </c>
      <c r="C2524" s="10" t="s">
        <v>170</v>
      </c>
      <c r="D2524" s="10" t="s">
        <v>171</v>
      </c>
      <c r="E2524" s="11" t="str">
        <f>+HYPERLINK("http://trademark.i-assist.jp/data/china/image_1900th/78954791.pdf", "78954791")</f>
        <v>78954791</v>
      </c>
      <c r="F2524" s="10" t="s">
        <v>7090</v>
      </c>
      <c r="G2524" s="10" t="s">
        <v>139</v>
      </c>
      <c r="H2524" s="10" t="s">
        <v>7091</v>
      </c>
      <c r="I2524" s="10" t="s">
        <v>7004</v>
      </c>
    </row>
    <row r="2525" spans="1:9" x14ac:dyDescent="0.15">
      <c r="A2525" s="9">
        <v>2524</v>
      </c>
      <c r="B2525" s="10" t="s">
        <v>9</v>
      </c>
      <c r="C2525" s="10" t="s">
        <v>170</v>
      </c>
      <c r="D2525" s="10" t="s">
        <v>171</v>
      </c>
      <c r="E2525" s="11" t="str">
        <f>+HYPERLINK("http://trademark.i-assist.jp/data/china/image_1900th/78954812.pdf", "78954812")</f>
        <v>78954812</v>
      </c>
      <c r="F2525" s="10" t="s">
        <v>7092</v>
      </c>
      <c r="G2525" s="10" t="s">
        <v>3304</v>
      </c>
      <c r="H2525" s="10" t="s">
        <v>7093</v>
      </c>
      <c r="I2525" s="10" t="s">
        <v>7004</v>
      </c>
    </row>
    <row r="2526" spans="1:9" x14ac:dyDescent="0.15">
      <c r="A2526" s="9">
        <v>2525</v>
      </c>
      <c r="B2526" s="10" t="s">
        <v>9</v>
      </c>
      <c r="C2526" s="10" t="s">
        <v>170</v>
      </c>
      <c r="D2526" s="10" t="s">
        <v>171</v>
      </c>
      <c r="E2526" s="11" t="str">
        <f>+HYPERLINK("http://trademark.i-assist.jp/data/china/image_1900th/78954949.pdf", "78954949")</f>
        <v>78954949</v>
      </c>
      <c r="F2526" s="10" t="s">
        <v>15</v>
      </c>
      <c r="G2526" s="10" t="s">
        <v>7094</v>
      </c>
      <c r="H2526" s="10" t="s">
        <v>7095</v>
      </c>
      <c r="I2526" s="10" t="s">
        <v>7004</v>
      </c>
    </row>
    <row r="2527" spans="1:9" x14ac:dyDescent="0.15">
      <c r="A2527" s="9">
        <v>2526</v>
      </c>
      <c r="B2527" s="10" t="s">
        <v>9</v>
      </c>
      <c r="C2527" s="10" t="s">
        <v>170</v>
      </c>
      <c r="D2527" s="10" t="s">
        <v>171</v>
      </c>
      <c r="E2527" s="11" t="str">
        <f>+HYPERLINK("http://trademark.i-assist.jp/data/china/image_1900th/78955153.pdf", "78955153")</f>
        <v>78955153</v>
      </c>
      <c r="F2527" s="10" t="s">
        <v>7096</v>
      </c>
      <c r="G2527" s="10" t="s">
        <v>7097</v>
      </c>
      <c r="H2527" s="10" t="s">
        <v>7098</v>
      </c>
      <c r="I2527" s="10" t="s">
        <v>7004</v>
      </c>
    </row>
    <row r="2528" spans="1:9" x14ac:dyDescent="0.15">
      <c r="A2528" s="9">
        <v>2527</v>
      </c>
      <c r="B2528" s="10" t="s">
        <v>9</v>
      </c>
      <c r="C2528" s="10" t="s">
        <v>170</v>
      </c>
      <c r="D2528" s="10" t="s">
        <v>171</v>
      </c>
      <c r="E2528" s="11" t="str">
        <f>+HYPERLINK("http://trademark.i-assist.jp/data/china/image_1900th/78955283.pdf", "78955283")</f>
        <v>78955283</v>
      </c>
      <c r="F2528" s="10" t="s">
        <v>7099</v>
      </c>
      <c r="G2528" s="10" t="s">
        <v>7100</v>
      </c>
      <c r="H2528" s="10" t="s">
        <v>7101</v>
      </c>
      <c r="I2528" s="10" t="s">
        <v>7004</v>
      </c>
    </row>
    <row r="2529" spans="1:9" x14ac:dyDescent="0.15">
      <c r="A2529" s="9">
        <v>2528</v>
      </c>
      <c r="B2529" s="10" t="s">
        <v>9</v>
      </c>
      <c r="C2529" s="10" t="s">
        <v>170</v>
      </c>
      <c r="D2529" s="10" t="s">
        <v>171</v>
      </c>
      <c r="E2529" s="11" t="str">
        <f>+HYPERLINK("http://trademark.i-assist.jp/data/china/image_1900th/78955384.pdf", "78955384")</f>
        <v>78955384</v>
      </c>
      <c r="F2529" s="10" t="s">
        <v>7102</v>
      </c>
      <c r="G2529" s="10" t="s">
        <v>7103</v>
      </c>
      <c r="H2529" s="10" t="s">
        <v>7104</v>
      </c>
      <c r="I2529" s="10" t="s">
        <v>7004</v>
      </c>
    </row>
    <row r="2530" spans="1:9" x14ac:dyDescent="0.15">
      <c r="A2530" s="9">
        <v>2529</v>
      </c>
      <c r="B2530" s="10" t="s">
        <v>9</v>
      </c>
      <c r="C2530" s="10" t="s">
        <v>170</v>
      </c>
      <c r="D2530" s="10" t="s">
        <v>171</v>
      </c>
      <c r="E2530" s="11" t="str">
        <f>+HYPERLINK("http://trademark.i-assist.jp/data/china/image_1900th/78955541.pdf", "78955541")</f>
        <v>78955541</v>
      </c>
      <c r="F2530" s="10" t="s">
        <v>7105</v>
      </c>
      <c r="G2530" s="10" t="s">
        <v>7106</v>
      </c>
      <c r="H2530" s="10" t="s">
        <v>7107</v>
      </c>
      <c r="I2530" s="10" t="s">
        <v>7004</v>
      </c>
    </row>
    <row r="2531" spans="1:9" x14ac:dyDescent="0.15">
      <c r="A2531" s="9">
        <v>2530</v>
      </c>
      <c r="B2531" s="10" t="s">
        <v>9</v>
      </c>
      <c r="C2531" s="10" t="s">
        <v>170</v>
      </c>
      <c r="D2531" s="10" t="s">
        <v>171</v>
      </c>
      <c r="E2531" s="11" t="str">
        <f>+HYPERLINK("http://trademark.i-assist.jp/data/china/image_1900th/78955680.pdf", "78955680")</f>
        <v>78955680</v>
      </c>
      <c r="F2531" s="10" t="s">
        <v>15</v>
      </c>
      <c r="G2531" s="10" t="s">
        <v>7108</v>
      </c>
      <c r="H2531" s="10" t="s">
        <v>7109</v>
      </c>
      <c r="I2531" s="10" t="s">
        <v>7004</v>
      </c>
    </row>
    <row r="2532" spans="1:9" x14ac:dyDescent="0.15">
      <c r="A2532" s="9">
        <v>2531</v>
      </c>
      <c r="B2532" s="10" t="s">
        <v>9</v>
      </c>
      <c r="C2532" s="10" t="s">
        <v>170</v>
      </c>
      <c r="D2532" s="10" t="s">
        <v>171</v>
      </c>
      <c r="E2532" s="11" t="str">
        <f>+HYPERLINK("http://trademark.i-assist.jp/data/china/image_1900th/78955841.pdf", "78955841")</f>
        <v>78955841</v>
      </c>
      <c r="F2532" s="10" t="s">
        <v>7110</v>
      </c>
      <c r="G2532" s="10" t="s">
        <v>7111</v>
      </c>
      <c r="H2532" s="10" t="s">
        <v>7112</v>
      </c>
      <c r="I2532" s="10" t="s">
        <v>7004</v>
      </c>
    </row>
    <row r="2533" spans="1:9" x14ac:dyDescent="0.15">
      <c r="A2533" s="9">
        <v>2532</v>
      </c>
      <c r="B2533" s="10" t="s">
        <v>9</v>
      </c>
      <c r="C2533" s="10" t="s">
        <v>170</v>
      </c>
      <c r="D2533" s="10" t="s">
        <v>171</v>
      </c>
      <c r="E2533" s="11" t="str">
        <f>+HYPERLINK("http://trademark.i-assist.jp/data/china/image_1900th/78955897.pdf", "78955897")</f>
        <v>78955897</v>
      </c>
      <c r="F2533" s="10" t="s">
        <v>7113</v>
      </c>
      <c r="G2533" s="10" t="s">
        <v>2021</v>
      </c>
      <c r="H2533" s="10" t="s">
        <v>7114</v>
      </c>
      <c r="I2533" s="10" t="s">
        <v>7004</v>
      </c>
    </row>
    <row r="2534" spans="1:9" x14ac:dyDescent="0.15">
      <c r="A2534" s="9">
        <v>2533</v>
      </c>
      <c r="B2534" s="10" t="s">
        <v>9</v>
      </c>
      <c r="C2534" s="10" t="s">
        <v>170</v>
      </c>
      <c r="D2534" s="10" t="s">
        <v>171</v>
      </c>
      <c r="E2534" s="11" t="str">
        <f>+HYPERLINK("http://trademark.i-assist.jp/data/china/image_1900th/78956033.pdf", "78956033")</f>
        <v>78956033</v>
      </c>
      <c r="F2534" s="10" t="s">
        <v>7115</v>
      </c>
      <c r="G2534" s="10" t="s">
        <v>1340</v>
      </c>
      <c r="H2534" s="10" t="s">
        <v>7116</v>
      </c>
      <c r="I2534" s="10" t="s">
        <v>7004</v>
      </c>
    </row>
    <row r="2535" spans="1:9" x14ac:dyDescent="0.15">
      <c r="A2535" s="9">
        <v>2534</v>
      </c>
      <c r="B2535" s="10" t="s">
        <v>9</v>
      </c>
      <c r="C2535" s="10" t="s">
        <v>170</v>
      </c>
      <c r="D2535" s="10" t="s">
        <v>171</v>
      </c>
      <c r="E2535" s="11" t="str">
        <f>+HYPERLINK("http://trademark.i-assist.jp/data/china/image_1900th/78956069.pdf", "78956069")</f>
        <v>78956069</v>
      </c>
      <c r="F2535" s="10" t="s">
        <v>7117</v>
      </c>
      <c r="G2535" s="10" t="s">
        <v>7118</v>
      </c>
      <c r="H2535" s="10" t="s">
        <v>7119</v>
      </c>
      <c r="I2535" s="10" t="s">
        <v>7004</v>
      </c>
    </row>
    <row r="2536" spans="1:9" x14ac:dyDescent="0.15">
      <c r="A2536" s="9">
        <v>2535</v>
      </c>
      <c r="B2536" s="10" t="s">
        <v>9</v>
      </c>
      <c r="C2536" s="10" t="s">
        <v>170</v>
      </c>
      <c r="D2536" s="10" t="s">
        <v>171</v>
      </c>
      <c r="E2536" s="11" t="str">
        <f>+HYPERLINK("http://trademark.i-assist.jp/data/china/image_1900th/78956102.pdf", "78956102")</f>
        <v>78956102</v>
      </c>
      <c r="F2536" s="10" t="s">
        <v>7120</v>
      </c>
      <c r="G2536" s="10" t="s">
        <v>7121</v>
      </c>
      <c r="H2536" s="10" t="s">
        <v>7122</v>
      </c>
      <c r="I2536" s="10" t="s">
        <v>7004</v>
      </c>
    </row>
    <row r="2537" spans="1:9" x14ac:dyDescent="0.15">
      <c r="A2537" s="9">
        <v>2536</v>
      </c>
      <c r="B2537" s="10" t="s">
        <v>9</v>
      </c>
      <c r="C2537" s="10" t="s">
        <v>170</v>
      </c>
      <c r="D2537" s="10" t="s">
        <v>171</v>
      </c>
      <c r="E2537" s="11" t="str">
        <f>+HYPERLINK("http://trademark.i-assist.jp/data/china/image_1900th/78956591.pdf", "78956591")</f>
        <v>78956591</v>
      </c>
      <c r="F2537" s="10" t="s">
        <v>7123</v>
      </c>
      <c r="G2537" s="10" t="s">
        <v>7124</v>
      </c>
      <c r="H2537" s="10" t="s">
        <v>7125</v>
      </c>
      <c r="I2537" s="10" t="s">
        <v>7004</v>
      </c>
    </row>
    <row r="2538" spans="1:9" x14ac:dyDescent="0.15">
      <c r="A2538" s="9">
        <v>2537</v>
      </c>
      <c r="B2538" s="10" t="s">
        <v>9</v>
      </c>
      <c r="C2538" s="10" t="s">
        <v>170</v>
      </c>
      <c r="D2538" s="10" t="s">
        <v>171</v>
      </c>
      <c r="E2538" s="11" t="str">
        <f>+HYPERLINK("http://trademark.i-assist.jp/data/china/image_1900th/78956744.pdf", "78956744")</f>
        <v>78956744</v>
      </c>
      <c r="F2538" s="10" t="s">
        <v>7126</v>
      </c>
      <c r="G2538" s="10" t="s">
        <v>7127</v>
      </c>
      <c r="H2538" s="10" t="s">
        <v>7128</v>
      </c>
      <c r="I2538" s="10" t="s">
        <v>7004</v>
      </c>
    </row>
    <row r="2539" spans="1:9" x14ac:dyDescent="0.15">
      <c r="A2539" s="9">
        <v>2538</v>
      </c>
      <c r="B2539" s="10" t="s">
        <v>9</v>
      </c>
      <c r="C2539" s="10" t="s">
        <v>170</v>
      </c>
      <c r="D2539" s="10" t="s">
        <v>171</v>
      </c>
      <c r="E2539" s="11" t="str">
        <f>+HYPERLINK("http://trademark.i-assist.jp/data/china/image_1900th/78956788.pdf", "78956788")</f>
        <v>78956788</v>
      </c>
      <c r="F2539" s="10" t="s">
        <v>7129</v>
      </c>
      <c r="G2539" s="10" t="s">
        <v>7130</v>
      </c>
      <c r="H2539" s="10" t="s">
        <v>7131</v>
      </c>
      <c r="I2539" s="10" t="s">
        <v>7004</v>
      </c>
    </row>
    <row r="2540" spans="1:9" x14ac:dyDescent="0.15">
      <c r="A2540" s="9">
        <v>2539</v>
      </c>
      <c r="B2540" s="10" t="s">
        <v>9</v>
      </c>
      <c r="C2540" s="10" t="s">
        <v>170</v>
      </c>
      <c r="D2540" s="10" t="s">
        <v>171</v>
      </c>
      <c r="E2540" s="11" t="str">
        <f>+HYPERLINK("http://trademark.i-assist.jp/data/china/image_1900th/78957029.pdf", "78957029")</f>
        <v>78957029</v>
      </c>
      <c r="F2540" s="10" t="s">
        <v>7132</v>
      </c>
      <c r="G2540" s="10" t="s">
        <v>7133</v>
      </c>
      <c r="H2540" s="10" t="s">
        <v>7134</v>
      </c>
      <c r="I2540" s="10" t="s">
        <v>7004</v>
      </c>
    </row>
    <row r="2541" spans="1:9" x14ac:dyDescent="0.15">
      <c r="A2541" s="9">
        <v>2540</v>
      </c>
      <c r="B2541" s="10" t="s">
        <v>9</v>
      </c>
      <c r="C2541" s="10" t="s">
        <v>170</v>
      </c>
      <c r="D2541" s="10" t="s">
        <v>171</v>
      </c>
      <c r="E2541" s="11" t="str">
        <f>+HYPERLINK("http://trademark.i-assist.jp/data/china/image_1900th/78957228.pdf", "78957228")</f>
        <v>78957228</v>
      </c>
      <c r="F2541" s="10" t="s">
        <v>7135</v>
      </c>
      <c r="G2541" s="10" t="s">
        <v>7136</v>
      </c>
      <c r="H2541" s="10" t="s">
        <v>7137</v>
      </c>
      <c r="I2541" s="10" t="s">
        <v>7004</v>
      </c>
    </row>
    <row r="2542" spans="1:9" x14ac:dyDescent="0.15">
      <c r="A2542" s="9">
        <v>2541</v>
      </c>
      <c r="B2542" s="10" t="s">
        <v>9</v>
      </c>
      <c r="C2542" s="10" t="s">
        <v>170</v>
      </c>
      <c r="D2542" s="10" t="s">
        <v>171</v>
      </c>
      <c r="E2542" s="11" t="str">
        <f>+HYPERLINK("http://trademark.i-assist.jp/data/china/image_1900th/78957234.pdf", "78957234")</f>
        <v>78957234</v>
      </c>
      <c r="F2542" s="10" t="s">
        <v>15</v>
      </c>
      <c r="G2542" s="10" t="s">
        <v>7138</v>
      </c>
      <c r="H2542" s="10" t="s">
        <v>7139</v>
      </c>
      <c r="I2542" s="10" t="s">
        <v>7004</v>
      </c>
    </row>
    <row r="2543" spans="1:9" x14ac:dyDescent="0.15">
      <c r="A2543" s="9">
        <v>2542</v>
      </c>
      <c r="B2543" s="10" t="s">
        <v>9</v>
      </c>
      <c r="C2543" s="10" t="s">
        <v>170</v>
      </c>
      <c r="D2543" s="10" t="s">
        <v>171</v>
      </c>
      <c r="E2543" s="11" t="str">
        <f>+HYPERLINK("http://trademark.i-assist.jp/data/china/image_1900th/78957243.pdf", "78957243")</f>
        <v>78957243</v>
      </c>
      <c r="F2543" s="10" t="s">
        <v>7140</v>
      </c>
      <c r="G2543" s="10" t="s">
        <v>7141</v>
      </c>
      <c r="H2543" s="10" t="s">
        <v>7142</v>
      </c>
      <c r="I2543" s="10" t="s">
        <v>7004</v>
      </c>
    </row>
    <row r="2544" spans="1:9" x14ac:dyDescent="0.15">
      <c r="A2544" s="9">
        <v>2543</v>
      </c>
      <c r="B2544" s="10" t="s">
        <v>9</v>
      </c>
      <c r="C2544" s="10" t="s">
        <v>170</v>
      </c>
      <c r="D2544" s="10" t="s">
        <v>171</v>
      </c>
      <c r="E2544" s="11" t="str">
        <f>+HYPERLINK("http://trademark.i-assist.jp/data/china/image_1900th/78957573.pdf", "78957573")</f>
        <v>78957573</v>
      </c>
      <c r="F2544" s="10" t="s">
        <v>7143</v>
      </c>
      <c r="G2544" s="10" t="s">
        <v>7144</v>
      </c>
      <c r="H2544" s="10" t="s">
        <v>7145</v>
      </c>
      <c r="I2544" s="10" t="s">
        <v>7004</v>
      </c>
    </row>
    <row r="2545" spans="1:9" x14ac:dyDescent="0.15">
      <c r="A2545" s="9">
        <v>2544</v>
      </c>
      <c r="B2545" s="10" t="s">
        <v>9</v>
      </c>
      <c r="C2545" s="10" t="s">
        <v>170</v>
      </c>
      <c r="D2545" s="10" t="s">
        <v>171</v>
      </c>
      <c r="E2545" s="11" t="str">
        <f>+HYPERLINK("http://trademark.i-assist.jp/data/china/image_1900th/78957625.pdf", "78957625")</f>
        <v>78957625</v>
      </c>
      <c r="F2545" s="10" t="s">
        <v>7146</v>
      </c>
      <c r="G2545" s="10" t="s">
        <v>7147</v>
      </c>
      <c r="H2545" s="10" t="s">
        <v>7148</v>
      </c>
      <c r="I2545" s="10" t="s">
        <v>7004</v>
      </c>
    </row>
    <row r="2546" spans="1:9" x14ac:dyDescent="0.15">
      <c r="A2546" s="9">
        <v>2545</v>
      </c>
      <c r="B2546" s="10" t="s">
        <v>9</v>
      </c>
      <c r="C2546" s="10" t="s">
        <v>170</v>
      </c>
      <c r="D2546" s="10" t="s">
        <v>171</v>
      </c>
      <c r="E2546" s="11" t="str">
        <f>+HYPERLINK("http://trademark.i-assist.jp/data/china/image_1900th/78958023.pdf", "78958023")</f>
        <v>78958023</v>
      </c>
      <c r="F2546" s="10" t="s">
        <v>7149</v>
      </c>
      <c r="G2546" s="10" t="s">
        <v>7150</v>
      </c>
      <c r="H2546" s="10" t="s">
        <v>7151</v>
      </c>
      <c r="I2546" s="10" t="s">
        <v>7004</v>
      </c>
    </row>
    <row r="2547" spans="1:9" x14ac:dyDescent="0.15">
      <c r="A2547" s="9">
        <v>2546</v>
      </c>
      <c r="B2547" s="10" t="s">
        <v>9</v>
      </c>
      <c r="C2547" s="10" t="s">
        <v>170</v>
      </c>
      <c r="D2547" s="10" t="s">
        <v>171</v>
      </c>
      <c r="E2547" s="11" t="str">
        <f>+HYPERLINK("http://trademark.i-assist.jp/data/china/image_1900th/78958061.pdf", "78958061")</f>
        <v>78958061</v>
      </c>
      <c r="F2547" s="10" t="s">
        <v>7152</v>
      </c>
      <c r="G2547" s="10" t="s">
        <v>7153</v>
      </c>
      <c r="H2547" s="10" t="s">
        <v>7154</v>
      </c>
      <c r="I2547" s="10" t="s">
        <v>7004</v>
      </c>
    </row>
    <row r="2548" spans="1:9" x14ac:dyDescent="0.15">
      <c r="A2548" s="9">
        <v>2547</v>
      </c>
      <c r="B2548" s="10" t="s">
        <v>9</v>
      </c>
      <c r="C2548" s="10" t="s">
        <v>170</v>
      </c>
      <c r="D2548" s="10" t="s">
        <v>171</v>
      </c>
      <c r="E2548" s="11" t="str">
        <f>+HYPERLINK("http://trademark.i-assist.jp/data/china/image_1900th/78958129.pdf", "78958129")</f>
        <v>78958129</v>
      </c>
      <c r="F2548" s="10" t="s">
        <v>7155</v>
      </c>
      <c r="G2548" s="10" t="s">
        <v>7156</v>
      </c>
      <c r="H2548" s="10" t="s">
        <v>7157</v>
      </c>
      <c r="I2548" s="10" t="s">
        <v>7004</v>
      </c>
    </row>
    <row r="2549" spans="1:9" x14ac:dyDescent="0.15">
      <c r="A2549" s="9">
        <v>2548</v>
      </c>
      <c r="B2549" s="10" t="s">
        <v>9</v>
      </c>
      <c r="C2549" s="10" t="s">
        <v>170</v>
      </c>
      <c r="D2549" s="10" t="s">
        <v>171</v>
      </c>
      <c r="E2549" s="11" t="str">
        <f>+HYPERLINK("http://trademark.i-assist.jp/data/china/image_1900th/78958176.pdf", "78958176")</f>
        <v>78958176</v>
      </c>
      <c r="F2549" s="10" t="s">
        <v>7158</v>
      </c>
      <c r="G2549" s="10" t="s">
        <v>7159</v>
      </c>
      <c r="H2549" s="10" t="s">
        <v>7160</v>
      </c>
      <c r="I2549" s="10" t="s">
        <v>7004</v>
      </c>
    </row>
    <row r="2550" spans="1:9" x14ac:dyDescent="0.15">
      <c r="A2550" s="9">
        <v>2549</v>
      </c>
      <c r="B2550" s="10" t="s">
        <v>9</v>
      </c>
      <c r="C2550" s="10" t="s">
        <v>170</v>
      </c>
      <c r="D2550" s="10" t="s">
        <v>171</v>
      </c>
      <c r="E2550" s="11" t="str">
        <f>+HYPERLINK("http://trademark.i-assist.jp/data/china/image_1900th/78958445.pdf", "78958445")</f>
        <v>78958445</v>
      </c>
      <c r="F2550" s="10" t="s">
        <v>7161</v>
      </c>
      <c r="G2550" s="10" t="s">
        <v>7162</v>
      </c>
      <c r="H2550" s="10" t="s">
        <v>7163</v>
      </c>
      <c r="I2550" s="10" t="s">
        <v>7004</v>
      </c>
    </row>
    <row r="2551" spans="1:9" x14ac:dyDescent="0.15">
      <c r="A2551" s="9">
        <v>2550</v>
      </c>
      <c r="B2551" s="10" t="s">
        <v>9</v>
      </c>
      <c r="C2551" s="10" t="s">
        <v>170</v>
      </c>
      <c r="D2551" s="10" t="s">
        <v>171</v>
      </c>
      <c r="E2551" s="11" t="str">
        <f>+HYPERLINK("http://trademark.i-assist.jp/data/china/image_1900th/78958502.pdf", "78958502")</f>
        <v>78958502</v>
      </c>
      <c r="F2551" s="10" t="s">
        <v>7164</v>
      </c>
      <c r="G2551" s="10" t="s">
        <v>6515</v>
      </c>
      <c r="H2551" s="10" t="s">
        <v>7165</v>
      </c>
      <c r="I2551" s="10" t="s">
        <v>7004</v>
      </c>
    </row>
    <row r="2552" spans="1:9" x14ac:dyDescent="0.15">
      <c r="A2552" s="9">
        <v>2551</v>
      </c>
      <c r="B2552" s="10" t="s">
        <v>9</v>
      </c>
      <c r="C2552" s="10" t="s">
        <v>170</v>
      </c>
      <c r="D2552" s="10" t="s">
        <v>171</v>
      </c>
      <c r="E2552" s="11" t="str">
        <f>+HYPERLINK("http://trademark.i-assist.jp/data/china/image_1900th/78958813.pdf", "78958813")</f>
        <v>78958813</v>
      </c>
      <c r="F2552" s="10" t="s">
        <v>7166</v>
      </c>
      <c r="G2552" s="10" t="s">
        <v>7167</v>
      </c>
      <c r="H2552" s="10" t="s">
        <v>7168</v>
      </c>
      <c r="I2552" s="10" t="s">
        <v>7004</v>
      </c>
    </row>
    <row r="2553" spans="1:9" x14ac:dyDescent="0.15">
      <c r="A2553" s="9">
        <v>2552</v>
      </c>
      <c r="B2553" s="10" t="s">
        <v>9</v>
      </c>
      <c r="C2553" s="10" t="s">
        <v>170</v>
      </c>
      <c r="D2553" s="10" t="s">
        <v>171</v>
      </c>
      <c r="E2553" s="11" t="str">
        <f>+HYPERLINK("http://trademark.i-assist.jp/data/china/image_1900th/78958865.pdf", "78958865")</f>
        <v>78958865</v>
      </c>
      <c r="F2553" s="10" t="s">
        <v>7169</v>
      </c>
      <c r="G2553" s="10" t="s">
        <v>7170</v>
      </c>
      <c r="H2553" s="10" t="s">
        <v>7171</v>
      </c>
      <c r="I2553" s="10" t="s">
        <v>7004</v>
      </c>
    </row>
    <row r="2554" spans="1:9" x14ac:dyDescent="0.15">
      <c r="A2554" s="9">
        <v>2553</v>
      </c>
      <c r="B2554" s="10" t="s">
        <v>9</v>
      </c>
      <c r="C2554" s="10" t="s">
        <v>170</v>
      </c>
      <c r="D2554" s="10" t="s">
        <v>171</v>
      </c>
      <c r="E2554" s="11" t="str">
        <f>+HYPERLINK("http://trademark.i-assist.jp/data/china/image_1900th/78958943.pdf", "78958943")</f>
        <v>78958943</v>
      </c>
      <c r="F2554" s="10" t="s">
        <v>7172</v>
      </c>
      <c r="G2554" s="10" t="s">
        <v>139</v>
      </c>
      <c r="H2554" s="10" t="s">
        <v>7173</v>
      </c>
      <c r="I2554" s="10" t="s">
        <v>7004</v>
      </c>
    </row>
    <row r="2555" spans="1:9" x14ac:dyDescent="0.15">
      <c r="A2555" s="9">
        <v>2554</v>
      </c>
      <c r="B2555" s="10" t="s">
        <v>9</v>
      </c>
      <c r="C2555" s="10" t="s">
        <v>170</v>
      </c>
      <c r="D2555" s="10" t="s">
        <v>171</v>
      </c>
      <c r="E2555" s="11" t="str">
        <f>+HYPERLINK("http://trademark.i-assist.jp/data/china/image_1900th/78959452.pdf", "78959452")</f>
        <v>78959452</v>
      </c>
      <c r="F2555" s="10" t="s">
        <v>7174</v>
      </c>
      <c r="G2555" s="10" t="s">
        <v>7175</v>
      </c>
      <c r="H2555" s="10" t="s">
        <v>7176</v>
      </c>
      <c r="I2555" s="10" t="s">
        <v>7004</v>
      </c>
    </row>
    <row r="2556" spans="1:9" x14ac:dyDescent="0.15">
      <c r="A2556" s="9">
        <v>2555</v>
      </c>
      <c r="B2556" s="10" t="s">
        <v>9</v>
      </c>
      <c r="C2556" s="10" t="s">
        <v>170</v>
      </c>
      <c r="D2556" s="10" t="s">
        <v>171</v>
      </c>
      <c r="E2556" s="11" t="str">
        <f>+HYPERLINK("http://trademark.i-assist.jp/data/china/image_1900th/78959591.pdf", "78959591")</f>
        <v>78959591</v>
      </c>
      <c r="F2556" s="10" t="s">
        <v>7177</v>
      </c>
      <c r="G2556" s="10" t="s">
        <v>2021</v>
      </c>
      <c r="H2556" s="10" t="s">
        <v>7178</v>
      </c>
      <c r="I2556" s="10" t="s">
        <v>7004</v>
      </c>
    </row>
    <row r="2557" spans="1:9" x14ac:dyDescent="0.15">
      <c r="A2557" s="9">
        <v>2556</v>
      </c>
      <c r="B2557" s="10" t="s">
        <v>9</v>
      </c>
      <c r="C2557" s="10" t="s">
        <v>170</v>
      </c>
      <c r="D2557" s="10" t="s">
        <v>171</v>
      </c>
      <c r="E2557" s="11" t="str">
        <f>+HYPERLINK("http://trademark.i-assist.jp/data/china/image_1900th/78959601.pdf", "78959601")</f>
        <v>78959601</v>
      </c>
      <c r="F2557" s="10" t="s">
        <v>7179</v>
      </c>
      <c r="G2557" s="10" t="s">
        <v>7180</v>
      </c>
      <c r="H2557" s="10" t="s">
        <v>7181</v>
      </c>
      <c r="I2557" s="10" t="s">
        <v>7004</v>
      </c>
    </row>
    <row r="2558" spans="1:9" x14ac:dyDescent="0.15">
      <c r="A2558" s="9">
        <v>2557</v>
      </c>
      <c r="B2558" s="10" t="s">
        <v>9</v>
      </c>
      <c r="C2558" s="10" t="s">
        <v>170</v>
      </c>
      <c r="D2558" s="10" t="s">
        <v>171</v>
      </c>
      <c r="E2558" s="11" t="str">
        <f>+HYPERLINK("http://trademark.i-assist.jp/data/china/image_1900th/78960287.pdf", "78960287")</f>
        <v>78960287</v>
      </c>
      <c r="F2558" s="10" t="s">
        <v>7182</v>
      </c>
      <c r="G2558" s="10" t="s">
        <v>5928</v>
      </c>
      <c r="H2558" s="10" t="s">
        <v>7183</v>
      </c>
      <c r="I2558" s="10" t="s">
        <v>7004</v>
      </c>
    </row>
    <row r="2559" spans="1:9" x14ac:dyDescent="0.15">
      <c r="A2559" s="9">
        <v>2558</v>
      </c>
      <c r="B2559" s="10" t="s">
        <v>9</v>
      </c>
      <c r="C2559" s="10" t="s">
        <v>170</v>
      </c>
      <c r="D2559" s="10" t="s">
        <v>171</v>
      </c>
      <c r="E2559" s="11" t="str">
        <f>+HYPERLINK("http://trademark.i-assist.jp/data/china/image_1900th/78960480.pdf", "78960480")</f>
        <v>78960480</v>
      </c>
      <c r="F2559" s="10" t="s">
        <v>7184</v>
      </c>
      <c r="G2559" s="10" t="s">
        <v>7185</v>
      </c>
      <c r="H2559" s="10" t="s">
        <v>7186</v>
      </c>
      <c r="I2559" s="10" t="s">
        <v>7004</v>
      </c>
    </row>
    <row r="2560" spans="1:9" x14ac:dyDescent="0.15">
      <c r="A2560" s="9">
        <v>2559</v>
      </c>
      <c r="B2560" s="10" t="s">
        <v>9</v>
      </c>
      <c r="C2560" s="10" t="s">
        <v>170</v>
      </c>
      <c r="D2560" s="10" t="s">
        <v>171</v>
      </c>
      <c r="E2560" s="11" t="str">
        <f>+HYPERLINK("http://trademark.i-assist.jp/data/china/image_1900th/78960660.pdf", "78960660")</f>
        <v>78960660</v>
      </c>
      <c r="F2560" s="10" t="s">
        <v>7187</v>
      </c>
      <c r="G2560" s="10" t="s">
        <v>4450</v>
      </c>
      <c r="H2560" s="10" t="s">
        <v>7188</v>
      </c>
      <c r="I2560" s="10" t="s">
        <v>7004</v>
      </c>
    </row>
    <row r="2561" spans="1:9" x14ac:dyDescent="0.15">
      <c r="A2561" s="9">
        <v>2560</v>
      </c>
      <c r="B2561" s="10" t="s">
        <v>9</v>
      </c>
      <c r="C2561" s="10" t="s">
        <v>170</v>
      </c>
      <c r="D2561" s="10" t="s">
        <v>171</v>
      </c>
      <c r="E2561" s="11" t="str">
        <f>+HYPERLINK("http://trademark.i-assist.jp/data/china/image_1900th/78960679.pdf", "78960679")</f>
        <v>78960679</v>
      </c>
      <c r="F2561" s="10" t="s">
        <v>7189</v>
      </c>
      <c r="G2561" s="10" t="s">
        <v>7190</v>
      </c>
      <c r="H2561" s="10" t="s">
        <v>7191</v>
      </c>
      <c r="I2561" s="10" t="s">
        <v>7004</v>
      </c>
    </row>
    <row r="2562" spans="1:9" x14ac:dyDescent="0.15">
      <c r="A2562" s="9">
        <v>2561</v>
      </c>
      <c r="B2562" s="10" t="s">
        <v>9</v>
      </c>
      <c r="C2562" s="10" t="s">
        <v>170</v>
      </c>
      <c r="D2562" s="10" t="s">
        <v>171</v>
      </c>
      <c r="E2562" s="11" t="str">
        <f>+HYPERLINK("http://trademark.i-assist.jp/data/china/image_1900th/78960864.pdf", "78960864")</f>
        <v>78960864</v>
      </c>
      <c r="F2562" s="10" t="s">
        <v>7192</v>
      </c>
      <c r="G2562" s="10" t="s">
        <v>7193</v>
      </c>
      <c r="H2562" s="10" t="s">
        <v>7194</v>
      </c>
      <c r="I2562" s="10" t="s">
        <v>7004</v>
      </c>
    </row>
    <row r="2563" spans="1:9" x14ac:dyDescent="0.15">
      <c r="A2563" s="9">
        <v>2562</v>
      </c>
      <c r="B2563" s="10" t="s">
        <v>9</v>
      </c>
      <c r="C2563" s="10" t="s">
        <v>170</v>
      </c>
      <c r="D2563" s="10" t="s">
        <v>171</v>
      </c>
      <c r="E2563" s="11" t="str">
        <f>+HYPERLINK("http://trademark.i-assist.jp/data/china/image_1900th/78960947.pdf", "78960947")</f>
        <v>78960947</v>
      </c>
      <c r="F2563" s="10" t="s">
        <v>7195</v>
      </c>
      <c r="G2563" s="10" t="s">
        <v>7196</v>
      </c>
      <c r="H2563" s="10" t="s">
        <v>7197</v>
      </c>
      <c r="I2563" s="10" t="s">
        <v>7004</v>
      </c>
    </row>
    <row r="2564" spans="1:9" x14ac:dyDescent="0.15">
      <c r="A2564" s="9">
        <v>2563</v>
      </c>
      <c r="B2564" s="10" t="s">
        <v>9</v>
      </c>
      <c r="C2564" s="10" t="s">
        <v>170</v>
      </c>
      <c r="D2564" s="10" t="s">
        <v>171</v>
      </c>
      <c r="E2564" s="11" t="str">
        <f>+HYPERLINK("http://trademark.i-assist.jp/data/china/image_1900th/78961226.pdf", "78961226")</f>
        <v>78961226</v>
      </c>
      <c r="F2564" s="10" t="s">
        <v>7198</v>
      </c>
      <c r="G2564" s="10" t="s">
        <v>7199</v>
      </c>
      <c r="H2564" s="10" t="s">
        <v>7200</v>
      </c>
      <c r="I2564" s="10" t="s">
        <v>7004</v>
      </c>
    </row>
    <row r="2565" spans="1:9" x14ac:dyDescent="0.15">
      <c r="A2565" s="9">
        <v>2564</v>
      </c>
      <c r="B2565" s="10" t="s">
        <v>9</v>
      </c>
      <c r="C2565" s="10" t="s">
        <v>170</v>
      </c>
      <c r="D2565" s="10" t="s">
        <v>171</v>
      </c>
      <c r="E2565" s="11" t="str">
        <f>+HYPERLINK("http://trademark.i-assist.jp/data/china/image_1900th/78961244.pdf", "78961244")</f>
        <v>78961244</v>
      </c>
      <c r="F2565" s="10" t="s">
        <v>7201</v>
      </c>
      <c r="G2565" s="10" t="s">
        <v>139</v>
      </c>
      <c r="H2565" s="10" t="s">
        <v>7202</v>
      </c>
      <c r="I2565" s="10" t="s">
        <v>7004</v>
      </c>
    </row>
    <row r="2566" spans="1:9" x14ac:dyDescent="0.15">
      <c r="A2566" s="9">
        <v>2565</v>
      </c>
      <c r="B2566" s="10" t="s">
        <v>9</v>
      </c>
      <c r="C2566" s="10" t="s">
        <v>170</v>
      </c>
      <c r="D2566" s="10" t="s">
        <v>171</v>
      </c>
      <c r="E2566" s="11" t="str">
        <f>+HYPERLINK("http://trademark.i-assist.jp/data/china/image_1900th/78961368.pdf", "78961368")</f>
        <v>78961368</v>
      </c>
      <c r="F2566" s="10" t="s">
        <v>7203</v>
      </c>
      <c r="G2566" s="10" t="s">
        <v>7204</v>
      </c>
      <c r="H2566" s="10" t="s">
        <v>7205</v>
      </c>
      <c r="I2566" s="10" t="s">
        <v>7004</v>
      </c>
    </row>
    <row r="2567" spans="1:9" x14ac:dyDescent="0.15">
      <c r="A2567" s="9">
        <v>2566</v>
      </c>
      <c r="B2567" s="10" t="s">
        <v>9</v>
      </c>
      <c r="C2567" s="10" t="s">
        <v>170</v>
      </c>
      <c r="D2567" s="10" t="s">
        <v>171</v>
      </c>
      <c r="E2567" s="11" t="str">
        <f>+HYPERLINK("http://trademark.i-assist.jp/data/china/image_1900th/78961372.pdf", "78961372")</f>
        <v>78961372</v>
      </c>
      <c r="F2567" s="10" t="s">
        <v>7206</v>
      </c>
      <c r="G2567" s="10" t="s">
        <v>7204</v>
      </c>
      <c r="H2567" s="10" t="s">
        <v>7207</v>
      </c>
      <c r="I2567" s="10" t="s">
        <v>7004</v>
      </c>
    </row>
    <row r="2568" spans="1:9" x14ac:dyDescent="0.15">
      <c r="A2568" s="9">
        <v>2567</v>
      </c>
      <c r="B2568" s="10" t="s">
        <v>9</v>
      </c>
      <c r="C2568" s="10" t="s">
        <v>170</v>
      </c>
      <c r="D2568" s="10" t="s">
        <v>171</v>
      </c>
      <c r="E2568" s="11" t="str">
        <f>+HYPERLINK("http://trademark.i-assist.jp/data/china/image_1900th/78961686.pdf", "78961686")</f>
        <v>78961686</v>
      </c>
      <c r="F2568" s="10" t="s">
        <v>7208</v>
      </c>
      <c r="G2568" s="10" t="s">
        <v>7209</v>
      </c>
      <c r="H2568" s="10" t="s">
        <v>7210</v>
      </c>
      <c r="I2568" s="10" t="s">
        <v>7004</v>
      </c>
    </row>
    <row r="2569" spans="1:9" x14ac:dyDescent="0.15">
      <c r="A2569" s="9">
        <v>2568</v>
      </c>
      <c r="B2569" s="10" t="s">
        <v>9</v>
      </c>
      <c r="C2569" s="10" t="s">
        <v>170</v>
      </c>
      <c r="D2569" s="10" t="s">
        <v>171</v>
      </c>
      <c r="E2569" s="11" t="str">
        <f>+HYPERLINK("http://trademark.i-assist.jp/data/china/image_1900th/78961707.pdf", "78961707")</f>
        <v>78961707</v>
      </c>
      <c r="F2569" s="10" t="s">
        <v>7211</v>
      </c>
      <c r="G2569" s="10" t="s">
        <v>77</v>
      </c>
      <c r="H2569" s="10" t="s">
        <v>7212</v>
      </c>
      <c r="I2569" s="10" t="s">
        <v>7004</v>
      </c>
    </row>
    <row r="2570" spans="1:9" x14ac:dyDescent="0.15">
      <c r="A2570" s="9">
        <v>2569</v>
      </c>
      <c r="B2570" s="10" t="s">
        <v>9</v>
      </c>
      <c r="C2570" s="10" t="s">
        <v>170</v>
      </c>
      <c r="D2570" s="10" t="s">
        <v>171</v>
      </c>
      <c r="E2570" s="11" t="str">
        <f>+HYPERLINK("http://trademark.i-assist.jp/data/china/image_1900th/78962197.pdf", "78962197")</f>
        <v>78962197</v>
      </c>
      <c r="F2570" s="10" t="s">
        <v>7213</v>
      </c>
      <c r="G2570" s="10" t="s">
        <v>7214</v>
      </c>
      <c r="H2570" s="10" t="s">
        <v>7215</v>
      </c>
      <c r="I2570" s="10" t="s">
        <v>7004</v>
      </c>
    </row>
    <row r="2571" spans="1:9" x14ac:dyDescent="0.15">
      <c r="A2571" s="9">
        <v>2570</v>
      </c>
      <c r="B2571" s="10" t="s">
        <v>9</v>
      </c>
      <c r="C2571" s="10" t="s">
        <v>170</v>
      </c>
      <c r="D2571" s="10" t="s">
        <v>171</v>
      </c>
      <c r="E2571" s="11" t="str">
        <f>+HYPERLINK("http://trademark.i-assist.jp/data/china/image_1900th/78962228.pdf", "78962228")</f>
        <v>78962228</v>
      </c>
      <c r="F2571" s="10" t="s">
        <v>7216</v>
      </c>
      <c r="G2571" s="10" t="s">
        <v>7217</v>
      </c>
      <c r="H2571" s="10" t="s">
        <v>7218</v>
      </c>
      <c r="I2571" s="10" t="s">
        <v>7004</v>
      </c>
    </row>
    <row r="2572" spans="1:9" x14ac:dyDescent="0.15">
      <c r="A2572" s="9">
        <v>2571</v>
      </c>
      <c r="B2572" s="10" t="s">
        <v>9</v>
      </c>
      <c r="C2572" s="10" t="s">
        <v>170</v>
      </c>
      <c r="D2572" s="10" t="s">
        <v>171</v>
      </c>
      <c r="E2572" s="11" t="str">
        <f>+HYPERLINK("http://trademark.i-assist.jp/data/china/image_1900th/78962861.pdf", "78962861")</f>
        <v>78962861</v>
      </c>
      <c r="F2572" s="10" t="s">
        <v>7219</v>
      </c>
      <c r="G2572" s="10" t="s">
        <v>4945</v>
      </c>
      <c r="H2572" s="10" t="s">
        <v>7220</v>
      </c>
      <c r="I2572" s="10" t="s">
        <v>7004</v>
      </c>
    </row>
    <row r="2573" spans="1:9" x14ac:dyDescent="0.15">
      <c r="A2573" s="9">
        <v>2572</v>
      </c>
      <c r="B2573" s="10" t="s">
        <v>9</v>
      </c>
      <c r="C2573" s="10" t="s">
        <v>170</v>
      </c>
      <c r="D2573" s="10" t="s">
        <v>171</v>
      </c>
      <c r="E2573" s="11" t="str">
        <f>+HYPERLINK("http://trademark.i-assist.jp/data/china/image_1900th/78962944.pdf", "78962944")</f>
        <v>78962944</v>
      </c>
      <c r="F2573" s="10" t="s">
        <v>7221</v>
      </c>
      <c r="G2573" s="10" t="s">
        <v>7222</v>
      </c>
      <c r="H2573" s="10" t="s">
        <v>7223</v>
      </c>
      <c r="I2573" s="10" t="s">
        <v>7004</v>
      </c>
    </row>
    <row r="2574" spans="1:9" x14ac:dyDescent="0.15">
      <c r="A2574" s="9">
        <v>2573</v>
      </c>
      <c r="B2574" s="10" t="s">
        <v>9</v>
      </c>
      <c r="C2574" s="10" t="s">
        <v>170</v>
      </c>
      <c r="D2574" s="10" t="s">
        <v>171</v>
      </c>
      <c r="E2574" s="11" t="str">
        <f>+HYPERLINK("http://trademark.i-assist.jp/data/china/image_1900th/78963320.pdf", "78963320")</f>
        <v>78963320</v>
      </c>
      <c r="F2574" s="10" t="s">
        <v>7224</v>
      </c>
      <c r="G2574" s="10" t="s">
        <v>1340</v>
      </c>
      <c r="H2574" s="10" t="s">
        <v>7225</v>
      </c>
      <c r="I2574" s="10" t="s">
        <v>7004</v>
      </c>
    </row>
    <row r="2575" spans="1:9" x14ac:dyDescent="0.15">
      <c r="A2575" s="9">
        <v>2574</v>
      </c>
      <c r="B2575" s="10" t="s">
        <v>9</v>
      </c>
      <c r="C2575" s="10" t="s">
        <v>170</v>
      </c>
      <c r="D2575" s="10" t="s">
        <v>171</v>
      </c>
      <c r="E2575" s="11" t="str">
        <f>+HYPERLINK("http://trademark.i-assist.jp/data/china/image_1900th/78963371.pdf", "78963371")</f>
        <v>78963371</v>
      </c>
      <c r="F2575" s="10" t="s">
        <v>7226</v>
      </c>
      <c r="G2575" s="10" t="s">
        <v>7227</v>
      </c>
      <c r="H2575" s="10" t="s">
        <v>7228</v>
      </c>
      <c r="I2575" s="10" t="s">
        <v>7004</v>
      </c>
    </row>
    <row r="2576" spans="1:9" x14ac:dyDescent="0.15">
      <c r="A2576" s="9">
        <v>2575</v>
      </c>
      <c r="B2576" s="10" t="s">
        <v>9</v>
      </c>
      <c r="C2576" s="10" t="s">
        <v>170</v>
      </c>
      <c r="D2576" s="10" t="s">
        <v>171</v>
      </c>
      <c r="E2576" s="11" t="str">
        <f>+HYPERLINK("http://trademark.i-assist.jp/data/china/image_1900th/78963434.pdf", "78963434")</f>
        <v>78963434</v>
      </c>
      <c r="F2576" s="10" t="s">
        <v>7229</v>
      </c>
      <c r="G2576" s="10" t="s">
        <v>7230</v>
      </c>
      <c r="H2576" s="10" t="s">
        <v>7231</v>
      </c>
      <c r="I2576" s="10" t="s">
        <v>7004</v>
      </c>
    </row>
    <row r="2577" spans="1:9" x14ac:dyDescent="0.15">
      <c r="A2577" s="9">
        <v>2576</v>
      </c>
      <c r="B2577" s="10" t="s">
        <v>9</v>
      </c>
      <c r="C2577" s="10" t="s">
        <v>170</v>
      </c>
      <c r="D2577" s="10" t="s">
        <v>171</v>
      </c>
      <c r="E2577" s="11" t="str">
        <f>+HYPERLINK("http://trademark.i-assist.jp/data/china/image_1900th/78963473.pdf", "78963473")</f>
        <v>78963473</v>
      </c>
      <c r="F2577" s="10" t="s">
        <v>7232</v>
      </c>
      <c r="G2577" s="10" t="s">
        <v>7233</v>
      </c>
      <c r="H2577" s="10" t="s">
        <v>7234</v>
      </c>
      <c r="I2577" s="10" t="s">
        <v>7004</v>
      </c>
    </row>
    <row r="2578" spans="1:9" x14ac:dyDescent="0.15">
      <c r="A2578" s="9">
        <v>2577</v>
      </c>
      <c r="B2578" s="10" t="s">
        <v>9</v>
      </c>
      <c r="C2578" s="10" t="s">
        <v>170</v>
      </c>
      <c r="D2578" s="10" t="s">
        <v>171</v>
      </c>
      <c r="E2578" s="11" t="str">
        <f>+HYPERLINK("http://trademark.i-assist.jp/data/china/image_1900th/78963547.pdf", "78963547")</f>
        <v>78963547</v>
      </c>
      <c r="F2578" s="10" t="s">
        <v>7235</v>
      </c>
      <c r="G2578" s="10" t="s">
        <v>7080</v>
      </c>
      <c r="H2578" s="10" t="s">
        <v>7236</v>
      </c>
      <c r="I2578" s="10" t="s">
        <v>7004</v>
      </c>
    </row>
    <row r="2579" spans="1:9" x14ac:dyDescent="0.15">
      <c r="A2579" s="9">
        <v>2578</v>
      </c>
      <c r="B2579" s="10" t="s">
        <v>9</v>
      </c>
      <c r="C2579" s="10" t="s">
        <v>170</v>
      </c>
      <c r="D2579" s="10" t="s">
        <v>171</v>
      </c>
      <c r="E2579" s="11" t="str">
        <f>+HYPERLINK("http://trademark.i-assist.jp/data/china/image_1900th/78963622.pdf", "78963622")</f>
        <v>78963622</v>
      </c>
      <c r="F2579" s="10" t="s">
        <v>7237</v>
      </c>
      <c r="G2579" s="10" t="s">
        <v>7238</v>
      </c>
      <c r="H2579" s="10" t="s">
        <v>7239</v>
      </c>
      <c r="I2579" s="10" t="s">
        <v>7004</v>
      </c>
    </row>
    <row r="2580" spans="1:9" x14ac:dyDescent="0.15">
      <c r="A2580" s="9">
        <v>2579</v>
      </c>
      <c r="B2580" s="10" t="s">
        <v>9</v>
      </c>
      <c r="C2580" s="10" t="s">
        <v>170</v>
      </c>
      <c r="D2580" s="10" t="s">
        <v>171</v>
      </c>
      <c r="E2580" s="11" t="str">
        <f>+HYPERLINK("http://trademark.i-assist.jp/data/china/image_1900th/78963651.pdf", "78963651")</f>
        <v>78963651</v>
      </c>
      <c r="F2580" s="10" t="s">
        <v>7240</v>
      </c>
      <c r="G2580" s="10" t="s">
        <v>7241</v>
      </c>
      <c r="H2580" s="10" t="s">
        <v>7242</v>
      </c>
      <c r="I2580" s="10" t="s">
        <v>7004</v>
      </c>
    </row>
    <row r="2581" spans="1:9" x14ac:dyDescent="0.15">
      <c r="A2581" s="9">
        <v>2580</v>
      </c>
      <c r="B2581" s="10" t="s">
        <v>9</v>
      </c>
      <c r="C2581" s="10" t="s">
        <v>170</v>
      </c>
      <c r="D2581" s="10" t="s">
        <v>171</v>
      </c>
      <c r="E2581" s="11" t="str">
        <f>+HYPERLINK("http://trademark.i-assist.jp/data/china/image_1900th/78963679.pdf", "78963679")</f>
        <v>78963679</v>
      </c>
      <c r="F2581" s="10" t="s">
        <v>7243</v>
      </c>
      <c r="G2581" s="10" t="s">
        <v>1773</v>
      </c>
      <c r="H2581" s="10" t="s">
        <v>7244</v>
      </c>
      <c r="I2581" s="10" t="s">
        <v>7004</v>
      </c>
    </row>
    <row r="2582" spans="1:9" x14ac:dyDescent="0.15">
      <c r="A2582" s="9">
        <v>2581</v>
      </c>
      <c r="B2582" s="10" t="s">
        <v>9</v>
      </c>
      <c r="C2582" s="10" t="s">
        <v>170</v>
      </c>
      <c r="D2582" s="10" t="s">
        <v>171</v>
      </c>
      <c r="E2582" s="11" t="str">
        <f>+HYPERLINK("http://trademark.i-assist.jp/data/china/image_1900th/78964089.pdf", "78964089")</f>
        <v>78964089</v>
      </c>
      <c r="F2582" s="10" t="s">
        <v>7245</v>
      </c>
      <c r="G2582" s="10" t="s">
        <v>139</v>
      </c>
      <c r="H2582" s="10" t="s">
        <v>7246</v>
      </c>
      <c r="I2582" s="10" t="s">
        <v>7004</v>
      </c>
    </row>
    <row r="2583" spans="1:9" x14ac:dyDescent="0.15">
      <c r="A2583" s="9">
        <v>2582</v>
      </c>
      <c r="B2583" s="10" t="s">
        <v>9</v>
      </c>
      <c r="C2583" s="10" t="s">
        <v>170</v>
      </c>
      <c r="D2583" s="10" t="s">
        <v>171</v>
      </c>
      <c r="E2583" s="11" t="str">
        <f>+HYPERLINK("http://trademark.i-assist.jp/data/china/image_1900th/78964101.pdf", "78964101")</f>
        <v>78964101</v>
      </c>
      <c r="F2583" s="10" t="s">
        <v>7247</v>
      </c>
      <c r="G2583" s="10" t="s">
        <v>139</v>
      </c>
      <c r="H2583" s="10" t="s">
        <v>7248</v>
      </c>
      <c r="I2583" s="10" t="s">
        <v>7004</v>
      </c>
    </row>
    <row r="2584" spans="1:9" x14ac:dyDescent="0.15">
      <c r="A2584" s="9">
        <v>2583</v>
      </c>
      <c r="B2584" s="10" t="s">
        <v>9</v>
      </c>
      <c r="C2584" s="10" t="s">
        <v>170</v>
      </c>
      <c r="D2584" s="10" t="s">
        <v>171</v>
      </c>
      <c r="E2584" s="11" t="str">
        <f>+HYPERLINK("http://trademark.i-assist.jp/data/china/image_1900th/78964424.pdf", "78964424")</f>
        <v>78964424</v>
      </c>
      <c r="F2584" s="10" t="s">
        <v>7249</v>
      </c>
      <c r="G2584" s="10" t="s">
        <v>7250</v>
      </c>
      <c r="H2584" s="10" t="s">
        <v>7251</v>
      </c>
      <c r="I2584" s="10" t="s">
        <v>7004</v>
      </c>
    </row>
    <row r="2585" spans="1:9" x14ac:dyDescent="0.15">
      <c r="A2585" s="9">
        <v>2584</v>
      </c>
      <c r="B2585" s="10" t="s">
        <v>9</v>
      </c>
      <c r="C2585" s="10" t="s">
        <v>170</v>
      </c>
      <c r="D2585" s="10" t="s">
        <v>171</v>
      </c>
      <c r="E2585" s="11" t="str">
        <f>+HYPERLINK("http://trademark.i-assist.jp/data/china/image_1900th/78964521.pdf", "78964521")</f>
        <v>78964521</v>
      </c>
      <c r="F2585" s="10" t="s">
        <v>7252</v>
      </c>
      <c r="G2585" s="10" t="s">
        <v>7253</v>
      </c>
      <c r="H2585" s="10" t="s">
        <v>7254</v>
      </c>
      <c r="I2585" s="10" t="s">
        <v>7004</v>
      </c>
    </row>
    <row r="2586" spans="1:9" x14ac:dyDescent="0.15">
      <c r="A2586" s="9">
        <v>2585</v>
      </c>
      <c r="B2586" s="10" t="s">
        <v>9</v>
      </c>
      <c r="C2586" s="10" t="s">
        <v>170</v>
      </c>
      <c r="D2586" s="10" t="s">
        <v>171</v>
      </c>
      <c r="E2586" s="11" t="str">
        <f>+HYPERLINK("http://trademark.i-assist.jp/data/china/image_1900th/78964522.pdf", "78964522")</f>
        <v>78964522</v>
      </c>
      <c r="F2586" s="10" t="s">
        <v>7255</v>
      </c>
      <c r="G2586" s="10" t="s">
        <v>7256</v>
      </c>
      <c r="H2586" s="10" t="s">
        <v>7257</v>
      </c>
      <c r="I2586" s="10" t="s">
        <v>7004</v>
      </c>
    </row>
    <row r="2587" spans="1:9" x14ac:dyDescent="0.15">
      <c r="A2587" s="9">
        <v>2586</v>
      </c>
      <c r="B2587" s="10" t="s">
        <v>9</v>
      </c>
      <c r="C2587" s="10" t="s">
        <v>170</v>
      </c>
      <c r="D2587" s="10" t="s">
        <v>171</v>
      </c>
      <c r="E2587" s="11" t="str">
        <f>+HYPERLINK("http://trademark.i-assist.jp/data/china/image_1900th/78964695.pdf", "78964695")</f>
        <v>78964695</v>
      </c>
      <c r="F2587" s="10" t="s">
        <v>7258</v>
      </c>
      <c r="G2587" s="10" t="s">
        <v>7259</v>
      </c>
      <c r="H2587" s="10" t="s">
        <v>7260</v>
      </c>
      <c r="I2587" s="10" t="s">
        <v>7004</v>
      </c>
    </row>
    <row r="2588" spans="1:9" x14ac:dyDescent="0.15">
      <c r="A2588" s="9">
        <v>2587</v>
      </c>
      <c r="B2588" s="10" t="s">
        <v>9</v>
      </c>
      <c r="C2588" s="10" t="s">
        <v>170</v>
      </c>
      <c r="D2588" s="10" t="s">
        <v>171</v>
      </c>
      <c r="E2588" s="11" t="str">
        <f>+HYPERLINK("http://trademark.i-assist.jp/data/china/image_1900th/78965600.pdf", "78965600")</f>
        <v>78965600</v>
      </c>
      <c r="F2588" s="10" t="s">
        <v>7261</v>
      </c>
      <c r="G2588" s="10" t="s">
        <v>7204</v>
      </c>
      <c r="H2588" s="10" t="s">
        <v>7262</v>
      </c>
      <c r="I2588" s="10" t="s">
        <v>7004</v>
      </c>
    </row>
    <row r="2589" spans="1:9" x14ac:dyDescent="0.15">
      <c r="A2589" s="9">
        <v>2588</v>
      </c>
      <c r="B2589" s="10" t="s">
        <v>9</v>
      </c>
      <c r="C2589" s="10" t="s">
        <v>170</v>
      </c>
      <c r="D2589" s="10" t="s">
        <v>171</v>
      </c>
      <c r="E2589" s="11" t="str">
        <f>+HYPERLINK("http://trademark.i-assist.jp/data/china/image_1900th/78965908.pdf", "78965908")</f>
        <v>78965908</v>
      </c>
      <c r="F2589" s="10" t="s">
        <v>7263</v>
      </c>
      <c r="G2589" s="10" t="s">
        <v>7264</v>
      </c>
      <c r="H2589" s="10" t="s">
        <v>7265</v>
      </c>
      <c r="I2589" s="10" t="s">
        <v>7004</v>
      </c>
    </row>
    <row r="2590" spans="1:9" x14ac:dyDescent="0.15">
      <c r="A2590" s="9">
        <v>2589</v>
      </c>
      <c r="B2590" s="10" t="s">
        <v>9</v>
      </c>
      <c r="C2590" s="10" t="s">
        <v>170</v>
      </c>
      <c r="D2590" s="10" t="s">
        <v>171</v>
      </c>
      <c r="E2590" s="11" t="str">
        <f>+HYPERLINK("http://trademark.i-assist.jp/data/china/image_1900th/78965934.pdf", "78965934")</f>
        <v>78965934</v>
      </c>
      <c r="F2590" s="10" t="s">
        <v>7266</v>
      </c>
      <c r="G2590" s="10" t="s">
        <v>7267</v>
      </c>
      <c r="H2590" s="10" t="s">
        <v>7268</v>
      </c>
      <c r="I2590" s="10" t="s">
        <v>7004</v>
      </c>
    </row>
    <row r="2591" spans="1:9" x14ac:dyDescent="0.15">
      <c r="A2591" s="9">
        <v>2590</v>
      </c>
      <c r="B2591" s="10" t="s">
        <v>9</v>
      </c>
      <c r="C2591" s="10" t="s">
        <v>170</v>
      </c>
      <c r="D2591" s="10" t="s">
        <v>171</v>
      </c>
      <c r="E2591" s="11" t="str">
        <f>+HYPERLINK("http://trademark.i-assist.jp/data/china/image_1900th/78966036.pdf", "78966036")</f>
        <v>78966036</v>
      </c>
      <c r="F2591" s="10" t="s">
        <v>7269</v>
      </c>
      <c r="G2591" s="10" t="s">
        <v>7270</v>
      </c>
      <c r="H2591" s="10" t="s">
        <v>7271</v>
      </c>
      <c r="I2591" s="10" t="s">
        <v>7004</v>
      </c>
    </row>
    <row r="2592" spans="1:9" x14ac:dyDescent="0.15">
      <c r="A2592" s="9">
        <v>2591</v>
      </c>
      <c r="B2592" s="10" t="s">
        <v>9</v>
      </c>
      <c r="C2592" s="10" t="s">
        <v>170</v>
      </c>
      <c r="D2592" s="10" t="s">
        <v>171</v>
      </c>
      <c r="E2592" s="11" t="str">
        <f>+HYPERLINK("http://trademark.i-assist.jp/data/china/image_1900th/78966115.pdf", "78966115")</f>
        <v>78966115</v>
      </c>
      <c r="F2592" s="10" t="s">
        <v>7272</v>
      </c>
      <c r="G2592" s="10" t="s">
        <v>7273</v>
      </c>
      <c r="H2592" s="10" t="s">
        <v>7274</v>
      </c>
      <c r="I2592" s="10" t="s">
        <v>7004</v>
      </c>
    </row>
    <row r="2593" spans="1:9" x14ac:dyDescent="0.15">
      <c r="A2593" s="9">
        <v>2592</v>
      </c>
      <c r="B2593" s="10" t="s">
        <v>9</v>
      </c>
      <c r="C2593" s="10" t="s">
        <v>170</v>
      </c>
      <c r="D2593" s="10" t="s">
        <v>171</v>
      </c>
      <c r="E2593" s="11" t="str">
        <f>+HYPERLINK("http://trademark.i-assist.jp/data/china/image_1900th/78966193.pdf", "78966193")</f>
        <v>78966193</v>
      </c>
      <c r="F2593" s="10" t="s">
        <v>7275</v>
      </c>
      <c r="G2593" s="10" t="s">
        <v>7259</v>
      </c>
      <c r="H2593" s="10" t="s">
        <v>7276</v>
      </c>
      <c r="I2593" s="10" t="s">
        <v>7004</v>
      </c>
    </row>
    <row r="2594" spans="1:9" x14ac:dyDescent="0.15">
      <c r="A2594" s="9">
        <v>2593</v>
      </c>
      <c r="B2594" s="10" t="s">
        <v>9</v>
      </c>
      <c r="C2594" s="10" t="s">
        <v>170</v>
      </c>
      <c r="D2594" s="10" t="s">
        <v>171</v>
      </c>
      <c r="E2594" s="11" t="str">
        <f>+HYPERLINK("http://trademark.i-assist.jp/data/china/image_1900th/78967207.pdf", "78967207")</f>
        <v>78967207</v>
      </c>
      <c r="F2594" s="10" t="s">
        <v>7277</v>
      </c>
      <c r="G2594" s="10" t="s">
        <v>139</v>
      </c>
      <c r="H2594" s="10" t="s">
        <v>7278</v>
      </c>
      <c r="I2594" s="10" t="s">
        <v>7004</v>
      </c>
    </row>
    <row r="2595" spans="1:9" x14ac:dyDescent="0.15">
      <c r="A2595" s="9">
        <v>2594</v>
      </c>
      <c r="B2595" s="10" t="s">
        <v>9</v>
      </c>
      <c r="C2595" s="10" t="s">
        <v>170</v>
      </c>
      <c r="D2595" s="10" t="s">
        <v>171</v>
      </c>
      <c r="E2595" s="11" t="str">
        <f>+HYPERLINK("http://trademark.i-assist.jp/data/china/image_1900th/78967217.pdf", "78967217")</f>
        <v>78967217</v>
      </c>
      <c r="F2595" s="10" t="s">
        <v>7279</v>
      </c>
      <c r="G2595" s="10" t="s">
        <v>139</v>
      </c>
      <c r="H2595" s="10" t="s">
        <v>7280</v>
      </c>
      <c r="I2595" s="10" t="s">
        <v>7004</v>
      </c>
    </row>
    <row r="2596" spans="1:9" x14ac:dyDescent="0.15">
      <c r="A2596" s="9">
        <v>2595</v>
      </c>
      <c r="B2596" s="10" t="s">
        <v>9</v>
      </c>
      <c r="C2596" s="10" t="s">
        <v>170</v>
      </c>
      <c r="D2596" s="10" t="s">
        <v>171</v>
      </c>
      <c r="E2596" s="11" t="str">
        <f>+HYPERLINK("http://trademark.i-assist.jp/data/china/image_1900th/78967357.pdf", "78967357")</f>
        <v>78967357</v>
      </c>
      <c r="F2596" s="10" t="s">
        <v>7281</v>
      </c>
      <c r="G2596" s="10" t="s">
        <v>7282</v>
      </c>
      <c r="H2596" s="10" t="s">
        <v>7283</v>
      </c>
      <c r="I2596" s="10" t="s">
        <v>7004</v>
      </c>
    </row>
    <row r="2597" spans="1:9" x14ac:dyDescent="0.15">
      <c r="A2597" s="9">
        <v>2596</v>
      </c>
      <c r="B2597" s="10" t="s">
        <v>9</v>
      </c>
      <c r="C2597" s="10" t="s">
        <v>170</v>
      </c>
      <c r="D2597" s="10" t="s">
        <v>171</v>
      </c>
      <c r="E2597" s="11" t="str">
        <f>+HYPERLINK("http://trademark.i-assist.jp/data/china/image_1900th/78967466.pdf", "78967466")</f>
        <v>78967466</v>
      </c>
      <c r="F2597" s="10" t="s">
        <v>7284</v>
      </c>
      <c r="G2597" s="10" t="s">
        <v>7285</v>
      </c>
      <c r="H2597" s="10" t="s">
        <v>7286</v>
      </c>
      <c r="I2597" s="10" t="s">
        <v>7004</v>
      </c>
    </row>
    <row r="2598" spans="1:9" x14ac:dyDescent="0.15">
      <c r="A2598" s="9">
        <v>2597</v>
      </c>
      <c r="B2598" s="10" t="s">
        <v>9</v>
      </c>
      <c r="C2598" s="10" t="s">
        <v>170</v>
      </c>
      <c r="D2598" s="10" t="s">
        <v>171</v>
      </c>
      <c r="E2598" s="11" t="str">
        <f>+HYPERLINK("http://trademark.i-assist.jp/data/china/image_1900th/78967479.pdf", "78967479")</f>
        <v>78967479</v>
      </c>
      <c r="F2598" s="10" t="s">
        <v>7287</v>
      </c>
      <c r="G2598" s="10" t="s">
        <v>7288</v>
      </c>
      <c r="H2598" s="10" t="s">
        <v>7289</v>
      </c>
      <c r="I2598" s="10" t="s">
        <v>7004</v>
      </c>
    </row>
    <row r="2599" spans="1:9" x14ac:dyDescent="0.15">
      <c r="A2599" s="9">
        <v>2598</v>
      </c>
      <c r="B2599" s="10" t="s">
        <v>9</v>
      </c>
      <c r="C2599" s="10" t="s">
        <v>170</v>
      </c>
      <c r="D2599" s="10" t="s">
        <v>171</v>
      </c>
      <c r="E2599" s="11" t="str">
        <f>+HYPERLINK("http://trademark.i-assist.jp/data/china/image_1900th/78967514.pdf", "78967514")</f>
        <v>78967514</v>
      </c>
      <c r="F2599" s="10" t="s">
        <v>7290</v>
      </c>
      <c r="G2599" s="10" t="s">
        <v>7291</v>
      </c>
      <c r="H2599" s="10" t="s">
        <v>7292</v>
      </c>
      <c r="I2599" s="10" t="s">
        <v>7004</v>
      </c>
    </row>
    <row r="2600" spans="1:9" x14ac:dyDescent="0.15">
      <c r="A2600" s="9">
        <v>2599</v>
      </c>
      <c r="B2600" s="10" t="s">
        <v>9</v>
      </c>
      <c r="C2600" s="10" t="s">
        <v>170</v>
      </c>
      <c r="D2600" s="10" t="s">
        <v>171</v>
      </c>
      <c r="E2600" s="11" t="str">
        <f>+HYPERLINK("http://trademark.i-assist.jp/data/china/image_1900th/78967638.pdf", "78967638")</f>
        <v>78967638</v>
      </c>
      <c r="F2600" s="10" t="s">
        <v>7293</v>
      </c>
      <c r="G2600" s="10" t="s">
        <v>150</v>
      </c>
      <c r="H2600" s="10" t="s">
        <v>7294</v>
      </c>
      <c r="I2600" s="10" t="s">
        <v>7004</v>
      </c>
    </row>
    <row r="2601" spans="1:9" x14ac:dyDescent="0.15">
      <c r="A2601" s="9">
        <v>2600</v>
      </c>
      <c r="B2601" s="10" t="s">
        <v>9</v>
      </c>
      <c r="C2601" s="10" t="s">
        <v>170</v>
      </c>
      <c r="D2601" s="10" t="s">
        <v>171</v>
      </c>
      <c r="E2601" s="11" t="str">
        <f>+HYPERLINK("http://trademark.i-assist.jp/data/china/image_1900th/78967729.pdf", "78967729")</f>
        <v>78967729</v>
      </c>
      <c r="F2601" s="10" t="s">
        <v>7295</v>
      </c>
      <c r="G2601" s="10" t="s">
        <v>7296</v>
      </c>
      <c r="H2601" s="10" t="s">
        <v>7297</v>
      </c>
      <c r="I2601" s="10" t="s">
        <v>7004</v>
      </c>
    </row>
    <row r="2602" spans="1:9" x14ac:dyDescent="0.15">
      <c r="A2602" s="9">
        <v>2601</v>
      </c>
      <c r="B2602" s="10" t="s">
        <v>9</v>
      </c>
      <c r="C2602" s="10" t="s">
        <v>170</v>
      </c>
      <c r="D2602" s="10" t="s">
        <v>171</v>
      </c>
      <c r="E2602" s="11" t="str">
        <f>+HYPERLINK("http://trademark.i-assist.jp/data/china/image_1900th/78967960.pdf", "78967960")</f>
        <v>78967960</v>
      </c>
      <c r="F2602" s="10" t="s">
        <v>7298</v>
      </c>
      <c r="G2602" s="10" t="s">
        <v>7299</v>
      </c>
      <c r="H2602" s="10" t="s">
        <v>7300</v>
      </c>
      <c r="I2602" s="10" t="s">
        <v>7004</v>
      </c>
    </row>
    <row r="2603" spans="1:9" x14ac:dyDescent="0.15">
      <c r="A2603" s="9">
        <v>2602</v>
      </c>
      <c r="B2603" s="10" t="s">
        <v>9</v>
      </c>
      <c r="C2603" s="10" t="s">
        <v>170</v>
      </c>
      <c r="D2603" s="10" t="s">
        <v>171</v>
      </c>
      <c r="E2603" s="11" t="str">
        <f>+HYPERLINK("http://trademark.i-assist.jp/data/china/image_1900th/78968034.pdf", "78968034")</f>
        <v>78968034</v>
      </c>
      <c r="F2603" s="10" t="s">
        <v>7301</v>
      </c>
      <c r="G2603" s="10" t="s">
        <v>7302</v>
      </c>
      <c r="H2603" s="10" t="s">
        <v>7303</v>
      </c>
      <c r="I2603" s="10" t="s">
        <v>7004</v>
      </c>
    </row>
    <row r="2604" spans="1:9" x14ac:dyDescent="0.15">
      <c r="A2604" s="9">
        <v>2603</v>
      </c>
      <c r="B2604" s="10" t="s">
        <v>9</v>
      </c>
      <c r="C2604" s="10" t="s">
        <v>170</v>
      </c>
      <c r="D2604" s="10" t="s">
        <v>171</v>
      </c>
      <c r="E2604" s="11" t="str">
        <f>+HYPERLINK("http://trademark.i-assist.jp/data/china/image_1900th/78968035.pdf", "78968035")</f>
        <v>78968035</v>
      </c>
      <c r="F2604" s="10" t="s">
        <v>7304</v>
      </c>
      <c r="G2604" s="10" t="s">
        <v>3304</v>
      </c>
      <c r="H2604" s="10" t="s">
        <v>7305</v>
      </c>
      <c r="I2604" s="10" t="s">
        <v>7004</v>
      </c>
    </row>
    <row r="2605" spans="1:9" x14ac:dyDescent="0.15">
      <c r="A2605" s="9">
        <v>2604</v>
      </c>
      <c r="B2605" s="10" t="s">
        <v>9</v>
      </c>
      <c r="C2605" s="10" t="s">
        <v>170</v>
      </c>
      <c r="D2605" s="10" t="s">
        <v>171</v>
      </c>
      <c r="E2605" s="11" t="str">
        <f>+HYPERLINK("http://trademark.i-assist.jp/data/china/image_1900th/78968686.pdf", "78968686")</f>
        <v>78968686</v>
      </c>
      <c r="F2605" s="10" t="s">
        <v>7306</v>
      </c>
      <c r="G2605" s="10" t="s">
        <v>7307</v>
      </c>
      <c r="H2605" s="10" t="s">
        <v>7308</v>
      </c>
      <c r="I2605" s="10" t="s">
        <v>7004</v>
      </c>
    </row>
    <row r="2606" spans="1:9" x14ac:dyDescent="0.15">
      <c r="A2606" s="9">
        <v>2605</v>
      </c>
      <c r="B2606" s="10" t="s">
        <v>9</v>
      </c>
      <c r="C2606" s="10" t="s">
        <v>170</v>
      </c>
      <c r="D2606" s="10" t="s">
        <v>171</v>
      </c>
      <c r="E2606" s="11" t="str">
        <f>+HYPERLINK("http://trademark.i-assist.jp/data/china/image_1900th/78968690.pdf", "78968690")</f>
        <v>78968690</v>
      </c>
      <c r="F2606" s="10" t="s">
        <v>7309</v>
      </c>
      <c r="G2606" s="10" t="s">
        <v>7310</v>
      </c>
      <c r="H2606" s="10" t="s">
        <v>7311</v>
      </c>
      <c r="I2606" s="10" t="s">
        <v>7004</v>
      </c>
    </row>
    <row r="2607" spans="1:9" x14ac:dyDescent="0.15">
      <c r="A2607" s="9">
        <v>2606</v>
      </c>
      <c r="B2607" s="10" t="s">
        <v>9</v>
      </c>
      <c r="C2607" s="10" t="s">
        <v>170</v>
      </c>
      <c r="D2607" s="10" t="s">
        <v>171</v>
      </c>
      <c r="E2607" s="11" t="str">
        <f>+HYPERLINK("http://trademark.i-assist.jp/data/china/image_1900th/78968723.pdf", "78968723")</f>
        <v>78968723</v>
      </c>
      <c r="F2607" s="10" t="s">
        <v>7312</v>
      </c>
      <c r="G2607" s="10" t="s">
        <v>7313</v>
      </c>
      <c r="H2607" s="10" t="s">
        <v>7314</v>
      </c>
      <c r="I2607" s="10" t="s">
        <v>7004</v>
      </c>
    </row>
    <row r="2608" spans="1:9" x14ac:dyDescent="0.15">
      <c r="A2608" s="9">
        <v>2607</v>
      </c>
      <c r="B2608" s="10" t="s">
        <v>9</v>
      </c>
      <c r="C2608" s="10" t="s">
        <v>170</v>
      </c>
      <c r="D2608" s="10" t="s">
        <v>171</v>
      </c>
      <c r="E2608" s="11" t="str">
        <f>+HYPERLINK("http://trademark.i-assist.jp/data/china/image_1900th/78968851.pdf", "78968851")</f>
        <v>78968851</v>
      </c>
      <c r="F2608" s="10" t="s">
        <v>7315</v>
      </c>
      <c r="G2608" s="10" t="s">
        <v>7316</v>
      </c>
      <c r="H2608" s="10" t="s">
        <v>7317</v>
      </c>
      <c r="I2608" s="10" t="s">
        <v>7004</v>
      </c>
    </row>
    <row r="2609" spans="1:9" x14ac:dyDescent="0.15">
      <c r="A2609" s="9">
        <v>2608</v>
      </c>
      <c r="B2609" s="10" t="s">
        <v>9</v>
      </c>
      <c r="C2609" s="10" t="s">
        <v>170</v>
      </c>
      <c r="D2609" s="10" t="s">
        <v>171</v>
      </c>
      <c r="E2609" s="11" t="str">
        <f>+HYPERLINK("http://trademark.i-assist.jp/data/china/image_1900th/78969409.pdf", "78969409")</f>
        <v>78969409</v>
      </c>
      <c r="F2609" s="10" t="s">
        <v>7318</v>
      </c>
      <c r="G2609" s="10" t="s">
        <v>7319</v>
      </c>
      <c r="H2609" s="10" t="s">
        <v>7320</v>
      </c>
      <c r="I2609" s="10" t="s">
        <v>7004</v>
      </c>
    </row>
    <row r="2610" spans="1:9" x14ac:dyDescent="0.15">
      <c r="A2610" s="9">
        <v>2609</v>
      </c>
      <c r="B2610" s="10" t="s">
        <v>9</v>
      </c>
      <c r="C2610" s="10" t="s">
        <v>170</v>
      </c>
      <c r="D2610" s="10" t="s">
        <v>171</v>
      </c>
      <c r="E2610" s="11" t="str">
        <f>+HYPERLINK("http://trademark.i-assist.jp/data/china/image_1900th/78969487.pdf", "78969487")</f>
        <v>78969487</v>
      </c>
      <c r="F2610" s="10" t="s">
        <v>7321</v>
      </c>
      <c r="G2610" s="10" t="s">
        <v>7322</v>
      </c>
      <c r="H2610" s="10" t="s">
        <v>7323</v>
      </c>
      <c r="I2610" s="10" t="s">
        <v>7004</v>
      </c>
    </row>
    <row r="2611" spans="1:9" x14ac:dyDescent="0.15">
      <c r="A2611" s="9">
        <v>2610</v>
      </c>
      <c r="B2611" s="10" t="s">
        <v>9</v>
      </c>
      <c r="C2611" s="10" t="s">
        <v>170</v>
      </c>
      <c r="D2611" s="10" t="s">
        <v>171</v>
      </c>
      <c r="E2611" s="11" t="str">
        <f>+HYPERLINK("http://trademark.i-assist.jp/data/china/image_1900th/78969725.pdf", "78969725")</f>
        <v>78969725</v>
      </c>
      <c r="F2611" s="10" t="s">
        <v>7324</v>
      </c>
      <c r="G2611" s="10" t="s">
        <v>7325</v>
      </c>
      <c r="H2611" s="10" t="s">
        <v>7326</v>
      </c>
      <c r="I2611" s="10" t="s">
        <v>7004</v>
      </c>
    </row>
    <row r="2612" spans="1:9" x14ac:dyDescent="0.15">
      <c r="A2612" s="9">
        <v>2611</v>
      </c>
      <c r="B2612" s="10" t="s">
        <v>9</v>
      </c>
      <c r="C2612" s="10" t="s">
        <v>170</v>
      </c>
      <c r="D2612" s="10" t="s">
        <v>171</v>
      </c>
      <c r="E2612" s="11" t="str">
        <f>+HYPERLINK("http://trademark.i-assist.jp/data/china/image_1900th/78969750.pdf", "78969750")</f>
        <v>78969750</v>
      </c>
      <c r="F2612" s="10" t="s">
        <v>7327</v>
      </c>
      <c r="G2612" s="10" t="s">
        <v>7328</v>
      </c>
      <c r="H2612" s="10" t="s">
        <v>7329</v>
      </c>
      <c r="I2612" s="10" t="s">
        <v>7004</v>
      </c>
    </row>
    <row r="2613" spans="1:9" x14ac:dyDescent="0.15">
      <c r="A2613" s="9">
        <v>2612</v>
      </c>
      <c r="B2613" s="10" t="s">
        <v>9</v>
      </c>
      <c r="C2613" s="10" t="s">
        <v>170</v>
      </c>
      <c r="D2613" s="10" t="s">
        <v>171</v>
      </c>
      <c r="E2613" s="11" t="str">
        <f>+HYPERLINK("http://trademark.i-assist.jp/data/china/image_1900th/78970132.pdf", "78970132")</f>
        <v>78970132</v>
      </c>
      <c r="F2613" s="10" t="s">
        <v>7330</v>
      </c>
      <c r="G2613" s="10" t="s">
        <v>7331</v>
      </c>
      <c r="H2613" s="10" t="s">
        <v>7332</v>
      </c>
      <c r="I2613" s="10" t="s">
        <v>7004</v>
      </c>
    </row>
    <row r="2614" spans="1:9" x14ac:dyDescent="0.15">
      <c r="A2614" s="9">
        <v>2613</v>
      </c>
      <c r="B2614" s="10" t="s">
        <v>9</v>
      </c>
      <c r="C2614" s="10" t="s">
        <v>170</v>
      </c>
      <c r="D2614" s="10" t="s">
        <v>171</v>
      </c>
      <c r="E2614" s="11" t="str">
        <f>+HYPERLINK("http://trademark.i-assist.jp/data/china/image_1900th/78970361.pdf", "78970361")</f>
        <v>78970361</v>
      </c>
      <c r="F2614" s="10" t="s">
        <v>7333</v>
      </c>
      <c r="G2614" s="10" t="s">
        <v>7106</v>
      </c>
      <c r="H2614" s="10" t="s">
        <v>7334</v>
      </c>
      <c r="I2614" s="10" t="s">
        <v>7004</v>
      </c>
    </row>
    <row r="2615" spans="1:9" x14ac:dyDescent="0.15">
      <c r="A2615" s="9">
        <v>2614</v>
      </c>
      <c r="B2615" s="10" t="s">
        <v>9</v>
      </c>
      <c r="C2615" s="10" t="s">
        <v>170</v>
      </c>
      <c r="D2615" s="10" t="s">
        <v>171</v>
      </c>
      <c r="E2615" s="11" t="str">
        <f>+HYPERLINK("http://trademark.i-assist.jp/data/china/image_1900th/78970561.pdf", "78970561")</f>
        <v>78970561</v>
      </c>
      <c r="F2615" s="10" t="s">
        <v>7335</v>
      </c>
      <c r="G2615" s="10" t="s">
        <v>7014</v>
      </c>
      <c r="H2615" s="10" t="s">
        <v>7336</v>
      </c>
      <c r="I2615" s="10" t="s">
        <v>7004</v>
      </c>
    </row>
    <row r="2616" spans="1:9" x14ac:dyDescent="0.15">
      <c r="A2616" s="9">
        <v>2615</v>
      </c>
      <c r="B2616" s="10" t="s">
        <v>9</v>
      </c>
      <c r="C2616" s="10" t="s">
        <v>170</v>
      </c>
      <c r="D2616" s="10" t="s">
        <v>171</v>
      </c>
      <c r="E2616" s="11" t="str">
        <f>+HYPERLINK("http://trademark.i-assist.jp/data/china/image_1900th/78970563.pdf", "78970563")</f>
        <v>78970563</v>
      </c>
      <c r="F2616" s="10" t="s">
        <v>15</v>
      </c>
      <c r="G2616" s="10" t="s">
        <v>7337</v>
      </c>
      <c r="H2616" s="10" t="s">
        <v>7338</v>
      </c>
      <c r="I2616" s="10" t="s">
        <v>7004</v>
      </c>
    </row>
    <row r="2617" spans="1:9" x14ac:dyDescent="0.15">
      <c r="A2617" s="9">
        <v>2616</v>
      </c>
      <c r="B2617" s="10" t="s">
        <v>9</v>
      </c>
      <c r="C2617" s="10" t="s">
        <v>170</v>
      </c>
      <c r="D2617" s="10" t="s">
        <v>171</v>
      </c>
      <c r="E2617" s="11" t="str">
        <f>+HYPERLINK("http://trademark.i-assist.jp/data/china/image_1900th/78970638.pdf", "78970638")</f>
        <v>78970638</v>
      </c>
      <c r="F2617" s="10" t="s">
        <v>15</v>
      </c>
      <c r="G2617" s="10" t="s">
        <v>7339</v>
      </c>
      <c r="H2617" s="10" t="s">
        <v>7340</v>
      </c>
      <c r="I2617" s="10" t="s">
        <v>7004</v>
      </c>
    </row>
    <row r="2618" spans="1:9" x14ac:dyDescent="0.15">
      <c r="A2618" s="9">
        <v>2617</v>
      </c>
      <c r="B2618" s="10" t="s">
        <v>9</v>
      </c>
      <c r="C2618" s="10" t="s">
        <v>170</v>
      </c>
      <c r="D2618" s="10" t="s">
        <v>171</v>
      </c>
      <c r="E2618" s="11" t="str">
        <f>+HYPERLINK("http://trademark.i-assist.jp/data/china/image_1900th/78970878.pdf", "78970878")</f>
        <v>78970878</v>
      </c>
      <c r="F2618" s="10" t="s">
        <v>7341</v>
      </c>
      <c r="G2618" s="10" t="s">
        <v>7342</v>
      </c>
      <c r="H2618" s="10" t="s">
        <v>7343</v>
      </c>
      <c r="I2618" s="10" t="s">
        <v>7004</v>
      </c>
    </row>
    <row r="2619" spans="1:9" x14ac:dyDescent="0.15">
      <c r="A2619" s="9">
        <v>2618</v>
      </c>
      <c r="B2619" s="10" t="s">
        <v>9</v>
      </c>
      <c r="C2619" s="10" t="s">
        <v>170</v>
      </c>
      <c r="D2619" s="10" t="s">
        <v>171</v>
      </c>
      <c r="E2619" s="11" t="str">
        <f>+HYPERLINK("http://trademark.i-assist.jp/data/china/image_1900th/78970999.pdf", "78970999")</f>
        <v>78970999</v>
      </c>
      <c r="F2619" s="10" t="s">
        <v>7344</v>
      </c>
      <c r="G2619" s="10" t="s">
        <v>4945</v>
      </c>
      <c r="H2619" s="10" t="s">
        <v>7345</v>
      </c>
      <c r="I2619" s="10" t="s">
        <v>7004</v>
      </c>
    </row>
    <row r="2620" spans="1:9" x14ac:dyDescent="0.15">
      <c r="A2620" s="9">
        <v>2619</v>
      </c>
      <c r="B2620" s="10" t="s">
        <v>9</v>
      </c>
      <c r="C2620" s="10" t="s">
        <v>170</v>
      </c>
      <c r="D2620" s="10" t="s">
        <v>171</v>
      </c>
      <c r="E2620" s="11" t="str">
        <f>+HYPERLINK("http://trademark.i-assist.jp/data/china/image_1900th/78971021.pdf", "78971021")</f>
        <v>78971021</v>
      </c>
      <c r="F2620" s="10" t="s">
        <v>7346</v>
      </c>
      <c r="G2620" s="10" t="s">
        <v>7253</v>
      </c>
      <c r="H2620" s="10" t="s">
        <v>7347</v>
      </c>
      <c r="I2620" s="10" t="s">
        <v>7004</v>
      </c>
    </row>
    <row r="2621" spans="1:9" x14ac:dyDescent="0.15">
      <c r="A2621" s="9">
        <v>2620</v>
      </c>
      <c r="B2621" s="10" t="s">
        <v>9</v>
      </c>
      <c r="C2621" s="10" t="s">
        <v>170</v>
      </c>
      <c r="D2621" s="10" t="s">
        <v>171</v>
      </c>
      <c r="E2621" s="11" t="str">
        <f>+HYPERLINK("http://trademark.i-assist.jp/data/china/image_1900th/78971209.pdf", "78971209")</f>
        <v>78971209</v>
      </c>
      <c r="F2621" s="10" t="s">
        <v>7348</v>
      </c>
      <c r="G2621" s="10" t="s">
        <v>7349</v>
      </c>
      <c r="H2621" s="10" t="s">
        <v>7350</v>
      </c>
      <c r="I2621" s="10" t="s">
        <v>7004</v>
      </c>
    </row>
    <row r="2622" spans="1:9" x14ac:dyDescent="0.15">
      <c r="A2622" s="9">
        <v>2621</v>
      </c>
      <c r="B2622" s="10" t="s">
        <v>9</v>
      </c>
      <c r="C2622" s="10" t="s">
        <v>170</v>
      </c>
      <c r="D2622" s="10" t="s">
        <v>171</v>
      </c>
      <c r="E2622" s="11" t="str">
        <f>+HYPERLINK("http://trademark.i-assist.jp/data/china/image_1900th/78971228.pdf", "78971228")</f>
        <v>78971228</v>
      </c>
      <c r="F2622" s="10" t="s">
        <v>7351</v>
      </c>
      <c r="G2622" s="10" t="s">
        <v>7130</v>
      </c>
      <c r="H2622" s="10" t="s">
        <v>7352</v>
      </c>
      <c r="I2622" s="10" t="s">
        <v>7004</v>
      </c>
    </row>
    <row r="2623" spans="1:9" x14ac:dyDescent="0.15">
      <c r="A2623" s="9">
        <v>2622</v>
      </c>
      <c r="B2623" s="10" t="s">
        <v>9</v>
      </c>
      <c r="C2623" s="10" t="s">
        <v>170</v>
      </c>
      <c r="D2623" s="10" t="s">
        <v>171</v>
      </c>
      <c r="E2623" s="11" t="str">
        <f>+HYPERLINK("http://trademark.i-assist.jp/data/china/image_1900th/78971266.pdf", "78971266")</f>
        <v>78971266</v>
      </c>
      <c r="F2623" s="10" t="s">
        <v>7353</v>
      </c>
      <c r="G2623" s="10" t="s">
        <v>7354</v>
      </c>
      <c r="H2623" s="10" t="s">
        <v>7355</v>
      </c>
      <c r="I2623" s="10" t="s">
        <v>7004</v>
      </c>
    </row>
    <row r="2624" spans="1:9" x14ac:dyDescent="0.15">
      <c r="A2624" s="9">
        <v>2623</v>
      </c>
      <c r="B2624" s="10" t="s">
        <v>9</v>
      </c>
      <c r="C2624" s="10" t="s">
        <v>170</v>
      </c>
      <c r="D2624" s="10" t="s">
        <v>171</v>
      </c>
      <c r="E2624" s="11" t="str">
        <f>+HYPERLINK("http://trademark.i-assist.jp/data/china/image_1900th/78971395.pdf", "78971395")</f>
        <v>78971395</v>
      </c>
      <c r="F2624" s="10" t="s">
        <v>7356</v>
      </c>
      <c r="G2624" s="10" t="s">
        <v>7357</v>
      </c>
      <c r="H2624" s="10" t="s">
        <v>7358</v>
      </c>
      <c r="I2624" s="10" t="s">
        <v>7004</v>
      </c>
    </row>
    <row r="2625" spans="1:9" x14ac:dyDescent="0.15">
      <c r="A2625" s="9">
        <v>2624</v>
      </c>
      <c r="B2625" s="10" t="s">
        <v>9</v>
      </c>
      <c r="C2625" s="10" t="s">
        <v>170</v>
      </c>
      <c r="D2625" s="10" t="s">
        <v>171</v>
      </c>
      <c r="E2625" s="11" t="str">
        <f>+HYPERLINK("http://trademark.i-assist.jp/data/china/image_1900th/78971626.pdf", "78971626")</f>
        <v>78971626</v>
      </c>
      <c r="F2625" s="10" t="s">
        <v>7359</v>
      </c>
      <c r="G2625" s="10" t="s">
        <v>7360</v>
      </c>
      <c r="H2625" s="10" t="s">
        <v>7361</v>
      </c>
      <c r="I2625" s="10" t="s">
        <v>7004</v>
      </c>
    </row>
    <row r="2626" spans="1:9" x14ac:dyDescent="0.15">
      <c r="A2626" s="9">
        <v>2625</v>
      </c>
      <c r="B2626" s="10" t="s">
        <v>9</v>
      </c>
      <c r="C2626" s="10" t="s">
        <v>170</v>
      </c>
      <c r="D2626" s="10" t="s">
        <v>171</v>
      </c>
      <c r="E2626" s="11" t="str">
        <f>+HYPERLINK("http://trademark.i-assist.jp/data/china/image_1900th/78971640.pdf", "78971640")</f>
        <v>78971640</v>
      </c>
      <c r="F2626" s="10" t="s">
        <v>7362</v>
      </c>
      <c r="G2626" s="10" t="s">
        <v>7363</v>
      </c>
      <c r="H2626" s="10" t="s">
        <v>7364</v>
      </c>
      <c r="I2626" s="10" t="s">
        <v>7004</v>
      </c>
    </row>
    <row r="2627" spans="1:9" x14ac:dyDescent="0.15">
      <c r="A2627" s="9">
        <v>2626</v>
      </c>
      <c r="B2627" s="10" t="s">
        <v>9</v>
      </c>
      <c r="C2627" s="10" t="s">
        <v>170</v>
      </c>
      <c r="D2627" s="10" t="s">
        <v>171</v>
      </c>
      <c r="E2627" s="11" t="str">
        <f>+HYPERLINK("http://trademark.i-assist.jp/data/china/image_1900th/78971708.pdf", "78971708")</f>
        <v>78971708</v>
      </c>
      <c r="F2627" s="10" t="s">
        <v>7365</v>
      </c>
      <c r="G2627" s="10" t="s">
        <v>7366</v>
      </c>
      <c r="H2627" s="10" t="s">
        <v>7367</v>
      </c>
      <c r="I2627" s="10" t="s">
        <v>7004</v>
      </c>
    </row>
    <row r="2628" spans="1:9" x14ac:dyDescent="0.15">
      <c r="A2628" s="9">
        <v>2627</v>
      </c>
      <c r="B2628" s="10" t="s">
        <v>9</v>
      </c>
      <c r="C2628" s="10" t="s">
        <v>170</v>
      </c>
      <c r="D2628" s="10" t="s">
        <v>171</v>
      </c>
      <c r="E2628" s="11" t="str">
        <f>+HYPERLINK("http://trademark.i-assist.jp/data/china/image_1900th/78971890.pdf", "78971890")</f>
        <v>78971890</v>
      </c>
      <c r="F2628" s="10" t="s">
        <v>7368</v>
      </c>
      <c r="G2628" s="10" t="s">
        <v>7369</v>
      </c>
      <c r="H2628" s="10" t="s">
        <v>7370</v>
      </c>
      <c r="I2628" s="10" t="s">
        <v>7004</v>
      </c>
    </row>
    <row r="2629" spans="1:9" x14ac:dyDescent="0.15">
      <c r="A2629" s="9">
        <v>2628</v>
      </c>
      <c r="B2629" s="10" t="s">
        <v>9</v>
      </c>
      <c r="C2629" s="10" t="s">
        <v>170</v>
      </c>
      <c r="D2629" s="10" t="s">
        <v>171</v>
      </c>
      <c r="E2629" s="11" t="str">
        <f>+HYPERLINK("http://trademark.i-assist.jp/data/china/image_1900th/78972116.pdf", "78972116")</f>
        <v>78972116</v>
      </c>
      <c r="F2629" s="10" t="s">
        <v>7371</v>
      </c>
      <c r="G2629" s="10" t="s">
        <v>7372</v>
      </c>
      <c r="H2629" s="10" t="s">
        <v>7373</v>
      </c>
      <c r="I2629" s="10" t="s">
        <v>7004</v>
      </c>
    </row>
    <row r="2630" spans="1:9" x14ac:dyDescent="0.15">
      <c r="A2630" s="9">
        <v>2629</v>
      </c>
      <c r="B2630" s="10" t="s">
        <v>9</v>
      </c>
      <c r="C2630" s="10" t="s">
        <v>170</v>
      </c>
      <c r="D2630" s="10" t="s">
        <v>171</v>
      </c>
      <c r="E2630" s="11" t="str">
        <f>+HYPERLINK("http://trademark.i-assist.jp/data/china/image_1900th/78972122.pdf", "78972122")</f>
        <v>78972122</v>
      </c>
      <c r="F2630" s="10" t="s">
        <v>7374</v>
      </c>
      <c r="G2630" s="10" t="s">
        <v>7147</v>
      </c>
      <c r="H2630" s="10" t="s">
        <v>7375</v>
      </c>
      <c r="I2630" s="10" t="s">
        <v>7004</v>
      </c>
    </row>
    <row r="2631" spans="1:9" x14ac:dyDescent="0.15">
      <c r="A2631" s="9">
        <v>2630</v>
      </c>
      <c r="B2631" s="10" t="s">
        <v>9</v>
      </c>
      <c r="C2631" s="10" t="s">
        <v>170</v>
      </c>
      <c r="D2631" s="10" t="s">
        <v>171</v>
      </c>
      <c r="E2631" s="11" t="str">
        <f>+HYPERLINK("http://trademark.i-assist.jp/data/china/image_1900th/78972355.pdf", "78972355")</f>
        <v>78972355</v>
      </c>
      <c r="F2631" s="10" t="s">
        <v>7376</v>
      </c>
      <c r="G2631" s="10" t="s">
        <v>7377</v>
      </c>
      <c r="H2631" s="10" t="s">
        <v>7378</v>
      </c>
      <c r="I2631" s="10" t="s">
        <v>7004</v>
      </c>
    </row>
    <row r="2632" spans="1:9" x14ac:dyDescent="0.15">
      <c r="A2632" s="9">
        <v>2631</v>
      </c>
      <c r="B2632" s="10" t="s">
        <v>9</v>
      </c>
      <c r="C2632" s="10" t="s">
        <v>170</v>
      </c>
      <c r="D2632" s="10" t="s">
        <v>171</v>
      </c>
      <c r="E2632" s="11" t="str">
        <f>+HYPERLINK("http://trademark.i-assist.jp/data/china/image_1900th/78972420.pdf", "78972420")</f>
        <v>78972420</v>
      </c>
      <c r="F2632" s="10" t="s">
        <v>7379</v>
      </c>
      <c r="G2632" s="10" t="s">
        <v>1340</v>
      </c>
      <c r="H2632" s="10" t="s">
        <v>7380</v>
      </c>
      <c r="I2632" s="10" t="s">
        <v>7004</v>
      </c>
    </row>
    <row r="2633" spans="1:9" x14ac:dyDescent="0.15">
      <c r="A2633" s="9">
        <v>2632</v>
      </c>
      <c r="B2633" s="10" t="s">
        <v>9</v>
      </c>
      <c r="C2633" s="10" t="s">
        <v>170</v>
      </c>
      <c r="D2633" s="10" t="s">
        <v>171</v>
      </c>
      <c r="E2633" s="11" t="str">
        <f>+HYPERLINK("http://trademark.i-assist.jp/data/china/image_1900th/78972456.pdf", "78972456")</f>
        <v>78972456</v>
      </c>
      <c r="F2633" s="10" t="s">
        <v>7381</v>
      </c>
      <c r="G2633" s="10" t="s">
        <v>7382</v>
      </c>
      <c r="H2633" s="10" t="s">
        <v>7383</v>
      </c>
      <c r="I2633" s="10" t="s">
        <v>7004</v>
      </c>
    </row>
    <row r="2634" spans="1:9" x14ac:dyDescent="0.15">
      <c r="A2634" s="9">
        <v>2633</v>
      </c>
      <c r="B2634" s="10" t="s">
        <v>9</v>
      </c>
      <c r="C2634" s="10" t="s">
        <v>170</v>
      </c>
      <c r="D2634" s="10" t="s">
        <v>171</v>
      </c>
      <c r="E2634" s="11" t="str">
        <f>+HYPERLINK("http://trademark.i-assist.jp/data/china/image_1900th/78972556.pdf", "78972556")</f>
        <v>78972556</v>
      </c>
      <c r="F2634" s="10" t="s">
        <v>7384</v>
      </c>
      <c r="G2634" s="10" t="s">
        <v>7385</v>
      </c>
      <c r="H2634" s="10" t="s">
        <v>7386</v>
      </c>
      <c r="I2634" s="10" t="s">
        <v>7004</v>
      </c>
    </row>
    <row r="2635" spans="1:9" x14ac:dyDescent="0.15">
      <c r="A2635" s="9">
        <v>2634</v>
      </c>
      <c r="B2635" s="10" t="s">
        <v>9</v>
      </c>
      <c r="C2635" s="10" t="s">
        <v>170</v>
      </c>
      <c r="D2635" s="10" t="s">
        <v>171</v>
      </c>
      <c r="E2635" s="11" t="str">
        <f>+HYPERLINK("http://trademark.i-assist.jp/data/china/image_1900th/78972663.pdf", "78972663")</f>
        <v>78972663</v>
      </c>
      <c r="F2635" s="10" t="s">
        <v>7387</v>
      </c>
      <c r="G2635" s="10" t="s">
        <v>7388</v>
      </c>
      <c r="H2635" s="10" t="s">
        <v>7389</v>
      </c>
      <c r="I2635" s="10" t="s">
        <v>7004</v>
      </c>
    </row>
    <row r="2636" spans="1:9" x14ac:dyDescent="0.15">
      <c r="A2636" s="9">
        <v>2635</v>
      </c>
      <c r="B2636" s="10" t="s">
        <v>9</v>
      </c>
      <c r="C2636" s="10" t="s">
        <v>170</v>
      </c>
      <c r="D2636" s="10" t="s">
        <v>171</v>
      </c>
      <c r="E2636" s="11" t="str">
        <f>+HYPERLINK("http://trademark.i-assist.jp/data/china/image_1900th/78972923.pdf", "78972923")</f>
        <v>78972923</v>
      </c>
      <c r="F2636" s="10" t="s">
        <v>7390</v>
      </c>
      <c r="G2636" s="10" t="s">
        <v>7328</v>
      </c>
      <c r="H2636" s="10" t="s">
        <v>7391</v>
      </c>
      <c r="I2636" s="10" t="s">
        <v>7004</v>
      </c>
    </row>
    <row r="2637" spans="1:9" x14ac:dyDescent="0.15">
      <c r="A2637" s="9">
        <v>2636</v>
      </c>
      <c r="B2637" s="10" t="s">
        <v>9</v>
      </c>
      <c r="C2637" s="10" t="s">
        <v>170</v>
      </c>
      <c r="D2637" s="10" t="s">
        <v>171</v>
      </c>
      <c r="E2637" s="11" t="str">
        <f>+HYPERLINK("http://trademark.i-assist.jp/data/china/image_1900th/78972924.pdf", "78972924")</f>
        <v>78972924</v>
      </c>
      <c r="F2637" s="10" t="s">
        <v>7392</v>
      </c>
      <c r="G2637" s="10" t="s">
        <v>7053</v>
      </c>
      <c r="H2637" s="10" t="s">
        <v>7393</v>
      </c>
      <c r="I2637" s="10" t="s">
        <v>7004</v>
      </c>
    </row>
    <row r="2638" spans="1:9" x14ac:dyDescent="0.15">
      <c r="A2638" s="9">
        <v>2637</v>
      </c>
      <c r="B2638" s="10" t="s">
        <v>9</v>
      </c>
      <c r="C2638" s="10" t="s">
        <v>170</v>
      </c>
      <c r="D2638" s="10" t="s">
        <v>171</v>
      </c>
      <c r="E2638" s="11" t="str">
        <f>+HYPERLINK("http://trademark.i-assist.jp/data/china/image_1900th/78973130.pdf", "78973130")</f>
        <v>78973130</v>
      </c>
      <c r="F2638" s="10" t="s">
        <v>7394</v>
      </c>
      <c r="G2638" s="10" t="s">
        <v>7130</v>
      </c>
      <c r="H2638" s="10" t="s">
        <v>7395</v>
      </c>
      <c r="I2638" s="10" t="s">
        <v>7004</v>
      </c>
    </row>
    <row r="2639" spans="1:9" x14ac:dyDescent="0.15">
      <c r="A2639" s="9">
        <v>2638</v>
      </c>
      <c r="B2639" s="10" t="s">
        <v>9</v>
      </c>
      <c r="C2639" s="10" t="s">
        <v>170</v>
      </c>
      <c r="D2639" s="10" t="s">
        <v>171</v>
      </c>
      <c r="E2639" s="11" t="str">
        <f>+HYPERLINK("http://trademark.i-assist.jp/data/china/image_1900th/78973515.pdf", "78973515")</f>
        <v>78973515</v>
      </c>
      <c r="F2639" s="10" t="s">
        <v>15</v>
      </c>
      <c r="G2639" s="10" t="s">
        <v>7396</v>
      </c>
      <c r="H2639" s="10" t="s">
        <v>7397</v>
      </c>
      <c r="I2639" s="10" t="s">
        <v>7004</v>
      </c>
    </row>
    <row r="2640" spans="1:9" x14ac:dyDescent="0.15">
      <c r="A2640" s="9">
        <v>2639</v>
      </c>
      <c r="B2640" s="10" t="s">
        <v>9</v>
      </c>
      <c r="C2640" s="10" t="s">
        <v>170</v>
      </c>
      <c r="D2640" s="10" t="s">
        <v>171</v>
      </c>
      <c r="E2640" s="11" t="str">
        <f>+HYPERLINK("http://trademark.i-assist.jp/data/china/image_1900th/78973644.pdf", "78973644")</f>
        <v>78973644</v>
      </c>
      <c r="F2640" s="10" t="s">
        <v>7398</v>
      </c>
      <c r="G2640" s="10" t="s">
        <v>7399</v>
      </c>
      <c r="H2640" s="10" t="s">
        <v>7400</v>
      </c>
      <c r="I2640" s="10" t="s">
        <v>7004</v>
      </c>
    </row>
    <row r="2641" spans="1:9" x14ac:dyDescent="0.15">
      <c r="A2641" s="9">
        <v>2640</v>
      </c>
      <c r="B2641" s="10" t="s">
        <v>9</v>
      </c>
      <c r="C2641" s="10" t="s">
        <v>170</v>
      </c>
      <c r="D2641" s="10" t="s">
        <v>171</v>
      </c>
      <c r="E2641" s="11" t="str">
        <f>+HYPERLINK("http://trademark.i-assist.jp/data/china/image_1900th/78973722.pdf", "78973722")</f>
        <v>78973722</v>
      </c>
      <c r="F2641" s="10" t="s">
        <v>7401</v>
      </c>
      <c r="G2641" s="10" t="s">
        <v>7106</v>
      </c>
      <c r="H2641" s="10" t="s">
        <v>7402</v>
      </c>
      <c r="I2641" s="10" t="s">
        <v>7004</v>
      </c>
    </row>
    <row r="2642" spans="1:9" x14ac:dyDescent="0.15">
      <c r="A2642" s="9">
        <v>2641</v>
      </c>
      <c r="B2642" s="10" t="s">
        <v>9</v>
      </c>
      <c r="C2642" s="10" t="s">
        <v>170</v>
      </c>
      <c r="D2642" s="10" t="s">
        <v>171</v>
      </c>
      <c r="E2642" s="11" t="str">
        <f>+HYPERLINK("http://trademark.i-assist.jp/data/china/image_1900th/78973823.pdf", "78973823")</f>
        <v>78973823</v>
      </c>
      <c r="F2642" s="10" t="s">
        <v>7403</v>
      </c>
      <c r="G2642" s="10" t="s">
        <v>7404</v>
      </c>
      <c r="H2642" s="10" t="s">
        <v>7405</v>
      </c>
      <c r="I2642" s="10" t="s">
        <v>7004</v>
      </c>
    </row>
    <row r="2643" spans="1:9" x14ac:dyDescent="0.15">
      <c r="A2643" s="9">
        <v>2642</v>
      </c>
      <c r="B2643" s="10" t="s">
        <v>9</v>
      </c>
      <c r="C2643" s="10" t="s">
        <v>170</v>
      </c>
      <c r="D2643" s="10" t="s">
        <v>171</v>
      </c>
      <c r="E2643" s="11" t="str">
        <f>+HYPERLINK("http://trademark.i-assist.jp/data/china/image_1900th/78973962.pdf", "78973962")</f>
        <v>78973962</v>
      </c>
      <c r="F2643" s="10" t="s">
        <v>7406</v>
      </c>
      <c r="G2643" s="10" t="s">
        <v>7302</v>
      </c>
      <c r="H2643" s="10" t="s">
        <v>7407</v>
      </c>
      <c r="I2643" s="10" t="s">
        <v>7004</v>
      </c>
    </row>
    <row r="2644" spans="1:9" x14ac:dyDescent="0.15">
      <c r="A2644" s="9">
        <v>2643</v>
      </c>
      <c r="B2644" s="10" t="s">
        <v>9</v>
      </c>
      <c r="C2644" s="10" t="s">
        <v>170</v>
      </c>
      <c r="D2644" s="10" t="s">
        <v>171</v>
      </c>
      <c r="E2644" s="11" t="str">
        <f>+HYPERLINK("http://trademark.i-assist.jp/data/china/image_1900th/78974444.pdf", "78974444")</f>
        <v>78974444</v>
      </c>
      <c r="F2644" s="10" t="s">
        <v>7408</v>
      </c>
      <c r="G2644" s="10" t="s">
        <v>7409</v>
      </c>
      <c r="H2644" s="10" t="s">
        <v>7410</v>
      </c>
      <c r="I2644" s="10" t="s">
        <v>7004</v>
      </c>
    </row>
    <row r="2645" spans="1:9" x14ac:dyDescent="0.15">
      <c r="A2645" s="9">
        <v>2644</v>
      </c>
      <c r="B2645" s="10" t="s">
        <v>9</v>
      </c>
      <c r="C2645" s="10" t="s">
        <v>170</v>
      </c>
      <c r="D2645" s="10" t="s">
        <v>171</v>
      </c>
      <c r="E2645" s="11" t="str">
        <f>+HYPERLINK("http://trademark.i-assist.jp/data/china/image_1900th/78974783.pdf", "78974783")</f>
        <v>78974783</v>
      </c>
      <c r="F2645" s="10" t="s">
        <v>7411</v>
      </c>
      <c r="G2645" s="10" t="s">
        <v>7412</v>
      </c>
      <c r="H2645" s="10" t="s">
        <v>7413</v>
      </c>
      <c r="I2645" s="10" t="s">
        <v>7004</v>
      </c>
    </row>
    <row r="2646" spans="1:9" x14ac:dyDescent="0.15">
      <c r="A2646" s="9">
        <v>2645</v>
      </c>
      <c r="B2646" s="10" t="s">
        <v>9</v>
      </c>
      <c r="C2646" s="10" t="s">
        <v>170</v>
      </c>
      <c r="D2646" s="10" t="s">
        <v>171</v>
      </c>
      <c r="E2646" s="11" t="str">
        <f>+HYPERLINK("http://trademark.i-assist.jp/data/china/image_1900th/78974806.pdf", "78974806")</f>
        <v>78974806</v>
      </c>
      <c r="F2646" s="10" t="s">
        <v>7414</v>
      </c>
      <c r="G2646" s="10" t="s">
        <v>7415</v>
      </c>
      <c r="H2646" s="10" t="s">
        <v>7416</v>
      </c>
      <c r="I2646" s="10" t="s">
        <v>7004</v>
      </c>
    </row>
    <row r="2647" spans="1:9" x14ac:dyDescent="0.15">
      <c r="A2647" s="9">
        <v>2646</v>
      </c>
      <c r="B2647" s="10" t="s">
        <v>9</v>
      </c>
      <c r="C2647" s="10" t="s">
        <v>170</v>
      </c>
      <c r="D2647" s="10" t="s">
        <v>171</v>
      </c>
      <c r="E2647" s="11" t="str">
        <f>+HYPERLINK("http://trademark.i-assist.jp/data/china/image_1900th/78975218.pdf", "78975218")</f>
        <v>78975218</v>
      </c>
      <c r="F2647" s="10" t="s">
        <v>7417</v>
      </c>
      <c r="G2647" s="10" t="s">
        <v>7418</v>
      </c>
      <c r="H2647" s="10" t="s">
        <v>7419</v>
      </c>
      <c r="I2647" s="10" t="s">
        <v>7004</v>
      </c>
    </row>
    <row r="2648" spans="1:9" x14ac:dyDescent="0.15">
      <c r="A2648" s="9">
        <v>2647</v>
      </c>
      <c r="B2648" s="10" t="s">
        <v>9</v>
      </c>
      <c r="C2648" s="10" t="s">
        <v>170</v>
      </c>
      <c r="D2648" s="10" t="s">
        <v>171</v>
      </c>
      <c r="E2648" s="11" t="str">
        <f>+HYPERLINK("http://trademark.i-assist.jp/data/china/image_1900th/78975312.pdf", "78975312")</f>
        <v>78975312</v>
      </c>
      <c r="F2648" s="10" t="s">
        <v>7420</v>
      </c>
      <c r="G2648" s="10" t="s">
        <v>7421</v>
      </c>
      <c r="H2648" s="10" t="s">
        <v>7422</v>
      </c>
      <c r="I2648" s="10" t="s">
        <v>7004</v>
      </c>
    </row>
    <row r="2649" spans="1:9" x14ac:dyDescent="0.15">
      <c r="A2649" s="9">
        <v>2648</v>
      </c>
      <c r="B2649" s="10" t="s">
        <v>9</v>
      </c>
      <c r="C2649" s="10" t="s">
        <v>170</v>
      </c>
      <c r="D2649" s="10" t="s">
        <v>171</v>
      </c>
      <c r="E2649" s="11" t="str">
        <f>+HYPERLINK("http://trademark.i-assist.jp/data/china/image_1900th/78975442.pdf", "78975442")</f>
        <v>78975442</v>
      </c>
      <c r="F2649" s="10" t="s">
        <v>7423</v>
      </c>
      <c r="G2649" s="10" t="s">
        <v>4945</v>
      </c>
      <c r="H2649" s="10" t="s">
        <v>7424</v>
      </c>
      <c r="I2649" s="10" t="s">
        <v>7004</v>
      </c>
    </row>
    <row r="2650" spans="1:9" x14ac:dyDescent="0.15">
      <c r="A2650" s="9">
        <v>2649</v>
      </c>
      <c r="B2650" s="10" t="s">
        <v>9</v>
      </c>
      <c r="C2650" s="10" t="s">
        <v>170</v>
      </c>
      <c r="D2650" s="10" t="s">
        <v>171</v>
      </c>
      <c r="E2650" s="11" t="str">
        <f>+HYPERLINK("http://trademark.i-assist.jp/data/china/image_1900th/78975452.pdf", "78975452")</f>
        <v>78975452</v>
      </c>
      <c r="F2650" s="10" t="s">
        <v>7425</v>
      </c>
      <c r="G2650" s="10" t="s">
        <v>7426</v>
      </c>
      <c r="H2650" s="10" t="s">
        <v>7427</v>
      </c>
      <c r="I2650" s="10" t="s">
        <v>7004</v>
      </c>
    </row>
    <row r="2651" spans="1:9" x14ac:dyDescent="0.15">
      <c r="A2651" s="9">
        <v>2650</v>
      </c>
      <c r="B2651" s="10" t="s">
        <v>9</v>
      </c>
      <c r="C2651" s="10" t="s">
        <v>170</v>
      </c>
      <c r="D2651" s="10" t="s">
        <v>171</v>
      </c>
      <c r="E2651" s="11" t="str">
        <f>+HYPERLINK("http://trademark.i-assist.jp/data/china/image_1900th/78975526.pdf", "78975526")</f>
        <v>78975526</v>
      </c>
      <c r="F2651" s="10" t="s">
        <v>7428</v>
      </c>
      <c r="G2651" s="10" t="s">
        <v>7429</v>
      </c>
      <c r="H2651" s="10" t="s">
        <v>7430</v>
      </c>
      <c r="I2651" s="10" t="s">
        <v>7004</v>
      </c>
    </row>
    <row r="2652" spans="1:9" x14ac:dyDescent="0.15">
      <c r="A2652" s="9">
        <v>2651</v>
      </c>
      <c r="B2652" s="10" t="s">
        <v>9</v>
      </c>
      <c r="C2652" s="10" t="s">
        <v>170</v>
      </c>
      <c r="D2652" s="10" t="s">
        <v>171</v>
      </c>
      <c r="E2652" s="11" t="str">
        <f>+HYPERLINK("http://trademark.i-assist.jp/data/china/image_1900th/78975636.pdf", "78975636")</f>
        <v>78975636</v>
      </c>
      <c r="F2652" s="10" t="s">
        <v>7431</v>
      </c>
      <c r="G2652" s="10" t="s">
        <v>7432</v>
      </c>
      <c r="H2652" s="10" t="s">
        <v>7433</v>
      </c>
      <c r="I2652" s="10" t="s">
        <v>7004</v>
      </c>
    </row>
    <row r="2653" spans="1:9" x14ac:dyDescent="0.15">
      <c r="A2653" s="9">
        <v>2652</v>
      </c>
      <c r="B2653" s="10" t="s">
        <v>9</v>
      </c>
      <c r="C2653" s="10" t="s">
        <v>170</v>
      </c>
      <c r="D2653" s="10" t="s">
        <v>171</v>
      </c>
      <c r="E2653" s="11" t="str">
        <f>+HYPERLINK("http://trademark.i-assist.jp/data/china/image_1900th/78975719.pdf", "78975719")</f>
        <v>78975719</v>
      </c>
      <c r="F2653" s="10" t="s">
        <v>7434</v>
      </c>
      <c r="G2653" s="10" t="s">
        <v>7331</v>
      </c>
      <c r="H2653" s="10" t="s">
        <v>7435</v>
      </c>
      <c r="I2653" s="10" t="s">
        <v>7004</v>
      </c>
    </row>
    <row r="2654" spans="1:9" x14ac:dyDescent="0.15">
      <c r="A2654" s="9">
        <v>2653</v>
      </c>
      <c r="B2654" s="10" t="s">
        <v>9</v>
      </c>
      <c r="C2654" s="10" t="s">
        <v>170</v>
      </c>
      <c r="D2654" s="10" t="s">
        <v>171</v>
      </c>
      <c r="E2654" s="11" t="str">
        <f>+HYPERLINK("http://trademark.i-assist.jp/data/china/image_1900th/78975743.pdf", "78975743")</f>
        <v>78975743</v>
      </c>
      <c r="F2654" s="10" t="s">
        <v>7436</v>
      </c>
      <c r="G2654" s="10" t="s">
        <v>7331</v>
      </c>
      <c r="H2654" s="10" t="s">
        <v>7437</v>
      </c>
      <c r="I2654" s="10" t="s">
        <v>7004</v>
      </c>
    </row>
    <row r="2655" spans="1:9" x14ac:dyDescent="0.15">
      <c r="A2655" s="9">
        <v>2654</v>
      </c>
      <c r="B2655" s="10" t="s">
        <v>9</v>
      </c>
      <c r="C2655" s="10" t="s">
        <v>170</v>
      </c>
      <c r="D2655" s="10" t="s">
        <v>171</v>
      </c>
      <c r="E2655" s="11" t="str">
        <f>+HYPERLINK("http://trademark.i-assist.jp/data/china/image_1900th/78975882.pdf", "78975882")</f>
        <v>78975882</v>
      </c>
      <c r="F2655" s="10" t="s">
        <v>7438</v>
      </c>
      <c r="G2655" s="10" t="s">
        <v>7404</v>
      </c>
      <c r="H2655" s="10" t="s">
        <v>7439</v>
      </c>
      <c r="I2655" s="10" t="s">
        <v>7004</v>
      </c>
    </row>
    <row r="2656" spans="1:9" x14ac:dyDescent="0.15">
      <c r="A2656" s="9">
        <v>2655</v>
      </c>
      <c r="B2656" s="10" t="s">
        <v>9</v>
      </c>
      <c r="C2656" s="10" t="s">
        <v>170</v>
      </c>
      <c r="D2656" s="10" t="s">
        <v>171</v>
      </c>
      <c r="E2656" s="11" t="str">
        <f>+HYPERLINK("http://trademark.i-assist.jp/data/china/image_1900th/78975956.pdf", "78975956")</f>
        <v>78975956</v>
      </c>
      <c r="F2656" s="10" t="s">
        <v>7440</v>
      </c>
      <c r="G2656" s="10" t="s">
        <v>7307</v>
      </c>
      <c r="H2656" s="10" t="s">
        <v>7441</v>
      </c>
      <c r="I2656" s="10" t="s">
        <v>7004</v>
      </c>
    </row>
    <row r="2657" spans="1:9" x14ac:dyDescent="0.15">
      <c r="A2657" s="9">
        <v>2656</v>
      </c>
      <c r="B2657" s="10" t="s">
        <v>9</v>
      </c>
      <c r="C2657" s="10" t="s">
        <v>170</v>
      </c>
      <c r="D2657" s="10" t="s">
        <v>171</v>
      </c>
      <c r="E2657" s="11" t="str">
        <f>+HYPERLINK("http://trademark.i-assist.jp/data/china/image_1900th/78976280.pdf", "78976280")</f>
        <v>78976280</v>
      </c>
      <c r="F2657" s="10" t="s">
        <v>7442</v>
      </c>
      <c r="G2657" s="10" t="s">
        <v>7443</v>
      </c>
      <c r="H2657" s="10" t="s">
        <v>7444</v>
      </c>
      <c r="I2657" s="10" t="s">
        <v>7004</v>
      </c>
    </row>
    <row r="2658" spans="1:9" x14ac:dyDescent="0.15">
      <c r="A2658" s="9">
        <v>2657</v>
      </c>
      <c r="B2658" s="10" t="s">
        <v>9</v>
      </c>
      <c r="C2658" s="10" t="s">
        <v>170</v>
      </c>
      <c r="D2658" s="10" t="s">
        <v>171</v>
      </c>
      <c r="E2658" s="11" t="str">
        <f>+HYPERLINK("http://trademark.i-assist.jp/data/china/image_1900th/78976473.pdf", "78976473")</f>
        <v>78976473</v>
      </c>
      <c r="F2658" s="10" t="s">
        <v>7445</v>
      </c>
      <c r="G2658" s="10" t="s">
        <v>7302</v>
      </c>
      <c r="H2658" s="10" t="s">
        <v>7446</v>
      </c>
      <c r="I2658" s="10" t="s">
        <v>7004</v>
      </c>
    </row>
    <row r="2659" spans="1:9" x14ac:dyDescent="0.15">
      <c r="A2659" s="9">
        <v>2658</v>
      </c>
      <c r="B2659" s="10" t="s">
        <v>9</v>
      </c>
      <c r="C2659" s="10" t="s">
        <v>170</v>
      </c>
      <c r="D2659" s="10" t="s">
        <v>171</v>
      </c>
      <c r="E2659" s="11" t="str">
        <f>+HYPERLINK("http://trademark.i-assist.jp/data/china/image_1900th/78976643.pdf", "78976643")</f>
        <v>78976643</v>
      </c>
      <c r="F2659" s="10" t="s">
        <v>7447</v>
      </c>
      <c r="G2659" s="10" t="s">
        <v>7448</v>
      </c>
      <c r="H2659" s="10" t="s">
        <v>7449</v>
      </c>
      <c r="I2659" s="10" t="s">
        <v>7004</v>
      </c>
    </row>
    <row r="2660" spans="1:9" x14ac:dyDescent="0.15">
      <c r="A2660" s="9">
        <v>2659</v>
      </c>
      <c r="B2660" s="10" t="s">
        <v>9</v>
      </c>
      <c r="C2660" s="10" t="s">
        <v>170</v>
      </c>
      <c r="D2660" s="10" t="s">
        <v>171</v>
      </c>
      <c r="E2660" s="11" t="str">
        <f>+HYPERLINK("http://trademark.i-assist.jp/data/china/image_1900th/78976757.pdf", "78976757")</f>
        <v>78976757</v>
      </c>
      <c r="F2660" s="10" t="s">
        <v>7450</v>
      </c>
      <c r="G2660" s="10" t="s">
        <v>150</v>
      </c>
      <c r="H2660" s="10" t="s">
        <v>7451</v>
      </c>
      <c r="I2660" s="10" t="s">
        <v>7004</v>
      </c>
    </row>
    <row r="2661" spans="1:9" x14ac:dyDescent="0.15">
      <c r="A2661" s="9">
        <v>2660</v>
      </c>
      <c r="B2661" s="10" t="s">
        <v>9</v>
      </c>
      <c r="C2661" s="10" t="s">
        <v>170</v>
      </c>
      <c r="D2661" s="10" t="s">
        <v>171</v>
      </c>
      <c r="E2661" s="11" t="str">
        <f>+HYPERLINK("http://trademark.i-assist.jp/data/china/image_1900th/78977189.pdf", "78977189")</f>
        <v>78977189</v>
      </c>
      <c r="F2661" s="10" t="s">
        <v>7452</v>
      </c>
      <c r="G2661" s="10" t="s">
        <v>7453</v>
      </c>
      <c r="H2661" s="10" t="s">
        <v>7454</v>
      </c>
      <c r="I2661" s="10" t="s">
        <v>7004</v>
      </c>
    </row>
    <row r="2662" spans="1:9" x14ac:dyDescent="0.15">
      <c r="A2662" s="9">
        <v>2661</v>
      </c>
      <c r="B2662" s="10" t="s">
        <v>9</v>
      </c>
      <c r="C2662" s="10" t="s">
        <v>170</v>
      </c>
      <c r="D2662" s="10" t="s">
        <v>171</v>
      </c>
      <c r="E2662" s="11" t="str">
        <f>+HYPERLINK("http://trademark.i-assist.jp/data/china/image_1900th/78977390.pdf", "78977390")</f>
        <v>78977390</v>
      </c>
      <c r="F2662" s="10" t="s">
        <v>7455</v>
      </c>
      <c r="G2662" s="10" t="s">
        <v>7456</v>
      </c>
      <c r="H2662" s="10" t="s">
        <v>7457</v>
      </c>
      <c r="I2662" s="10" t="s">
        <v>7458</v>
      </c>
    </row>
    <row r="2663" spans="1:9" x14ac:dyDescent="0.15">
      <c r="A2663" s="9">
        <v>2662</v>
      </c>
      <c r="B2663" s="10" t="s">
        <v>9</v>
      </c>
      <c r="C2663" s="10" t="s">
        <v>170</v>
      </c>
      <c r="D2663" s="10" t="s">
        <v>171</v>
      </c>
      <c r="E2663" s="11" t="str">
        <f>+HYPERLINK("http://trademark.i-assist.jp/data/china/image_1900th/78977450.pdf", "78977450")</f>
        <v>78977450</v>
      </c>
      <c r="F2663" s="10" t="s">
        <v>7459</v>
      </c>
      <c r="G2663" s="10" t="s">
        <v>7460</v>
      </c>
      <c r="H2663" s="10" t="s">
        <v>7461</v>
      </c>
      <c r="I2663" s="10" t="s">
        <v>7458</v>
      </c>
    </row>
    <row r="2664" spans="1:9" x14ac:dyDescent="0.15">
      <c r="A2664" s="9">
        <v>2663</v>
      </c>
      <c r="B2664" s="10" t="s">
        <v>9</v>
      </c>
      <c r="C2664" s="10" t="s">
        <v>170</v>
      </c>
      <c r="D2664" s="10" t="s">
        <v>171</v>
      </c>
      <c r="E2664" s="11" t="str">
        <f>+HYPERLINK("http://trademark.i-assist.jp/data/china/image_1900th/78977466.pdf", "78977466")</f>
        <v>78977466</v>
      </c>
      <c r="F2664" s="10" t="s">
        <v>7462</v>
      </c>
      <c r="G2664" s="10" t="s">
        <v>5035</v>
      </c>
      <c r="H2664" s="10" t="s">
        <v>7463</v>
      </c>
      <c r="I2664" s="10" t="s">
        <v>7458</v>
      </c>
    </row>
    <row r="2665" spans="1:9" x14ac:dyDescent="0.15">
      <c r="A2665" s="9">
        <v>2664</v>
      </c>
      <c r="B2665" s="10" t="s">
        <v>9</v>
      </c>
      <c r="C2665" s="10" t="s">
        <v>170</v>
      </c>
      <c r="D2665" s="10" t="s">
        <v>171</v>
      </c>
      <c r="E2665" s="11" t="str">
        <f>+HYPERLINK("http://trademark.i-assist.jp/data/china/image_1900th/78977873.pdf", "78977873")</f>
        <v>78977873</v>
      </c>
      <c r="F2665" s="10" t="s">
        <v>7464</v>
      </c>
      <c r="G2665" s="10" t="s">
        <v>7465</v>
      </c>
      <c r="H2665" s="10" t="s">
        <v>7466</v>
      </c>
      <c r="I2665" s="10" t="s">
        <v>7458</v>
      </c>
    </row>
    <row r="2666" spans="1:9" x14ac:dyDescent="0.15">
      <c r="A2666" s="9">
        <v>2665</v>
      </c>
      <c r="B2666" s="10" t="s">
        <v>9</v>
      </c>
      <c r="C2666" s="10" t="s">
        <v>170</v>
      </c>
      <c r="D2666" s="10" t="s">
        <v>171</v>
      </c>
      <c r="E2666" s="11" t="str">
        <f>+HYPERLINK("http://trademark.i-assist.jp/data/china/image_1900th/78977957.pdf", "78977957")</f>
        <v>78977957</v>
      </c>
      <c r="F2666" s="10" t="s">
        <v>7467</v>
      </c>
      <c r="G2666" s="10" t="s">
        <v>7468</v>
      </c>
      <c r="H2666" s="10" t="s">
        <v>7469</v>
      </c>
      <c r="I2666" s="10" t="s">
        <v>7458</v>
      </c>
    </row>
    <row r="2667" spans="1:9" x14ac:dyDescent="0.15">
      <c r="A2667" s="9">
        <v>2666</v>
      </c>
      <c r="B2667" s="10" t="s">
        <v>9</v>
      </c>
      <c r="C2667" s="10" t="s">
        <v>170</v>
      </c>
      <c r="D2667" s="10" t="s">
        <v>171</v>
      </c>
      <c r="E2667" s="11" t="str">
        <f>+HYPERLINK("http://trademark.i-assist.jp/data/china/image_1900th/78977995.pdf", "78977995")</f>
        <v>78977995</v>
      </c>
      <c r="F2667" s="10" t="s">
        <v>7470</v>
      </c>
      <c r="G2667" s="10" t="s">
        <v>4897</v>
      </c>
      <c r="H2667" s="10" t="s">
        <v>7471</v>
      </c>
      <c r="I2667" s="10" t="s">
        <v>7458</v>
      </c>
    </row>
    <row r="2668" spans="1:9" x14ac:dyDescent="0.15">
      <c r="A2668" s="9">
        <v>2667</v>
      </c>
      <c r="B2668" s="10" t="s">
        <v>9</v>
      </c>
      <c r="C2668" s="10" t="s">
        <v>170</v>
      </c>
      <c r="D2668" s="10" t="s">
        <v>171</v>
      </c>
      <c r="E2668" s="11" t="str">
        <f>+HYPERLINK("http://trademark.i-assist.jp/data/china/image_1900th/78978019.pdf", "78978019")</f>
        <v>78978019</v>
      </c>
      <c r="F2668" s="10" t="s">
        <v>7472</v>
      </c>
      <c r="G2668" s="10" t="s">
        <v>7473</v>
      </c>
      <c r="H2668" s="10" t="s">
        <v>7474</v>
      </c>
      <c r="I2668" s="10" t="s">
        <v>7458</v>
      </c>
    </row>
    <row r="2669" spans="1:9" x14ac:dyDescent="0.15">
      <c r="A2669" s="9">
        <v>2668</v>
      </c>
      <c r="B2669" s="10" t="s">
        <v>9</v>
      </c>
      <c r="C2669" s="10" t="s">
        <v>170</v>
      </c>
      <c r="D2669" s="10" t="s">
        <v>171</v>
      </c>
      <c r="E2669" s="11" t="str">
        <f>+HYPERLINK("http://trademark.i-assist.jp/data/china/image_1900th/78978236.pdf", "78978236")</f>
        <v>78978236</v>
      </c>
      <c r="F2669" s="10" t="s">
        <v>7475</v>
      </c>
      <c r="G2669" s="10" t="s">
        <v>7476</v>
      </c>
      <c r="H2669" s="10" t="s">
        <v>7477</v>
      </c>
      <c r="I2669" s="10" t="s">
        <v>7458</v>
      </c>
    </row>
    <row r="2670" spans="1:9" x14ac:dyDescent="0.15">
      <c r="A2670" s="9">
        <v>2669</v>
      </c>
      <c r="B2670" s="10" t="s">
        <v>9</v>
      </c>
      <c r="C2670" s="10" t="s">
        <v>170</v>
      </c>
      <c r="D2670" s="10" t="s">
        <v>171</v>
      </c>
      <c r="E2670" s="11" t="str">
        <f>+HYPERLINK("http://trademark.i-assist.jp/data/china/image_1900th/78978460.pdf", "78978460")</f>
        <v>78978460</v>
      </c>
      <c r="F2670" s="10" t="s">
        <v>7478</v>
      </c>
      <c r="G2670" s="10" t="s">
        <v>7479</v>
      </c>
      <c r="H2670" s="10" t="s">
        <v>7480</v>
      </c>
      <c r="I2670" s="10" t="s">
        <v>7458</v>
      </c>
    </row>
    <row r="2671" spans="1:9" x14ac:dyDescent="0.15">
      <c r="A2671" s="9">
        <v>2670</v>
      </c>
      <c r="B2671" s="10" t="s">
        <v>9</v>
      </c>
      <c r="C2671" s="10" t="s">
        <v>170</v>
      </c>
      <c r="D2671" s="10" t="s">
        <v>171</v>
      </c>
      <c r="E2671" s="11" t="str">
        <f>+HYPERLINK("http://trademark.i-assist.jp/data/china/image_1900th/78978526.pdf", "78978526")</f>
        <v>78978526</v>
      </c>
      <c r="F2671" s="10" t="s">
        <v>7481</v>
      </c>
      <c r="G2671" s="10" t="s">
        <v>5035</v>
      </c>
      <c r="H2671" s="10" t="s">
        <v>7482</v>
      </c>
      <c r="I2671" s="10" t="s">
        <v>7458</v>
      </c>
    </row>
    <row r="2672" spans="1:9" x14ac:dyDescent="0.15">
      <c r="A2672" s="9">
        <v>2671</v>
      </c>
      <c r="B2672" s="10" t="s">
        <v>9</v>
      </c>
      <c r="C2672" s="10" t="s">
        <v>170</v>
      </c>
      <c r="D2672" s="10" t="s">
        <v>171</v>
      </c>
      <c r="E2672" s="11" t="str">
        <f>+HYPERLINK("http://trademark.i-assist.jp/data/china/image_1900th/78978530.pdf", "78978530")</f>
        <v>78978530</v>
      </c>
      <c r="F2672" s="10" t="s">
        <v>7483</v>
      </c>
      <c r="G2672" s="10" t="s">
        <v>7484</v>
      </c>
      <c r="H2672" s="10" t="s">
        <v>7485</v>
      </c>
      <c r="I2672" s="10" t="s">
        <v>7458</v>
      </c>
    </row>
    <row r="2673" spans="1:9" x14ac:dyDescent="0.15">
      <c r="A2673" s="9">
        <v>2672</v>
      </c>
      <c r="B2673" s="10" t="s">
        <v>9</v>
      </c>
      <c r="C2673" s="10" t="s">
        <v>170</v>
      </c>
      <c r="D2673" s="10" t="s">
        <v>171</v>
      </c>
      <c r="E2673" s="11" t="str">
        <f>+HYPERLINK("http://trademark.i-assist.jp/data/china/image_1900th/78978647.pdf", "78978647")</f>
        <v>78978647</v>
      </c>
      <c r="F2673" s="10" t="s">
        <v>7486</v>
      </c>
      <c r="G2673" s="10" t="s">
        <v>7487</v>
      </c>
      <c r="H2673" s="10" t="s">
        <v>7488</v>
      </c>
      <c r="I2673" s="10" t="s">
        <v>7458</v>
      </c>
    </row>
    <row r="2674" spans="1:9" x14ac:dyDescent="0.15">
      <c r="A2674" s="9">
        <v>2673</v>
      </c>
      <c r="B2674" s="10" t="s">
        <v>9</v>
      </c>
      <c r="C2674" s="10" t="s">
        <v>170</v>
      </c>
      <c r="D2674" s="10" t="s">
        <v>171</v>
      </c>
      <c r="E2674" s="11" t="str">
        <f>+HYPERLINK("http://trademark.i-assist.jp/data/china/image_1900th/78978834.pdf", "78978834")</f>
        <v>78978834</v>
      </c>
      <c r="F2674" s="10" t="s">
        <v>7489</v>
      </c>
      <c r="G2674" s="10" t="s">
        <v>7490</v>
      </c>
      <c r="H2674" s="10" t="s">
        <v>7491</v>
      </c>
      <c r="I2674" s="10" t="s">
        <v>7458</v>
      </c>
    </row>
    <row r="2675" spans="1:9" x14ac:dyDescent="0.15">
      <c r="A2675" s="9">
        <v>2674</v>
      </c>
      <c r="B2675" s="10" t="s">
        <v>9</v>
      </c>
      <c r="C2675" s="10" t="s">
        <v>170</v>
      </c>
      <c r="D2675" s="10" t="s">
        <v>171</v>
      </c>
      <c r="E2675" s="11" t="str">
        <f>+HYPERLINK("http://trademark.i-assist.jp/data/china/image_1900th/78978988.pdf", "78978988")</f>
        <v>78978988</v>
      </c>
      <c r="F2675" s="10" t="s">
        <v>7492</v>
      </c>
      <c r="G2675" s="10" t="s">
        <v>7479</v>
      </c>
      <c r="H2675" s="10" t="s">
        <v>7493</v>
      </c>
      <c r="I2675" s="10" t="s">
        <v>7458</v>
      </c>
    </row>
    <row r="2676" spans="1:9" x14ac:dyDescent="0.15">
      <c r="A2676" s="9">
        <v>2675</v>
      </c>
      <c r="B2676" s="10" t="s">
        <v>9</v>
      </c>
      <c r="C2676" s="10" t="s">
        <v>170</v>
      </c>
      <c r="D2676" s="10" t="s">
        <v>171</v>
      </c>
      <c r="E2676" s="11" t="str">
        <f>+HYPERLINK("http://trademark.i-assist.jp/data/china/image_1900th/78979031.pdf", "78979031")</f>
        <v>78979031</v>
      </c>
      <c r="F2676" s="10" t="s">
        <v>7494</v>
      </c>
      <c r="G2676" s="10" t="s">
        <v>7465</v>
      </c>
      <c r="H2676" s="10" t="s">
        <v>7495</v>
      </c>
      <c r="I2676" s="10" t="s">
        <v>7458</v>
      </c>
    </row>
    <row r="2677" spans="1:9" x14ac:dyDescent="0.15">
      <c r="A2677" s="9">
        <v>2676</v>
      </c>
      <c r="B2677" s="10" t="s">
        <v>9</v>
      </c>
      <c r="C2677" s="10" t="s">
        <v>170</v>
      </c>
      <c r="D2677" s="10" t="s">
        <v>171</v>
      </c>
      <c r="E2677" s="11" t="str">
        <f>+HYPERLINK("http://trademark.i-assist.jp/data/china/image_1900th/78979417.pdf", "78979417")</f>
        <v>78979417</v>
      </c>
      <c r="F2677" s="10" t="s">
        <v>7496</v>
      </c>
      <c r="G2677" s="10" t="s">
        <v>7456</v>
      </c>
      <c r="H2677" s="10" t="s">
        <v>7497</v>
      </c>
      <c r="I2677" s="10" t="s">
        <v>7458</v>
      </c>
    </row>
    <row r="2678" spans="1:9" x14ac:dyDescent="0.15">
      <c r="A2678" s="9">
        <v>2677</v>
      </c>
      <c r="B2678" s="10" t="s">
        <v>9</v>
      </c>
      <c r="C2678" s="10" t="s">
        <v>170</v>
      </c>
      <c r="D2678" s="10" t="s">
        <v>171</v>
      </c>
      <c r="E2678" s="11" t="str">
        <f>+HYPERLINK("http://trademark.i-assist.jp/data/china/image_1900th/78979608.pdf", "78979608")</f>
        <v>78979608</v>
      </c>
      <c r="F2678" s="10" t="s">
        <v>7498</v>
      </c>
      <c r="G2678" s="10" t="s">
        <v>106</v>
      </c>
      <c r="H2678" s="10" t="s">
        <v>7499</v>
      </c>
      <c r="I2678" s="10" t="s">
        <v>7458</v>
      </c>
    </row>
    <row r="2679" spans="1:9" x14ac:dyDescent="0.15">
      <c r="A2679" s="9">
        <v>2678</v>
      </c>
      <c r="B2679" s="10" t="s">
        <v>9</v>
      </c>
      <c r="C2679" s="10" t="s">
        <v>170</v>
      </c>
      <c r="D2679" s="10" t="s">
        <v>171</v>
      </c>
      <c r="E2679" s="11" t="str">
        <f>+HYPERLINK("http://trademark.i-assist.jp/data/china/image_1900th/78979649.pdf", "78979649")</f>
        <v>78979649</v>
      </c>
      <c r="F2679" s="10" t="s">
        <v>7500</v>
      </c>
      <c r="G2679" s="10" t="s">
        <v>7501</v>
      </c>
      <c r="H2679" s="10" t="s">
        <v>7502</v>
      </c>
      <c r="I2679" s="10" t="s">
        <v>7458</v>
      </c>
    </row>
    <row r="2680" spans="1:9" x14ac:dyDescent="0.15">
      <c r="A2680" s="9">
        <v>2679</v>
      </c>
      <c r="B2680" s="10" t="s">
        <v>9</v>
      </c>
      <c r="C2680" s="10" t="s">
        <v>170</v>
      </c>
      <c r="D2680" s="10" t="s">
        <v>171</v>
      </c>
      <c r="E2680" s="11" t="str">
        <f>+HYPERLINK("http://trademark.i-assist.jp/data/china/image_1900th/78980048.pdf", "78980048")</f>
        <v>78980048</v>
      </c>
      <c r="F2680" s="10" t="s">
        <v>7503</v>
      </c>
      <c r="G2680" s="10" t="s">
        <v>7465</v>
      </c>
      <c r="H2680" s="10" t="s">
        <v>7504</v>
      </c>
      <c r="I2680" s="10" t="s">
        <v>7458</v>
      </c>
    </row>
    <row r="2681" spans="1:9" x14ac:dyDescent="0.15">
      <c r="A2681" s="9">
        <v>2680</v>
      </c>
      <c r="B2681" s="10" t="s">
        <v>9</v>
      </c>
      <c r="C2681" s="10" t="s">
        <v>170</v>
      </c>
      <c r="D2681" s="10" t="s">
        <v>171</v>
      </c>
      <c r="E2681" s="11" t="str">
        <f>+HYPERLINK("http://trademark.i-assist.jp/data/china/image_1900th/78980123.pdf", "78980123")</f>
        <v>78980123</v>
      </c>
      <c r="F2681" s="10" t="s">
        <v>7505</v>
      </c>
      <c r="G2681" s="10" t="s">
        <v>7506</v>
      </c>
      <c r="H2681" s="10" t="s">
        <v>7507</v>
      </c>
      <c r="I2681" s="10" t="s">
        <v>7458</v>
      </c>
    </row>
    <row r="2682" spans="1:9" x14ac:dyDescent="0.15">
      <c r="A2682" s="9">
        <v>2681</v>
      </c>
      <c r="B2682" s="10" t="s">
        <v>9</v>
      </c>
      <c r="C2682" s="10" t="s">
        <v>170</v>
      </c>
      <c r="D2682" s="10" t="s">
        <v>171</v>
      </c>
      <c r="E2682" s="11" t="str">
        <f>+HYPERLINK("http://trademark.i-assist.jp/data/china/image_1900th/78980149.pdf", "78980149")</f>
        <v>78980149</v>
      </c>
      <c r="F2682" s="10" t="s">
        <v>7508</v>
      </c>
      <c r="G2682" s="10" t="s">
        <v>7509</v>
      </c>
      <c r="H2682" s="10" t="s">
        <v>7510</v>
      </c>
      <c r="I2682" s="10" t="s">
        <v>7458</v>
      </c>
    </row>
    <row r="2683" spans="1:9" x14ac:dyDescent="0.15">
      <c r="A2683" s="9">
        <v>2682</v>
      </c>
      <c r="B2683" s="10" t="s">
        <v>9</v>
      </c>
      <c r="C2683" s="10" t="s">
        <v>170</v>
      </c>
      <c r="D2683" s="10" t="s">
        <v>171</v>
      </c>
      <c r="E2683" s="11" t="str">
        <f>+HYPERLINK("http://trademark.i-assist.jp/data/china/image_1900th/78980158.pdf", "78980158")</f>
        <v>78980158</v>
      </c>
      <c r="F2683" s="10" t="s">
        <v>7511</v>
      </c>
      <c r="G2683" s="10" t="s">
        <v>7512</v>
      </c>
      <c r="H2683" s="10" t="s">
        <v>7513</v>
      </c>
      <c r="I2683" s="10" t="s">
        <v>7458</v>
      </c>
    </row>
    <row r="2684" spans="1:9" x14ac:dyDescent="0.15">
      <c r="A2684" s="9">
        <v>2683</v>
      </c>
      <c r="B2684" s="10" t="s">
        <v>9</v>
      </c>
      <c r="C2684" s="10" t="s">
        <v>170</v>
      </c>
      <c r="D2684" s="10" t="s">
        <v>171</v>
      </c>
      <c r="E2684" s="11" t="str">
        <f>+HYPERLINK("http://trademark.i-assist.jp/data/china/image_1900th/78980181.pdf", "78980181")</f>
        <v>78980181</v>
      </c>
      <c r="F2684" s="10" t="s">
        <v>7514</v>
      </c>
      <c r="G2684" s="10" t="s">
        <v>7515</v>
      </c>
      <c r="H2684" s="10" t="s">
        <v>7516</v>
      </c>
      <c r="I2684" s="10" t="s">
        <v>7458</v>
      </c>
    </row>
    <row r="2685" spans="1:9" x14ac:dyDescent="0.15">
      <c r="A2685" s="9">
        <v>2684</v>
      </c>
      <c r="B2685" s="10" t="s">
        <v>9</v>
      </c>
      <c r="C2685" s="10" t="s">
        <v>170</v>
      </c>
      <c r="D2685" s="10" t="s">
        <v>171</v>
      </c>
      <c r="E2685" s="11" t="str">
        <f>+HYPERLINK("http://trademark.i-assist.jp/data/china/image_1900th/78980638.pdf", "78980638")</f>
        <v>78980638</v>
      </c>
      <c r="F2685" s="10" t="s">
        <v>7517</v>
      </c>
      <c r="G2685" s="10" t="s">
        <v>5035</v>
      </c>
      <c r="H2685" s="10" t="s">
        <v>7518</v>
      </c>
      <c r="I2685" s="10" t="s">
        <v>7458</v>
      </c>
    </row>
    <row r="2686" spans="1:9" x14ac:dyDescent="0.15">
      <c r="A2686" s="9">
        <v>2685</v>
      </c>
      <c r="B2686" s="10" t="s">
        <v>9</v>
      </c>
      <c r="C2686" s="10" t="s">
        <v>170</v>
      </c>
      <c r="D2686" s="10" t="s">
        <v>171</v>
      </c>
      <c r="E2686" s="11" t="str">
        <f>+HYPERLINK("http://trademark.i-assist.jp/data/china/image_1900th/78981195.pdf", "78981195")</f>
        <v>78981195</v>
      </c>
      <c r="F2686" s="10" t="s">
        <v>7519</v>
      </c>
      <c r="G2686" s="10" t="s">
        <v>5035</v>
      </c>
      <c r="H2686" s="10" t="s">
        <v>7520</v>
      </c>
      <c r="I2686" s="10" t="s">
        <v>7458</v>
      </c>
    </row>
    <row r="2687" spans="1:9" x14ac:dyDescent="0.15">
      <c r="A2687" s="9">
        <v>2686</v>
      </c>
      <c r="B2687" s="10" t="s">
        <v>9</v>
      </c>
      <c r="C2687" s="10" t="s">
        <v>170</v>
      </c>
      <c r="D2687" s="10" t="s">
        <v>171</v>
      </c>
      <c r="E2687" s="11" t="str">
        <f>+HYPERLINK("http://trademark.i-assist.jp/data/china/image_1900th/78981327.pdf", "78981327")</f>
        <v>78981327</v>
      </c>
      <c r="F2687" s="10" t="s">
        <v>7521</v>
      </c>
      <c r="G2687" s="10" t="s">
        <v>7522</v>
      </c>
      <c r="H2687" s="10" t="s">
        <v>7523</v>
      </c>
      <c r="I2687" s="10" t="s">
        <v>7458</v>
      </c>
    </row>
    <row r="2688" spans="1:9" x14ac:dyDescent="0.15">
      <c r="A2688" s="9">
        <v>2687</v>
      </c>
      <c r="B2688" s="10" t="s">
        <v>9</v>
      </c>
      <c r="C2688" s="10" t="s">
        <v>170</v>
      </c>
      <c r="D2688" s="10" t="s">
        <v>171</v>
      </c>
      <c r="E2688" s="11" t="str">
        <f>+HYPERLINK("http://trademark.i-assist.jp/data/china/image_1900th/78981386.pdf", "78981386")</f>
        <v>78981386</v>
      </c>
      <c r="F2688" s="10" t="s">
        <v>7524</v>
      </c>
      <c r="G2688" s="10" t="s">
        <v>7525</v>
      </c>
      <c r="H2688" s="10" t="s">
        <v>7526</v>
      </c>
      <c r="I2688" s="10" t="s">
        <v>7458</v>
      </c>
    </row>
    <row r="2689" spans="1:9" x14ac:dyDescent="0.15">
      <c r="A2689" s="9">
        <v>2688</v>
      </c>
      <c r="B2689" s="10" t="s">
        <v>9</v>
      </c>
      <c r="C2689" s="10" t="s">
        <v>170</v>
      </c>
      <c r="D2689" s="10" t="s">
        <v>171</v>
      </c>
      <c r="E2689" s="11" t="str">
        <f>+HYPERLINK("http://trademark.i-assist.jp/data/china/image_1900th/78981574.pdf", "78981574")</f>
        <v>78981574</v>
      </c>
      <c r="F2689" s="10" t="s">
        <v>7527</v>
      </c>
      <c r="G2689" s="10" t="s">
        <v>7528</v>
      </c>
      <c r="H2689" s="10" t="s">
        <v>7529</v>
      </c>
      <c r="I2689" s="10" t="s">
        <v>7458</v>
      </c>
    </row>
    <row r="2690" spans="1:9" x14ac:dyDescent="0.15">
      <c r="A2690" s="9">
        <v>2689</v>
      </c>
      <c r="B2690" s="10" t="s">
        <v>9</v>
      </c>
      <c r="C2690" s="10" t="s">
        <v>170</v>
      </c>
      <c r="D2690" s="10" t="s">
        <v>171</v>
      </c>
      <c r="E2690" s="11" t="str">
        <f>+HYPERLINK("http://trademark.i-assist.jp/data/china/image_1900th/78982067.pdf", "78982067")</f>
        <v>78982067</v>
      </c>
      <c r="F2690" s="10" t="s">
        <v>7530</v>
      </c>
      <c r="G2690" s="10" t="s">
        <v>5035</v>
      </c>
      <c r="H2690" s="10" t="s">
        <v>7531</v>
      </c>
      <c r="I2690" s="10" t="s">
        <v>7458</v>
      </c>
    </row>
    <row r="2691" spans="1:9" x14ac:dyDescent="0.15">
      <c r="A2691" s="9">
        <v>2690</v>
      </c>
      <c r="B2691" s="10" t="s">
        <v>9</v>
      </c>
      <c r="C2691" s="10" t="s">
        <v>170</v>
      </c>
      <c r="D2691" s="10" t="s">
        <v>171</v>
      </c>
      <c r="E2691" s="11" t="str">
        <f>+HYPERLINK("http://trademark.i-assist.jp/data/china/image_1900th/78982141.pdf", "78982141")</f>
        <v>78982141</v>
      </c>
      <c r="F2691" s="10" t="s">
        <v>7532</v>
      </c>
      <c r="G2691" s="10" t="s">
        <v>7533</v>
      </c>
      <c r="H2691" s="10" t="s">
        <v>7534</v>
      </c>
      <c r="I2691" s="10" t="s">
        <v>7458</v>
      </c>
    </row>
    <row r="2692" spans="1:9" x14ac:dyDescent="0.15">
      <c r="A2692" s="9">
        <v>2691</v>
      </c>
      <c r="B2692" s="10" t="s">
        <v>9</v>
      </c>
      <c r="C2692" s="10" t="s">
        <v>170</v>
      </c>
      <c r="D2692" s="10" t="s">
        <v>171</v>
      </c>
      <c r="E2692" s="11" t="str">
        <f>+HYPERLINK("http://trademark.i-assist.jp/data/china/image_1900th/78982153.pdf", "78982153")</f>
        <v>78982153</v>
      </c>
      <c r="F2692" s="10" t="s">
        <v>7535</v>
      </c>
      <c r="G2692" s="10" t="s">
        <v>7536</v>
      </c>
      <c r="H2692" s="10" t="s">
        <v>7537</v>
      </c>
      <c r="I2692" s="10" t="s">
        <v>7458</v>
      </c>
    </row>
    <row r="2693" spans="1:9" x14ac:dyDescent="0.15">
      <c r="A2693" s="9">
        <v>2692</v>
      </c>
      <c r="B2693" s="10" t="s">
        <v>9</v>
      </c>
      <c r="C2693" s="10" t="s">
        <v>170</v>
      </c>
      <c r="D2693" s="10" t="s">
        <v>171</v>
      </c>
      <c r="E2693" s="11" t="str">
        <f>+HYPERLINK("http://trademark.i-assist.jp/data/china/image_1900th/78982158.pdf", "78982158")</f>
        <v>78982158</v>
      </c>
      <c r="F2693" s="10" t="s">
        <v>7538</v>
      </c>
      <c r="G2693" s="10" t="s">
        <v>7515</v>
      </c>
      <c r="H2693" s="10" t="s">
        <v>7539</v>
      </c>
      <c r="I2693" s="10" t="s">
        <v>7458</v>
      </c>
    </row>
    <row r="2694" spans="1:9" x14ac:dyDescent="0.15">
      <c r="A2694" s="9">
        <v>2693</v>
      </c>
      <c r="B2694" s="10" t="s">
        <v>9</v>
      </c>
      <c r="C2694" s="10" t="s">
        <v>170</v>
      </c>
      <c r="D2694" s="10" t="s">
        <v>171</v>
      </c>
      <c r="E2694" s="11" t="str">
        <f>+HYPERLINK("http://trademark.i-assist.jp/data/china/image_1900th/78982286.pdf", "78982286")</f>
        <v>78982286</v>
      </c>
      <c r="F2694" s="10" t="s">
        <v>7540</v>
      </c>
      <c r="G2694" s="10" t="s">
        <v>7541</v>
      </c>
      <c r="H2694" s="10" t="s">
        <v>7542</v>
      </c>
      <c r="I2694" s="10" t="s">
        <v>7458</v>
      </c>
    </row>
    <row r="2695" spans="1:9" x14ac:dyDescent="0.15">
      <c r="A2695" s="9">
        <v>2694</v>
      </c>
      <c r="B2695" s="10" t="s">
        <v>9</v>
      </c>
      <c r="C2695" s="10" t="s">
        <v>170</v>
      </c>
      <c r="D2695" s="10" t="s">
        <v>171</v>
      </c>
      <c r="E2695" s="11" t="str">
        <f>+HYPERLINK("http://trademark.i-assist.jp/data/china/image_1900th/78982367.pdf", "78982367")</f>
        <v>78982367</v>
      </c>
      <c r="F2695" s="10" t="s">
        <v>7543</v>
      </c>
      <c r="G2695" s="10" t="s">
        <v>7544</v>
      </c>
      <c r="H2695" s="10" t="s">
        <v>7545</v>
      </c>
      <c r="I2695" s="10" t="s">
        <v>7546</v>
      </c>
    </row>
    <row r="2696" spans="1:9" x14ac:dyDescent="0.15">
      <c r="A2696" s="9">
        <v>2695</v>
      </c>
      <c r="B2696" s="10" t="s">
        <v>9</v>
      </c>
      <c r="C2696" s="10" t="s">
        <v>170</v>
      </c>
      <c r="D2696" s="10" t="s">
        <v>171</v>
      </c>
      <c r="E2696" s="11" t="str">
        <f>+HYPERLINK("http://trademark.i-assist.jp/data/china/image_1900th/78982414.pdf", "78982414")</f>
        <v>78982414</v>
      </c>
      <c r="F2696" s="10" t="s">
        <v>7547</v>
      </c>
      <c r="G2696" s="10" t="s">
        <v>1583</v>
      </c>
      <c r="H2696" s="10" t="s">
        <v>7548</v>
      </c>
      <c r="I2696" s="10" t="s">
        <v>7546</v>
      </c>
    </row>
    <row r="2697" spans="1:9" x14ac:dyDescent="0.15">
      <c r="A2697" s="9">
        <v>2696</v>
      </c>
      <c r="B2697" s="10" t="s">
        <v>9</v>
      </c>
      <c r="C2697" s="10" t="s">
        <v>170</v>
      </c>
      <c r="D2697" s="10" t="s">
        <v>171</v>
      </c>
      <c r="E2697" s="11" t="str">
        <f>+HYPERLINK("http://trademark.i-assist.jp/data/china/image_1900th/78982637.pdf", "78982637")</f>
        <v>78982637</v>
      </c>
      <c r="F2697" s="10" t="s">
        <v>7549</v>
      </c>
      <c r="G2697" s="10" t="s">
        <v>7550</v>
      </c>
      <c r="H2697" s="10" t="s">
        <v>7551</v>
      </c>
      <c r="I2697" s="10" t="s">
        <v>7546</v>
      </c>
    </row>
    <row r="2698" spans="1:9" x14ac:dyDescent="0.15">
      <c r="A2698" s="9">
        <v>2697</v>
      </c>
      <c r="B2698" s="10" t="s">
        <v>9</v>
      </c>
      <c r="C2698" s="10" t="s">
        <v>170</v>
      </c>
      <c r="D2698" s="10" t="s">
        <v>171</v>
      </c>
      <c r="E2698" s="11" t="str">
        <f>+HYPERLINK("http://trademark.i-assist.jp/data/china/image_1900th/78982664.pdf", "78982664")</f>
        <v>78982664</v>
      </c>
      <c r="F2698" s="10" t="s">
        <v>7552</v>
      </c>
      <c r="G2698" s="10" t="s">
        <v>7553</v>
      </c>
      <c r="H2698" s="10" t="s">
        <v>7554</v>
      </c>
      <c r="I2698" s="10" t="s">
        <v>7546</v>
      </c>
    </row>
    <row r="2699" spans="1:9" x14ac:dyDescent="0.15">
      <c r="A2699" s="9">
        <v>2698</v>
      </c>
      <c r="B2699" s="10" t="s">
        <v>9</v>
      </c>
      <c r="C2699" s="10" t="s">
        <v>170</v>
      </c>
      <c r="D2699" s="10" t="s">
        <v>171</v>
      </c>
      <c r="E2699" s="11" t="str">
        <f>+HYPERLINK("http://trademark.i-assist.jp/data/china/image_1900th/78983053.pdf", "78983053")</f>
        <v>78983053</v>
      </c>
      <c r="F2699" s="10" t="s">
        <v>7555</v>
      </c>
      <c r="G2699" s="10" t="s">
        <v>4298</v>
      </c>
      <c r="H2699" s="10" t="s">
        <v>7556</v>
      </c>
      <c r="I2699" s="10" t="s">
        <v>7546</v>
      </c>
    </row>
    <row r="2700" spans="1:9" x14ac:dyDescent="0.15">
      <c r="A2700" s="9">
        <v>2699</v>
      </c>
      <c r="B2700" s="10" t="s">
        <v>9</v>
      </c>
      <c r="C2700" s="10" t="s">
        <v>170</v>
      </c>
      <c r="D2700" s="10" t="s">
        <v>171</v>
      </c>
      <c r="E2700" s="11" t="str">
        <f>+HYPERLINK("http://trademark.i-assist.jp/data/china/image_1900th/78983054.pdf", "78983054")</f>
        <v>78983054</v>
      </c>
      <c r="F2700" s="10" t="s">
        <v>7557</v>
      </c>
      <c r="G2700" s="10" t="s">
        <v>4298</v>
      </c>
      <c r="H2700" s="10" t="s">
        <v>7558</v>
      </c>
      <c r="I2700" s="10" t="s">
        <v>7546</v>
      </c>
    </row>
    <row r="2701" spans="1:9" x14ac:dyDescent="0.15">
      <c r="A2701" s="9">
        <v>2700</v>
      </c>
      <c r="B2701" s="10" t="s">
        <v>9</v>
      </c>
      <c r="C2701" s="10" t="s">
        <v>170</v>
      </c>
      <c r="D2701" s="10" t="s">
        <v>171</v>
      </c>
      <c r="E2701" s="11" t="str">
        <f>+HYPERLINK("http://trademark.i-assist.jp/data/china/image_1900th/78983193.pdf", "78983193")</f>
        <v>78983193</v>
      </c>
      <c r="F2701" s="10" t="s">
        <v>7559</v>
      </c>
      <c r="G2701" s="10" t="s">
        <v>7560</v>
      </c>
      <c r="H2701" s="10" t="s">
        <v>7561</v>
      </c>
      <c r="I2701" s="10" t="s">
        <v>7546</v>
      </c>
    </row>
    <row r="2702" spans="1:9" x14ac:dyDescent="0.15">
      <c r="A2702" s="9">
        <v>2701</v>
      </c>
      <c r="B2702" s="10" t="s">
        <v>9</v>
      </c>
      <c r="C2702" s="10" t="s">
        <v>170</v>
      </c>
      <c r="D2702" s="10" t="s">
        <v>171</v>
      </c>
      <c r="E2702" s="11" t="str">
        <f>+HYPERLINK("http://trademark.i-assist.jp/data/china/image_1900th/78983311.pdf", "78983311")</f>
        <v>78983311</v>
      </c>
      <c r="F2702" s="10" t="s">
        <v>7562</v>
      </c>
      <c r="G2702" s="10" t="s">
        <v>7563</v>
      </c>
      <c r="H2702" s="10" t="s">
        <v>7564</v>
      </c>
      <c r="I2702" s="10" t="s">
        <v>7546</v>
      </c>
    </row>
    <row r="2703" spans="1:9" x14ac:dyDescent="0.15">
      <c r="A2703" s="9">
        <v>2702</v>
      </c>
      <c r="B2703" s="10" t="s">
        <v>9</v>
      </c>
      <c r="C2703" s="10" t="s">
        <v>170</v>
      </c>
      <c r="D2703" s="10" t="s">
        <v>171</v>
      </c>
      <c r="E2703" s="11" t="str">
        <f>+HYPERLINK("http://trademark.i-assist.jp/data/china/image_1900th/78983471.pdf", "78983471")</f>
        <v>78983471</v>
      </c>
      <c r="F2703" s="10" t="s">
        <v>7565</v>
      </c>
      <c r="G2703" s="10" t="s">
        <v>7566</v>
      </c>
      <c r="H2703" s="10" t="s">
        <v>7567</v>
      </c>
      <c r="I2703" s="10" t="s">
        <v>7546</v>
      </c>
    </row>
    <row r="2704" spans="1:9" x14ac:dyDescent="0.15">
      <c r="A2704" s="9">
        <v>2703</v>
      </c>
      <c r="B2704" s="10" t="s">
        <v>9</v>
      </c>
      <c r="C2704" s="10" t="s">
        <v>170</v>
      </c>
      <c r="D2704" s="10" t="s">
        <v>171</v>
      </c>
      <c r="E2704" s="11" t="str">
        <f>+HYPERLINK("http://trademark.i-assist.jp/data/china/image_1900th/78983895.pdf", "78983895")</f>
        <v>78983895</v>
      </c>
      <c r="F2704" s="10" t="s">
        <v>7568</v>
      </c>
      <c r="G2704" s="10" t="s">
        <v>3902</v>
      </c>
      <c r="H2704" s="10" t="s">
        <v>7569</v>
      </c>
      <c r="I2704" s="10" t="s">
        <v>7546</v>
      </c>
    </row>
    <row r="2705" spans="1:9" x14ac:dyDescent="0.15">
      <c r="A2705" s="9">
        <v>2704</v>
      </c>
      <c r="B2705" s="10" t="s">
        <v>9</v>
      </c>
      <c r="C2705" s="10" t="s">
        <v>170</v>
      </c>
      <c r="D2705" s="10" t="s">
        <v>171</v>
      </c>
      <c r="E2705" s="11" t="str">
        <f>+HYPERLINK("http://trademark.i-assist.jp/data/china/image_1900th/78984054.pdf", "78984054")</f>
        <v>78984054</v>
      </c>
      <c r="F2705" s="10" t="s">
        <v>7570</v>
      </c>
      <c r="G2705" s="10" t="s">
        <v>7571</v>
      </c>
      <c r="H2705" s="10" t="s">
        <v>7572</v>
      </c>
      <c r="I2705" s="10" t="s">
        <v>7546</v>
      </c>
    </row>
    <row r="2706" spans="1:9" x14ac:dyDescent="0.15">
      <c r="A2706" s="9">
        <v>2705</v>
      </c>
      <c r="B2706" s="10" t="s">
        <v>9</v>
      </c>
      <c r="C2706" s="10" t="s">
        <v>170</v>
      </c>
      <c r="D2706" s="10" t="s">
        <v>171</v>
      </c>
      <c r="E2706" s="11" t="str">
        <f>+HYPERLINK("http://trademark.i-assist.jp/data/china/image_1900th/78984760.pdf", "78984760")</f>
        <v>78984760</v>
      </c>
      <c r="F2706" s="10" t="s">
        <v>7573</v>
      </c>
      <c r="G2706" s="10" t="s">
        <v>7574</v>
      </c>
      <c r="H2706" s="10" t="s">
        <v>7575</v>
      </c>
      <c r="I2706" s="10" t="s">
        <v>7546</v>
      </c>
    </row>
    <row r="2707" spans="1:9" x14ac:dyDescent="0.15">
      <c r="A2707" s="9">
        <v>2706</v>
      </c>
      <c r="B2707" s="10" t="s">
        <v>9</v>
      </c>
      <c r="C2707" s="10" t="s">
        <v>170</v>
      </c>
      <c r="D2707" s="10" t="s">
        <v>171</v>
      </c>
      <c r="E2707" s="11" t="str">
        <f>+HYPERLINK("http://trademark.i-assist.jp/data/china/image_1900th/78985246.pdf", "78985246")</f>
        <v>78985246</v>
      </c>
      <c r="F2707" s="10" t="s">
        <v>7576</v>
      </c>
      <c r="G2707" s="10" t="s">
        <v>7577</v>
      </c>
      <c r="H2707" s="10" t="s">
        <v>7578</v>
      </c>
      <c r="I2707" s="10" t="s">
        <v>7579</v>
      </c>
    </row>
    <row r="2708" spans="1:9" x14ac:dyDescent="0.15">
      <c r="A2708" s="9">
        <v>2707</v>
      </c>
      <c r="B2708" s="10" t="s">
        <v>9</v>
      </c>
      <c r="C2708" s="10" t="s">
        <v>170</v>
      </c>
      <c r="D2708" s="10" t="s">
        <v>171</v>
      </c>
      <c r="E2708" s="11" t="str">
        <f>+HYPERLINK("http://trademark.i-assist.jp/data/china/image_1900th/78985485.pdf", "78985485")</f>
        <v>78985485</v>
      </c>
      <c r="F2708" s="10" t="s">
        <v>7580</v>
      </c>
      <c r="G2708" s="10" t="s">
        <v>7581</v>
      </c>
      <c r="H2708" s="10" t="s">
        <v>7582</v>
      </c>
      <c r="I2708" s="10" t="s">
        <v>7579</v>
      </c>
    </row>
    <row r="2709" spans="1:9" x14ac:dyDescent="0.15">
      <c r="A2709" s="9">
        <v>2708</v>
      </c>
      <c r="B2709" s="10" t="s">
        <v>9</v>
      </c>
      <c r="C2709" s="10" t="s">
        <v>170</v>
      </c>
      <c r="D2709" s="10" t="s">
        <v>171</v>
      </c>
      <c r="E2709" s="11" t="str">
        <f>+HYPERLINK("http://trademark.i-assist.jp/data/china/image_1900th/78985575.pdf", "78985575")</f>
        <v>78985575</v>
      </c>
      <c r="F2709" s="10" t="s">
        <v>7583</v>
      </c>
      <c r="G2709" s="10" t="s">
        <v>7584</v>
      </c>
      <c r="H2709" s="10" t="s">
        <v>7585</v>
      </c>
      <c r="I2709" s="10" t="s">
        <v>7579</v>
      </c>
    </row>
    <row r="2710" spans="1:9" x14ac:dyDescent="0.15">
      <c r="A2710" s="9">
        <v>2709</v>
      </c>
      <c r="B2710" s="10" t="s">
        <v>9</v>
      </c>
      <c r="C2710" s="10" t="s">
        <v>170</v>
      </c>
      <c r="D2710" s="10" t="s">
        <v>171</v>
      </c>
      <c r="E2710" s="11" t="str">
        <f>+HYPERLINK("http://trademark.i-assist.jp/data/china/image_1900th/78985583.pdf", "78985583")</f>
        <v>78985583</v>
      </c>
      <c r="F2710" s="10" t="s">
        <v>7586</v>
      </c>
      <c r="G2710" s="10" t="s">
        <v>7584</v>
      </c>
      <c r="H2710" s="10" t="s">
        <v>7587</v>
      </c>
      <c r="I2710" s="10" t="s">
        <v>7579</v>
      </c>
    </row>
    <row r="2711" spans="1:9" x14ac:dyDescent="0.15">
      <c r="A2711" s="9">
        <v>2710</v>
      </c>
      <c r="B2711" s="10" t="s">
        <v>9</v>
      </c>
      <c r="C2711" s="10" t="s">
        <v>170</v>
      </c>
      <c r="D2711" s="10" t="s">
        <v>171</v>
      </c>
      <c r="E2711" s="11" t="str">
        <f>+HYPERLINK("http://trademark.i-assist.jp/data/china/image_1900th/78985810.pdf", "78985810")</f>
        <v>78985810</v>
      </c>
      <c r="F2711" s="10" t="s">
        <v>7588</v>
      </c>
      <c r="G2711" s="10" t="s">
        <v>7589</v>
      </c>
      <c r="H2711" s="10" t="s">
        <v>7590</v>
      </c>
      <c r="I2711" s="10" t="s">
        <v>7579</v>
      </c>
    </row>
    <row r="2712" spans="1:9" x14ac:dyDescent="0.15">
      <c r="A2712" s="9">
        <v>2711</v>
      </c>
      <c r="B2712" s="10" t="s">
        <v>9</v>
      </c>
      <c r="C2712" s="10" t="s">
        <v>170</v>
      </c>
      <c r="D2712" s="10" t="s">
        <v>171</v>
      </c>
      <c r="E2712" s="11" t="str">
        <f>+HYPERLINK("http://trademark.i-assist.jp/data/china/image_1900th/78985903.pdf", "78985903")</f>
        <v>78985903</v>
      </c>
      <c r="F2712" s="10" t="s">
        <v>7591</v>
      </c>
      <c r="G2712" s="10" t="s">
        <v>7592</v>
      </c>
      <c r="H2712" s="10" t="s">
        <v>7593</v>
      </c>
      <c r="I2712" s="10" t="s">
        <v>7579</v>
      </c>
    </row>
    <row r="2713" spans="1:9" x14ac:dyDescent="0.15">
      <c r="A2713" s="9">
        <v>2712</v>
      </c>
      <c r="B2713" s="10" t="s">
        <v>9</v>
      </c>
      <c r="C2713" s="10" t="s">
        <v>170</v>
      </c>
      <c r="D2713" s="10" t="s">
        <v>171</v>
      </c>
      <c r="E2713" s="11" t="str">
        <f>+HYPERLINK("http://trademark.i-assist.jp/data/china/image_1900th/78985929.pdf", "78985929")</f>
        <v>78985929</v>
      </c>
      <c r="F2713" s="10" t="s">
        <v>7594</v>
      </c>
      <c r="G2713" s="10" t="s">
        <v>7595</v>
      </c>
      <c r="H2713" s="10" t="s">
        <v>7596</v>
      </c>
      <c r="I2713" s="10" t="s">
        <v>7579</v>
      </c>
    </row>
    <row r="2714" spans="1:9" x14ac:dyDescent="0.15">
      <c r="A2714" s="9">
        <v>2713</v>
      </c>
      <c r="B2714" s="10" t="s">
        <v>9</v>
      </c>
      <c r="C2714" s="10" t="s">
        <v>170</v>
      </c>
      <c r="D2714" s="10" t="s">
        <v>171</v>
      </c>
      <c r="E2714" s="11" t="str">
        <f>+HYPERLINK("http://trademark.i-assist.jp/data/china/image_1900th/78986021.pdf", "78986021")</f>
        <v>78986021</v>
      </c>
      <c r="F2714" s="10" t="s">
        <v>7597</v>
      </c>
      <c r="G2714" s="10" t="s">
        <v>7598</v>
      </c>
      <c r="H2714" s="10" t="s">
        <v>7599</v>
      </c>
      <c r="I2714" s="10" t="s">
        <v>7579</v>
      </c>
    </row>
    <row r="2715" spans="1:9" x14ac:dyDescent="0.15">
      <c r="A2715" s="9">
        <v>2714</v>
      </c>
      <c r="B2715" s="10" t="s">
        <v>9</v>
      </c>
      <c r="C2715" s="10" t="s">
        <v>170</v>
      </c>
      <c r="D2715" s="10" t="s">
        <v>171</v>
      </c>
      <c r="E2715" s="11" t="str">
        <f>+HYPERLINK("http://trademark.i-assist.jp/data/china/image_1900th/78986197.pdf", "78986197")</f>
        <v>78986197</v>
      </c>
      <c r="F2715" s="10" t="s">
        <v>7600</v>
      </c>
      <c r="G2715" s="10" t="s">
        <v>3700</v>
      </c>
      <c r="H2715" s="10" t="s">
        <v>7601</v>
      </c>
      <c r="I2715" s="10" t="s">
        <v>7579</v>
      </c>
    </row>
    <row r="2716" spans="1:9" x14ac:dyDescent="0.15">
      <c r="A2716" s="9">
        <v>2715</v>
      </c>
      <c r="B2716" s="10" t="s">
        <v>9</v>
      </c>
      <c r="C2716" s="10" t="s">
        <v>170</v>
      </c>
      <c r="D2716" s="10" t="s">
        <v>171</v>
      </c>
      <c r="E2716" s="11" t="str">
        <f>+HYPERLINK("http://trademark.i-assist.jp/data/china/image_1900th/78986275.pdf", "78986275")</f>
        <v>78986275</v>
      </c>
      <c r="F2716" s="10" t="s">
        <v>7602</v>
      </c>
      <c r="G2716" s="10" t="s">
        <v>7603</v>
      </c>
      <c r="H2716" s="10" t="s">
        <v>7604</v>
      </c>
      <c r="I2716" s="10" t="s">
        <v>7579</v>
      </c>
    </row>
    <row r="2717" spans="1:9" x14ac:dyDescent="0.15">
      <c r="A2717" s="9">
        <v>2716</v>
      </c>
      <c r="B2717" s="10" t="s">
        <v>9</v>
      </c>
      <c r="C2717" s="10" t="s">
        <v>170</v>
      </c>
      <c r="D2717" s="10" t="s">
        <v>171</v>
      </c>
      <c r="E2717" s="11" t="str">
        <f>+HYPERLINK("http://trademark.i-assist.jp/data/china/image_1900th/78986407.pdf", "78986407")</f>
        <v>78986407</v>
      </c>
      <c r="F2717" s="10" t="s">
        <v>7605</v>
      </c>
      <c r="G2717" s="10" t="s">
        <v>7606</v>
      </c>
      <c r="H2717" s="10" t="s">
        <v>7607</v>
      </c>
      <c r="I2717" s="10" t="s">
        <v>7579</v>
      </c>
    </row>
    <row r="2718" spans="1:9" x14ac:dyDescent="0.15">
      <c r="A2718" s="9">
        <v>2717</v>
      </c>
      <c r="B2718" s="10" t="s">
        <v>9</v>
      </c>
      <c r="C2718" s="10" t="s">
        <v>170</v>
      </c>
      <c r="D2718" s="10" t="s">
        <v>171</v>
      </c>
      <c r="E2718" s="11" t="str">
        <f>+HYPERLINK("http://trademark.i-assist.jp/data/china/image_1900th/78987256.pdf", "78987256")</f>
        <v>78987256</v>
      </c>
      <c r="F2718" s="10" t="s">
        <v>7608</v>
      </c>
      <c r="G2718" s="10" t="s">
        <v>7609</v>
      </c>
      <c r="H2718" s="10" t="s">
        <v>7610</v>
      </c>
      <c r="I2718" s="10" t="s">
        <v>7579</v>
      </c>
    </row>
    <row r="2719" spans="1:9" x14ac:dyDescent="0.15">
      <c r="A2719" s="9">
        <v>2718</v>
      </c>
      <c r="B2719" s="10" t="s">
        <v>9</v>
      </c>
      <c r="C2719" s="10" t="s">
        <v>170</v>
      </c>
      <c r="D2719" s="10" t="s">
        <v>171</v>
      </c>
      <c r="E2719" s="11" t="str">
        <f>+HYPERLINK("http://trademark.i-assist.jp/data/china/image_1900th/78987400.pdf", "78987400")</f>
        <v>78987400</v>
      </c>
      <c r="F2719" s="10" t="s">
        <v>7611</v>
      </c>
      <c r="G2719" s="10" t="s">
        <v>7612</v>
      </c>
      <c r="H2719" s="10" t="s">
        <v>7613</v>
      </c>
      <c r="I2719" s="10" t="s">
        <v>7579</v>
      </c>
    </row>
    <row r="2720" spans="1:9" x14ac:dyDescent="0.15">
      <c r="A2720" s="9">
        <v>2719</v>
      </c>
      <c r="B2720" s="10" t="s">
        <v>9</v>
      </c>
      <c r="C2720" s="10" t="s">
        <v>170</v>
      </c>
      <c r="D2720" s="10" t="s">
        <v>171</v>
      </c>
      <c r="E2720" s="11" t="str">
        <f>+HYPERLINK("http://trademark.i-assist.jp/data/china/image_1900th/78987713.pdf", "78987713")</f>
        <v>78987713</v>
      </c>
      <c r="F2720" s="10" t="s">
        <v>7614</v>
      </c>
      <c r="G2720" s="10" t="s">
        <v>7615</v>
      </c>
      <c r="H2720" s="10" t="s">
        <v>7616</v>
      </c>
      <c r="I2720" s="10" t="s">
        <v>7579</v>
      </c>
    </row>
    <row r="2721" spans="1:9" x14ac:dyDescent="0.15">
      <c r="A2721" s="9">
        <v>2720</v>
      </c>
      <c r="B2721" s="10" t="s">
        <v>9</v>
      </c>
      <c r="C2721" s="10" t="s">
        <v>170</v>
      </c>
      <c r="D2721" s="10" t="s">
        <v>171</v>
      </c>
      <c r="E2721" s="11" t="str">
        <f>+HYPERLINK("http://trademark.i-assist.jp/data/china/image_1900th/78987857.pdf", "78987857")</f>
        <v>78987857</v>
      </c>
      <c r="F2721" s="10" t="s">
        <v>7617</v>
      </c>
      <c r="G2721" s="10" t="s">
        <v>7595</v>
      </c>
      <c r="H2721" s="10" t="s">
        <v>7618</v>
      </c>
      <c r="I2721" s="10" t="s">
        <v>7579</v>
      </c>
    </row>
    <row r="2722" spans="1:9" x14ac:dyDescent="0.15">
      <c r="A2722" s="9">
        <v>2721</v>
      </c>
      <c r="B2722" s="10" t="s">
        <v>9</v>
      </c>
      <c r="C2722" s="10" t="s">
        <v>170</v>
      </c>
      <c r="D2722" s="10" t="s">
        <v>171</v>
      </c>
      <c r="E2722" s="11" t="str">
        <f>+HYPERLINK("http://trademark.i-assist.jp/data/china/image_1900th/78988358.pdf", "78988358")</f>
        <v>78988358</v>
      </c>
      <c r="F2722" s="10" t="s">
        <v>7619</v>
      </c>
      <c r="G2722" s="10" t="s">
        <v>147</v>
      </c>
      <c r="H2722" s="10" t="s">
        <v>7620</v>
      </c>
      <c r="I2722" s="10" t="s">
        <v>7579</v>
      </c>
    </row>
    <row r="2723" spans="1:9" x14ac:dyDescent="0.15">
      <c r="A2723" s="9">
        <v>2722</v>
      </c>
      <c r="B2723" s="10" t="s">
        <v>9</v>
      </c>
      <c r="C2723" s="10" t="s">
        <v>170</v>
      </c>
      <c r="D2723" s="10" t="s">
        <v>171</v>
      </c>
      <c r="E2723" s="11" t="str">
        <f>+HYPERLINK("http://trademark.i-assist.jp/data/china/image_1900th/78988412.pdf", "78988412")</f>
        <v>78988412</v>
      </c>
      <c r="F2723" s="10" t="s">
        <v>15</v>
      </c>
      <c r="G2723" s="10" t="s">
        <v>7621</v>
      </c>
      <c r="H2723" s="10" t="s">
        <v>7622</v>
      </c>
      <c r="I2723" s="10" t="s">
        <v>7579</v>
      </c>
    </row>
    <row r="2724" spans="1:9" x14ac:dyDescent="0.15">
      <c r="A2724" s="9">
        <v>2723</v>
      </c>
      <c r="B2724" s="10" t="s">
        <v>9</v>
      </c>
      <c r="C2724" s="10" t="s">
        <v>170</v>
      </c>
      <c r="D2724" s="10" t="s">
        <v>171</v>
      </c>
      <c r="E2724" s="11" t="str">
        <f>+HYPERLINK("http://trademark.i-assist.jp/data/china/image_1900th/78988504.pdf", "78988504")</f>
        <v>78988504</v>
      </c>
      <c r="F2724" s="10" t="s">
        <v>7623</v>
      </c>
      <c r="G2724" s="10" t="s">
        <v>7624</v>
      </c>
      <c r="H2724" s="10" t="s">
        <v>7625</v>
      </c>
      <c r="I2724" s="10" t="s">
        <v>7579</v>
      </c>
    </row>
    <row r="2725" spans="1:9" x14ac:dyDescent="0.15">
      <c r="A2725" s="9">
        <v>2724</v>
      </c>
      <c r="B2725" s="10" t="s">
        <v>9</v>
      </c>
      <c r="C2725" s="10" t="s">
        <v>170</v>
      </c>
      <c r="D2725" s="10" t="s">
        <v>171</v>
      </c>
      <c r="E2725" s="11" t="str">
        <f>+HYPERLINK("http://trademark.i-assist.jp/data/china/image_1900th/78988523.pdf", "78988523")</f>
        <v>78988523</v>
      </c>
      <c r="F2725" s="10" t="s">
        <v>7626</v>
      </c>
      <c r="G2725" s="10" t="s">
        <v>7627</v>
      </c>
      <c r="H2725" s="10" t="s">
        <v>7628</v>
      </c>
      <c r="I2725" s="10" t="s">
        <v>7579</v>
      </c>
    </row>
    <row r="2726" spans="1:9" x14ac:dyDescent="0.15">
      <c r="A2726" s="9">
        <v>2725</v>
      </c>
      <c r="B2726" s="10" t="s">
        <v>9</v>
      </c>
      <c r="C2726" s="10" t="s">
        <v>170</v>
      </c>
      <c r="D2726" s="10" t="s">
        <v>171</v>
      </c>
      <c r="E2726" s="11" t="str">
        <f>+HYPERLINK("http://trademark.i-assist.jp/data/china/image_1900th/78988736.pdf", "78988736")</f>
        <v>78988736</v>
      </c>
      <c r="F2726" s="10" t="s">
        <v>7629</v>
      </c>
      <c r="G2726" s="10" t="s">
        <v>7630</v>
      </c>
      <c r="H2726" s="10" t="s">
        <v>7631</v>
      </c>
      <c r="I2726" s="10" t="s">
        <v>7579</v>
      </c>
    </row>
    <row r="2727" spans="1:9" x14ac:dyDescent="0.15">
      <c r="A2727" s="9">
        <v>2726</v>
      </c>
      <c r="B2727" s="10" t="s">
        <v>9</v>
      </c>
      <c r="C2727" s="10" t="s">
        <v>170</v>
      </c>
      <c r="D2727" s="10" t="s">
        <v>171</v>
      </c>
      <c r="E2727" s="11" t="str">
        <f>+HYPERLINK("http://trademark.i-assist.jp/data/china/image_1900th/78988947.pdf", "78988947")</f>
        <v>78988947</v>
      </c>
      <c r="F2727" s="10" t="s">
        <v>7632</v>
      </c>
      <c r="G2727" s="10" t="s">
        <v>7632</v>
      </c>
      <c r="H2727" s="10" t="s">
        <v>7633</v>
      </c>
      <c r="I2727" s="10" t="s">
        <v>7579</v>
      </c>
    </row>
    <row r="2728" spans="1:9" x14ac:dyDescent="0.15">
      <c r="A2728" s="9">
        <v>2727</v>
      </c>
      <c r="B2728" s="10" t="s">
        <v>9</v>
      </c>
      <c r="C2728" s="10" t="s">
        <v>170</v>
      </c>
      <c r="D2728" s="10" t="s">
        <v>171</v>
      </c>
      <c r="E2728" s="11" t="str">
        <f>+HYPERLINK("http://trademark.i-assist.jp/data/china/image_1900th/78989061.pdf", "78989061")</f>
        <v>78989061</v>
      </c>
      <c r="F2728" s="10" t="s">
        <v>7634</v>
      </c>
      <c r="G2728" s="10" t="s">
        <v>5499</v>
      </c>
      <c r="H2728" s="10" t="s">
        <v>7635</v>
      </c>
      <c r="I2728" s="10" t="s">
        <v>7579</v>
      </c>
    </row>
    <row r="2729" spans="1:9" x14ac:dyDescent="0.15">
      <c r="A2729" s="9">
        <v>2728</v>
      </c>
      <c r="B2729" s="10" t="s">
        <v>9</v>
      </c>
      <c r="C2729" s="10" t="s">
        <v>170</v>
      </c>
      <c r="D2729" s="10" t="s">
        <v>171</v>
      </c>
      <c r="E2729" s="11" t="str">
        <f>+HYPERLINK("http://trademark.i-assist.jp/data/china/image_1900th/78989076.pdf", "78989076")</f>
        <v>78989076</v>
      </c>
      <c r="F2729" s="10" t="s">
        <v>7636</v>
      </c>
      <c r="G2729" s="10" t="s">
        <v>7637</v>
      </c>
      <c r="H2729" s="10" t="s">
        <v>7638</v>
      </c>
      <c r="I2729" s="10" t="s">
        <v>7579</v>
      </c>
    </row>
    <row r="2730" spans="1:9" x14ac:dyDescent="0.15">
      <c r="A2730" s="9">
        <v>2729</v>
      </c>
      <c r="B2730" s="10" t="s">
        <v>9</v>
      </c>
      <c r="C2730" s="10" t="s">
        <v>170</v>
      </c>
      <c r="D2730" s="10" t="s">
        <v>171</v>
      </c>
      <c r="E2730" s="11" t="str">
        <f>+HYPERLINK("http://trademark.i-assist.jp/data/china/image_1900th/78989443.pdf", "78989443")</f>
        <v>78989443</v>
      </c>
      <c r="F2730" s="10" t="s">
        <v>7639</v>
      </c>
      <c r="G2730" s="10" t="s">
        <v>7640</v>
      </c>
      <c r="H2730" s="10" t="s">
        <v>7641</v>
      </c>
      <c r="I2730" s="10" t="s">
        <v>7579</v>
      </c>
    </row>
    <row r="2731" spans="1:9" x14ac:dyDescent="0.15">
      <c r="A2731" s="9">
        <v>2730</v>
      </c>
      <c r="B2731" s="10" t="s">
        <v>9</v>
      </c>
      <c r="C2731" s="10" t="s">
        <v>170</v>
      </c>
      <c r="D2731" s="10" t="s">
        <v>171</v>
      </c>
      <c r="E2731" s="11" t="str">
        <f>+HYPERLINK("http://trademark.i-assist.jp/data/china/image_1900th/78990179.pdf", "78990179")</f>
        <v>78990179</v>
      </c>
      <c r="F2731" s="10" t="s">
        <v>7642</v>
      </c>
      <c r="G2731" s="10" t="s">
        <v>7643</v>
      </c>
      <c r="H2731" s="10" t="s">
        <v>7644</v>
      </c>
      <c r="I2731" s="10" t="s">
        <v>7579</v>
      </c>
    </row>
    <row r="2732" spans="1:9" x14ac:dyDescent="0.15">
      <c r="A2732" s="9">
        <v>2731</v>
      </c>
      <c r="B2732" s="10" t="s">
        <v>9</v>
      </c>
      <c r="C2732" s="10" t="s">
        <v>170</v>
      </c>
      <c r="D2732" s="10" t="s">
        <v>171</v>
      </c>
      <c r="E2732" s="11" t="str">
        <f>+HYPERLINK("http://trademark.i-assist.jp/data/china/image_1900th/78990190.pdf", "78990190")</f>
        <v>78990190</v>
      </c>
      <c r="F2732" s="10" t="s">
        <v>7645</v>
      </c>
      <c r="G2732" s="10" t="s">
        <v>7646</v>
      </c>
      <c r="H2732" s="10" t="s">
        <v>7647</v>
      </c>
      <c r="I2732" s="10" t="s">
        <v>7579</v>
      </c>
    </row>
    <row r="2733" spans="1:9" x14ac:dyDescent="0.15">
      <c r="A2733" s="9">
        <v>2732</v>
      </c>
      <c r="B2733" s="10" t="s">
        <v>9</v>
      </c>
      <c r="C2733" s="10" t="s">
        <v>170</v>
      </c>
      <c r="D2733" s="10" t="s">
        <v>171</v>
      </c>
      <c r="E2733" s="11" t="str">
        <f>+HYPERLINK("http://trademark.i-assist.jp/data/china/image_1900th/78990249.pdf", "78990249")</f>
        <v>78990249</v>
      </c>
      <c r="F2733" s="10" t="s">
        <v>7648</v>
      </c>
      <c r="G2733" s="10" t="s">
        <v>7522</v>
      </c>
      <c r="H2733" s="10" t="s">
        <v>7649</v>
      </c>
      <c r="I2733" s="10" t="s">
        <v>7579</v>
      </c>
    </row>
    <row r="2734" spans="1:9" x14ac:dyDescent="0.15">
      <c r="A2734" s="9">
        <v>2733</v>
      </c>
      <c r="B2734" s="10" t="s">
        <v>9</v>
      </c>
      <c r="C2734" s="10" t="s">
        <v>170</v>
      </c>
      <c r="D2734" s="10" t="s">
        <v>171</v>
      </c>
      <c r="E2734" s="11" t="str">
        <f>+HYPERLINK("http://trademark.i-assist.jp/data/china/image_1900th/78990637.pdf", "78990637")</f>
        <v>78990637</v>
      </c>
      <c r="F2734" s="10" t="s">
        <v>7650</v>
      </c>
      <c r="G2734" s="10" t="s">
        <v>7651</v>
      </c>
      <c r="H2734" s="10" t="s">
        <v>7652</v>
      </c>
      <c r="I2734" s="10" t="s">
        <v>7579</v>
      </c>
    </row>
    <row r="2735" spans="1:9" x14ac:dyDescent="0.15">
      <c r="A2735" s="9">
        <v>2734</v>
      </c>
      <c r="B2735" s="10" t="s">
        <v>9</v>
      </c>
      <c r="C2735" s="10" t="s">
        <v>170</v>
      </c>
      <c r="D2735" s="10" t="s">
        <v>171</v>
      </c>
      <c r="E2735" s="11" t="str">
        <f>+HYPERLINK("http://trademark.i-assist.jp/data/china/image_1900th/78990931.pdf", "78990931")</f>
        <v>78990931</v>
      </c>
      <c r="F2735" s="10" t="s">
        <v>7653</v>
      </c>
      <c r="G2735" s="10" t="s">
        <v>7654</v>
      </c>
      <c r="H2735" s="10" t="s">
        <v>7655</v>
      </c>
      <c r="I2735" s="10" t="s">
        <v>7579</v>
      </c>
    </row>
    <row r="2736" spans="1:9" x14ac:dyDescent="0.15">
      <c r="A2736" s="9">
        <v>2735</v>
      </c>
      <c r="B2736" s="10" t="s">
        <v>9</v>
      </c>
      <c r="C2736" s="10" t="s">
        <v>170</v>
      </c>
      <c r="D2736" s="10" t="s">
        <v>171</v>
      </c>
      <c r="E2736" s="11" t="str">
        <f>+HYPERLINK("http://trademark.i-assist.jp/data/china/image_1900th/78991376.pdf", "78991376")</f>
        <v>78991376</v>
      </c>
      <c r="F2736" s="10" t="s">
        <v>7656</v>
      </c>
      <c r="G2736" s="10" t="s">
        <v>7657</v>
      </c>
      <c r="H2736" s="10" t="s">
        <v>7658</v>
      </c>
      <c r="I2736" s="10" t="s">
        <v>7579</v>
      </c>
    </row>
    <row r="2737" spans="1:9" x14ac:dyDescent="0.15">
      <c r="A2737" s="9">
        <v>2736</v>
      </c>
      <c r="B2737" s="10" t="s">
        <v>9</v>
      </c>
      <c r="C2737" s="10" t="s">
        <v>170</v>
      </c>
      <c r="D2737" s="10" t="s">
        <v>171</v>
      </c>
      <c r="E2737" s="11" t="str">
        <f>+HYPERLINK("http://trademark.i-assist.jp/data/china/image_1900th/78991888.pdf", "78991888")</f>
        <v>78991888</v>
      </c>
      <c r="F2737" s="10" t="s">
        <v>7659</v>
      </c>
      <c r="G2737" s="10" t="s">
        <v>7660</v>
      </c>
      <c r="H2737" s="10" t="s">
        <v>7661</v>
      </c>
      <c r="I2737" s="10" t="s">
        <v>7579</v>
      </c>
    </row>
    <row r="2738" spans="1:9" x14ac:dyDescent="0.15">
      <c r="A2738" s="9">
        <v>2737</v>
      </c>
      <c r="B2738" s="10" t="s">
        <v>9</v>
      </c>
      <c r="C2738" s="10" t="s">
        <v>170</v>
      </c>
      <c r="D2738" s="10" t="s">
        <v>171</v>
      </c>
      <c r="E2738" s="11" t="str">
        <f>+HYPERLINK("http://trademark.i-assist.jp/data/china/image_1900th/78992023.pdf", "78992023")</f>
        <v>78992023</v>
      </c>
      <c r="F2738" s="10" t="s">
        <v>7662</v>
      </c>
      <c r="G2738" s="10" t="s">
        <v>7663</v>
      </c>
      <c r="H2738" s="10" t="s">
        <v>7664</v>
      </c>
      <c r="I2738" s="10" t="s">
        <v>7579</v>
      </c>
    </row>
    <row r="2739" spans="1:9" x14ac:dyDescent="0.15">
      <c r="A2739" s="9">
        <v>2738</v>
      </c>
      <c r="B2739" s="10" t="s">
        <v>9</v>
      </c>
      <c r="C2739" s="10" t="s">
        <v>170</v>
      </c>
      <c r="D2739" s="10" t="s">
        <v>171</v>
      </c>
      <c r="E2739" s="11" t="str">
        <f>+HYPERLINK("http://trademark.i-assist.jp/data/china/image_1900th/78992465.pdf", "78992465")</f>
        <v>78992465</v>
      </c>
      <c r="F2739" s="10" t="s">
        <v>15</v>
      </c>
      <c r="G2739" s="10" t="s">
        <v>7665</v>
      </c>
      <c r="H2739" s="10" t="s">
        <v>7666</v>
      </c>
      <c r="I2739" s="10" t="s">
        <v>7579</v>
      </c>
    </row>
    <row r="2740" spans="1:9" x14ac:dyDescent="0.15">
      <c r="A2740" s="9">
        <v>2739</v>
      </c>
      <c r="B2740" s="10" t="s">
        <v>9</v>
      </c>
      <c r="C2740" s="10" t="s">
        <v>170</v>
      </c>
      <c r="D2740" s="10" t="s">
        <v>171</v>
      </c>
      <c r="E2740" s="11" t="str">
        <f>+HYPERLINK("http://trademark.i-assist.jp/data/china/image_1900th/78992842.pdf", "78992842")</f>
        <v>78992842</v>
      </c>
      <c r="F2740" s="10" t="s">
        <v>7667</v>
      </c>
      <c r="G2740" s="10" t="s">
        <v>7668</v>
      </c>
      <c r="H2740" s="10" t="s">
        <v>7669</v>
      </c>
      <c r="I2740" s="10" t="s">
        <v>7579</v>
      </c>
    </row>
    <row r="2741" spans="1:9" x14ac:dyDescent="0.15">
      <c r="A2741" s="9">
        <v>2740</v>
      </c>
      <c r="B2741" s="10" t="s">
        <v>9</v>
      </c>
      <c r="C2741" s="10" t="s">
        <v>170</v>
      </c>
      <c r="D2741" s="10" t="s">
        <v>171</v>
      </c>
      <c r="E2741" s="11" t="str">
        <f>+HYPERLINK("http://trademark.i-assist.jp/data/china/image_1900th/78992981.pdf", "78992981")</f>
        <v>78992981</v>
      </c>
      <c r="F2741" s="10" t="s">
        <v>7670</v>
      </c>
      <c r="G2741" s="10" t="s">
        <v>7671</v>
      </c>
      <c r="H2741" s="10" t="s">
        <v>7672</v>
      </c>
      <c r="I2741" s="10" t="s">
        <v>7579</v>
      </c>
    </row>
    <row r="2742" spans="1:9" x14ac:dyDescent="0.15">
      <c r="A2742" s="9">
        <v>2741</v>
      </c>
      <c r="B2742" s="10" t="s">
        <v>9</v>
      </c>
      <c r="C2742" s="10" t="s">
        <v>170</v>
      </c>
      <c r="D2742" s="10" t="s">
        <v>171</v>
      </c>
      <c r="E2742" s="11" t="str">
        <f>+HYPERLINK("http://trademark.i-assist.jp/data/china/image_1900th/78993487.pdf", "78993487")</f>
        <v>78993487</v>
      </c>
      <c r="F2742" s="10" t="s">
        <v>7673</v>
      </c>
      <c r="G2742" s="10" t="s">
        <v>7674</v>
      </c>
      <c r="H2742" s="10" t="s">
        <v>7675</v>
      </c>
      <c r="I2742" s="10" t="s">
        <v>7579</v>
      </c>
    </row>
    <row r="2743" spans="1:9" x14ac:dyDescent="0.15">
      <c r="A2743" s="9">
        <v>2742</v>
      </c>
      <c r="B2743" s="10" t="s">
        <v>9</v>
      </c>
      <c r="C2743" s="10" t="s">
        <v>170</v>
      </c>
      <c r="D2743" s="10" t="s">
        <v>171</v>
      </c>
      <c r="E2743" s="11" t="str">
        <f>+HYPERLINK("http://trademark.i-assist.jp/data/china/image_1900th/78993741.pdf", "78993741")</f>
        <v>78993741</v>
      </c>
      <c r="F2743" s="10" t="s">
        <v>7676</v>
      </c>
      <c r="G2743" s="10" t="s">
        <v>7677</v>
      </c>
      <c r="H2743" s="10" t="s">
        <v>7678</v>
      </c>
      <c r="I2743" s="10" t="s">
        <v>7579</v>
      </c>
    </row>
    <row r="2744" spans="1:9" x14ac:dyDescent="0.15">
      <c r="A2744" s="9">
        <v>2743</v>
      </c>
      <c r="B2744" s="10" t="s">
        <v>9</v>
      </c>
      <c r="C2744" s="10" t="s">
        <v>170</v>
      </c>
      <c r="D2744" s="10" t="s">
        <v>171</v>
      </c>
      <c r="E2744" s="11" t="str">
        <f>+HYPERLINK("http://trademark.i-assist.jp/data/china/image_1900th/78994287.pdf", "78994287")</f>
        <v>78994287</v>
      </c>
      <c r="F2744" s="10" t="s">
        <v>7679</v>
      </c>
      <c r="G2744" s="10" t="s">
        <v>7624</v>
      </c>
      <c r="H2744" s="10" t="s">
        <v>7680</v>
      </c>
      <c r="I2744" s="10" t="s">
        <v>7579</v>
      </c>
    </row>
    <row r="2745" spans="1:9" x14ac:dyDescent="0.15">
      <c r="A2745" s="9">
        <v>2744</v>
      </c>
      <c r="B2745" s="10" t="s">
        <v>9</v>
      </c>
      <c r="C2745" s="10" t="s">
        <v>170</v>
      </c>
      <c r="D2745" s="10" t="s">
        <v>171</v>
      </c>
      <c r="E2745" s="11" t="str">
        <f>+HYPERLINK("http://trademark.i-assist.jp/data/china/image_1900th/78994685.pdf", "78994685")</f>
        <v>78994685</v>
      </c>
      <c r="F2745" s="10" t="s">
        <v>7681</v>
      </c>
      <c r="G2745" s="10" t="s">
        <v>7682</v>
      </c>
      <c r="H2745" s="10" t="s">
        <v>7683</v>
      </c>
      <c r="I2745" s="10" t="s">
        <v>7579</v>
      </c>
    </row>
    <row r="2746" spans="1:9" x14ac:dyDescent="0.15">
      <c r="A2746" s="9">
        <v>2745</v>
      </c>
      <c r="B2746" s="10" t="s">
        <v>9</v>
      </c>
      <c r="C2746" s="10" t="s">
        <v>170</v>
      </c>
      <c r="D2746" s="10" t="s">
        <v>171</v>
      </c>
      <c r="E2746" s="11" t="str">
        <f>+HYPERLINK("http://trademark.i-assist.jp/data/china/image_1900th/78995053.pdf", "78995053")</f>
        <v>78995053</v>
      </c>
      <c r="F2746" s="10" t="s">
        <v>7684</v>
      </c>
      <c r="G2746" s="10" t="s">
        <v>7685</v>
      </c>
      <c r="H2746" s="10" t="s">
        <v>7686</v>
      </c>
      <c r="I2746" s="10" t="s">
        <v>7579</v>
      </c>
    </row>
    <row r="2747" spans="1:9" x14ac:dyDescent="0.15">
      <c r="A2747" s="9">
        <v>2746</v>
      </c>
      <c r="B2747" s="10" t="s">
        <v>9</v>
      </c>
      <c r="C2747" s="10" t="s">
        <v>170</v>
      </c>
      <c r="D2747" s="10" t="s">
        <v>171</v>
      </c>
      <c r="E2747" s="11" t="str">
        <f>+HYPERLINK("http://trademark.i-assist.jp/data/china/image_1900th/78995207.pdf", "78995207")</f>
        <v>78995207</v>
      </c>
      <c r="F2747" s="10" t="s">
        <v>7687</v>
      </c>
      <c r="G2747" s="10" t="s">
        <v>7688</v>
      </c>
      <c r="H2747" s="10" t="s">
        <v>7689</v>
      </c>
      <c r="I2747" s="10" t="s">
        <v>7579</v>
      </c>
    </row>
    <row r="2748" spans="1:9" x14ac:dyDescent="0.15">
      <c r="A2748" s="9">
        <v>2747</v>
      </c>
      <c r="B2748" s="10" t="s">
        <v>9</v>
      </c>
      <c r="C2748" s="10" t="s">
        <v>170</v>
      </c>
      <c r="D2748" s="10" t="s">
        <v>171</v>
      </c>
      <c r="E2748" s="11" t="str">
        <f>+HYPERLINK("http://trademark.i-assist.jp/data/china/image_1900th/78995941.pdf", "78995941")</f>
        <v>78995941</v>
      </c>
      <c r="F2748" s="10" t="s">
        <v>7690</v>
      </c>
      <c r="G2748" s="10" t="s">
        <v>7691</v>
      </c>
      <c r="H2748" s="10" t="s">
        <v>7692</v>
      </c>
      <c r="I2748" s="10" t="s">
        <v>7579</v>
      </c>
    </row>
    <row r="2749" spans="1:9" x14ac:dyDescent="0.15">
      <c r="A2749" s="9">
        <v>2748</v>
      </c>
      <c r="B2749" s="10" t="s">
        <v>9</v>
      </c>
      <c r="C2749" s="10" t="s">
        <v>170</v>
      </c>
      <c r="D2749" s="10" t="s">
        <v>171</v>
      </c>
      <c r="E2749" s="11" t="str">
        <f>+HYPERLINK("http://trademark.i-assist.jp/data/china/image_1900th/78996477.pdf", "78996477")</f>
        <v>78996477</v>
      </c>
      <c r="F2749" s="10" t="s">
        <v>15</v>
      </c>
      <c r="G2749" s="10" t="s">
        <v>7693</v>
      </c>
      <c r="H2749" s="10" t="s">
        <v>7694</v>
      </c>
      <c r="I2749" s="10" t="s">
        <v>7579</v>
      </c>
    </row>
    <row r="2750" spans="1:9" x14ac:dyDescent="0.15">
      <c r="A2750" s="9">
        <v>2749</v>
      </c>
      <c r="B2750" s="10" t="s">
        <v>9</v>
      </c>
      <c r="C2750" s="10" t="s">
        <v>170</v>
      </c>
      <c r="D2750" s="10" t="s">
        <v>171</v>
      </c>
      <c r="E2750" s="11" t="str">
        <f>+HYPERLINK("http://trademark.i-assist.jp/data/china/image_1900th/78996492.pdf", "78996492")</f>
        <v>78996492</v>
      </c>
      <c r="F2750" s="10" t="s">
        <v>7695</v>
      </c>
      <c r="G2750" s="10" t="s">
        <v>7696</v>
      </c>
      <c r="H2750" s="10" t="s">
        <v>7697</v>
      </c>
      <c r="I2750" s="10" t="s">
        <v>7579</v>
      </c>
    </row>
    <row r="2751" spans="1:9" x14ac:dyDescent="0.15">
      <c r="A2751" s="9">
        <v>2750</v>
      </c>
      <c r="B2751" s="10" t="s">
        <v>9</v>
      </c>
      <c r="C2751" s="10" t="s">
        <v>170</v>
      </c>
      <c r="D2751" s="10" t="s">
        <v>171</v>
      </c>
      <c r="E2751" s="11" t="str">
        <f>+HYPERLINK("http://trademark.i-assist.jp/data/china/image_1900th/78996651.pdf", "78996651")</f>
        <v>78996651</v>
      </c>
      <c r="F2751" s="10" t="s">
        <v>7698</v>
      </c>
      <c r="G2751" s="10" t="s">
        <v>7699</v>
      </c>
      <c r="H2751" s="10" t="s">
        <v>7700</v>
      </c>
      <c r="I2751" s="10" t="s">
        <v>7579</v>
      </c>
    </row>
    <row r="2752" spans="1:9" x14ac:dyDescent="0.15">
      <c r="A2752" s="9">
        <v>2751</v>
      </c>
      <c r="B2752" s="10" t="s">
        <v>9</v>
      </c>
      <c r="C2752" s="10" t="s">
        <v>170</v>
      </c>
      <c r="D2752" s="10" t="s">
        <v>171</v>
      </c>
      <c r="E2752" s="11" t="str">
        <f>+HYPERLINK("http://trademark.i-assist.jp/data/china/image_1900th/78996659.pdf", "78996659")</f>
        <v>78996659</v>
      </c>
      <c r="F2752" s="10" t="s">
        <v>7701</v>
      </c>
      <c r="G2752" s="10" t="s">
        <v>7699</v>
      </c>
      <c r="H2752" s="10" t="s">
        <v>7702</v>
      </c>
      <c r="I2752" s="10" t="s">
        <v>7579</v>
      </c>
    </row>
    <row r="2753" spans="1:9" x14ac:dyDescent="0.15">
      <c r="A2753" s="9">
        <v>2752</v>
      </c>
      <c r="B2753" s="10" t="s">
        <v>9</v>
      </c>
      <c r="C2753" s="10" t="s">
        <v>170</v>
      </c>
      <c r="D2753" s="10" t="s">
        <v>171</v>
      </c>
      <c r="E2753" s="11" t="str">
        <f>+HYPERLINK("http://trademark.i-assist.jp/data/china/image_1900th/78996836.pdf", "78996836")</f>
        <v>78996836</v>
      </c>
      <c r="F2753" s="10" t="s">
        <v>7703</v>
      </c>
      <c r="G2753" s="10" t="s">
        <v>7704</v>
      </c>
      <c r="H2753" s="10" t="s">
        <v>7705</v>
      </c>
      <c r="I2753" s="10" t="s">
        <v>7579</v>
      </c>
    </row>
    <row r="2754" spans="1:9" x14ac:dyDescent="0.15">
      <c r="A2754" s="9">
        <v>2753</v>
      </c>
      <c r="B2754" s="10" t="s">
        <v>9</v>
      </c>
      <c r="C2754" s="10" t="s">
        <v>170</v>
      </c>
      <c r="D2754" s="10" t="s">
        <v>171</v>
      </c>
      <c r="E2754" s="11" t="str">
        <f>+HYPERLINK("http://trademark.i-assist.jp/data/china/image_1900th/78996908.pdf", "78996908")</f>
        <v>78996908</v>
      </c>
      <c r="F2754" s="10" t="s">
        <v>7706</v>
      </c>
      <c r="G2754" s="10" t="s">
        <v>7707</v>
      </c>
      <c r="H2754" s="10" t="s">
        <v>7708</v>
      </c>
      <c r="I2754" s="10" t="s">
        <v>7579</v>
      </c>
    </row>
    <row r="2755" spans="1:9" x14ac:dyDescent="0.15">
      <c r="A2755" s="9">
        <v>2754</v>
      </c>
      <c r="B2755" s="10" t="s">
        <v>9</v>
      </c>
      <c r="C2755" s="10" t="s">
        <v>170</v>
      </c>
      <c r="D2755" s="10" t="s">
        <v>171</v>
      </c>
      <c r="E2755" s="11" t="str">
        <f>+HYPERLINK("http://trademark.i-assist.jp/data/china/image_1900th/78997178.pdf", "78997178")</f>
        <v>78997178</v>
      </c>
      <c r="F2755" s="10" t="s">
        <v>7709</v>
      </c>
      <c r="G2755" s="10" t="s">
        <v>7663</v>
      </c>
      <c r="H2755" s="10" t="s">
        <v>7710</v>
      </c>
      <c r="I2755" s="10" t="s">
        <v>7579</v>
      </c>
    </row>
    <row r="2756" spans="1:9" x14ac:dyDescent="0.15">
      <c r="A2756" s="9">
        <v>2755</v>
      </c>
      <c r="B2756" s="10" t="s">
        <v>9</v>
      </c>
      <c r="C2756" s="10" t="s">
        <v>170</v>
      </c>
      <c r="D2756" s="10" t="s">
        <v>171</v>
      </c>
      <c r="E2756" s="11" t="str">
        <f>+HYPERLINK("http://trademark.i-assist.jp/data/china/image_1900th/78997419.pdf", "78997419")</f>
        <v>78997419</v>
      </c>
      <c r="F2756" s="10" t="s">
        <v>7711</v>
      </c>
      <c r="G2756" s="10" t="s">
        <v>7712</v>
      </c>
      <c r="H2756" s="10" t="s">
        <v>7713</v>
      </c>
      <c r="I2756" s="10" t="s">
        <v>7579</v>
      </c>
    </row>
    <row r="2757" spans="1:9" x14ac:dyDescent="0.15">
      <c r="A2757" s="9">
        <v>2756</v>
      </c>
      <c r="B2757" s="10" t="s">
        <v>9</v>
      </c>
      <c r="C2757" s="10" t="s">
        <v>170</v>
      </c>
      <c r="D2757" s="10" t="s">
        <v>171</v>
      </c>
      <c r="E2757" s="11" t="str">
        <f>+HYPERLINK("http://trademark.i-assist.jp/data/china/image_1900th/78997477.pdf", "78997477")</f>
        <v>78997477</v>
      </c>
      <c r="F2757" s="10" t="s">
        <v>7714</v>
      </c>
      <c r="G2757" s="10" t="s">
        <v>7715</v>
      </c>
      <c r="H2757" s="10" t="s">
        <v>7716</v>
      </c>
      <c r="I2757" s="10" t="s">
        <v>7579</v>
      </c>
    </row>
    <row r="2758" spans="1:9" x14ac:dyDescent="0.15">
      <c r="A2758" s="9">
        <v>2757</v>
      </c>
      <c r="B2758" s="10" t="s">
        <v>9</v>
      </c>
      <c r="C2758" s="10" t="s">
        <v>170</v>
      </c>
      <c r="D2758" s="10" t="s">
        <v>171</v>
      </c>
      <c r="E2758" s="11" t="str">
        <f>+HYPERLINK("http://trademark.i-assist.jp/data/china/image_1900th/78997598.pdf", "78997598")</f>
        <v>78997598</v>
      </c>
      <c r="F2758" s="10" t="s">
        <v>15</v>
      </c>
      <c r="G2758" s="10" t="s">
        <v>7717</v>
      </c>
      <c r="H2758" s="10" t="s">
        <v>7718</v>
      </c>
      <c r="I2758" s="10" t="s">
        <v>7579</v>
      </c>
    </row>
    <row r="2759" spans="1:9" x14ac:dyDescent="0.15">
      <c r="A2759" s="9">
        <v>2758</v>
      </c>
      <c r="B2759" s="10" t="s">
        <v>9</v>
      </c>
      <c r="C2759" s="10" t="s">
        <v>170</v>
      </c>
      <c r="D2759" s="10" t="s">
        <v>171</v>
      </c>
      <c r="E2759" s="11" t="str">
        <f>+HYPERLINK("http://trademark.i-assist.jp/data/china/image_1900th/78997643.pdf", "78997643")</f>
        <v>78997643</v>
      </c>
      <c r="F2759" s="10" t="s">
        <v>7719</v>
      </c>
      <c r="G2759" s="10" t="s">
        <v>7595</v>
      </c>
      <c r="H2759" s="10" t="s">
        <v>7720</v>
      </c>
      <c r="I2759" s="10" t="s">
        <v>7579</v>
      </c>
    </row>
    <row r="2760" spans="1:9" x14ac:dyDescent="0.15">
      <c r="A2760" s="9">
        <v>2759</v>
      </c>
      <c r="B2760" s="10" t="s">
        <v>9</v>
      </c>
      <c r="C2760" s="10" t="s">
        <v>170</v>
      </c>
      <c r="D2760" s="10" t="s">
        <v>171</v>
      </c>
      <c r="E2760" s="11" t="str">
        <f>+HYPERLINK("http://trademark.i-assist.jp/data/china/image_1900th/78998326.pdf", "78998326")</f>
        <v>78998326</v>
      </c>
      <c r="F2760" s="10" t="s">
        <v>7721</v>
      </c>
      <c r="G2760" s="10" t="s">
        <v>670</v>
      </c>
      <c r="H2760" s="10" t="s">
        <v>24</v>
      </c>
      <c r="I2760" s="10" t="s">
        <v>7579</v>
      </c>
    </row>
    <row r="2761" spans="1:9" x14ac:dyDescent="0.15">
      <c r="A2761" s="9">
        <v>2760</v>
      </c>
      <c r="B2761" s="10" t="s">
        <v>9</v>
      </c>
      <c r="C2761" s="10" t="s">
        <v>170</v>
      </c>
      <c r="D2761" s="10" t="s">
        <v>171</v>
      </c>
      <c r="E2761" s="11" t="str">
        <f>+HYPERLINK("http://trademark.i-assist.jp/data/china/image_1900th/78998399.pdf", "78998399")</f>
        <v>78998399</v>
      </c>
      <c r="F2761" s="10" t="s">
        <v>7722</v>
      </c>
      <c r="G2761" s="10" t="s">
        <v>7723</v>
      </c>
      <c r="H2761" s="10" t="s">
        <v>7724</v>
      </c>
      <c r="I2761" s="10" t="s">
        <v>7579</v>
      </c>
    </row>
    <row r="2762" spans="1:9" x14ac:dyDescent="0.15">
      <c r="A2762" s="9">
        <v>2761</v>
      </c>
      <c r="B2762" s="10" t="s">
        <v>9</v>
      </c>
      <c r="C2762" s="10" t="s">
        <v>170</v>
      </c>
      <c r="D2762" s="10" t="s">
        <v>171</v>
      </c>
      <c r="E2762" s="11" t="str">
        <f>+HYPERLINK("http://trademark.i-assist.jp/data/china/image_1900th/78998583.pdf", "78998583")</f>
        <v>78998583</v>
      </c>
      <c r="F2762" s="10" t="s">
        <v>7725</v>
      </c>
      <c r="G2762" s="10" t="s">
        <v>7726</v>
      </c>
      <c r="H2762" s="10" t="s">
        <v>7727</v>
      </c>
      <c r="I2762" s="10" t="s">
        <v>7579</v>
      </c>
    </row>
    <row r="2763" spans="1:9" x14ac:dyDescent="0.15">
      <c r="A2763" s="9">
        <v>2762</v>
      </c>
      <c r="B2763" s="10" t="s">
        <v>9</v>
      </c>
      <c r="C2763" s="10" t="s">
        <v>170</v>
      </c>
      <c r="D2763" s="10" t="s">
        <v>171</v>
      </c>
      <c r="E2763" s="11" t="str">
        <f>+HYPERLINK("http://trademark.i-assist.jp/data/china/image_1900th/78998857.pdf", "78998857")</f>
        <v>78998857</v>
      </c>
      <c r="F2763" s="10" t="s">
        <v>7728</v>
      </c>
      <c r="G2763" s="10" t="s">
        <v>7729</v>
      </c>
      <c r="H2763" s="10" t="s">
        <v>7730</v>
      </c>
      <c r="I2763" s="10" t="s">
        <v>7579</v>
      </c>
    </row>
    <row r="2764" spans="1:9" x14ac:dyDescent="0.15">
      <c r="A2764" s="9">
        <v>2763</v>
      </c>
      <c r="B2764" s="10" t="s">
        <v>9</v>
      </c>
      <c r="C2764" s="10" t="s">
        <v>170</v>
      </c>
      <c r="D2764" s="10" t="s">
        <v>171</v>
      </c>
      <c r="E2764" s="11" t="str">
        <f>+HYPERLINK("http://trademark.i-assist.jp/data/china/image_1900th/78999308.pdf", "78999308")</f>
        <v>78999308</v>
      </c>
      <c r="F2764" s="10" t="s">
        <v>7731</v>
      </c>
      <c r="G2764" s="10" t="s">
        <v>7732</v>
      </c>
      <c r="H2764" s="10" t="s">
        <v>7733</v>
      </c>
      <c r="I2764" s="10" t="s">
        <v>7579</v>
      </c>
    </row>
    <row r="2765" spans="1:9" x14ac:dyDescent="0.15">
      <c r="A2765" s="9">
        <v>2764</v>
      </c>
      <c r="B2765" s="10" t="s">
        <v>9</v>
      </c>
      <c r="C2765" s="10" t="s">
        <v>170</v>
      </c>
      <c r="D2765" s="10" t="s">
        <v>171</v>
      </c>
      <c r="E2765" s="11" t="str">
        <f>+HYPERLINK("http://trademark.i-assist.jp/data/china/image_1900th/78999612.pdf", "78999612")</f>
        <v>78999612</v>
      </c>
      <c r="F2765" s="10" t="s">
        <v>7734</v>
      </c>
      <c r="G2765" s="10" t="s">
        <v>7735</v>
      </c>
      <c r="H2765" s="10" t="s">
        <v>7736</v>
      </c>
      <c r="I2765" s="10" t="s">
        <v>7579</v>
      </c>
    </row>
    <row r="2766" spans="1:9" x14ac:dyDescent="0.15">
      <c r="A2766" s="9">
        <v>2765</v>
      </c>
      <c r="B2766" s="10" t="s">
        <v>9</v>
      </c>
      <c r="C2766" s="10" t="s">
        <v>170</v>
      </c>
      <c r="D2766" s="10" t="s">
        <v>171</v>
      </c>
      <c r="E2766" s="11" t="str">
        <f>+HYPERLINK("http://trademark.i-assist.jp/data/china/image_1900th/79000191.pdf", "79000191")</f>
        <v>79000191</v>
      </c>
      <c r="F2766" s="10" t="s">
        <v>7737</v>
      </c>
      <c r="G2766" s="10" t="s">
        <v>7738</v>
      </c>
      <c r="H2766" s="10" t="s">
        <v>7739</v>
      </c>
      <c r="I2766" s="10" t="s">
        <v>7579</v>
      </c>
    </row>
    <row r="2767" spans="1:9" x14ac:dyDescent="0.15">
      <c r="A2767" s="9">
        <v>2766</v>
      </c>
      <c r="B2767" s="10" t="s">
        <v>9</v>
      </c>
      <c r="C2767" s="10" t="s">
        <v>170</v>
      </c>
      <c r="D2767" s="10" t="s">
        <v>171</v>
      </c>
      <c r="E2767" s="11" t="str">
        <f>+HYPERLINK("http://trademark.i-assist.jp/data/china/image_1900th/79000811.pdf", "79000811")</f>
        <v>79000811</v>
      </c>
      <c r="F2767" s="10" t="s">
        <v>7740</v>
      </c>
      <c r="G2767" s="10" t="s">
        <v>7584</v>
      </c>
      <c r="H2767" s="10" t="s">
        <v>7741</v>
      </c>
      <c r="I2767" s="10" t="s">
        <v>7579</v>
      </c>
    </row>
    <row r="2768" spans="1:9" x14ac:dyDescent="0.15">
      <c r="A2768" s="9">
        <v>2767</v>
      </c>
      <c r="B2768" s="10" t="s">
        <v>9</v>
      </c>
      <c r="C2768" s="10" t="s">
        <v>170</v>
      </c>
      <c r="D2768" s="10" t="s">
        <v>171</v>
      </c>
      <c r="E2768" s="11" t="str">
        <f>+HYPERLINK("http://trademark.i-assist.jp/data/china/image_1900th/79000910.pdf", "79000910")</f>
        <v>79000910</v>
      </c>
      <c r="F2768" s="10" t="s">
        <v>7742</v>
      </c>
      <c r="G2768" s="10" t="s">
        <v>7743</v>
      </c>
      <c r="H2768" s="10" t="s">
        <v>7744</v>
      </c>
      <c r="I2768" s="10" t="s">
        <v>7579</v>
      </c>
    </row>
    <row r="2769" spans="1:9" x14ac:dyDescent="0.15">
      <c r="A2769" s="9">
        <v>2768</v>
      </c>
      <c r="B2769" s="10" t="s">
        <v>9</v>
      </c>
      <c r="C2769" s="10" t="s">
        <v>170</v>
      </c>
      <c r="D2769" s="10" t="s">
        <v>171</v>
      </c>
      <c r="E2769" s="11" t="str">
        <f>+HYPERLINK("http://trademark.i-assist.jp/data/china/image_1900th/79000911.pdf", "79000911")</f>
        <v>79000911</v>
      </c>
      <c r="F2769" s="10" t="s">
        <v>7745</v>
      </c>
      <c r="G2769" s="10" t="s">
        <v>7746</v>
      </c>
      <c r="H2769" s="10" t="s">
        <v>7747</v>
      </c>
      <c r="I2769" s="10" t="s">
        <v>7579</v>
      </c>
    </row>
    <row r="2770" spans="1:9" x14ac:dyDescent="0.15">
      <c r="A2770" s="9">
        <v>2769</v>
      </c>
      <c r="B2770" s="10" t="s">
        <v>9</v>
      </c>
      <c r="C2770" s="10" t="s">
        <v>170</v>
      </c>
      <c r="D2770" s="10" t="s">
        <v>171</v>
      </c>
      <c r="E2770" s="11" t="str">
        <f>+HYPERLINK("http://trademark.i-assist.jp/data/china/image_1900th/79000922.pdf", "79000922")</f>
        <v>79000922</v>
      </c>
      <c r="F2770" s="10" t="s">
        <v>7748</v>
      </c>
      <c r="G2770" s="10" t="s">
        <v>7743</v>
      </c>
      <c r="H2770" s="10" t="s">
        <v>7749</v>
      </c>
      <c r="I2770" s="10" t="s">
        <v>7579</v>
      </c>
    </row>
    <row r="2771" spans="1:9" x14ac:dyDescent="0.15">
      <c r="A2771" s="9">
        <v>2770</v>
      </c>
      <c r="B2771" s="10" t="s">
        <v>9</v>
      </c>
      <c r="C2771" s="10" t="s">
        <v>170</v>
      </c>
      <c r="D2771" s="10" t="s">
        <v>171</v>
      </c>
      <c r="E2771" s="11" t="str">
        <f>+HYPERLINK("http://trademark.i-assist.jp/data/china/image_1900th/79001011.pdf", "79001011")</f>
        <v>79001011</v>
      </c>
      <c r="F2771" s="10" t="s">
        <v>7750</v>
      </c>
      <c r="G2771" s="10" t="s">
        <v>7751</v>
      </c>
      <c r="H2771" s="10" t="s">
        <v>7752</v>
      </c>
      <c r="I2771" s="10" t="s">
        <v>7579</v>
      </c>
    </row>
    <row r="2772" spans="1:9" x14ac:dyDescent="0.15">
      <c r="A2772" s="9">
        <v>2771</v>
      </c>
      <c r="B2772" s="10" t="s">
        <v>9</v>
      </c>
      <c r="C2772" s="10" t="s">
        <v>170</v>
      </c>
      <c r="D2772" s="10" t="s">
        <v>171</v>
      </c>
      <c r="E2772" s="11" t="str">
        <f>+HYPERLINK("http://trademark.i-assist.jp/data/china/image_1900th/79001068.pdf", "79001068")</f>
        <v>79001068</v>
      </c>
      <c r="F2772" s="10" t="s">
        <v>7753</v>
      </c>
      <c r="G2772" s="10" t="s">
        <v>7754</v>
      </c>
      <c r="H2772" s="10" t="s">
        <v>7755</v>
      </c>
      <c r="I2772" s="10" t="s">
        <v>7579</v>
      </c>
    </row>
    <row r="2773" spans="1:9" x14ac:dyDescent="0.15">
      <c r="A2773" s="9">
        <v>2772</v>
      </c>
      <c r="B2773" s="10" t="s">
        <v>9</v>
      </c>
      <c r="C2773" s="10" t="s">
        <v>170</v>
      </c>
      <c r="D2773" s="10" t="s">
        <v>171</v>
      </c>
      <c r="E2773" s="11" t="str">
        <f>+HYPERLINK("http://trademark.i-assist.jp/data/china/image_1900th/79001362.pdf", "79001362")</f>
        <v>79001362</v>
      </c>
      <c r="F2773" s="10" t="s">
        <v>15</v>
      </c>
      <c r="G2773" s="10" t="s">
        <v>7756</v>
      </c>
      <c r="H2773" s="10" t="s">
        <v>7757</v>
      </c>
      <c r="I2773" s="10" t="s">
        <v>7579</v>
      </c>
    </row>
    <row r="2774" spans="1:9" x14ac:dyDescent="0.15">
      <c r="A2774" s="9">
        <v>2773</v>
      </c>
      <c r="B2774" s="10" t="s">
        <v>9</v>
      </c>
      <c r="C2774" s="10" t="s">
        <v>170</v>
      </c>
      <c r="D2774" s="10" t="s">
        <v>171</v>
      </c>
      <c r="E2774" s="11" t="str">
        <f>+HYPERLINK("http://trademark.i-assist.jp/data/china/image_1900th/79001838.pdf", "79001838")</f>
        <v>79001838</v>
      </c>
      <c r="F2774" s="10" t="s">
        <v>7758</v>
      </c>
      <c r="G2774" s="10" t="s">
        <v>7759</v>
      </c>
      <c r="H2774" s="10" t="s">
        <v>7760</v>
      </c>
      <c r="I2774" s="10" t="s">
        <v>7579</v>
      </c>
    </row>
    <row r="2775" spans="1:9" x14ac:dyDescent="0.15">
      <c r="A2775" s="9">
        <v>2774</v>
      </c>
      <c r="B2775" s="10" t="s">
        <v>9</v>
      </c>
      <c r="C2775" s="10" t="s">
        <v>170</v>
      </c>
      <c r="D2775" s="10" t="s">
        <v>171</v>
      </c>
      <c r="E2775" s="11" t="str">
        <f>+HYPERLINK("http://trademark.i-assist.jp/data/china/image_1900th/79002247.pdf", "79002247")</f>
        <v>79002247</v>
      </c>
      <c r="F2775" s="10" t="s">
        <v>7761</v>
      </c>
      <c r="G2775" s="10" t="s">
        <v>7762</v>
      </c>
      <c r="H2775" s="10" t="s">
        <v>7763</v>
      </c>
      <c r="I2775" s="10" t="s">
        <v>7579</v>
      </c>
    </row>
    <row r="2776" spans="1:9" x14ac:dyDescent="0.15">
      <c r="A2776" s="9">
        <v>2775</v>
      </c>
      <c r="B2776" s="10" t="s">
        <v>9</v>
      </c>
      <c r="C2776" s="10" t="s">
        <v>170</v>
      </c>
      <c r="D2776" s="10" t="s">
        <v>171</v>
      </c>
      <c r="E2776" s="11" t="str">
        <f>+HYPERLINK("http://trademark.i-assist.jp/data/china/image_1900th/79002323.pdf", "79002323")</f>
        <v>79002323</v>
      </c>
      <c r="F2776" s="10" t="s">
        <v>7764</v>
      </c>
      <c r="G2776" s="10" t="s">
        <v>7685</v>
      </c>
      <c r="H2776" s="10" t="s">
        <v>7765</v>
      </c>
      <c r="I2776" s="10" t="s">
        <v>7579</v>
      </c>
    </row>
    <row r="2777" spans="1:9" x14ac:dyDescent="0.15">
      <c r="A2777" s="9">
        <v>2776</v>
      </c>
      <c r="B2777" s="10" t="s">
        <v>9</v>
      </c>
      <c r="C2777" s="10" t="s">
        <v>170</v>
      </c>
      <c r="D2777" s="10" t="s">
        <v>171</v>
      </c>
      <c r="E2777" s="11" t="str">
        <f>+HYPERLINK("http://trademark.i-assist.jp/data/china/image_1900th/79002553.pdf", "79002553")</f>
        <v>79002553</v>
      </c>
      <c r="F2777" s="10" t="s">
        <v>7766</v>
      </c>
      <c r="G2777" s="10" t="s">
        <v>7767</v>
      </c>
      <c r="H2777" s="10" t="s">
        <v>7768</v>
      </c>
      <c r="I2777" s="10" t="s">
        <v>7579</v>
      </c>
    </row>
    <row r="2778" spans="1:9" x14ac:dyDescent="0.15">
      <c r="A2778" s="9">
        <v>2777</v>
      </c>
      <c r="B2778" s="10" t="s">
        <v>9</v>
      </c>
      <c r="C2778" s="10" t="s">
        <v>170</v>
      </c>
      <c r="D2778" s="10" t="s">
        <v>171</v>
      </c>
      <c r="E2778" s="11" t="str">
        <f>+HYPERLINK("http://trademark.i-assist.jp/data/china/image_1900th/79002640.pdf", "79002640")</f>
        <v>79002640</v>
      </c>
      <c r="F2778" s="10" t="s">
        <v>7769</v>
      </c>
      <c r="G2778" s="10" t="s">
        <v>7770</v>
      </c>
      <c r="H2778" s="10" t="s">
        <v>7771</v>
      </c>
      <c r="I2778" s="10" t="s">
        <v>7579</v>
      </c>
    </row>
    <row r="2779" spans="1:9" x14ac:dyDescent="0.15">
      <c r="A2779" s="9">
        <v>2778</v>
      </c>
      <c r="B2779" s="10" t="s">
        <v>9</v>
      </c>
      <c r="C2779" s="10" t="s">
        <v>170</v>
      </c>
      <c r="D2779" s="10" t="s">
        <v>171</v>
      </c>
      <c r="E2779" s="11" t="str">
        <f>+HYPERLINK("http://trademark.i-assist.jp/data/china/image_1900th/79002708.pdf", "79002708")</f>
        <v>79002708</v>
      </c>
      <c r="F2779" s="10" t="s">
        <v>7772</v>
      </c>
      <c r="G2779" s="10" t="s">
        <v>7773</v>
      </c>
      <c r="H2779" s="10" t="s">
        <v>7774</v>
      </c>
      <c r="I2779" s="10" t="s">
        <v>7579</v>
      </c>
    </row>
    <row r="2780" spans="1:9" x14ac:dyDescent="0.15">
      <c r="A2780" s="9">
        <v>2779</v>
      </c>
      <c r="B2780" s="10" t="s">
        <v>9</v>
      </c>
      <c r="C2780" s="10" t="s">
        <v>170</v>
      </c>
      <c r="D2780" s="10" t="s">
        <v>171</v>
      </c>
      <c r="E2780" s="11" t="str">
        <f>+HYPERLINK("http://trademark.i-assist.jp/data/china/image_1900th/79002784.pdf", "79002784")</f>
        <v>79002784</v>
      </c>
      <c r="F2780" s="10" t="s">
        <v>7775</v>
      </c>
      <c r="G2780" s="10" t="s">
        <v>7776</v>
      </c>
      <c r="H2780" s="10" t="s">
        <v>7777</v>
      </c>
      <c r="I2780" s="10" t="s">
        <v>7579</v>
      </c>
    </row>
    <row r="2781" spans="1:9" x14ac:dyDescent="0.15">
      <c r="A2781" s="9">
        <v>2780</v>
      </c>
      <c r="B2781" s="10" t="s">
        <v>9</v>
      </c>
      <c r="C2781" s="10" t="s">
        <v>170</v>
      </c>
      <c r="D2781" s="10" t="s">
        <v>171</v>
      </c>
      <c r="E2781" s="11" t="str">
        <f>+HYPERLINK("http://trademark.i-assist.jp/data/china/image_1900th/79002957.pdf", "79002957")</f>
        <v>79002957</v>
      </c>
      <c r="F2781" s="10" t="s">
        <v>15</v>
      </c>
      <c r="G2781" s="10" t="s">
        <v>7712</v>
      </c>
      <c r="H2781" s="10" t="s">
        <v>7778</v>
      </c>
      <c r="I2781" s="10" t="s">
        <v>7579</v>
      </c>
    </row>
    <row r="2782" spans="1:9" x14ac:dyDescent="0.15">
      <c r="A2782" s="9">
        <v>2781</v>
      </c>
      <c r="B2782" s="10" t="s">
        <v>9</v>
      </c>
      <c r="C2782" s="10" t="s">
        <v>170</v>
      </c>
      <c r="D2782" s="10" t="s">
        <v>171</v>
      </c>
      <c r="E2782" s="11" t="str">
        <f>+HYPERLINK("http://trademark.i-assist.jp/data/china/image_1900th/79002962.pdf", "79002962")</f>
        <v>79002962</v>
      </c>
      <c r="F2782" s="10" t="s">
        <v>7779</v>
      </c>
      <c r="G2782" s="10" t="s">
        <v>7780</v>
      </c>
      <c r="H2782" s="10" t="s">
        <v>7781</v>
      </c>
      <c r="I2782" s="10" t="s">
        <v>7579</v>
      </c>
    </row>
    <row r="2783" spans="1:9" x14ac:dyDescent="0.15">
      <c r="A2783" s="9">
        <v>2782</v>
      </c>
      <c r="B2783" s="10" t="s">
        <v>9</v>
      </c>
      <c r="C2783" s="10" t="s">
        <v>170</v>
      </c>
      <c r="D2783" s="10" t="s">
        <v>171</v>
      </c>
      <c r="E2783" s="11" t="str">
        <f>+HYPERLINK("http://trademark.i-assist.jp/data/china/image_1900th/79003003.pdf", "79003003")</f>
        <v>79003003</v>
      </c>
      <c r="F2783" s="10" t="s">
        <v>7782</v>
      </c>
      <c r="G2783" s="10" t="s">
        <v>7783</v>
      </c>
      <c r="H2783" s="10" t="s">
        <v>7784</v>
      </c>
      <c r="I2783" s="10" t="s">
        <v>7579</v>
      </c>
    </row>
    <row r="2784" spans="1:9" x14ac:dyDescent="0.15">
      <c r="A2784" s="9">
        <v>2783</v>
      </c>
      <c r="B2784" s="10" t="s">
        <v>9</v>
      </c>
      <c r="C2784" s="10" t="s">
        <v>170</v>
      </c>
      <c r="D2784" s="10" t="s">
        <v>171</v>
      </c>
      <c r="E2784" s="11" t="str">
        <f>+HYPERLINK("http://trademark.i-assist.jp/data/china/image_1900th/79003117.pdf", "79003117")</f>
        <v>79003117</v>
      </c>
      <c r="F2784" s="10" t="s">
        <v>7785</v>
      </c>
      <c r="G2784" s="10" t="s">
        <v>7707</v>
      </c>
      <c r="H2784" s="10" t="s">
        <v>7786</v>
      </c>
      <c r="I2784" s="10" t="s">
        <v>7579</v>
      </c>
    </row>
    <row r="2785" spans="1:9" x14ac:dyDescent="0.15">
      <c r="A2785" s="9">
        <v>2784</v>
      </c>
      <c r="B2785" s="10" t="s">
        <v>9</v>
      </c>
      <c r="C2785" s="10" t="s">
        <v>170</v>
      </c>
      <c r="D2785" s="10" t="s">
        <v>171</v>
      </c>
      <c r="E2785" s="11" t="str">
        <f>+HYPERLINK("http://trademark.i-assist.jp/data/china/image_1900th/79003555.pdf", "79003555")</f>
        <v>79003555</v>
      </c>
      <c r="F2785" s="10" t="s">
        <v>7787</v>
      </c>
      <c r="G2785" s="10" t="s">
        <v>7685</v>
      </c>
      <c r="H2785" s="10" t="s">
        <v>7788</v>
      </c>
      <c r="I2785" s="10" t="s">
        <v>7579</v>
      </c>
    </row>
    <row r="2786" spans="1:9" x14ac:dyDescent="0.15">
      <c r="A2786" s="9">
        <v>2785</v>
      </c>
      <c r="B2786" s="10" t="s">
        <v>9</v>
      </c>
      <c r="C2786" s="10" t="s">
        <v>170</v>
      </c>
      <c r="D2786" s="10" t="s">
        <v>171</v>
      </c>
      <c r="E2786" s="11" t="str">
        <f>+HYPERLINK("http://trademark.i-assist.jp/data/china/image_1900th/79003626.pdf", "79003626")</f>
        <v>79003626</v>
      </c>
      <c r="F2786" s="10" t="s">
        <v>7789</v>
      </c>
      <c r="G2786" s="10" t="s">
        <v>7790</v>
      </c>
      <c r="H2786" s="10" t="s">
        <v>7791</v>
      </c>
      <c r="I2786" s="10" t="s">
        <v>7579</v>
      </c>
    </row>
    <row r="2787" spans="1:9" x14ac:dyDescent="0.15">
      <c r="A2787" s="9">
        <v>2786</v>
      </c>
      <c r="B2787" s="10" t="s">
        <v>9</v>
      </c>
      <c r="C2787" s="10" t="s">
        <v>170</v>
      </c>
      <c r="D2787" s="10" t="s">
        <v>171</v>
      </c>
      <c r="E2787" s="11" t="str">
        <f>+HYPERLINK("http://trademark.i-assist.jp/data/china/image_1900th/79003865.pdf", "79003865")</f>
        <v>79003865</v>
      </c>
      <c r="F2787" s="10" t="s">
        <v>7792</v>
      </c>
      <c r="G2787" s="10" t="s">
        <v>7646</v>
      </c>
      <c r="H2787" s="10" t="s">
        <v>7793</v>
      </c>
      <c r="I2787" s="10" t="s">
        <v>7579</v>
      </c>
    </row>
    <row r="2788" spans="1:9" x14ac:dyDescent="0.15">
      <c r="A2788" s="9">
        <v>2787</v>
      </c>
      <c r="B2788" s="10" t="s">
        <v>9</v>
      </c>
      <c r="C2788" s="10" t="s">
        <v>170</v>
      </c>
      <c r="D2788" s="10" t="s">
        <v>171</v>
      </c>
      <c r="E2788" s="11" t="str">
        <f>+HYPERLINK("http://trademark.i-assist.jp/data/china/image_1900th/79004033.pdf", "79004033")</f>
        <v>79004033</v>
      </c>
      <c r="F2788" s="10" t="s">
        <v>7794</v>
      </c>
      <c r="G2788" s="10" t="s">
        <v>7795</v>
      </c>
      <c r="H2788" s="10" t="s">
        <v>7796</v>
      </c>
      <c r="I2788" s="10" t="s">
        <v>7579</v>
      </c>
    </row>
    <row r="2789" spans="1:9" x14ac:dyDescent="0.15">
      <c r="A2789" s="9">
        <v>2788</v>
      </c>
      <c r="B2789" s="10" t="s">
        <v>9</v>
      </c>
      <c r="C2789" s="10" t="s">
        <v>170</v>
      </c>
      <c r="D2789" s="10" t="s">
        <v>171</v>
      </c>
      <c r="E2789" s="11" t="str">
        <f>+HYPERLINK("http://trademark.i-assist.jp/data/china/image_1900th/79004306.pdf", "79004306")</f>
        <v>79004306</v>
      </c>
      <c r="F2789" s="10" t="s">
        <v>15</v>
      </c>
      <c r="G2789" s="10" t="s">
        <v>7717</v>
      </c>
      <c r="H2789" s="10" t="s">
        <v>7797</v>
      </c>
      <c r="I2789" s="10" t="s">
        <v>7579</v>
      </c>
    </row>
    <row r="2790" spans="1:9" x14ac:dyDescent="0.15">
      <c r="A2790" s="9">
        <v>2789</v>
      </c>
      <c r="B2790" s="10" t="s">
        <v>9</v>
      </c>
      <c r="C2790" s="10" t="s">
        <v>170</v>
      </c>
      <c r="D2790" s="10" t="s">
        <v>171</v>
      </c>
      <c r="E2790" s="11" t="str">
        <f>+HYPERLINK("http://trademark.i-assist.jp/data/china/image_1900th/79004387.pdf", "79004387")</f>
        <v>79004387</v>
      </c>
      <c r="F2790" s="10" t="s">
        <v>7798</v>
      </c>
      <c r="G2790" s="10" t="s">
        <v>7799</v>
      </c>
      <c r="H2790" s="10" t="s">
        <v>7800</v>
      </c>
      <c r="I2790" s="10" t="s">
        <v>7579</v>
      </c>
    </row>
    <row r="2791" spans="1:9" x14ac:dyDescent="0.15">
      <c r="A2791" s="9">
        <v>2790</v>
      </c>
      <c r="B2791" s="10" t="s">
        <v>9</v>
      </c>
      <c r="C2791" s="10" t="s">
        <v>170</v>
      </c>
      <c r="D2791" s="10" t="s">
        <v>171</v>
      </c>
      <c r="E2791" s="11" t="str">
        <f>+HYPERLINK("http://trademark.i-assist.jp/data/china/image_1900th/79004655.pdf", "79004655")</f>
        <v>79004655</v>
      </c>
      <c r="F2791" s="10" t="s">
        <v>7801</v>
      </c>
      <c r="G2791" s="10" t="s">
        <v>7609</v>
      </c>
      <c r="H2791" s="10" t="s">
        <v>7802</v>
      </c>
      <c r="I2791" s="10" t="s">
        <v>7579</v>
      </c>
    </row>
    <row r="2792" spans="1:9" x14ac:dyDescent="0.15">
      <c r="A2792" s="9">
        <v>2791</v>
      </c>
      <c r="B2792" s="10" t="s">
        <v>9</v>
      </c>
      <c r="C2792" s="10" t="s">
        <v>170</v>
      </c>
      <c r="D2792" s="10" t="s">
        <v>171</v>
      </c>
      <c r="E2792" s="11" t="str">
        <f>+HYPERLINK("http://trademark.i-assist.jp/data/china/image_1900th/79004932.pdf", "79004932")</f>
        <v>79004932</v>
      </c>
      <c r="F2792" s="10" t="s">
        <v>7803</v>
      </c>
      <c r="G2792" s="10" t="s">
        <v>7804</v>
      </c>
      <c r="H2792" s="10" t="s">
        <v>7805</v>
      </c>
      <c r="I2792" s="10" t="s">
        <v>7579</v>
      </c>
    </row>
    <row r="2793" spans="1:9" x14ac:dyDescent="0.15">
      <c r="A2793" s="9">
        <v>2792</v>
      </c>
      <c r="B2793" s="10" t="s">
        <v>9</v>
      </c>
      <c r="C2793" s="10" t="s">
        <v>170</v>
      </c>
      <c r="D2793" s="10" t="s">
        <v>171</v>
      </c>
      <c r="E2793" s="11" t="str">
        <f>+HYPERLINK("http://trademark.i-assist.jp/data/china/image_1900th/79005096.pdf", "79005096")</f>
        <v>79005096</v>
      </c>
      <c r="F2793" s="10" t="s">
        <v>7806</v>
      </c>
      <c r="G2793" s="10" t="s">
        <v>7807</v>
      </c>
      <c r="H2793" s="10" t="s">
        <v>7808</v>
      </c>
      <c r="I2793" s="10" t="s">
        <v>7579</v>
      </c>
    </row>
    <row r="2794" spans="1:9" x14ac:dyDescent="0.15">
      <c r="A2794" s="9">
        <v>2793</v>
      </c>
      <c r="B2794" s="10" t="s">
        <v>9</v>
      </c>
      <c r="C2794" s="10" t="s">
        <v>170</v>
      </c>
      <c r="D2794" s="10" t="s">
        <v>171</v>
      </c>
      <c r="E2794" s="11" t="str">
        <f>+HYPERLINK("http://trademark.i-assist.jp/data/china/image_1900th/79005426.pdf", "79005426")</f>
        <v>79005426</v>
      </c>
      <c r="F2794" s="10" t="s">
        <v>7809</v>
      </c>
      <c r="G2794" s="10" t="s">
        <v>147</v>
      </c>
      <c r="H2794" s="10" t="s">
        <v>7810</v>
      </c>
      <c r="I2794" s="10" t="s">
        <v>7579</v>
      </c>
    </row>
    <row r="2795" spans="1:9" x14ac:dyDescent="0.15">
      <c r="A2795" s="9">
        <v>2794</v>
      </c>
      <c r="B2795" s="10" t="s">
        <v>9</v>
      </c>
      <c r="C2795" s="10" t="s">
        <v>170</v>
      </c>
      <c r="D2795" s="10" t="s">
        <v>171</v>
      </c>
      <c r="E2795" s="11" t="str">
        <f>+HYPERLINK("http://trademark.i-assist.jp/data/china/image_1900th/79005490.pdf", "79005490")</f>
        <v>79005490</v>
      </c>
      <c r="F2795" s="10" t="s">
        <v>7811</v>
      </c>
      <c r="G2795" s="10" t="s">
        <v>7812</v>
      </c>
      <c r="H2795" s="10" t="s">
        <v>7813</v>
      </c>
      <c r="I2795" s="10" t="s">
        <v>7579</v>
      </c>
    </row>
    <row r="2796" spans="1:9" x14ac:dyDescent="0.15">
      <c r="A2796" s="9">
        <v>2795</v>
      </c>
      <c r="B2796" s="10" t="s">
        <v>9</v>
      </c>
      <c r="C2796" s="10" t="s">
        <v>170</v>
      </c>
      <c r="D2796" s="10" t="s">
        <v>171</v>
      </c>
      <c r="E2796" s="11" t="str">
        <f>+HYPERLINK("http://trademark.i-assist.jp/data/china/image_1900th/79005852.pdf", "79005852")</f>
        <v>79005852</v>
      </c>
      <c r="F2796" s="10" t="s">
        <v>7814</v>
      </c>
      <c r="G2796" s="10" t="s">
        <v>7815</v>
      </c>
      <c r="H2796" s="10" t="s">
        <v>7816</v>
      </c>
      <c r="I2796" s="10" t="s">
        <v>7579</v>
      </c>
    </row>
    <row r="2797" spans="1:9" x14ac:dyDescent="0.15">
      <c r="A2797" s="9">
        <v>2796</v>
      </c>
      <c r="B2797" s="10" t="s">
        <v>9</v>
      </c>
      <c r="C2797" s="10" t="s">
        <v>170</v>
      </c>
      <c r="D2797" s="10" t="s">
        <v>171</v>
      </c>
      <c r="E2797" s="11" t="str">
        <f>+HYPERLINK("http://trademark.i-assist.jp/data/china/image_1900th/79006033.pdf", "79006033")</f>
        <v>79006033</v>
      </c>
      <c r="F2797" s="10" t="s">
        <v>7817</v>
      </c>
      <c r="G2797" s="10" t="s">
        <v>7818</v>
      </c>
      <c r="H2797" s="10" t="s">
        <v>7819</v>
      </c>
      <c r="I2797" s="10" t="s">
        <v>7579</v>
      </c>
    </row>
    <row r="2798" spans="1:9" x14ac:dyDescent="0.15">
      <c r="A2798" s="9">
        <v>2797</v>
      </c>
      <c r="B2798" s="10" t="s">
        <v>9</v>
      </c>
      <c r="C2798" s="10" t="s">
        <v>170</v>
      </c>
      <c r="D2798" s="10" t="s">
        <v>171</v>
      </c>
      <c r="E2798" s="11" t="str">
        <f>+HYPERLINK("http://trademark.i-assist.jp/data/china/image_1900th/79006042.pdf", "79006042")</f>
        <v>79006042</v>
      </c>
      <c r="F2798" s="10" t="s">
        <v>7820</v>
      </c>
      <c r="G2798" s="10" t="s">
        <v>7821</v>
      </c>
      <c r="H2798" s="10" t="s">
        <v>7822</v>
      </c>
      <c r="I2798" s="10" t="s">
        <v>7579</v>
      </c>
    </row>
    <row r="2799" spans="1:9" x14ac:dyDescent="0.15">
      <c r="A2799" s="9">
        <v>2798</v>
      </c>
      <c r="B2799" s="10" t="s">
        <v>9</v>
      </c>
      <c r="C2799" s="10" t="s">
        <v>170</v>
      </c>
      <c r="D2799" s="10" t="s">
        <v>171</v>
      </c>
      <c r="E2799" s="11" t="str">
        <f>+HYPERLINK("http://trademark.i-assist.jp/data/china/image_1900th/79006320.pdf", "79006320")</f>
        <v>79006320</v>
      </c>
      <c r="F2799" s="10" t="s">
        <v>7823</v>
      </c>
      <c r="G2799" s="10" t="s">
        <v>7824</v>
      </c>
      <c r="H2799" s="10" t="s">
        <v>7825</v>
      </c>
      <c r="I2799" s="10" t="s">
        <v>7579</v>
      </c>
    </row>
    <row r="2800" spans="1:9" x14ac:dyDescent="0.15">
      <c r="A2800" s="9">
        <v>2799</v>
      </c>
      <c r="B2800" s="10" t="s">
        <v>9</v>
      </c>
      <c r="C2800" s="10" t="s">
        <v>170</v>
      </c>
      <c r="D2800" s="10" t="s">
        <v>171</v>
      </c>
      <c r="E2800" s="11" t="str">
        <f>+HYPERLINK("http://trademark.i-assist.jp/data/china/image_1900th/79006485.pdf", "79006485")</f>
        <v>79006485</v>
      </c>
      <c r="F2800" s="10" t="s">
        <v>7826</v>
      </c>
      <c r="G2800" s="10" t="s">
        <v>7827</v>
      </c>
      <c r="H2800" s="10" t="s">
        <v>7828</v>
      </c>
      <c r="I2800" s="10" t="s">
        <v>7579</v>
      </c>
    </row>
    <row r="2801" spans="1:9" x14ac:dyDescent="0.15">
      <c r="A2801" s="9">
        <v>2800</v>
      </c>
      <c r="B2801" s="10" t="s">
        <v>9</v>
      </c>
      <c r="C2801" s="10" t="s">
        <v>170</v>
      </c>
      <c r="D2801" s="10" t="s">
        <v>171</v>
      </c>
      <c r="E2801" s="11" t="str">
        <f>+HYPERLINK("http://trademark.i-assist.jp/data/china/image_1900th/79006804.pdf", "79006804")</f>
        <v>79006804</v>
      </c>
      <c r="F2801" s="10" t="s">
        <v>7829</v>
      </c>
      <c r="G2801" s="10" t="s">
        <v>7799</v>
      </c>
      <c r="H2801" s="10" t="s">
        <v>7830</v>
      </c>
      <c r="I2801" s="10" t="s">
        <v>7579</v>
      </c>
    </row>
    <row r="2802" spans="1:9" x14ac:dyDescent="0.15">
      <c r="A2802" s="9">
        <v>2801</v>
      </c>
      <c r="B2802" s="10" t="s">
        <v>9</v>
      </c>
      <c r="C2802" s="10" t="s">
        <v>170</v>
      </c>
      <c r="D2802" s="10" t="s">
        <v>171</v>
      </c>
      <c r="E2802" s="11" t="str">
        <f>+HYPERLINK("http://trademark.i-assist.jp/data/china/image_1900th/79006956.pdf", "79006956")</f>
        <v>79006956</v>
      </c>
      <c r="F2802" s="10" t="s">
        <v>7831</v>
      </c>
      <c r="G2802" s="10" t="s">
        <v>7832</v>
      </c>
      <c r="H2802" s="10" t="s">
        <v>7833</v>
      </c>
      <c r="I2802" s="10" t="s">
        <v>7579</v>
      </c>
    </row>
    <row r="2803" spans="1:9" x14ac:dyDescent="0.15">
      <c r="A2803" s="9">
        <v>2802</v>
      </c>
      <c r="B2803" s="10" t="s">
        <v>9</v>
      </c>
      <c r="C2803" s="10" t="s">
        <v>170</v>
      </c>
      <c r="D2803" s="10" t="s">
        <v>171</v>
      </c>
      <c r="E2803" s="11" t="str">
        <f>+HYPERLINK("http://trademark.i-assist.jp/data/china/image_1900th/79007199.pdf", "79007199")</f>
        <v>79007199</v>
      </c>
      <c r="F2803" s="10" t="s">
        <v>7761</v>
      </c>
      <c r="G2803" s="10" t="s">
        <v>7762</v>
      </c>
      <c r="H2803" s="10" t="s">
        <v>7834</v>
      </c>
      <c r="I2803" s="10" t="s">
        <v>7579</v>
      </c>
    </row>
    <row r="2804" spans="1:9" x14ac:dyDescent="0.15">
      <c r="A2804" s="9">
        <v>2803</v>
      </c>
      <c r="B2804" s="10" t="s">
        <v>9</v>
      </c>
      <c r="C2804" s="10" t="s">
        <v>170</v>
      </c>
      <c r="D2804" s="10" t="s">
        <v>171</v>
      </c>
      <c r="E2804" s="11" t="str">
        <f>+HYPERLINK("http://trademark.i-assist.jp/data/china/image_1900th/79007731.pdf", "79007731")</f>
        <v>79007731</v>
      </c>
      <c r="F2804" s="10" t="s">
        <v>7835</v>
      </c>
      <c r="G2804" s="10" t="s">
        <v>7836</v>
      </c>
      <c r="H2804" s="10" t="s">
        <v>7837</v>
      </c>
      <c r="I2804" s="10" t="s">
        <v>7579</v>
      </c>
    </row>
    <row r="2805" spans="1:9" x14ac:dyDescent="0.15">
      <c r="A2805" s="9">
        <v>2804</v>
      </c>
      <c r="B2805" s="10" t="s">
        <v>9</v>
      </c>
      <c r="C2805" s="10" t="s">
        <v>170</v>
      </c>
      <c r="D2805" s="10" t="s">
        <v>171</v>
      </c>
      <c r="E2805" s="11" t="str">
        <f>+HYPERLINK("http://trademark.i-assist.jp/data/china/image_1900th/79008131.pdf", "79008131")</f>
        <v>79008131</v>
      </c>
      <c r="F2805" s="10" t="s">
        <v>7838</v>
      </c>
      <c r="G2805" s="10" t="s">
        <v>7839</v>
      </c>
      <c r="H2805" s="10" t="s">
        <v>7840</v>
      </c>
      <c r="I2805" s="10" t="s">
        <v>7579</v>
      </c>
    </row>
    <row r="2806" spans="1:9" x14ac:dyDescent="0.15">
      <c r="A2806" s="9">
        <v>2805</v>
      </c>
      <c r="B2806" s="10" t="s">
        <v>9</v>
      </c>
      <c r="C2806" s="10" t="s">
        <v>170</v>
      </c>
      <c r="D2806" s="10" t="s">
        <v>171</v>
      </c>
      <c r="E2806" s="11" t="str">
        <f>+HYPERLINK("http://trademark.i-assist.jp/data/china/image_1900th/79008838.pdf", "79008838")</f>
        <v>79008838</v>
      </c>
      <c r="F2806" s="10" t="s">
        <v>7841</v>
      </c>
      <c r="G2806" s="10" t="s">
        <v>5499</v>
      </c>
      <c r="H2806" s="10" t="s">
        <v>7842</v>
      </c>
      <c r="I2806" s="10" t="s">
        <v>7579</v>
      </c>
    </row>
    <row r="2807" spans="1:9" x14ac:dyDescent="0.15">
      <c r="A2807" s="9">
        <v>2806</v>
      </c>
      <c r="B2807" s="10" t="s">
        <v>9</v>
      </c>
      <c r="C2807" s="10" t="s">
        <v>170</v>
      </c>
      <c r="D2807" s="10" t="s">
        <v>171</v>
      </c>
      <c r="E2807" s="11" t="str">
        <f>+HYPERLINK("http://trademark.i-assist.jp/data/china/image_1900th/79009292.pdf", "79009292")</f>
        <v>79009292</v>
      </c>
      <c r="F2807" s="10" t="s">
        <v>7843</v>
      </c>
      <c r="G2807" s="10" t="s">
        <v>7584</v>
      </c>
      <c r="H2807" s="10" t="s">
        <v>7844</v>
      </c>
      <c r="I2807" s="10" t="s">
        <v>7579</v>
      </c>
    </row>
    <row r="2808" spans="1:9" x14ac:dyDescent="0.15">
      <c r="A2808" s="9">
        <v>2807</v>
      </c>
      <c r="B2808" s="10" t="s">
        <v>9</v>
      </c>
      <c r="C2808" s="10" t="s">
        <v>170</v>
      </c>
      <c r="D2808" s="10" t="s">
        <v>171</v>
      </c>
      <c r="E2808" s="11" t="str">
        <f>+HYPERLINK("http://trademark.i-assist.jp/data/china/image_1900th/79009880.pdf", "79009880")</f>
        <v>79009880</v>
      </c>
      <c r="F2808" s="10" t="s">
        <v>7845</v>
      </c>
      <c r="G2808" s="10" t="s">
        <v>7846</v>
      </c>
      <c r="H2808" s="10" t="s">
        <v>7847</v>
      </c>
      <c r="I2808" s="10" t="s">
        <v>7579</v>
      </c>
    </row>
    <row r="2809" spans="1:9" x14ac:dyDescent="0.15">
      <c r="A2809" s="9">
        <v>2808</v>
      </c>
      <c r="B2809" s="10" t="s">
        <v>9</v>
      </c>
      <c r="C2809" s="10" t="s">
        <v>170</v>
      </c>
      <c r="D2809" s="10" t="s">
        <v>171</v>
      </c>
      <c r="E2809" s="11" t="str">
        <f>+HYPERLINK("http://trademark.i-assist.jp/data/china/image_1900th/79010103.pdf", "79010103")</f>
        <v>79010103</v>
      </c>
      <c r="F2809" s="10" t="s">
        <v>7848</v>
      </c>
      <c r="G2809" s="10" t="s">
        <v>7849</v>
      </c>
      <c r="H2809" s="10" t="s">
        <v>7850</v>
      </c>
      <c r="I2809" s="10" t="s">
        <v>7579</v>
      </c>
    </row>
    <row r="2810" spans="1:9" x14ac:dyDescent="0.15">
      <c r="A2810" s="9">
        <v>2809</v>
      </c>
      <c r="B2810" s="10" t="s">
        <v>9</v>
      </c>
      <c r="C2810" s="10" t="s">
        <v>170</v>
      </c>
      <c r="D2810" s="10" t="s">
        <v>171</v>
      </c>
      <c r="E2810" s="11" t="str">
        <f>+HYPERLINK("http://trademark.i-assist.jp/data/china/image_1900th/79010175.pdf", "79010175")</f>
        <v>79010175</v>
      </c>
      <c r="F2810" s="10" t="s">
        <v>7851</v>
      </c>
      <c r="G2810" s="10" t="s">
        <v>7852</v>
      </c>
      <c r="H2810" s="10" t="s">
        <v>7853</v>
      </c>
      <c r="I2810" s="10" t="s">
        <v>7579</v>
      </c>
    </row>
    <row r="2811" spans="1:9" x14ac:dyDescent="0.15">
      <c r="A2811" s="9">
        <v>2810</v>
      </c>
      <c r="B2811" s="10" t="s">
        <v>9</v>
      </c>
      <c r="C2811" s="10" t="s">
        <v>170</v>
      </c>
      <c r="D2811" s="10" t="s">
        <v>171</v>
      </c>
      <c r="E2811" s="11" t="str">
        <f>+HYPERLINK("http://trademark.i-assist.jp/data/china/image_1900th/79010428.pdf", "79010428")</f>
        <v>79010428</v>
      </c>
      <c r="F2811" s="10" t="s">
        <v>7854</v>
      </c>
      <c r="G2811" s="10" t="s">
        <v>7855</v>
      </c>
      <c r="H2811" s="10" t="s">
        <v>7856</v>
      </c>
      <c r="I2811" s="10" t="s">
        <v>7579</v>
      </c>
    </row>
    <row r="2812" spans="1:9" x14ac:dyDescent="0.15">
      <c r="A2812" s="9">
        <v>2811</v>
      </c>
      <c r="B2812" s="10" t="s">
        <v>9</v>
      </c>
      <c r="C2812" s="10" t="s">
        <v>170</v>
      </c>
      <c r="D2812" s="10" t="s">
        <v>171</v>
      </c>
      <c r="E2812" s="11" t="str">
        <f>+HYPERLINK("http://trademark.i-assist.jp/data/china/image_1900th/79010809.pdf", "79010809")</f>
        <v>79010809</v>
      </c>
      <c r="F2812" s="10" t="s">
        <v>7857</v>
      </c>
      <c r="G2812" s="10" t="s">
        <v>7682</v>
      </c>
      <c r="H2812" s="10" t="s">
        <v>7858</v>
      </c>
      <c r="I2812" s="10" t="s">
        <v>7579</v>
      </c>
    </row>
    <row r="2813" spans="1:9" x14ac:dyDescent="0.15">
      <c r="A2813" s="9">
        <v>2812</v>
      </c>
      <c r="B2813" s="10" t="s">
        <v>9</v>
      </c>
      <c r="C2813" s="10" t="s">
        <v>170</v>
      </c>
      <c r="D2813" s="10" t="s">
        <v>171</v>
      </c>
      <c r="E2813" s="11" t="str">
        <f>+HYPERLINK("http://trademark.i-assist.jp/data/china/image_1900th/79011294.pdf", "79011294")</f>
        <v>79011294</v>
      </c>
      <c r="F2813" s="10" t="s">
        <v>7859</v>
      </c>
      <c r="G2813" s="10" t="s">
        <v>7860</v>
      </c>
      <c r="H2813" s="10" t="s">
        <v>7861</v>
      </c>
      <c r="I2813" s="10" t="s">
        <v>7579</v>
      </c>
    </row>
    <row r="2814" spans="1:9" x14ac:dyDescent="0.15">
      <c r="A2814" s="9">
        <v>2813</v>
      </c>
      <c r="B2814" s="10" t="s">
        <v>9</v>
      </c>
      <c r="C2814" s="10" t="s">
        <v>170</v>
      </c>
      <c r="D2814" s="10" t="s">
        <v>171</v>
      </c>
      <c r="E2814" s="11" t="str">
        <f>+HYPERLINK("http://trademark.i-assist.jp/data/china/image_1900th/79011328.pdf", "79011328")</f>
        <v>79011328</v>
      </c>
      <c r="F2814" s="10" t="s">
        <v>7862</v>
      </c>
      <c r="G2814" s="10" t="s">
        <v>7863</v>
      </c>
      <c r="H2814" s="10" t="s">
        <v>7864</v>
      </c>
      <c r="I2814" s="10" t="s">
        <v>7579</v>
      </c>
    </row>
    <row r="2815" spans="1:9" x14ac:dyDescent="0.15">
      <c r="A2815" s="9">
        <v>2814</v>
      </c>
      <c r="B2815" s="10" t="s">
        <v>9</v>
      </c>
      <c r="C2815" s="10" t="s">
        <v>170</v>
      </c>
      <c r="D2815" s="10" t="s">
        <v>171</v>
      </c>
      <c r="E2815" s="11" t="str">
        <f>+HYPERLINK("http://trademark.i-assist.jp/data/china/image_1900th/79012149.pdf", "79012149")</f>
        <v>79012149</v>
      </c>
      <c r="F2815" s="10" t="s">
        <v>7865</v>
      </c>
      <c r="G2815" s="10" t="s">
        <v>7866</v>
      </c>
      <c r="H2815" s="10" t="s">
        <v>7867</v>
      </c>
      <c r="I2815" s="10" t="s">
        <v>7868</v>
      </c>
    </row>
    <row r="2816" spans="1:9" x14ac:dyDescent="0.15">
      <c r="A2816" s="9">
        <v>2815</v>
      </c>
      <c r="B2816" s="10" t="s">
        <v>9</v>
      </c>
      <c r="C2816" s="10" t="s">
        <v>170</v>
      </c>
      <c r="D2816" s="10" t="s">
        <v>171</v>
      </c>
      <c r="E2816" s="11" t="str">
        <f>+HYPERLINK("http://trademark.i-assist.jp/data/china/image_1900th/79012189.pdf", "79012189")</f>
        <v>79012189</v>
      </c>
      <c r="F2816" s="10" t="s">
        <v>7869</v>
      </c>
      <c r="G2816" s="10" t="s">
        <v>7870</v>
      </c>
      <c r="H2816" s="10" t="s">
        <v>7871</v>
      </c>
      <c r="I2816" s="10" t="s">
        <v>7868</v>
      </c>
    </row>
    <row r="2817" spans="1:9" x14ac:dyDescent="0.15">
      <c r="A2817" s="9">
        <v>2816</v>
      </c>
      <c r="B2817" s="10" t="s">
        <v>9</v>
      </c>
      <c r="C2817" s="10" t="s">
        <v>170</v>
      </c>
      <c r="D2817" s="10" t="s">
        <v>171</v>
      </c>
      <c r="E2817" s="11" t="str">
        <f>+HYPERLINK("http://trademark.i-assist.jp/data/china/image_1900th/79012221.pdf", "79012221")</f>
        <v>79012221</v>
      </c>
      <c r="F2817" s="10" t="s">
        <v>7872</v>
      </c>
      <c r="G2817" s="10" t="s">
        <v>7873</v>
      </c>
      <c r="H2817" s="10" t="s">
        <v>7874</v>
      </c>
      <c r="I2817" s="10" t="s">
        <v>7868</v>
      </c>
    </row>
    <row r="2818" spans="1:9" x14ac:dyDescent="0.15">
      <c r="A2818" s="9">
        <v>2817</v>
      </c>
      <c r="B2818" s="10" t="s">
        <v>9</v>
      </c>
      <c r="C2818" s="10" t="s">
        <v>170</v>
      </c>
      <c r="D2818" s="10" t="s">
        <v>171</v>
      </c>
      <c r="E2818" s="11" t="str">
        <f>+HYPERLINK("http://trademark.i-assist.jp/data/china/image_1900th/79012404.pdf", "79012404")</f>
        <v>79012404</v>
      </c>
      <c r="F2818" s="10" t="s">
        <v>7875</v>
      </c>
      <c r="G2818" s="10" t="s">
        <v>7876</v>
      </c>
      <c r="H2818" s="10" t="s">
        <v>7877</v>
      </c>
      <c r="I2818" s="10" t="s">
        <v>7868</v>
      </c>
    </row>
    <row r="2819" spans="1:9" x14ac:dyDescent="0.15">
      <c r="A2819" s="9">
        <v>2818</v>
      </c>
      <c r="B2819" s="10" t="s">
        <v>9</v>
      </c>
      <c r="C2819" s="10" t="s">
        <v>170</v>
      </c>
      <c r="D2819" s="10" t="s">
        <v>171</v>
      </c>
      <c r="E2819" s="11" t="str">
        <f>+HYPERLINK("http://trademark.i-assist.jp/data/china/image_1900th/79012460.pdf", "79012460")</f>
        <v>79012460</v>
      </c>
      <c r="F2819" s="10" t="s">
        <v>7878</v>
      </c>
      <c r="G2819" s="10" t="s">
        <v>96</v>
      </c>
      <c r="H2819" s="10" t="s">
        <v>7879</v>
      </c>
      <c r="I2819" s="10" t="s">
        <v>7868</v>
      </c>
    </row>
    <row r="2820" spans="1:9" x14ac:dyDescent="0.15">
      <c r="A2820" s="9">
        <v>2819</v>
      </c>
      <c r="B2820" s="10" t="s">
        <v>9</v>
      </c>
      <c r="C2820" s="10" t="s">
        <v>170</v>
      </c>
      <c r="D2820" s="10" t="s">
        <v>171</v>
      </c>
      <c r="E2820" s="11" t="str">
        <f>+HYPERLINK("http://trademark.i-assist.jp/data/china/image_1900th/79012685.pdf", "79012685")</f>
        <v>79012685</v>
      </c>
      <c r="F2820" s="10" t="s">
        <v>7880</v>
      </c>
      <c r="G2820" s="10" t="s">
        <v>7881</v>
      </c>
      <c r="H2820" s="10" t="s">
        <v>7882</v>
      </c>
      <c r="I2820" s="10" t="s">
        <v>7868</v>
      </c>
    </row>
    <row r="2821" spans="1:9" x14ac:dyDescent="0.15">
      <c r="A2821" s="9">
        <v>2820</v>
      </c>
      <c r="B2821" s="10" t="s">
        <v>9</v>
      </c>
      <c r="C2821" s="10" t="s">
        <v>170</v>
      </c>
      <c r="D2821" s="10" t="s">
        <v>171</v>
      </c>
      <c r="E2821" s="11" t="str">
        <f>+HYPERLINK("http://trademark.i-assist.jp/data/china/image_1900th/79012868.pdf", "79012868")</f>
        <v>79012868</v>
      </c>
      <c r="F2821" s="10" t="s">
        <v>7883</v>
      </c>
      <c r="G2821" s="10" t="s">
        <v>7884</v>
      </c>
      <c r="H2821" s="10" t="s">
        <v>7885</v>
      </c>
      <c r="I2821" s="10" t="s">
        <v>7868</v>
      </c>
    </row>
    <row r="2822" spans="1:9" x14ac:dyDescent="0.15">
      <c r="A2822" s="9">
        <v>2821</v>
      </c>
      <c r="B2822" s="10" t="s">
        <v>9</v>
      </c>
      <c r="C2822" s="10" t="s">
        <v>170</v>
      </c>
      <c r="D2822" s="10" t="s">
        <v>171</v>
      </c>
      <c r="E2822" s="11" t="str">
        <f>+HYPERLINK("http://trademark.i-assist.jp/data/china/image_1900th/79013024.pdf", "79013024")</f>
        <v>79013024</v>
      </c>
      <c r="F2822" s="10" t="s">
        <v>7886</v>
      </c>
      <c r="G2822" s="10" t="s">
        <v>989</v>
      </c>
      <c r="H2822" s="10" t="s">
        <v>7887</v>
      </c>
      <c r="I2822" s="10" t="s">
        <v>7868</v>
      </c>
    </row>
    <row r="2823" spans="1:9" x14ac:dyDescent="0.15">
      <c r="A2823" s="9">
        <v>2822</v>
      </c>
      <c r="B2823" s="10" t="s">
        <v>9</v>
      </c>
      <c r="C2823" s="10" t="s">
        <v>170</v>
      </c>
      <c r="D2823" s="10" t="s">
        <v>171</v>
      </c>
      <c r="E2823" s="11" t="str">
        <f>+HYPERLINK("http://trademark.i-assist.jp/data/china/image_1900th/79013155.pdf", "79013155")</f>
        <v>79013155</v>
      </c>
      <c r="F2823" s="10" t="s">
        <v>7888</v>
      </c>
      <c r="G2823" s="10" t="s">
        <v>7889</v>
      </c>
      <c r="H2823" s="10" t="s">
        <v>7890</v>
      </c>
      <c r="I2823" s="10" t="s">
        <v>7868</v>
      </c>
    </row>
    <row r="2824" spans="1:9" x14ac:dyDescent="0.15">
      <c r="A2824" s="9">
        <v>2823</v>
      </c>
      <c r="B2824" s="10" t="s">
        <v>9</v>
      </c>
      <c r="C2824" s="10" t="s">
        <v>170</v>
      </c>
      <c r="D2824" s="10" t="s">
        <v>171</v>
      </c>
      <c r="E2824" s="11" t="str">
        <f>+HYPERLINK("http://trademark.i-assist.jp/data/china/image_1900th/79013899.pdf", "79013899")</f>
        <v>79013899</v>
      </c>
      <c r="F2824" s="10" t="s">
        <v>7891</v>
      </c>
      <c r="G2824" s="10" t="s">
        <v>7892</v>
      </c>
      <c r="H2824" s="10" t="s">
        <v>7893</v>
      </c>
      <c r="I2824" s="10" t="s">
        <v>7868</v>
      </c>
    </row>
    <row r="2825" spans="1:9" x14ac:dyDescent="0.15">
      <c r="A2825" s="9">
        <v>2824</v>
      </c>
      <c r="B2825" s="10" t="s">
        <v>9</v>
      </c>
      <c r="C2825" s="10" t="s">
        <v>170</v>
      </c>
      <c r="D2825" s="10" t="s">
        <v>171</v>
      </c>
      <c r="E2825" s="11" t="str">
        <f>+HYPERLINK("http://trademark.i-assist.jp/data/china/image_1900th/79014501.pdf", "79014501")</f>
        <v>79014501</v>
      </c>
      <c r="F2825" s="10" t="s">
        <v>15</v>
      </c>
      <c r="G2825" s="10" t="s">
        <v>2464</v>
      </c>
      <c r="H2825" s="10" t="s">
        <v>7894</v>
      </c>
      <c r="I2825" s="10" t="s">
        <v>7868</v>
      </c>
    </row>
    <row r="2826" spans="1:9" x14ac:dyDescent="0.15">
      <c r="A2826" s="9">
        <v>2825</v>
      </c>
      <c r="B2826" s="10" t="s">
        <v>9</v>
      </c>
      <c r="C2826" s="10" t="s">
        <v>170</v>
      </c>
      <c r="D2826" s="10" t="s">
        <v>171</v>
      </c>
      <c r="E2826" s="11" t="str">
        <f>+HYPERLINK("http://trademark.i-assist.jp/data/china/image_1900th/79014641.pdf", "79014641")</f>
        <v>79014641</v>
      </c>
      <c r="F2826" s="10" t="s">
        <v>7895</v>
      </c>
      <c r="G2826" s="10" t="s">
        <v>7896</v>
      </c>
      <c r="H2826" s="10" t="s">
        <v>7897</v>
      </c>
      <c r="I2826" s="10" t="s">
        <v>7868</v>
      </c>
    </row>
    <row r="2827" spans="1:9" x14ac:dyDescent="0.15">
      <c r="A2827" s="9">
        <v>2826</v>
      </c>
      <c r="B2827" s="10" t="s">
        <v>9</v>
      </c>
      <c r="C2827" s="10" t="s">
        <v>170</v>
      </c>
      <c r="D2827" s="10" t="s">
        <v>171</v>
      </c>
      <c r="E2827" s="11" t="str">
        <f>+HYPERLINK("http://trademark.i-assist.jp/data/china/image_1900th/79015124.pdf", "79015124")</f>
        <v>79015124</v>
      </c>
      <c r="F2827" s="10" t="s">
        <v>7898</v>
      </c>
      <c r="G2827" s="10" t="s">
        <v>7899</v>
      </c>
      <c r="H2827" s="10" t="s">
        <v>7900</v>
      </c>
      <c r="I2827" s="10" t="s">
        <v>7868</v>
      </c>
    </row>
    <row r="2828" spans="1:9" x14ac:dyDescent="0.15">
      <c r="A2828" s="9">
        <v>2827</v>
      </c>
      <c r="B2828" s="10" t="s">
        <v>9</v>
      </c>
      <c r="C2828" s="10" t="s">
        <v>170</v>
      </c>
      <c r="D2828" s="10" t="s">
        <v>171</v>
      </c>
      <c r="E2828" s="11" t="str">
        <f>+HYPERLINK("http://trademark.i-assist.jp/data/china/image_1900th/79015141.pdf", "79015141")</f>
        <v>79015141</v>
      </c>
      <c r="F2828" s="10" t="s">
        <v>7901</v>
      </c>
      <c r="G2828" s="10" t="s">
        <v>7902</v>
      </c>
      <c r="H2828" s="10" t="s">
        <v>7903</v>
      </c>
      <c r="I2828" s="10" t="s">
        <v>7868</v>
      </c>
    </row>
    <row r="2829" spans="1:9" x14ac:dyDescent="0.15">
      <c r="A2829" s="9">
        <v>2828</v>
      </c>
      <c r="B2829" s="10" t="s">
        <v>9</v>
      </c>
      <c r="C2829" s="10" t="s">
        <v>170</v>
      </c>
      <c r="D2829" s="10" t="s">
        <v>171</v>
      </c>
      <c r="E2829" s="11" t="str">
        <f>+HYPERLINK("http://trademark.i-assist.jp/data/china/image_1900th/79015269.pdf", "79015269")</f>
        <v>79015269</v>
      </c>
      <c r="F2829" s="10" t="s">
        <v>7904</v>
      </c>
      <c r="G2829" s="10" t="s">
        <v>7905</v>
      </c>
      <c r="H2829" s="10" t="s">
        <v>7906</v>
      </c>
      <c r="I2829" s="10" t="s">
        <v>7868</v>
      </c>
    </row>
    <row r="2830" spans="1:9" x14ac:dyDescent="0.15">
      <c r="A2830" s="9">
        <v>2829</v>
      </c>
      <c r="B2830" s="10" t="s">
        <v>9</v>
      </c>
      <c r="C2830" s="10" t="s">
        <v>170</v>
      </c>
      <c r="D2830" s="10" t="s">
        <v>171</v>
      </c>
      <c r="E2830" s="11" t="str">
        <f>+HYPERLINK("http://trademark.i-assist.jp/data/china/image_1900th/79015276.pdf", "79015276")</f>
        <v>79015276</v>
      </c>
      <c r="F2830" s="10" t="s">
        <v>7907</v>
      </c>
      <c r="G2830" s="10" t="s">
        <v>7908</v>
      </c>
      <c r="H2830" s="10" t="s">
        <v>7909</v>
      </c>
      <c r="I2830" s="10" t="s">
        <v>7868</v>
      </c>
    </row>
    <row r="2831" spans="1:9" x14ac:dyDescent="0.15">
      <c r="A2831" s="9">
        <v>2830</v>
      </c>
      <c r="B2831" s="10" t="s">
        <v>9</v>
      </c>
      <c r="C2831" s="10" t="s">
        <v>170</v>
      </c>
      <c r="D2831" s="10" t="s">
        <v>171</v>
      </c>
      <c r="E2831" s="11" t="str">
        <f>+HYPERLINK("http://trademark.i-assist.jp/data/china/image_1900th/79015390.pdf", "79015390")</f>
        <v>79015390</v>
      </c>
      <c r="F2831" s="10" t="s">
        <v>7910</v>
      </c>
      <c r="G2831" s="10" t="s">
        <v>7911</v>
      </c>
      <c r="H2831" s="10" t="s">
        <v>7912</v>
      </c>
      <c r="I2831" s="10" t="s">
        <v>7868</v>
      </c>
    </row>
    <row r="2832" spans="1:9" x14ac:dyDescent="0.15">
      <c r="A2832" s="9">
        <v>2831</v>
      </c>
      <c r="B2832" s="10" t="s">
        <v>9</v>
      </c>
      <c r="C2832" s="10" t="s">
        <v>170</v>
      </c>
      <c r="D2832" s="10" t="s">
        <v>171</v>
      </c>
      <c r="E2832" s="11" t="str">
        <f>+HYPERLINK("http://trademark.i-assist.jp/data/china/image_1900th/79015635.pdf", "79015635")</f>
        <v>79015635</v>
      </c>
      <c r="F2832" s="10" t="s">
        <v>7913</v>
      </c>
      <c r="G2832" s="10" t="s">
        <v>7914</v>
      </c>
      <c r="H2832" s="10" t="s">
        <v>7915</v>
      </c>
      <c r="I2832" s="10" t="s">
        <v>7868</v>
      </c>
    </row>
    <row r="2833" spans="1:9" x14ac:dyDescent="0.15">
      <c r="A2833" s="9">
        <v>2832</v>
      </c>
      <c r="B2833" s="10" t="s">
        <v>9</v>
      </c>
      <c r="C2833" s="10" t="s">
        <v>170</v>
      </c>
      <c r="D2833" s="10" t="s">
        <v>171</v>
      </c>
      <c r="E2833" s="11" t="str">
        <f>+HYPERLINK("http://trademark.i-assist.jp/data/china/image_1900th/79016031.pdf", "79016031")</f>
        <v>79016031</v>
      </c>
      <c r="F2833" s="10" t="s">
        <v>15</v>
      </c>
      <c r="G2833" s="10" t="s">
        <v>109</v>
      </c>
      <c r="H2833" s="10" t="s">
        <v>7916</v>
      </c>
      <c r="I2833" s="10" t="s">
        <v>7868</v>
      </c>
    </row>
    <row r="2834" spans="1:9" x14ac:dyDescent="0.15">
      <c r="A2834" s="9">
        <v>2833</v>
      </c>
      <c r="B2834" s="10" t="s">
        <v>9</v>
      </c>
      <c r="C2834" s="10" t="s">
        <v>170</v>
      </c>
      <c r="D2834" s="10" t="s">
        <v>171</v>
      </c>
      <c r="E2834" s="11" t="str">
        <f>+HYPERLINK("http://trademark.i-assist.jp/data/china/image_1900th/79016094.pdf", "79016094")</f>
        <v>79016094</v>
      </c>
      <c r="F2834" s="10" t="s">
        <v>7917</v>
      </c>
      <c r="G2834" s="10" t="s">
        <v>7918</v>
      </c>
      <c r="H2834" s="10" t="s">
        <v>7919</v>
      </c>
      <c r="I2834" s="10" t="s">
        <v>7868</v>
      </c>
    </row>
    <row r="2835" spans="1:9" x14ac:dyDescent="0.15">
      <c r="A2835" s="9">
        <v>2834</v>
      </c>
      <c r="B2835" s="10" t="s">
        <v>9</v>
      </c>
      <c r="C2835" s="10" t="s">
        <v>170</v>
      </c>
      <c r="D2835" s="10" t="s">
        <v>171</v>
      </c>
      <c r="E2835" s="11" t="str">
        <f>+HYPERLINK("http://trademark.i-assist.jp/data/china/image_1900th/79016164.pdf", "79016164")</f>
        <v>79016164</v>
      </c>
      <c r="F2835" s="10" t="s">
        <v>7920</v>
      </c>
      <c r="G2835" s="10" t="s">
        <v>7921</v>
      </c>
      <c r="H2835" s="10" t="s">
        <v>7922</v>
      </c>
      <c r="I2835" s="10" t="s">
        <v>7868</v>
      </c>
    </row>
    <row r="2836" spans="1:9" x14ac:dyDescent="0.15">
      <c r="A2836" s="9">
        <v>2835</v>
      </c>
      <c r="B2836" s="10" t="s">
        <v>9</v>
      </c>
      <c r="C2836" s="10" t="s">
        <v>170</v>
      </c>
      <c r="D2836" s="10" t="s">
        <v>171</v>
      </c>
      <c r="E2836" s="11" t="str">
        <f>+HYPERLINK("http://trademark.i-assist.jp/data/china/image_1900th/79016729.pdf", "79016729")</f>
        <v>79016729</v>
      </c>
      <c r="F2836" s="10" t="s">
        <v>7923</v>
      </c>
      <c r="G2836" s="10" t="s">
        <v>7924</v>
      </c>
      <c r="H2836" s="10" t="s">
        <v>7925</v>
      </c>
      <c r="I2836" s="10" t="s">
        <v>7868</v>
      </c>
    </row>
    <row r="2837" spans="1:9" x14ac:dyDescent="0.15">
      <c r="A2837" s="9">
        <v>2836</v>
      </c>
      <c r="B2837" s="10" t="s">
        <v>9</v>
      </c>
      <c r="C2837" s="10" t="s">
        <v>170</v>
      </c>
      <c r="D2837" s="10" t="s">
        <v>171</v>
      </c>
      <c r="E2837" s="11" t="str">
        <f>+HYPERLINK("http://trademark.i-assist.jp/data/china/image_1900th/79016743.pdf", "79016743")</f>
        <v>79016743</v>
      </c>
      <c r="F2837" s="10" t="s">
        <v>7926</v>
      </c>
      <c r="G2837" s="10" t="s">
        <v>7927</v>
      </c>
      <c r="H2837" s="10" t="s">
        <v>7928</v>
      </c>
      <c r="I2837" s="10" t="s">
        <v>7868</v>
      </c>
    </row>
    <row r="2838" spans="1:9" x14ac:dyDescent="0.15">
      <c r="A2838" s="9">
        <v>2837</v>
      </c>
      <c r="B2838" s="10" t="s">
        <v>9</v>
      </c>
      <c r="C2838" s="10" t="s">
        <v>170</v>
      </c>
      <c r="D2838" s="10" t="s">
        <v>171</v>
      </c>
      <c r="E2838" s="11" t="str">
        <f>+HYPERLINK("http://trademark.i-assist.jp/data/china/image_1900th/79017009.pdf", "79017009")</f>
        <v>79017009</v>
      </c>
      <c r="F2838" s="10" t="s">
        <v>7929</v>
      </c>
      <c r="G2838" s="10" t="s">
        <v>7930</v>
      </c>
      <c r="H2838" s="10" t="s">
        <v>7931</v>
      </c>
      <c r="I2838" s="10" t="s">
        <v>7868</v>
      </c>
    </row>
    <row r="2839" spans="1:9" x14ac:dyDescent="0.15">
      <c r="A2839" s="9">
        <v>2838</v>
      </c>
      <c r="B2839" s="10" t="s">
        <v>9</v>
      </c>
      <c r="C2839" s="10" t="s">
        <v>170</v>
      </c>
      <c r="D2839" s="10" t="s">
        <v>171</v>
      </c>
      <c r="E2839" s="11" t="str">
        <f>+HYPERLINK("http://trademark.i-assist.jp/data/china/image_1900th/79017099.pdf", "79017099")</f>
        <v>79017099</v>
      </c>
      <c r="F2839" s="10" t="s">
        <v>7932</v>
      </c>
      <c r="G2839" s="10" t="s">
        <v>7933</v>
      </c>
      <c r="H2839" s="10" t="s">
        <v>7934</v>
      </c>
      <c r="I2839" s="10" t="s">
        <v>7868</v>
      </c>
    </row>
    <row r="2840" spans="1:9" x14ac:dyDescent="0.15">
      <c r="A2840" s="9">
        <v>2839</v>
      </c>
      <c r="B2840" s="10" t="s">
        <v>9</v>
      </c>
      <c r="C2840" s="10" t="s">
        <v>170</v>
      </c>
      <c r="D2840" s="10" t="s">
        <v>171</v>
      </c>
      <c r="E2840" s="11" t="str">
        <f>+HYPERLINK("http://trademark.i-assist.jp/data/china/image_1900th/79017530.pdf", "79017530")</f>
        <v>79017530</v>
      </c>
      <c r="F2840" s="10" t="s">
        <v>7935</v>
      </c>
      <c r="G2840" s="10" t="s">
        <v>7936</v>
      </c>
      <c r="H2840" s="10" t="s">
        <v>7937</v>
      </c>
      <c r="I2840" s="10" t="s">
        <v>7868</v>
      </c>
    </row>
    <row r="2841" spans="1:9" x14ac:dyDescent="0.15">
      <c r="A2841" s="9">
        <v>2840</v>
      </c>
      <c r="B2841" s="10" t="s">
        <v>9</v>
      </c>
      <c r="C2841" s="10" t="s">
        <v>170</v>
      </c>
      <c r="D2841" s="10" t="s">
        <v>171</v>
      </c>
      <c r="E2841" s="11" t="str">
        <f>+HYPERLINK("http://trademark.i-assist.jp/data/china/image_1900th/79017614.pdf", "79017614")</f>
        <v>79017614</v>
      </c>
      <c r="F2841" s="10" t="s">
        <v>15</v>
      </c>
      <c r="G2841" s="10" t="s">
        <v>7938</v>
      </c>
      <c r="H2841" s="10" t="s">
        <v>7939</v>
      </c>
      <c r="I2841" s="10" t="s">
        <v>7868</v>
      </c>
    </row>
    <row r="2842" spans="1:9" x14ac:dyDescent="0.15">
      <c r="A2842" s="9">
        <v>2841</v>
      </c>
      <c r="B2842" s="10" t="s">
        <v>9</v>
      </c>
      <c r="C2842" s="10" t="s">
        <v>170</v>
      </c>
      <c r="D2842" s="10" t="s">
        <v>171</v>
      </c>
      <c r="E2842" s="11" t="str">
        <f>+HYPERLINK("http://trademark.i-assist.jp/data/china/image_1900th/79018266.pdf", "79018266")</f>
        <v>79018266</v>
      </c>
      <c r="F2842" s="10" t="s">
        <v>15</v>
      </c>
      <c r="G2842" s="10" t="s">
        <v>7940</v>
      </c>
      <c r="H2842" s="10" t="s">
        <v>7941</v>
      </c>
      <c r="I2842" s="10" t="s">
        <v>7868</v>
      </c>
    </row>
    <row r="2843" spans="1:9" x14ac:dyDescent="0.15">
      <c r="A2843" s="9">
        <v>2842</v>
      </c>
      <c r="B2843" s="10" t="s">
        <v>9</v>
      </c>
      <c r="C2843" s="10" t="s">
        <v>170</v>
      </c>
      <c r="D2843" s="10" t="s">
        <v>171</v>
      </c>
      <c r="E2843" s="11" t="str">
        <f>+HYPERLINK("http://trademark.i-assist.jp/data/china/image_1900th/79018842.pdf", "79018842")</f>
        <v>79018842</v>
      </c>
      <c r="F2843" s="10" t="s">
        <v>15</v>
      </c>
      <c r="G2843" s="10" t="s">
        <v>109</v>
      </c>
      <c r="H2843" s="10" t="s">
        <v>7942</v>
      </c>
      <c r="I2843" s="10" t="s">
        <v>7868</v>
      </c>
    </row>
    <row r="2844" spans="1:9" x14ac:dyDescent="0.15">
      <c r="A2844" s="9">
        <v>2843</v>
      </c>
      <c r="B2844" s="10" t="s">
        <v>9</v>
      </c>
      <c r="C2844" s="10" t="s">
        <v>170</v>
      </c>
      <c r="D2844" s="10" t="s">
        <v>171</v>
      </c>
      <c r="E2844" s="11" t="str">
        <f>+HYPERLINK("http://trademark.i-assist.jp/data/china/image_1900th/79019039.pdf", "79019039")</f>
        <v>79019039</v>
      </c>
      <c r="F2844" s="10" t="s">
        <v>7943</v>
      </c>
      <c r="G2844" s="10" t="s">
        <v>7944</v>
      </c>
      <c r="H2844" s="10" t="s">
        <v>7945</v>
      </c>
      <c r="I2844" s="10" t="s">
        <v>7868</v>
      </c>
    </row>
    <row r="2845" spans="1:9" x14ac:dyDescent="0.15">
      <c r="A2845" s="9">
        <v>2844</v>
      </c>
      <c r="B2845" s="10" t="s">
        <v>9</v>
      </c>
      <c r="C2845" s="10" t="s">
        <v>170</v>
      </c>
      <c r="D2845" s="10" t="s">
        <v>171</v>
      </c>
      <c r="E2845" s="11" t="str">
        <f>+HYPERLINK("http://trademark.i-assist.jp/data/china/image_1900th/79019174.pdf", "79019174")</f>
        <v>79019174</v>
      </c>
      <c r="F2845" s="10" t="s">
        <v>7946</v>
      </c>
      <c r="G2845" s="10" t="s">
        <v>7947</v>
      </c>
      <c r="H2845" s="10" t="s">
        <v>7948</v>
      </c>
      <c r="I2845" s="10" t="s">
        <v>7868</v>
      </c>
    </row>
    <row r="2846" spans="1:9" x14ac:dyDescent="0.15">
      <c r="A2846" s="9">
        <v>2845</v>
      </c>
      <c r="B2846" s="10" t="s">
        <v>9</v>
      </c>
      <c r="C2846" s="10" t="s">
        <v>170</v>
      </c>
      <c r="D2846" s="10" t="s">
        <v>171</v>
      </c>
      <c r="E2846" s="11" t="str">
        <f>+HYPERLINK("http://trademark.i-assist.jp/data/china/image_1900th/79019617.pdf", "79019617")</f>
        <v>79019617</v>
      </c>
      <c r="F2846" s="10" t="s">
        <v>7949</v>
      </c>
      <c r="G2846" s="10" t="s">
        <v>7950</v>
      </c>
      <c r="H2846" s="10" t="s">
        <v>7951</v>
      </c>
      <c r="I2846" s="10" t="s">
        <v>7868</v>
      </c>
    </row>
    <row r="2847" spans="1:9" x14ac:dyDescent="0.15">
      <c r="A2847" s="9">
        <v>2846</v>
      </c>
      <c r="B2847" s="10" t="s">
        <v>9</v>
      </c>
      <c r="C2847" s="10" t="s">
        <v>170</v>
      </c>
      <c r="D2847" s="10" t="s">
        <v>171</v>
      </c>
      <c r="E2847" s="11" t="str">
        <f>+HYPERLINK("http://trademark.i-assist.jp/data/china/image_1900th/79019712.pdf", "79019712")</f>
        <v>79019712</v>
      </c>
      <c r="F2847" s="10" t="s">
        <v>7952</v>
      </c>
      <c r="G2847" s="10" t="s">
        <v>7953</v>
      </c>
      <c r="H2847" s="10" t="s">
        <v>7954</v>
      </c>
      <c r="I2847" s="10" t="s">
        <v>7868</v>
      </c>
    </row>
    <row r="2848" spans="1:9" x14ac:dyDescent="0.15">
      <c r="A2848" s="9">
        <v>2847</v>
      </c>
      <c r="B2848" s="10" t="s">
        <v>9</v>
      </c>
      <c r="C2848" s="10" t="s">
        <v>170</v>
      </c>
      <c r="D2848" s="10" t="s">
        <v>171</v>
      </c>
      <c r="E2848" s="11" t="str">
        <f>+HYPERLINK("http://trademark.i-assist.jp/data/china/image_1900th/79019974.pdf", "79019974")</f>
        <v>79019974</v>
      </c>
      <c r="F2848" s="10" t="s">
        <v>7955</v>
      </c>
      <c r="G2848" s="10" t="s">
        <v>7956</v>
      </c>
      <c r="H2848" s="10" t="s">
        <v>7957</v>
      </c>
      <c r="I2848" s="10" t="s">
        <v>7868</v>
      </c>
    </row>
    <row r="2849" spans="1:9" x14ac:dyDescent="0.15">
      <c r="A2849" s="9">
        <v>2848</v>
      </c>
      <c r="B2849" s="10" t="s">
        <v>9</v>
      </c>
      <c r="C2849" s="10" t="s">
        <v>170</v>
      </c>
      <c r="D2849" s="10" t="s">
        <v>171</v>
      </c>
      <c r="E2849" s="11" t="str">
        <f>+HYPERLINK("http://trademark.i-assist.jp/data/china/image_1900th/79020096.pdf", "79020096")</f>
        <v>79020096</v>
      </c>
      <c r="F2849" s="10" t="s">
        <v>7958</v>
      </c>
      <c r="G2849" s="10" t="s">
        <v>7959</v>
      </c>
      <c r="H2849" s="10" t="s">
        <v>7960</v>
      </c>
      <c r="I2849" s="10" t="s">
        <v>7868</v>
      </c>
    </row>
    <row r="2850" spans="1:9" x14ac:dyDescent="0.15">
      <c r="A2850" s="9">
        <v>2849</v>
      </c>
      <c r="B2850" s="10" t="s">
        <v>9</v>
      </c>
      <c r="C2850" s="10" t="s">
        <v>170</v>
      </c>
      <c r="D2850" s="10" t="s">
        <v>171</v>
      </c>
      <c r="E2850" s="11" t="str">
        <f>+HYPERLINK("http://trademark.i-assist.jp/data/china/image_1900th/79020246.pdf", "79020246")</f>
        <v>79020246</v>
      </c>
      <c r="F2850" s="10" t="s">
        <v>7961</v>
      </c>
      <c r="G2850" s="10" t="s">
        <v>4146</v>
      </c>
      <c r="H2850" s="10" t="s">
        <v>7962</v>
      </c>
      <c r="I2850" s="10" t="s">
        <v>7868</v>
      </c>
    </row>
    <row r="2851" spans="1:9" x14ac:dyDescent="0.15">
      <c r="A2851" s="9">
        <v>2850</v>
      </c>
      <c r="B2851" s="10" t="s">
        <v>9</v>
      </c>
      <c r="C2851" s="10" t="s">
        <v>170</v>
      </c>
      <c r="D2851" s="10" t="s">
        <v>171</v>
      </c>
      <c r="E2851" s="11" t="str">
        <f>+HYPERLINK("http://trademark.i-assist.jp/data/china/image_1900th/79020267.pdf", "79020267")</f>
        <v>79020267</v>
      </c>
      <c r="F2851" s="10" t="s">
        <v>7963</v>
      </c>
      <c r="G2851" s="10" t="s">
        <v>7964</v>
      </c>
      <c r="H2851" s="10" t="s">
        <v>7965</v>
      </c>
      <c r="I2851" s="10" t="s">
        <v>7868</v>
      </c>
    </row>
    <row r="2852" spans="1:9" x14ac:dyDescent="0.15">
      <c r="A2852" s="9">
        <v>2851</v>
      </c>
      <c r="B2852" s="10" t="s">
        <v>9</v>
      </c>
      <c r="C2852" s="10" t="s">
        <v>170</v>
      </c>
      <c r="D2852" s="10" t="s">
        <v>171</v>
      </c>
      <c r="E2852" s="11" t="str">
        <f>+HYPERLINK("http://trademark.i-assist.jp/data/china/image_1900th/79020347.pdf", "79020347")</f>
        <v>79020347</v>
      </c>
      <c r="F2852" s="10" t="s">
        <v>7966</v>
      </c>
      <c r="G2852" s="10" t="s">
        <v>7967</v>
      </c>
      <c r="H2852" s="10" t="s">
        <v>7968</v>
      </c>
      <c r="I2852" s="10" t="s">
        <v>7868</v>
      </c>
    </row>
    <row r="2853" spans="1:9" x14ac:dyDescent="0.15">
      <c r="A2853" s="9">
        <v>2852</v>
      </c>
      <c r="B2853" s="10" t="s">
        <v>9</v>
      </c>
      <c r="C2853" s="10" t="s">
        <v>170</v>
      </c>
      <c r="D2853" s="10" t="s">
        <v>171</v>
      </c>
      <c r="E2853" s="11" t="str">
        <f>+HYPERLINK("http://trademark.i-assist.jp/data/china/image_1900th/79020447.pdf", "79020447")</f>
        <v>79020447</v>
      </c>
      <c r="F2853" s="10" t="s">
        <v>7969</v>
      </c>
      <c r="G2853" s="10" t="s">
        <v>7970</v>
      </c>
      <c r="H2853" s="10" t="s">
        <v>7971</v>
      </c>
      <c r="I2853" s="10" t="s">
        <v>7868</v>
      </c>
    </row>
    <row r="2854" spans="1:9" x14ac:dyDescent="0.15">
      <c r="A2854" s="9">
        <v>2853</v>
      </c>
      <c r="B2854" s="10" t="s">
        <v>9</v>
      </c>
      <c r="C2854" s="10" t="s">
        <v>170</v>
      </c>
      <c r="D2854" s="10" t="s">
        <v>171</v>
      </c>
      <c r="E2854" s="11" t="str">
        <f>+HYPERLINK("http://trademark.i-assist.jp/data/china/image_1900th/79020999.pdf", "79020999")</f>
        <v>79020999</v>
      </c>
      <c r="F2854" s="10" t="s">
        <v>7972</v>
      </c>
      <c r="G2854" s="10" t="s">
        <v>96</v>
      </c>
      <c r="H2854" s="10" t="s">
        <v>7973</v>
      </c>
      <c r="I2854" s="10" t="s">
        <v>7868</v>
      </c>
    </row>
    <row r="2855" spans="1:9" x14ac:dyDescent="0.15">
      <c r="A2855" s="9">
        <v>2854</v>
      </c>
      <c r="B2855" s="10" t="s">
        <v>9</v>
      </c>
      <c r="C2855" s="10" t="s">
        <v>170</v>
      </c>
      <c r="D2855" s="10" t="s">
        <v>171</v>
      </c>
      <c r="E2855" s="11" t="str">
        <f>+HYPERLINK("http://trademark.i-assist.jp/data/china/image_1900th/79021178.pdf", "79021178")</f>
        <v>79021178</v>
      </c>
      <c r="F2855" s="10" t="s">
        <v>3585</v>
      </c>
      <c r="G2855" s="10" t="s">
        <v>3586</v>
      </c>
      <c r="H2855" s="10" t="s">
        <v>7974</v>
      </c>
      <c r="I2855" s="10" t="s">
        <v>7868</v>
      </c>
    </row>
    <row r="2856" spans="1:9" x14ac:dyDescent="0.15">
      <c r="A2856" s="9">
        <v>2855</v>
      </c>
      <c r="B2856" s="10" t="s">
        <v>9</v>
      </c>
      <c r="C2856" s="10" t="s">
        <v>170</v>
      </c>
      <c r="D2856" s="10" t="s">
        <v>171</v>
      </c>
      <c r="E2856" s="11" t="str">
        <f>+HYPERLINK("http://trademark.i-assist.jp/data/china/image_1900th/79021568.pdf", "79021568")</f>
        <v>79021568</v>
      </c>
      <c r="F2856" s="10" t="s">
        <v>7975</v>
      </c>
      <c r="G2856" s="10" t="s">
        <v>7976</v>
      </c>
      <c r="H2856" s="10" t="s">
        <v>7977</v>
      </c>
      <c r="I2856" s="10" t="s">
        <v>7868</v>
      </c>
    </row>
    <row r="2857" spans="1:9" x14ac:dyDescent="0.15">
      <c r="A2857" s="9">
        <v>2856</v>
      </c>
      <c r="B2857" s="10" t="s">
        <v>9</v>
      </c>
      <c r="C2857" s="10" t="s">
        <v>170</v>
      </c>
      <c r="D2857" s="10" t="s">
        <v>171</v>
      </c>
      <c r="E2857" s="11" t="str">
        <f>+HYPERLINK("http://trademark.i-assist.jp/data/china/image_1900th/79021888.pdf", "79021888")</f>
        <v>79021888</v>
      </c>
      <c r="F2857" s="10" t="s">
        <v>7978</v>
      </c>
      <c r="G2857" s="10" t="s">
        <v>7979</v>
      </c>
      <c r="H2857" s="10" t="s">
        <v>7980</v>
      </c>
      <c r="I2857" s="10" t="s">
        <v>7868</v>
      </c>
    </row>
    <row r="2858" spans="1:9" x14ac:dyDescent="0.15">
      <c r="A2858" s="9">
        <v>2857</v>
      </c>
      <c r="B2858" s="10" t="s">
        <v>9</v>
      </c>
      <c r="C2858" s="10" t="s">
        <v>170</v>
      </c>
      <c r="D2858" s="10" t="s">
        <v>171</v>
      </c>
      <c r="E2858" s="11" t="str">
        <f>+HYPERLINK("http://trademark.i-assist.jp/data/china/image_1900th/79022015.pdf", "79022015")</f>
        <v>79022015</v>
      </c>
      <c r="F2858" s="10" t="s">
        <v>7981</v>
      </c>
      <c r="G2858" s="10" t="s">
        <v>7982</v>
      </c>
      <c r="H2858" s="10" t="s">
        <v>7983</v>
      </c>
      <c r="I2858" s="10" t="s">
        <v>7868</v>
      </c>
    </row>
    <row r="2859" spans="1:9" x14ac:dyDescent="0.15">
      <c r="A2859" s="9">
        <v>2858</v>
      </c>
      <c r="B2859" s="10" t="s">
        <v>9</v>
      </c>
      <c r="C2859" s="10" t="s">
        <v>170</v>
      </c>
      <c r="D2859" s="10" t="s">
        <v>171</v>
      </c>
      <c r="E2859" s="11" t="str">
        <f>+HYPERLINK("http://trademark.i-assist.jp/data/china/image_1900th/79022199.pdf", "79022199")</f>
        <v>79022199</v>
      </c>
      <c r="F2859" s="10" t="s">
        <v>7984</v>
      </c>
      <c r="G2859" s="10" t="s">
        <v>7985</v>
      </c>
      <c r="H2859" s="10" t="s">
        <v>7986</v>
      </c>
      <c r="I2859" s="10" t="s">
        <v>7868</v>
      </c>
    </row>
    <row r="2860" spans="1:9" x14ac:dyDescent="0.15">
      <c r="A2860" s="9">
        <v>2859</v>
      </c>
      <c r="B2860" s="10" t="s">
        <v>9</v>
      </c>
      <c r="C2860" s="10" t="s">
        <v>170</v>
      </c>
      <c r="D2860" s="10" t="s">
        <v>171</v>
      </c>
      <c r="E2860" s="11" t="str">
        <f>+HYPERLINK("http://trademark.i-assist.jp/data/china/image_1900th/79022240.pdf", "79022240")</f>
        <v>79022240</v>
      </c>
      <c r="F2860" s="10" t="s">
        <v>7987</v>
      </c>
      <c r="G2860" s="10" t="s">
        <v>7988</v>
      </c>
      <c r="H2860" s="10" t="s">
        <v>7989</v>
      </c>
      <c r="I2860" s="10" t="s">
        <v>7868</v>
      </c>
    </row>
    <row r="2861" spans="1:9" x14ac:dyDescent="0.15">
      <c r="A2861" s="9">
        <v>2860</v>
      </c>
      <c r="B2861" s="10" t="s">
        <v>9</v>
      </c>
      <c r="C2861" s="10" t="s">
        <v>170</v>
      </c>
      <c r="D2861" s="10" t="s">
        <v>171</v>
      </c>
      <c r="E2861" s="11" t="str">
        <f>+HYPERLINK("http://trademark.i-assist.jp/data/china/image_1900th/79022260.pdf", "79022260")</f>
        <v>79022260</v>
      </c>
      <c r="F2861" s="10" t="s">
        <v>7990</v>
      </c>
      <c r="G2861" s="10" t="s">
        <v>7991</v>
      </c>
      <c r="H2861" s="10" t="s">
        <v>7992</v>
      </c>
      <c r="I2861" s="10" t="s">
        <v>7868</v>
      </c>
    </row>
    <row r="2862" spans="1:9" x14ac:dyDescent="0.15">
      <c r="A2862" s="9">
        <v>2861</v>
      </c>
      <c r="B2862" s="10" t="s">
        <v>9</v>
      </c>
      <c r="C2862" s="10" t="s">
        <v>170</v>
      </c>
      <c r="D2862" s="10" t="s">
        <v>171</v>
      </c>
      <c r="E2862" s="11" t="str">
        <f>+HYPERLINK("http://trademark.i-assist.jp/data/china/image_1900th/79022933.pdf", "79022933")</f>
        <v>79022933</v>
      </c>
      <c r="F2862" s="10" t="s">
        <v>7993</v>
      </c>
      <c r="G2862" s="10" t="s">
        <v>7994</v>
      </c>
      <c r="H2862" s="10" t="s">
        <v>7995</v>
      </c>
      <c r="I2862" s="10" t="s">
        <v>7868</v>
      </c>
    </row>
    <row r="2863" spans="1:9" x14ac:dyDescent="0.15">
      <c r="A2863" s="9">
        <v>2862</v>
      </c>
      <c r="B2863" s="10" t="s">
        <v>9</v>
      </c>
      <c r="C2863" s="10" t="s">
        <v>170</v>
      </c>
      <c r="D2863" s="10" t="s">
        <v>171</v>
      </c>
      <c r="E2863" s="11" t="str">
        <f>+HYPERLINK("http://trademark.i-assist.jp/data/china/image_1900th/79023147.pdf", "79023147")</f>
        <v>79023147</v>
      </c>
      <c r="F2863" s="10" t="s">
        <v>7996</v>
      </c>
      <c r="G2863" s="10" t="s">
        <v>7997</v>
      </c>
      <c r="H2863" s="10" t="s">
        <v>7998</v>
      </c>
      <c r="I2863" s="10" t="s">
        <v>7868</v>
      </c>
    </row>
    <row r="2864" spans="1:9" x14ac:dyDescent="0.15">
      <c r="A2864" s="9">
        <v>2863</v>
      </c>
      <c r="B2864" s="10" t="s">
        <v>9</v>
      </c>
      <c r="C2864" s="10" t="s">
        <v>170</v>
      </c>
      <c r="D2864" s="10" t="s">
        <v>171</v>
      </c>
      <c r="E2864" s="11" t="str">
        <f>+HYPERLINK("http://trademark.i-assist.jp/data/china/image_1900th/79023552.pdf", "79023552")</f>
        <v>79023552</v>
      </c>
      <c r="F2864" s="10" t="s">
        <v>7999</v>
      </c>
      <c r="G2864" s="10" t="s">
        <v>8000</v>
      </c>
      <c r="H2864" s="10" t="s">
        <v>8001</v>
      </c>
      <c r="I2864" s="10" t="s">
        <v>7868</v>
      </c>
    </row>
    <row r="2865" spans="1:9" x14ac:dyDescent="0.15">
      <c r="A2865" s="9">
        <v>2864</v>
      </c>
      <c r="B2865" s="10" t="s">
        <v>9</v>
      </c>
      <c r="C2865" s="10" t="s">
        <v>170</v>
      </c>
      <c r="D2865" s="10" t="s">
        <v>171</v>
      </c>
      <c r="E2865" s="11" t="str">
        <f>+HYPERLINK("http://trademark.i-assist.jp/data/china/image_1900th/79023913.pdf", "79023913")</f>
        <v>79023913</v>
      </c>
      <c r="F2865" s="10" t="s">
        <v>8002</v>
      </c>
      <c r="G2865" s="10" t="s">
        <v>8003</v>
      </c>
      <c r="H2865" s="10" t="s">
        <v>8004</v>
      </c>
      <c r="I2865" s="10" t="s">
        <v>7868</v>
      </c>
    </row>
    <row r="2866" spans="1:9" x14ac:dyDescent="0.15">
      <c r="A2866" s="9">
        <v>2865</v>
      </c>
      <c r="B2866" s="10" t="s">
        <v>9</v>
      </c>
      <c r="C2866" s="10" t="s">
        <v>170</v>
      </c>
      <c r="D2866" s="10" t="s">
        <v>171</v>
      </c>
      <c r="E2866" s="11" t="str">
        <f>+HYPERLINK("http://trademark.i-assist.jp/data/china/image_1900th/79024349.pdf", "79024349")</f>
        <v>79024349</v>
      </c>
      <c r="F2866" s="10" t="s">
        <v>8005</v>
      </c>
      <c r="G2866" s="10" t="s">
        <v>8006</v>
      </c>
      <c r="H2866" s="10" t="s">
        <v>8007</v>
      </c>
      <c r="I2866" s="10" t="s">
        <v>7868</v>
      </c>
    </row>
    <row r="2867" spans="1:9" x14ac:dyDescent="0.15">
      <c r="A2867" s="9">
        <v>2866</v>
      </c>
      <c r="B2867" s="10" t="s">
        <v>9</v>
      </c>
      <c r="C2867" s="10" t="s">
        <v>170</v>
      </c>
      <c r="D2867" s="10" t="s">
        <v>171</v>
      </c>
      <c r="E2867" s="11" t="str">
        <f>+HYPERLINK("http://trademark.i-assist.jp/data/china/image_1900th/79024429.pdf", "79024429")</f>
        <v>79024429</v>
      </c>
      <c r="F2867" s="10" t="s">
        <v>8008</v>
      </c>
      <c r="G2867" s="10" t="s">
        <v>8009</v>
      </c>
      <c r="H2867" s="10" t="s">
        <v>8010</v>
      </c>
      <c r="I2867" s="10" t="s">
        <v>7868</v>
      </c>
    </row>
    <row r="2868" spans="1:9" x14ac:dyDescent="0.15">
      <c r="A2868" s="9">
        <v>2867</v>
      </c>
      <c r="B2868" s="10" t="s">
        <v>9</v>
      </c>
      <c r="C2868" s="10" t="s">
        <v>170</v>
      </c>
      <c r="D2868" s="10" t="s">
        <v>171</v>
      </c>
      <c r="E2868" s="11" t="str">
        <f>+HYPERLINK("http://trademark.i-assist.jp/data/china/image_1900th/79024456.pdf", "79024456")</f>
        <v>79024456</v>
      </c>
      <c r="F2868" s="10" t="s">
        <v>8011</v>
      </c>
      <c r="G2868" s="10" t="s">
        <v>8012</v>
      </c>
      <c r="H2868" s="10" t="s">
        <v>8013</v>
      </c>
      <c r="I2868" s="10" t="s">
        <v>7868</v>
      </c>
    </row>
    <row r="2869" spans="1:9" x14ac:dyDescent="0.15">
      <c r="A2869" s="9">
        <v>2868</v>
      </c>
      <c r="B2869" s="10" t="s">
        <v>9</v>
      </c>
      <c r="C2869" s="10" t="s">
        <v>170</v>
      </c>
      <c r="D2869" s="10" t="s">
        <v>171</v>
      </c>
      <c r="E2869" s="11" t="str">
        <f>+HYPERLINK("http://trademark.i-assist.jp/data/china/image_1900th/79025107.pdf", "79025107")</f>
        <v>79025107</v>
      </c>
      <c r="F2869" s="10" t="s">
        <v>8014</v>
      </c>
      <c r="G2869" s="10" t="s">
        <v>8015</v>
      </c>
      <c r="H2869" s="10" t="s">
        <v>24</v>
      </c>
      <c r="I2869" s="10" t="s">
        <v>7868</v>
      </c>
    </row>
    <row r="2870" spans="1:9" x14ac:dyDescent="0.15">
      <c r="A2870" s="9">
        <v>2869</v>
      </c>
      <c r="B2870" s="10" t="s">
        <v>9</v>
      </c>
      <c r="C2870" s="10" t="s">
        <v>170</v>
      </c>
      <c r="D2870" s="10" t="s">
        <v>171</v>
      </c>
      <c r="E2870" s="11" t="str">
        <f>+HYPERLINK("http://trademark.i-assist.jp/data/china/image_1900th/79025211.pdf", "79025211")</f>
        <v>79025211</v>
      </c>
      <c r="F2870" s="10" t="s">
        <v>8016</v>
      </c>
      <c r="G2870" s="10" t="s">
        <v>8017</v>
      </c>
      <c r="H2870" s="10" t="s">
        <v>8018</v>
      </c>
      <c r="I2870" s="10" t="s">
        <v>7868</v>
      </c>
    </row>
    <row r="2871" spans="1:9" x14ac:dyDescent="0.15">
      <c r="A2871" s="9">
        <v>2870</v>
      </c>
      <c r="B2871" s="10" t="s">
        <v>9</v>
      </c>
      <c r="C2871" s="10" t="s">
        <v>170</v>
      </c>
      <c r="D2871" s="10" t="s">
        <v>171</v>
      </c>
      <c r="E2871" s="11" t="str">
        <f>+HYPERLINK("http://trademark.i-assist.jp/data/china/image_1900th/79025716.pdf", "79025716")</f>
        <v>79025716</v>
      </c>
      <c r="F2871" s="10" t="s">
        <v>8019</v>
      </c>
      <c r="G2871" s="10" t="s">
        <v>8020</v>
      </c>
      <c r="H2871" s="10" t="s">
        <v>8021</v>
      </c>
      <c r="I2871" s="10" t="s">
        <v>7868</v>
      </c>
    </row>
    <row r="2872" spans="1:9" x14ac:dyDescent="0.15">
      <c r="A2872" s="9">
        <v>2871</v>
      </c>
      <c r="B2872" s="10" t="s">
        <v>9</v>
      </c>
      <c r="C2872" s="10" t="s">
        <v>170</v>
      </c>
      <c r="D2872" s="10" t="s">
        <v>171</v>
      </c>
      <c r="E2872" s="11" t="str">
        <f>+HYPERLINK("http://trademark.i-assist.jp/data/china/image_1900th/79025953.pdf", "79025953")</f>
        <v>79025953</v>
      </c>
      <c r="F2872" s="10" t="s">
        <v>8022</v>
      </c>
      <c r="G2872" s="10" t="s">
        <v>8023</v>
      </c>
      <c r="H2872" s="10" t="s">
        <v>8024</v>
      </c>
      <c r="I2872" s="10" t="s">
        <v>7868</v>
      </c>
    </row>
    <row r="2873" spans="1:9" x14ac:dyDescent="0.15">
      <c r="A2873" s="9">
        <v>2872</v>
      </c>
      <c r="B2873" s="10" t="s">
        <v>9</v>
      </c>
      <c r="C2873" s="10" t="s">
        <v>170</v>
      </c>
      <c r="D2873" s="10" t="s">
        <v>171</v>
      </c>
      <c r="E2873" s="11" t="str">
        <f>+HYPERLINK("http://trademark.i-assist.jp/data/china/image_1900th/79026181.pdf", "79026181")</f>
        <v>79026181</v>
      </c>
      <c r="F2873" s="10" t="s">
        <v>8025</v>
      </c>
      <c r="G2873" s="10" t="s">
        <v>8026</v>
      </c>
      <c r="H2873" s="10" t="s">
        <v>8027</v>
      </c>
      <c r="I2873" s="10" t="s">
        <v>7868</v>
      </c>
    </row>
    <row r="2874" spans="1:9" x14ac:dyDescent="0.15">
      <c r="A2874" s="9">
        <v>2873</v>
      </c>
      <c r="B2874" s="10" t="s">
        <v>9</v>
      </c>
      <c r="C2874" s="10" t="s">
        <v>170</v>
      </c>
      <c r="D2874" s="10" t="s">
        <v>171</v>
      </c>
      <c r="E2874" s="11" t="str">
        <f>+HYPERLINK("http://trademark.i-assist.jp/data/china/image_1900th/79027009.pdf", "79027009")</f>
        <v>79027009</v>
      </c>
      <c r="F2874" s="10" t="s">
        <v>8028</v>
      </c>
      <c r="G2874" s="10" t="s">
        <v>8029</v>
      </c>
      <c r="H2874" s="10" t="s">
        <v>8030</v>
      </c>
      <c r="I2874" s="10" t="s">
        <v>7868</v>
      </c>
    </row>
    <row r="2875" spans="1:9" x14ac:dyDescent="0.15">
      <c r="A2875" s="9">
        <v>2874</v>
      </c>
      <c r="B2875" s="10" t="s">
        <v>9</v>
      </c>
      <c r="C2875" s="10" t="s">
        <v>170</v>
      </c>
      <c r="D2875" s="10" t="s">
        <v>171</v>
      </c>
      <c r="E2875" s="11" t="str">
        <f>+HYPERLINK("http://trademark.i-assist.jp/data/china/image_1900th/79027738.pdf", "79027738")</f>
        <v>79027738</v>
      </c>
      <c r="F2875" s="10" t="s">
        <v>8031</v>
      </c>
      <c r="G2875" s="10" t="s">
        <v>8032</v>
      </c>
      <c r="H2875" s="10" t="s">
        <v>8033</v>
      </c>
      <c r="I2875" s="10" t="s">
        <v>7868</v>
      </c>
    </row>
    <row r="2876" spans="1:9" x14ac:dyDescent="0.15">
      <c r="A2876" s="9">
        <v>2875</v>
      </c>
      <c r="B2876" s="10" t="s">
        <v>9</v>
      </c>
      <c r="C2876" s="10" t="s">
        <v>170</v>
      </c>
      <c r="D2876" s="10" t="s">
        <v>171</v>
      </c>
      <c r="E2876" s="11" t="str">
        <f>+HYPERLINK("http://trademark.i-assist.jp/data/china/image_1900th/79027838.pdf", "79027838")</f>
        <v>79027838</v>
      </c>
      <c r="F2876" s="10" t="s">
        <v>8034</v>
      </c>
      <c r="G2876" s="10" t="s">
        <v>8035</v>
      </c>
      <c r="H2876" s="10" t="s">
        <v>8036</v>
      </c>
      <c r="I2876" s="10" t="s">
        <v>7868</v>
      </c>
    </row>
    <row r="2877" spans="1:9" x14ac:dyDescent="0.15">
      <c r="A2877" s="9">
        <v>2876</v>
      </c>
      <c r="B2877" s="10" t="s">
        <v>9</v>
      </c>
      <c r="C2877" s="10" t="s">
        <v>170</v>
      </c>
      <c r="D2877" s="10" t="s">
        <v>171</v>
      </c>
      <c r="E2877" s="11" t="str">
        <f>+HYPERLINK("http://trademark.i-assist.jp/data/china/image_1900th/79027928.pdf", "79027928")</f>
        <v>79027928</v>
      </c>
      <c r="F2877" s="10" t="s">
        <v>8037</v>
      </c>
      <c r="G2877" s="10" t="s">
        <v>8038</v>
      </c>
      <c r="H2877" s="10" t="s">
        <v>8039</v>
      </c>
      <c r="I2877" s="10" t="s">
        <v>7868</v>
      </c>
    </row>
    <row r="2878" spans="1:9" x14ac:dyDescent="0.15">
      <c r="A2878" s="9">
        <v>2877</v>
      </c>
      <c r="B2878" s="10" t="s">
        <v>9</v>
      </c>
      <c r="C2878" s="10" t="s">
        <v>170</v>
      </c>
      <c r="D2878" s="10" t="s">
        <v>171</v>
      </c>
      <c r="E2878" s="11" t="str">
        <f>+HYPERLINK("http://trademark.i-assist.jp/data/china/image_1900th/79028227.pdf", "79028227")</f>
        <v>79028227</v>
      </c>
      <c r="F2878" s="10" t="s">
        <v>8040</v>
      </c>
      <c r="G2878" s="10" t="s">
        <v>8041</v>
      </c>
      <c r="H2878" s="10" t="s">
        <v>8042</v>
      </c>
      <c r="I2878" s="10" t="s">
        <v>7868</v>
      </c>
    </row>
    <row r="2879" spans="1:9" x14ac:dyDescent="0.15">
      <c r="A2879" s="9">
        <v>2878</v>
      </c>
      <c r="B2879" s="10" t="s">
        <v>9</v>
      </c>
      <c r="C2879" s="10" t="s">
        <v>170</v>
      </c>
      <c r="D2879" s="10" t="s">
        <v>171</v>
      </c>
      <c r="E2879" s="11" t="str">
        <f>+HYPERLINK("http://trademark.i-assist.jp/data/china/image_1900th/79028943.pdf", "79028943")</f>
        <v>79028943</v>
      </c>
      <c r="F2879" s="10" t="s">
        <v>8043</v>
      </c>
      <c r="G2879" s="10" t="s">
        <v>8044</v>
      </c>
      <c r="H2879" s="10" t="s">
        <v>8045</v>
      </c>
      <c r="I2879" s="10" t="s">
        <v>7868</v>
      </c>
    </row>
    <row r="2880" spans="1:9" x14ac:dyDescent="0.15">
      <c r="A2880" s="9">
        <v>2879</v>
      </c>
      <c r="B2880" s="10" t="s">
        <v>9</v>
      </c>
      <c r="C2880" s="10" t="s">
        <v>170</v>
      </c>
      <c r="D2880" s="10" t="s">
        <v>171</v>
      </c>
      <c r="E2880" s="11" t="str">
        <f>+HYPERLINK("http://trademark.i-assist.jp/data/china/image_1900th/79029403.pdf", "79029403")</f>
        <v>79029403</v>
      </c>
      <c r="F2880" s="10" t="s">
        <v>8046</v>
      </c>
      <c r="G2880" s="10" t="s">
        <v>7936</v>
      </c>
      <c r="H2880" s="10" t="s">
        <v>8047</v>
      </c>
      <c r="I2880" s="10" t="s">
        <v>7868</v>
      </c>
    </row>
    <row r="2881" spans="1:9" x14ac:dyDescent="0.15">
      <c r="A2881" s="9">
        <v>2880</v>
      </c>
      <c r="B2881" s="10" t="s">
        <v>9</v>
      </c>
      <c r="C2881" s="10" t="s">
        <v>170</v>
      </c>
      <c r="D2881" s="10" t="s">
        <v>171</v>
      </c>
      <c r="E2881" s="11" t="str">
        <f>+HYPERLINK("http://trademark.i-assist.jp/data/china/image_1900th/79029727.pdf", "79029727")</f>
        <v>79029727</v>
      </c>
      <c r="F2881" s="10" t="s">
        <v>8048</v>
      </c>
      <c r="G2881" s="10" t="s">
        <v>8023</v>
      </c>
      <c r="H2881" s="10" t="s">
        <v>8049</v>
      </c>
      <c r="I2881" s="10" t="s">
        <v>7868</v>
      </c>
    </row>
    <row r="2882" spans="1:9" x14ac:dyDescent="0.15">
      <c r="A2882" s="9">
        <v>2881</v>
      </c>
      <c r="B2882" s="10" t="s">
        <v>9</v>
      </c>
      <c r="C2882" s="10" t="s">
        <v>170</v>
      </c>
      <c r="D2882" s="10" t="s">
        <v>171</v>
      </c>
      <c r="E2882" s="11" t="str">
        <f>+HYPERLINK("http://trademark.i-assist.jp/data/china/image_1900th/79030164.pdf", "79030164")</f>
        <v>79030164</v>
      </c>
      <c r="F2882" s="10" t="s">
        <v>8050</v>
      </c>
      <c r="G2882" s="10" t="s">
        <v>8051</v>
      </c>
      <c r="H2882" s="10" t="s">
        <v>8052</v>
      </c>
      <c r="I2882" s="10" t="s">
        <v>7868</v>
      </c>
    </row>
    <row r="2883" spans="1:9" x14ac:dyDescent="0.15">
      <c r="A2883" s="9">
        <v>2882</v>
      </c>
      <c r="B2883" s="10" t="s">
        <v>9</v>
      </c>
      <c r="C2883" s="10" t="s">
        <v>170</v>
      </c>
      <c r="D2883" s="10" t="s">
        <v>171</v>
      </c>
      <c r="E2883" s="11" t="str">
        <f>+HYPERLINK("http://trademark.i-assist.jp/data/china/image_1900th/79030503.pdf", "79030503")</f>
        <v>79030503</v>
      </c>
      <c r="F2883" s="10" t="s">
        <v>8053</v>
      </c>
      <c r="G2883" s="10" t="s">
        <v>8054</v>
      </c>
      <c r="H2883" s="10" t="s">
        <v>8055</v>
      </c>
      <c r="I2883" s="10" t="s">
        <v>7868</v>
      </c>
    </row>
    <row r="2884" spans="1:9" x14ac:dyDescent="0.15">
      <c r="A2884" s="9">
        <v>2883</v>
      </c>
      <c r="B2884" s="10" t="s">
        <v>9</v>
      </c>
      <c r="C2884" s="10" t="s">
        <v>170</v>
      </c>
      <c r="D2884" s="10" t="s">
        <v>171</v>
      </c>
      <c r="E2884" s="11" t="str">
        <f>+HYPERLINK("http://trademark.i-assist.jp/data/china/image_1900th/79030563.pdf", "79030563")</f>
        <v>79030563</v>
      </c>
      <c r="F2884" s="10" t="s">
        <v>8056</v>
      </c>
      <c r="G2884" s="10" t="s">
        <v>8057</v>
      </c>
      <c r="H2884" s="10" t="s">
        <v>8058</v>
      </c>
      <c r="I2884" s="10" t="s">
        <v>7868</v>
      </c>
    </row>
    <row r="2885" spans="1:9" x14ac:dyDescent="0.15">
      <c r="A2885" s="9">
        <v>2884</v>
      </c>
      <c r="B2885" s="10" t="s">
        <v>9</v>
      </c>
      <c r="C2885" s="10" t="s">
        <v>170</v>
      </c>
      <c r="D2885" s="10" t="s">
        <v>171</v>
      </c>
      <c r="E2885" s="11" t="str">
        <f>+HYPERLINK("http://trademark.i-assist.jp/data/china/image_1900th/79030617.pdf", "79030617")</f>
        <v>79030617</v>
      </c>
      <c r="F2885" s="10" t="s">
        <v>8059</v>
      </c>
      <c r="G2885" s="10" t="s">
        <v>8060</v>
      </c>
      <c r="H2885" s="10" t="s">
        <v>8061</v>
      </c>
      <c r="I2885" s="10" t="s">
        <v>7868</v>
      </c>
    </row>
    <row r="2886" spans="1:9" x14ac:dyDescent="0.15">
      <c r="A2886" s="9">
        <v>2885</v>
      </c>
      <c r="B2886" s="10" t="s">
        <v>9</v>
      </c>
      <c r="C2886" s="10" t="s">
        <v>170</v>
      </c>
      <c r="D2886" s="10" t="s">
        <v>171</v>
      </c>
      <c r="E2886" s="11" t="str">
        <f>+HYPERLINK("http://trademark.i-assist.jp/data/china/image_1900th/79030723.pdf", "79030723")</f>
        <v>79030723</v>
      </c>
      <c r="F2886" s="10" t="s">
        <v>8062</v>
      </c>
      <c r="G2886" s="10" t="s">
        <v>8063</v>
      </c>
      <c r="H2886" s="10" t="s">
        <v>8064</v>
      </c>
      <c r="I2886" s="10" t="s">
        <v>7868</v>
      </c>
    </row>
    <row r="2887" spans="1:9" x14ac:dyDescent="0.15">
      <c r="A2887" s="9">
        <v>2886</v>
      </c>
      <c r="B2887" s="10" t="s">
        <v>9</v>
      </c>
      <c r="C2887" s="10" t="s">
        <v>170</v>
      </c>
      <c r="D2887" s="10" t="s">
        <v>171</v>
      </c>
      <c r="E2887" s="11" t="str">
        <f>+HYPERLINK("http://trademark.i-assist.jp/data/china/image_1900th/79030752.pdf", "79030752")</f>
        <v>79030752</v>
      </c>
      <c r="F2887" s="10" t="s">
        <v>8065</v>
      </c>
      <c r="G2887" s="10" t="s">
        <v>8066</v>
      </c>
      <c r="H2887" s="10" t="s">
        <v>8067</v>
      </c>
      <c r="I2887" s="10" t="s">
        <v>7868</v>
      </c>
    </row>
    <row r="2888" spans="1:9" x14ac:dyDescent="0.15">
      <c r="A2888" s="9">
        <v>2887</v>
      </c>
      <c r="B2888" s="10" t="s">
        <v>9</v>
      </c>
      <c r="C2888" s="10" t="s">
        <v>170</v>
      </c>
      <c r="D2888" s="10" t="s">
        <v>171</v>
      </c>
      <c r="E2888" s="11" t="str">
        <f>+HYPERLINK("http://trademark.i-assist.jp/data/china/image_1900th/79031277.pdf", "79031277")</f>
        <v>79031277</v>
      </c>
      <c r="F2888" s="10" t="s">
        <v>8068</v>
      </c>
      <c r="G2888" s="10" t="s">
        <v>8069</v>
      </c>
      <c r="H2888" s="10" t="s">
        <v>8070</v>
      </c>
      <c r="I2888" s="10" t="s">
        <v>7868</v>
      </c>
    </row>
    <row r="2889" spans="1:9" x14ac:dyDescent="0.15">
      <c r="A2889" s="9">
        <v>2888</v>
      </c>
      <c r="B2889" s="10" t="s">
        <v>9</v>
      </c>
      <c r="C2889" s="10" t="s">
        <v>170</v>
      </c>
      <c r="D2889" s="10" t="s">
        <v>171</v>
      </c>
      <c r="E2889" s="11" t="str">
        <f>+HYPERLINK("http://trademark.i-assist.jp/data/china/image_1900th/79031616.pdf", "79031616")</f>
        <v>79031616</v>
      </c>
      <c r="F2889" s="10" t="s">
        <v>8071</v>
      </c>
      <c r="G2889" s="10" t="s">
        <v>165</v>
      </c>
      <c r="H2889" s="10" t="s">
        <v>8072</v>
      </c>
      <c r="I2889" s="10" t="s">
        <v>7868</v>
      </c>
    </row>
    <row r="2890" spans="1:9" x14ac:dyDescent="0.15">
      <c r="A2890" s="9">
        <v>2889</v>
      </c>
      <c r="B2890" s="10" t="s">
        <v>9</v>
      </c>
      <c r="C2890" s="10" t="s">
        <v>170</v>
      </c>
      <c r="D2890" s="10" t="s">
        <v>171</v>
      </c>
      <c r="E2890" s="11" t="str">
        <f>+HYPERLINK("http://trademark.i-assist.jp/data/china/image_1900th/79031942.pdf", "79031942")</f>
        <v>79031942</v>
      </c>
      <c r="F2890" s="10" t="s">
        <v>8073</v>
      </c>
      <c r="G2890" s="10" t="s">
        <v>8074</v>
      </c>
      <c r="H2890" s="10" t="s">
        <v>8075</v>
      </c>
      <c r="I2890" s="10" t="s">
        <v>7868</v>
      </c>
    </row>
    <row r="2891" spans="1:9" x14ac:dyDescent="0.15">
      <c r="A2891" s="9">
        <v>2890</v>
      </c>
      <c r="B2891" s="10" t="s">
        <v>9</v>
      </c>
      <c r="C2891" s="10" t="s">
        <v>170</v>
      </c>
      <c r="D2891" s="10" t="s">
        <v>171</v>
      </c>
      <c r="E2891" s="11" t="str">
        <f>+HYPERLINK("http://trademark.i-assist.jp/data/china/image_1900th/79032165.pdf", "79032165")</f>
        <v>79032165</v>
      </c>
      <c r="F2891" s="10" t="s">
        <v>8076</v>
      </c>
      <c r="G2891" s="10" t="s">
        <v>7947</v>
      </c>
      <c r="H2891" s="10" t="s">
        <v>8077</v>
      </c>
      <c r="I2891" s="10" t="s">
        <v>7868</v>
      </c>
    </row>
    <row r="2892" spans="1:9" x14ac:dyDescent="0.15">
      <c r="A2892" s="9">
        <v>2891</v>
      </c>
      <c r="B2892" s="10" t="s">
        <v>9</v>
      </c>
      <c r="C2892" s="10" t="s">
        <v>170</v>
      </c>
      <c r="D2892" s="10" t="s">
        <v>171</v>
      </c>
      <c r="E2892" s="11" t="str">
        <f>+HYPERLINK("http://trademark.i-assist.jp/data/china/image_1900th/79032174.pdf", "79032174")</f>
        <v>79032174</v>
      </c>
      <c r="F2892" s="10" t="s">
        <v>8078</v>
      </c>
      <c r="G2892" s="10" t="s">
        <v>8079</v>
      </c>
      <c r="H2892" s="10" t="s">
        <v>8080</v>
      </c>
      <c r="I2892" s="10" t="s">
        <v>7868</v>
      </c>
    </row>
    <row r="2893" spans="1:9" x14ac:dyDescent="0.15">
      <c r="A2893" s="9">
        <v>2892</v>
      </c>
      <c r="B2893" s="10" t="s">
        <v>9</v>
      </c>
      <c r="C2893" s="10" t="s">
        <v>170</v>
      </c>
      <c r="D2893" s="10" t="s">
        <v>171</v>
      </c>
      <c r="E2893" s="11" t="str">
        <f>+HYPERLINK("http://trademark.i-assist.jp/data/china/image_1900th/79032310.pdf", "79032310")</f>
        <v>79032310</v>
      </c>
      <c r="F2893" s="10" t="s">
        <v>8081</v>
      </c>
      <c r="G2893" s="10" t="s">
        <v>8082</v>
      </c>
      <c r="H2893" s="10" t="s">
        <v>8083</v>
      </c>
      <c r="I2893" s="10" t="s">
        <v>7868</v>
      </c>
    </row>
    <row r="2894" spans="1:9" x14ac:dyDescent="0.15">
      <c r="A2894" s="9">
        <v>2893</v>
      </c>
      <c r="B2894" s="10" t="s">
        <v>9</v>
      </c>
      <c r="C2894" s="10" t="s">
        <v>170</v>
      </c>
      <c r="D2894" s="10" t="s">
        <v>171</v>
      </c>
      <c r="E2894" s="11" t="str">
        <f>+HYPERLINK("http://trademark.i-assist.jp/data/china/image_1900th/79032512.pdf", "79032512")</f>
        <v>79032512</v>
      </c>
      <c r="F2894" s="10" t="s">
        <v>8084</v>
      </c>
      <c r="G2894" s="10" t="s">
        <v>8085</v>
      </c>
      <c r="H2894" s="10" t="s">
        <v>8086</v>
      </c>
      <c r="I2894" s="10" t="s">
        <v>7868</v>
      </c>
    </row>
    <row r="2895" spans="1:9" x14ac:dyDescent="0.15">
      <c r="A2895" s="9">
        <v>2894</v>
      </c>
      <c r="B2895" s="10" t="s">
        <v>9</v>
      </c>
      <c r="C2895" s="10" t="s">
        <v>170</v>
      </c>
      <c r="D2895" s="10" t="s">
        <v>171</v>
      </c>
      <c r="E2895" s="11" t="str">
        <f>+HYPERLINK("http://trademark.i-assist.jp/data/china/image_1900th/79032678.pdf", "79032678")</f>
        <v>79032678</v>
      </c>
      <c r="F2895" s="10" t="s">
        <v>8087</v>
      </c>
      <c r="G2895" s="10" t="s">
        <v>8088</v>
      </c>
      <c r="H2895" s="10" t="s">
        <v>8089</v>
      </c>
      <c r="I2895" s="10" t="s">
        <v>7868</v>
      </c>
    </row>
    <row r="2896" spans="1:9" x14ac:dyDescent="0.15">
      <c r="A2896" s="9">
        <v>2895</v>
      </c>
      <c r="B2896" s="10" t="s">
        <v>9</v>
      </c>
      <c r="C2896" s="10" t="s">
        <v>170</v>
      </c>
      <c r="D2896" s="10" t="s">
        <v>171</v>
      </c>
      <c r="E2896" s="11" t="str">
        <f>+HYPERLINK("http://trademark.i-assist.jp/data/china/image_1900th/79032683.pdf", "79032683")</f>
        <v>79032683</v>
      </c>
      <c r="F2896" s="10" t="s">
        <v>8090</v>
      </c>
      <c r="G2896" s="10" t="s">
        <v>8088</v>
      </c>
      <c r="H2896" s="10" t="s">
        <v>8091</v>
      </c>
      <c r="I2896" s="10" t="s">
        <v>7868</v>
      </c>
    </row>
    <row r="2897" spans="1:9" x14ac:dyDescent="0.15">
      <c r="A2897" s="9">
        <v>2896</v>
      </c>
      <c r="B2897" s="10" t="s">
        <v>9</v>
      </c>
      <c r="C2897" s="10" t="s">
        <v>170</v>
      </c>
      <c r="D2897" s="10" t="s">
        <v>171</v>
      </c>
      <c r="E2897" s="11" t="str">
        <f>+HYPERLINK("http://trademark.i-assist.jp/data/china/image_1900th/79033456.pdf", "79033456")</f>
        <v>79033456</v>
      </c>
      <c r="F2897" s="10" t="s">
        <v>8092</v>
      </c>
      <c r="G2897" s="10" t="s">
        <v>8093</v>
      </c>
      <c r="H2897" s="10" t="s">
        <v>8094</v>
      </c>
      <c r="I2897" s="10" t="s">
        <v>7868</v>
      </c>
    </row>
    <row r="2898" spans="1:9" x14ac:dyDescent="0.15">
      <c r="A2898" s="9">
        <v>2897</v>
      </c>
      <c r="B2898" s="10" t="s">
        <v>9</v>
      </c>
      <c r="C2898" s="10" t="s">
        <v>170</v>
      </c>
      <c r="D2898" s="10" t="s">
        <v>171</v>
      </c>
      <c r="E2898" s="11" t="str">
        <f>+HYPERLINK("http://trademark.i-assist.jp/data/china/image_1900th/79033653.pdf", "79033653")</f>
        <v>79033653</v>
      </c>
      <c r="F2898" s="10" t="s">
        <v>8095</v>
      </c>
      <c r="G2898" s="10" t="s">
        <v>96</v>
      </c>
      <c r="H2898" s="10" t="s">
        <v>8096</v>
      </c>
      <c r="I2898" s="10" t="s">
        <v>7868</v>
      </c>
    </row>
    <row r="2899" spans="1:9" x14ac:dyDescent="0.15">
      <c r="A2899" s="9">
        <v>2898</v>
      </c>
      <c r="B2899" s="10" t="s">
        <v>9</v>
      </c>
      <c r="C2899" s="10" t="s">
        <v>170</v>
      </c>
      <c r="D2899" s="10" t="s">
        <v>171</v>
      </c>
      <c r="E2899" s="11" t="str">
        <f>+HYPERLINK("http://trademark.i-assist.jp/data/china/image_1900th/79033663.pdf", "79033663")</f>
        <v>79033663</v>
      </c>
      <c r="F2899" s="10" t="s">
        <v>8097</v>
      </c>
      <c r="G2899" s="10" t="s">
        <v>96</v>
      </c>
      <c r="H2899" s="10" t="s">
        <v>8098</v>
      </c>
      <c r="I2899" s="10" t="s">
        <v>7868</v>
      </c>
    </row>
    <row r="2900" spans="1:9" x14ac:dyDescent="0.15">
      <c r="A2900" s="9">
        <v>2899</v>
      </c>
      <c r="B2900" s="10" t="s">
        <v>9</v>
      </c>
      <c r="C2900" s="10" t="s">
        <v>170</v>
      </c>
      <c r="D2900" s="10" t="s">
        <v>171</v>
      </c>
      <c r="E2900" s="11" t="str">
        <f>+HYPERLINK("http://trademark.i-assist.jp/data/china/image_1900th/79033724.pdf", "79033724")</f>
        <v>79033724</v>
      </c>
      <c r="F2900" s="10" t="s">
        <v>8099</v>
      </c>
      <c r="G2900" s="10" t="s">
        <v>8100</v>
      </c>
      <c r="H2900" s="10" t="s">
        <v>8101</v>
      </c>
      <c r="I2900" s="10" t="s">
        <v>7868</v>
      </c>
    </row>
    <row r="2901" spans="1:9" x14ac:dyDescent="0.15">
      <c r="A2901" s="9">
        <v>2900</v>
      </c>
      <c r="B2901" s="10" t="s">
        <v>9</v>
      </c>
      <c r="C2901" s="10" t="s">
        <v>170</v>
      </c>
      <c r="D2901" s="10" t="s">
        <v>171</v>
      </c>
      <c r="E2901" s="11" t="str">
        <f>+HYPERLINK("http://trademark.i-assist.jp/data/china/image_1900th/79034215.pdf", "79034215")</f>
        <v>79034215</v>
      </c>
      <c r="F2901" s="10" t="s">
        <v>8102</v>
      </c>
      <c r="G2901" s="10" t="s">
        <v>8103</v>
      </c>
      <c r="H2901" s="10" t="s">
        <v>8104</v>
      </c>
      <c r="I2901" s="10" t="s">
        <v>7868</v>
      </c>
    </row>
    <row r="2902" spans="1:9" x14ac:dyDescent="0.15">
      <c r="A2902" s="9">
        <v>2901</v>
      </c>
      <c r="B2902" s="10" t="s">
        <v>9</v>
      </c>
      <c r="C2902" s="10" t="s">
        <v>170</v>
      </c>
      <c r="D2902" s="10" t="s">
        <v>171</v>
      </c>
      <c r="E2902" s="11" t="str">
        <f>+HYPERLINK("http://trademark.i-assist.jp/data/china/image_1900th/79034800.pdf", "79034800")</f>
        <v>79034800</v>
      </c>
      <c r="F2902" s="10" t="s">
        <v>8105</v>
      </c>
      <c r="G2902" s="10" t="s">
        <v>7233</v>
      </c>
      <c r="H2902" s="10" t="s">
        <v>8106</v>
      </c>
      <c r="I2902" s="10" t="s">
        <v>7868</v>
      </c>
    </row>
    <row r="2903" spans="1:9" x14ac:dyDescent="0.15">
      <c r="A2903" s="9">
        <v>2902</v>
      </c>
      <c r="B2903" s="10" t="s">
        <v>9</v>
      </c>
      <c r="C2903" s="10" t="s">
        <v>170</v>
      </c>
      <c r="D2903" s="10" t="s">
        <v>171</v>
      </c>
      <c r="E2903" s="11" t="str">
        <f>+HYPERLINK("http://trademark.i-assist.jp/data/china/image_1900th/79034941.pdf", "79034941")</f>
        <v>79034941</v>
      </c>
      <c r="F2903" s="10" t="s">
        <v>8081</v>
      </c>
      <c r="G2903" s="10" t="s">
        <v>8082</v>
      </c>
      <c r="H2903" s="10" t="s">
        <v>8107</v>
      </c>
      <c r="I2903" s="10" t="s">
        <v>7868</v>
      </c>
    </row>
    <row r="2904" spans="1:9" x14ac:dyDescent="0.15">
      <c r="A2904" s="9">
        <v>2903</v>
      </c>
      <c r="B2904" s="10" t="s">
        <v>9</v>
      </c>
      <c r="C2904" s="10" t="s">
        <v>170</v>
      </c>
      <c r="D2904" s="10" t="s">
        <v>171</v>
      </c>
      <c r="E2904" s="11" t="str">
        <f>+HYPERLINK("http://trademark.i-assist.jp/data/china/image_1900th/79035166.pdf", "79035166")</f>
        <v>79035166</v>
      </c>
      <c r="F2904" s="10" t="s">
        <v>8108</v>
      </c>
      <c r="G2904" s="10" t="s">
        <v>8109</v>
      </c>
      <c r="H2904" s="10" t="s">
        <v>8110</v>
      </c>
      <c r="I2904" s="10" t="s">
        <v>7868</v>
      </c>
    </row>
    <row r="2905" spans="1:9" x14ac:dyDescent="0.15">
      <c r="A2905" s="9">
        <v>2904</v>
      </c>
      <c r="B2905" s="10" t="s">
        <v>9</v>
      </c>
      <c r="C2905" s="10" t="s">
        <v>170</v>
      </c>
      <c r="D2905" s="10" t="s">
        <v>171</v>
      </c>
      <c r="E2905" s="11" t="str">
        <f>+HYPERLINK("http://trademark.i-assist.jp/data/china/image_1900th/79035278.pdf", "79035278")</f>
        <v>79035278</v>
      </c>
      <c r="F2905" s="10" t="s">
        <v>8111</v>
      </c>
      <c r="G2905" s="10" t="s">
        <v>7947</v>
      </c>
      <c r="H2905" s="10" t="s">
        <v>8112</v>
      </c>
      <c r="I2905" s="10" t="s">
        <v>7868</v>
      </c>
    </row>
    <row r="2906" spans="1:9" x14ac:dyDescent="0.15">
      <c r="A2906" s="9">
        <v>2905</v>
      </c>
      <c r="B2906" s="10" t="s">
        <v>9</v>
      </c>
      <c r="C2906" s="10" t="s">
        <v>170</v>
      </c>
      <c r="D2906" s="10" t="s">
        <v>171</v>
      </c>
      <c r="E2906" s="11" t="str">
        <f>+HYPERLINK("http://trademark.i-assist.jp/data/china/image_1900th/79035490.pdf", "79035490")</f>
        <v>79035490</v>
      </c>
      <c r="F2906" s="10" t="s">
        <v>8113</v>
      </c>
      <c r="G2906" s="10" t="s">
        <v>8114</v>
      </c>
      <c r="H2906" s="10" t="s">
        <v>8115</v>
      </c>
      <c r="I2906" s="10" t="s">
        <v>7868</v>
      </c>
    </row>
    <row r="2907" spans="1:9" x14ac:dyDescent="0.15">
      <c r="A2907" s="9">
        <v>2906</v>
      </c>
      <c r="B2907" s="10" t="s">
        <v>9</v>
      </c>
      <c r="C2907" s="10" t="s">
        <v>170</v>
      </c>
      <c r="D2907" s="10" t="s">
        <v>171</v>
      </c>
      <c r="E2907" s="11" t="str">
        <f>+HYPERLINK("http://trademark.i-assist.jp/data/china/image_1900th/79035808.pdf", "79035808")</f>
        <v>79035808</v>
      </c>
      <c r="F2907" s="10" t="s">
        <v>8116</v>
      </c>
      <c r="G2907" s="10" t="s">
        <v>7997</v>
      </c>
      <c r="H2907" s="10" t="s">
        <v>8117</v>
      </c>
      <c r="I2907" s="10" t="s">
        <v>7868</v>
      </c>
    </row>
    <row r="2908" spans="1:9" x14ac:dyDescent="0.15">
      <c r="A2908" s="9">
        <v>2907</v>
      </c>
      <c r="B2908" s="10" t="s">
        <v>9</v>
      </c>
      <c r="C2908" s="10" t="s">
        <v>170</v>
      </c>
      <c r="D2908" s="10" t="s">
        <v>171</v>
      </c>
      <c r="E2908" s="11" t="str">
        <f>+HYPERLINK("http://trademark.i-assist.jp/data/china/image_1900th/79036265.pdf", "79036265")</f>
        <v>79036265</v>
      </c>
      <c r="F2908" s="10" t="s">
        <v>8118</v>
      </c>
      <c r="G2908" s="10" t="s">
        <v>8119</v>
      </c>
      <c r="H2908" s="10" t="s">
        <v>8120</v>
      </c>
      <c r="I2908" s="10" t="s">
        <v>7868</v>
      </c>
    </row>
    <row r="2909" spans="1:9" x14ac:dyDescent="0.15">
      <c r="A2909" s="9">
        <v>2908</v>
      </c>
      <c r="B2909" s="10" t="s">
        <v>9</v>
      </c>
      <c r="C2909" s="10" t="s">
        <v>170</v>
      </c>
      <c r="D2909" s="10" t="s">
        <v>171</v>
      </c>
      <c r="E2909" s="11" t="str">
        <f>+HYPERLINK("http://trademark.i-assist.jp/data/china/image_1900th/79036847.pdf", "79036847")</f>
        <v>79036847</v>
      </c>
      <c r="F2909" s="10" t="s">
        <v>8121</v>
      </c>
      <c r="G2909" s="10" t="s">
        <v>8122</v>
      </c>
      <c r="H2909" s="10" t="s">
        <v>8123</v>
      </c>
      <c r="I2909" s="10" t="s">
        <v>7868</v>
      </c>
    </row>
    <row r="2910" spans="1:9" x14ac:dyDescent="0.15">
      <c r="A2910" s="9">
        <v>2909</v>
      </c>
      <c r="B2910" s="10" t="s">
        <v>9</v>
      </c>
      <c r="C2910" s="10" t="s">
        <v>170</v>
      </c>
      <c r="D2910" s="10" t="s">
        <v>171</v>
      </c>
      <c r="E2910" s="11" t="str">
        <f>+HYPERLINK("http://trademark.i-assist.jp/data/china/image_1900th/79036862.pdf", "79036862")</f>
        <v>79036862</v>
      </c>
      <c r="F2910" s="10" t="s">
        <v>8124</v>
      </c>
      <c r="G2910" s="10" t="s">
        <v>8125</v>
      </c>
      <c r="H2910" s="10" t="s">
        <v>8126</v>
      </c>
      <c r="I2910" s="10" t="s">
        <v>7868</v>
      </c>
    </row>
    <row r="2911" spans="1:9" x14ac:dyDescent="0.15">
      <c r="A2911" s="9">
        <v>2910</v>
      </c>
      <c r="B2911" s="10" t="s">
        <v>9</v>
      </c>
      <c r="C2911" s="10" t="s">
        <v>170</v>
      </c>
      <c r="D2911" s="10" t="s">
        <v>171</v>
      </c>
      <c r="E2911" s="11" t="str">
        <f>+HYPERLINK("http://trademark.i-assist.jp/data/china/image_1900th/79037035.pdf", "79037035")</f>
        <v>79037035</v>
      </c>
      <c r="F2911" s="10" t="s">
        <v>8127</v>
      </c>
      <c r="G2911" s="10" t="s">
        <v>8128</v>
      </c>
      <c r="H2911" s="10" t="s">
        <v>8129</v>
      </c>
      <c r="I2911" s="10" t="s">
        <v>7868</v>
      </c>
    </row>
    <row r="2912" spans="1:9" x14ac:dyDescent="0.15">
      <c r="A2912" s="9">
        <v>2911</v>
      </c>
      <c r="B2912" s="10" t="s">
        <v>9</v>
      </c>
      <c r="C2912" s="10" t="s">
        <v>170</v>
      </c>
      <c r="D2912" s="10" t="s">
        <v>171</v>
      </c>
      <c r="E2912" s="11" t="str">
        <f>+HYPERLINK("http://trademark.i-assist.jp/data/china/image_1900th/79037163.pdf", "79037163")</f>
        <v>79037163</v>
      </c>
      <c r="F2912" s="10" t="s">
        <v>8130</v>
      </c>
      <c r="G2912" s="10" t="s">
        <v>8131</v>
      </c>
      <c r="H2912" s="10" t="s">
        <v>8132</v>
      </c>
      <c r="I2912" s="10" t="s">
        <v>7868</v>
      </c>
    </row>
    <row r="2913" spans="1:9" x14ac:dyDescent="0.15">
      <c r="A2913" s="9">
        <v>2912</v>
      </c>
      <c r="B2913" s="10" t="s">
        <v>9</v>
      </c>
      <c r="C2913" s="10" t="s">
        <v>170</v>
      </c>
      <c r="D2913" s="10" t="s">
        <v>171</v>
      </c>
      <c r="E2913" s="11" t="str">
        <f>+HYPERLINK("http://trademark.i-assist.jp/data/china/image_1900th/79037547.pdf", "79037547")</f>
        <v>79037547</v>
      </c>
      <c r="F2913" s="10" t="s">
        <v>8133</v>
      </c>
      <c r="G2913" s="10" t="s">
        <v>7080</v>
      </c>
      <c r="H2913" s="10" t="s">
        <v>8134</v>
      </c>
      <c r="I2913" s="10" t="s">
        <v>7868</v>
      </c>
    </row>
    <row r="2914" spans="1:9" x14ac:dyDescent="0.15">
      <c r="A2914" s="9">
        <v>2913</v>
      </c>
      <c r="B2914" s="10" t="s">
        <v>9</v>
      </c>
      <c r="C2914" s="10" t="s">
        <v>170</v>
      </c>
      <c r="D2914" s="10" t="s">
        <v>171</v>
      </c>
      <c r="E2914" s="11" t="str">
        <f>+HYPERLINK("http://trademark.i-assist.jp/data/china/image_1900th/79037807.pdf", "79037807")</f>
        <v>79037807</v>
      </c>
      <c r="F2914" s="10" t="s">
        <v>8135</v>
      </c>
      <c r="G2914" s="10" t="s">
        <v>4146</v>
      </c>
      <c r="H2914" s="10" t="s">
        <v>8136</v>
      </c>
      <c r="I2914" s="10" t="s">
        <v>7868</v>
      </c>
    </row>
    <row r="2915" spans="1:9" x14ac:dyDescent="0.15">
      <c r="A2915" s="9">
        <v>2914</v>
      </c>
      <c r="B2915" s="10" t="s">
        <v>9</v>
      </c>
      <c r="C2915" s="10" t="s">
        <v>170</v>
      </c>
      <c r="D2915" s="10" t="s">
        <v>171</v>
      </c>
      <c r="E2915" s="11" t="str">
        <f>+HYPERLINK("http://trademark.i-assist.jp/data/china/image_1900th/79037968.pdf", "79037968")</f>
        <v>79037968</v>
      </c>
      <c r="F2915" s="10" t="s">
        <v>8137</v>
      </c>
      <c r="G2915" s="10" t="s">
        <v>8138</v>
      </c>
      <c r="H2915" s="10" t="s">
        <v>8139</v>
      </c>
      <c r="I2915" s="10" t="s">
        <v>7868</v>
      </c>
    </row>
    <row r="2916" spans="1:9" x14ac:dyDescent="0.15">
      <c r="A2916" s="9">
        <v>2915</v>
      </c>
      <c r="B2916" s="10" t="s">
        <v>9</v>
      </c>
      <c r="C2916" s="10" t="s">
        <v>170</v>
      </c>
      <c r="D2916" s="10" t="s">
        <v>171</v>
      </c>
      <c r="E2916" s="11" t="str">
        <f>+HYPERLINK("http://trademark.i-assist.jp/data/china/image_1900th/79038106.pdf", "79038106")</f>
        <v>79038106</v>
      </c>
      <c r="F2916" s="10" t="s">
        <v>15</v>
      </c>
      <c r="G2916" s="10" t="s">
        <v>8140</v>
      </c>
      <c r="H2916" s="10" t="s">
        <v>8141</v>
      </c>
      <c r="I2916" s="10" t="s">
        <v>7868</v>
      </c>
    </row>
    <row r="2917" spans="1:9" x14ac:dyDescent="0.15">
      <c r="A2917" s="9">
        <v>2916</v>
      </c>
      <c r="B2917" s="10" t="s">
        <v>9</v>
      </c>
      <c r="C2917" s="10" t="s">
        <v>170</v>
      </c>
      <c r="D2917" s="10" t="s">
        <v>171</v>
      </c>
      <c r="E2917" s="11" t="str">
        <f>+HYPERLINK("http://trademark.i-assist.jp/data/china/image_1900th/79038139.pdf", "79038139")</f>
        <v>79038139</v>
      </c>
      <c r="F2917" s="10" t="s">
        <v>8142</v>
      </c>
      <c r="G2917" s="10" t="s">
        <v>8143</v>
      </c>
      <c r="H2917" s="10" t="s">
        <v>8144</v>
      </c>
      <c r="I2917" s="10" t="s">
        <v>7868</v>
      </c>
    </row>
    <row r="2918" spans="1:9" x14ac:dyDescent="0.15">
      <c r="A2918" s="9">
        <v>2917</v>
      </c>
      <c r="B2918" s="10" t="s">
        <v>9</v>
      </c>
      <c r="C2918" s="10" t="s">
        <v>170</v>
      </c>
      <c r="D2918" s="10" t="s">
        <v>171</v>
      </c>
      <c r="E2918" s="11" t="str">
        <f>+HYPERLINK("http://trademark.i-assist.jp/data/china/image_1900th/79038899.pdf", "79038899")</f>
        <v>79038899</v>
      </c>
      <c r="F2918" s="10" t="s">
        <v>8145</v>
      </c>
      <c r="G2918" s="10" t="s">
        <v>8146</v>
      </c>
      <c r="H2918" s="10" t="s">
        <v>8147</v>
      </c>
      <c r="I2918" s="10" t="s">
        <v>7868</v>
      </c>
    </row>
    <row r="2919" spans="1:9" x14ac:dyDescent="0.15">
      <c r="A2919" s="9">
        <v>2918</v>
      </c>
      <c r="B2919" s="10" t="s">
        <v>9</v>
      </c>
      <c r="C2919" s="10" t="s">
        <v>170</v>
      </c>
      <c r="D2919" s="10" t="s">
        <v>171</v>
      </c>
      <c r="E2919" s="11" t="str">
        <f>+HYPERLINK("http://trademark.i-assist.jp/data/china/image_1900th/79039567.pdf", "79039567")</f>
        <v>79039567</v>
      </c>
      <c r="F2919" s="10" t="s">
        <v>8148</v>
      </c>
      <c r="G2919" s="10" t="s">
        <v>8149</v>
      </c>
      <c r="H2919" s="10" t="s">
        <v>8150</v>
      </c>
      <c r="I2919" s="10" t="s">
        <v>8151</v>
      </c>
    </row>
    <row r="2920" spans="1:9" x14ac:dyDescent="0.15">
      <c r="A2920" s="9">
        <v>2919</v>
      </c>
      <c r="B2920" s="10" t="s">
        <v>9</v>
      </c>
      <c r="C2920" s="10" t="s">
        <v>170</v>
      </c>
      <c r="D2920" s="10" t="s">
        <v>171</v>
      </c>
      <c r="E2920" s="11" t="str">
        <f>+HYPERLINK("http://trademark.i-assist.jp/data/china/image_1900th/79040332.pdf", "79040332")</f>
        <v>79040332</v>
      </c>
      <c r="F2920" s="10" t="s">
        <v>8152</v>
      </c>
      <c r="G2920" s="10" t="s">
        <v>8153</v>
      </c>
      <c r="H2920" s="10" t="s">
        <v>8154</v>
      </c>
      <c r="I2920" s="10" t="s">
        <v>8151</v>
      </c>
    </row>
    <row r="2921" spans="1:9" x14ac:dyDescent="0.15">
      <c r="A2921" s="9">
        <v>2920</v>
      </c>
      <c r="B2921" s="10" t="s">
        <v>9</v>
      </c>
      <c r="C2921" s="10" t="s">
        <v>170</v>
      </c>
      <c r="D2921" s="10" t="s">
        <v>171</v>
      </c>
      <c r="E2921" s="11" t="str">
        <f>+HYPERLINK("http://trademark.i-assist.jp/data/china/image_1900th/79042064.pdf", "79042064")</f>
        <v>79042064</v>
      </c>
      <c r="F2921" s="10" t="s">
        <v>8155</v>
      </c>
      <c r="G2921" s="10" t="s">
        <v>8156</v>
      </c>
      <c r="H2921" s="10" t="s">
        <v>8157</v>
      </c>
      <c r="I2921" s="10" t="s">
        <v>8151</v>
      </c>
    </row>
    <row r="2922" spans="1:9" x14ac:dyDescent="0.15">
      <c r="A2922" s="9">
        <v>2921</v>
      </c>
      <c r="B2922" s="10" t="s">
        <v>9</v>
      </c>
      <c r="C2922" s="10" t="s">
        <v>170</v>
      </c>
      <c r="D2922" s="10" t="s">
        <v>171</v>
      </c>
      <c r="E2922" s="11" t="str">
        <f>+HYPERLINK("http://trademark.i-assist.jp/data/china/image_1900th/79042339.pdf", "79042339")</f>
        <v>79042339</v>
      </c>
      <c r="F2922" s="10" t="s">
        <v>8158</v>
      </c>
      <c r="G2922" s="10" t="s">
        <v>8159</v>
      </c>
      <c r="H2922" s="10" t="s">
        <v>8160</v>
      </c>
      <c r="I2922" s="10" t="s">
        <v>8151</v>
      </c>
    </row>
    <row r="2923" spans="1:9" x14ac:dyDescent="0.15">
      <c r="A2923" s="9">
        <v>2922</v>
      </c>
      <c r="B2923" s="10" t="s">
        <v>9</v>
      </c>
      <c r="C2923" s="10" t="s">
        <v>170</v>
      </c>
      <c r="D2923" s="10" t="s">
        <v>171</v>
      </c>
      <c r="E2923" s="11" t="str">
        <f>+HYPERLINK("http://trademark.i-assist.jp/data/china/image_1900th/79043513.pdf", "79043513")</f>
        <v>79043513</v>
      </c>
      <c r="F2923" s="10" t="s">
        <v>8161</v>
      </c>
      <c r="G2923" s="10" t="s">
        <v>8162</v>
      </c>
      <c r="H2923" s="10" t="s">
        <v>8163</v>
      </c>
      <c r="I2923" s="10" t="s">
        <v>8151</v>
      </c>
    </row>
    <row r="2924" spans="1:9" x14ac:dyDescent="0.15">
      <c r="A2924" s="9">
        <v>2923</v>
      </c>
      <c r="B2924" s="10" t="s">
        <v>9</v>
      </c>
      <c r="C2924" s="10" t="s">
        <v>170</v>
      </c>
      <c r="D2924" s="10" t="s">
        <v>171</v>
      </c>
      <c r="E2924" s="11" t="str">
        <f>+HYPERLINK("http://trademark.i-assist.jp/data/china/image_1900th/79044884.pdf", "79044884")</f>
        <v>79044884</v>
      </c>
      <c r="F2924" s="10" t="s">
        <v>8164</v>
      </c>
      <c r="G2924" s="10" t="s">
        <v>8165</v>
      </c>
      <c r="H2924" s="10" t="s">
        <v>8166</v>
      </c>
      <c r="I2924" s="10" t="s">
        <v>8151</v>
      </c>
    </row>
    <row r="2925" spans="1:9" x14ac:dyDescent="0.15">
      <c r="A2925" s="9">
        <v>2924</v>
      </c>
      <c r="B2925" s="10" t="s">
        <v>9</v>
      </c>
      <c r="C2925" s="10" t="s">
        <v>170</v>
      </c>
      <c r="D2925" s="10" t="s">
        <v>171</v>
      </c>
      <c r="E2925" s="11" t="str">
        <f>+HYPERLINK("http://trademark.i-assist.jp/data/china/image_1900th/79046078.pdf", "79046078")</f>
        <v>79046078</v>
      </c>
      <c r="F2925" s="10" t="s">
        <v>8167</v>
      </c>
      <c r="G2925" s="10" t="s">
        <v>8168</v>
      </c>
      <c r="H2925" s="10" t="s">
        <v>8169</v>
      </c>
      <c r="I2925" s="10" t="s">
        <v>8151</v>
      </c>
    </row>
    <row r="2926" spans="1:9" x14ac:dyDescent="0.15">
      <c r="A2926" s="9">
        <v>2925</v>
      </c>
      <c r="B2926" s="10" t="s">
        <v>9</v>
      </c>
      <c r="C2926" s="10" t="s">
        <v>170</v>
      </c>
      <c r="D2926" s="10" t="s">
        <v>171</v>
      </c>
      <c r="E2926" s="11" t="str">
        <f>+HYPERLINK("http://trademark.i-assist.jp/data/china/image_1900th/79046156.pdf", "79046156")</f>
        <v>79046156</v>
      </c>
      <c r="F2926" s="10" t="s">
        <v>8170</v>
      </c>
      <c r="G2926" s="10" t="s">
        <v>8171</v>
      </c>
      <c r="H2926" s="10" t="s">
        <v>8172</v>
      </c>
      <c r="I2926" s="10" t="s">
        <v>8151</v>
      </c>
    </row>
    <row r="2927" spans="1:9" x14ac:dyDescent="0.15">
      <c r="A2927" s="9">
        <v>2926</v>
      </c>
      <c r="B2927" s="10" t="s">
        <v>9</v>
      </c>
      <c r="C2927" s="10" t="s">
        <v>170</v>
      </c>
      <c r="D2927" s="10" t="s">
        <v>171</v>
      </c>
      <c r="E2927" s="11" t="str">
        <f>+HYPERLINK("http://trademark.i-assist.jp/data/china/image_1900th/79047456.pdf", "79047456")</f>
        <v>79047456</v>
      </c>
      <c r="F2927" s="10" t="s">
        <v>8173</v>
      </c>
      <c r="G2927" s="10" t="s">
        <v>8174</v>
      </c>
      <c r="H2927" s="10" t="s">
        <v>8175</v>
      </c>
      <c r="I2927" s="10" t="s">
        <v>8151</v>
      </c>
    </row>
    <row r="2928" spans="1:9" x14ac:dyDescent="0.15">
      <c r="A2928" s="9">
        <v>2927</v>
      </c>
      <c r="B2928" s="10" t="s">
        <v>9</v>
      </c>
      <c r="C2928" s="10" t="s">
        <v>170</v>
      </c>
      <c r="D2928" s="10" t="s">
        <v>171</v>
      </c>
      <c r="E2928" s="11" t="str">
        <f>+HYPERLINK("http://trademark.i-assist.jp/data/china/image_1900th/79048422.pdf", "79048422")</f>
        <v>79048422</v>
      </c>
      <c r="F2928" s="10" t="s">
        <v>8176</v>
      </c>
      <c r="G2928" s="10" t="s">
        <v>8156</v>
      </c>
      <c r="H2928" s="10" t="s">
        <v>8177</v>
      </c>
      <c r="I2928" s="10" t="s">
        <v>8151</v>
      </c>
    </row>
    <row r="2929" spans="1:9" x14ac:dyDescent="0.15">
      <c r="A2929" s="9">
        <v>2928</v>
      </c>
      <c r="B2929" s="10" t="s">
        <v>9</v>
      </c>
      <c r="C2929" s="10" t="s">
        <v>170</v>
      </c>
      <c r="D2929" s="10" t="s">
        <v>171</v>
      </c>
      <c r="E2929" s="11" t="str">
        <f>+HYPERLINK("http://trademark.i-assist.jp/data/china/image_1900th/79049553.pdf", "79049553")</f>
        <v>79049553</v>
      </c>
      <c r="F2929" s="10" t="s">
        <v>8178</v>
      </c>
      <c r="G2929" s="10" t="s">
        <v>8179</v>
      </c>
      <c r="H2929" s="10" t="s">
        <v>8180</v>
      </c>
      <c r="I2929" s="10" t="s">
        <v>8151</v>
      </c>
    </row>
    <row r="2930" spans="1:9" x14ac:dyDescent="0.15">
      <c r="A2930" s="9">
        <v>2929</v>
      </c>
      <c r="B2930" s="10" t="s">
        <v>9</v>
      </c>
      <c r="C2930" s="10" t="s">
        <v>170</v>
      </c>
      <c r="D2930" s="10" t="s">
        <v>171</v>
      </c>
      <c r="E2930" s="11" t="str">
        <f>+HYPERLINK("http://trademark.i-assist.jp/data/china/image_1900th/79050631.pdf", "79050631")</f>
        <v>79050631</v>
      </c>
      <c r="F2930" s="10" t="s">
        <v>8181</v>
      </c>
      <c r="G2930" s="10" t="s">
        <v>8182</v>
      </c>
      <c r="H2930" s="10" t="s">
        <v>8183</v>
      </c>
      <c r="I2930" s="10" t="s">
        <v>8151</v>
      </c>
    </row>
    <row r="2931" spans="1:9" x14ac:dyDescent="0.15">
      <c r="A2931" s="9">
        <v>2930</v>
      </c>
      <c r="B2931" s="10" t="s">
        <v>9</v>
      </c>
      <c r="C2931" s="10" t="s">
        <v>170</v>
      </c>
      <c r="D2931" s="10" t="s">
        <v>171</v>
      </c>
      <c r="E2931" s="11" t="str">
        <f>+HYPERLINK("http://trademark.i-assist.jp/data/china/image_1900th/79050632.pdf", "79050632")</f>
        <v>79050632</v>
      </c>
      <c r="F2931" s="10" t="s">
        <v>8184</v>
      </c>
      <c r="G2931" s="10" t="s">
        <v>8185</v>
      </c>
      <c r="H2931" s="10" t="s">
        <v>8186</v>
      </c>
      <c r="I2931" s="10" t="s">
        <v>8151</v>
      </c>
    </row>
    <row r="2932" spans="1:9" x14ac:dyDescent="0.15">
      <c r="A2932" s="9">
        <v>2931</v>
      </c>
      <c r="B2932" s="10" t="s">
        <v>9</v>
      </c>
      <c r="C2932" s="10" t="s">
        <v>170</v>
      </c>
      <c r="D2932" s="10" t="s">
        <v>171</v>
      </c>
      <c r="E2932" s="11" t="str">
        <f>+HYPERLINK("http://trademark.i-assist.jp/data/china/image_1900th/79051160.pdf", "79051160")</f>
        <v>79051160</v>
      </c>
      <c r="F2932" s="10" t="s">
        <v>15</v>
      </c>
      <c r="G2932" s="10" t="s">
        <v>8187</v>
      </c>
      <c r="H2932" s="10" t="s">
        <v>8188</v>
      </c>
      <c r="I2932" s="10" t="s">
        <v>8151</v>
      </c>
    </row>
    <row r="2933" spans="1:9" x14ac:dyDescent="0.15">
      <c r="A2933" s="9">
        <v>2932</v>
      </c>
      <c r="B2933" s="10" t="s">
        <v>9</v>
      </c>
      <c r="C2933" s="10" t="s">
        <v>170</v>
      </c>
      <c r="D2933" s="10" t="s">
        <v>171</v>
      </c>
      <c r="E2933" s="11" t="str">
        <f>+HYPERLINK("http://trademark.i-assist.jp/data/china/image_1900th/79051534.pdf", "79051534")</f>
        <v>79051534</v>
      </c>
      <c r="F2933" s="10" t="s">
        <v>8189</v>
      </c>
      <c r="G2933" s="10" t="s">
        <v>8190</v>
      </c>
      <c r="H2933" s="10" t="s">
        <v>8191</v>
      </c>
      <c r="I2933" s="10" t="s">
        <v>8151</v>
      </c>
    </row>
    <row r="2934" spans="1:9" x14ac:dyDescent="0.15">
      <c r="A2934" s="9">
        <v>2933</v>
      </c>
      <c r="B2934" s="10" t="s">
        <v>9</v>
      </c>
      <c r="C2934" s="10" t="s">
        <v>170</v>
      </c>
      <c r="D2934" s="10" t="s">
        <v>171</v>
      </c>
      <c r="E2934" s="11" t="str">
        <f>+HYPERLINK("http://trademark.i-assist.jp/data/china/image_1900th/79052559.pdf", "79052559")</f>
        <v>79052559</v>
      </c>
      <c r="F2934" s="10" t="s">
        <v>8192</v>
      </c>
      <c r="G2934" s="10" t="s">
        <v>8193</v>
      </c>
      <c r="H2934" s="10" t="s">
        <v>8194</v>
      </c>
      <c r="I2934" s="10" t="s">
        <v>8151</v>
      </c>
    </row>
    <row r="2935" spans="1:9" x14ac:dyDescent="0.15">
      <c r="A2935" s="9">
        <v>2934</v>
      </c>
      <c r="B2935" s="10" t="s">
        <v>9</v>
      </c>
      <c r="C2935" s="10" t="s">
        <v>170</v>
      </c>
      <c r="D2935" s="10" t="s">
        <v>171</v>
      </c>
      <c r="E2935" s="11" t="str">
        <f>+HYPERLINK("http://trademark.i-assist.jp/data/china/image_1900th/79053320.pdf", "79053320")</f>
        <v>79053320</v>
      </c>
      <c r="F2935" s="10" t="s">
        <v>8195</v>
      </c>
      <c r="G2935" s="10" t="s">
        <v>8196</v>
      </c>
      <c r="H2935" s="10" t="s">
        <v>8197</v>
      </c>
      <c r="I2935" s="10" t="s">
        <v>8151</v>
      </c>
    </row>
    <row r="2936" spans="1:9" x14ac:dyDescent="0.15">
      <c r="A2936" s="9">
        <v>2935</v>
      </c>
      <c r="B2936" s="10" t="s">
        <v>9</v>
      </c>
      <c r="C2936" s="10" t="s">
        <v>170</v>
      </c>
      <c r="D2936" s="10" t="s">
        <v>171</v>
      </c>
      <c r="E2936" s="11" t="str">
        <f>+HYPERLINK("http://trademark.i-assist.jp/data/china/image_1900th/79055290.pdf", "79055290")</f>
        <v>79055290</v>
      </c>
      <c r="F2936" s="10" t="s">
        <v>8198</v>
      </c>
      <c r="G2936" s="10" t="s">
        <v>8190</v>
      </c>
      <c r="H2936" s="10" t="s">
        <v>8199</v>
      </c>
      <c r="I2936" s="10" t="s">
        <v>8151</v>
      </c>
    </row>
    <row r="2937" spans="1:9" x14ac:dyDescent="0.15">
      <c r="A2937" s="9">
        <v>2936</v>
      </c>
      <c r="B2937" s="10" t="s">
        <v>9</v>
      </c>
      <c r="C2937" s="10" t="s">
        <v>170</v>
      </c>
      <c r="D2937" s="10" t="s">
        <v>171</v>
      </c>
      <c r="E2937" s="11" t="str">
        <f>+HYPERLINK("http://trademark.i-assist.jp/data/china/image_1900th/79055293.pdf", "79055293")</f>
        <v>79055293</v>
      </c>
      <c r="F2937" s="10" t="s">
        <v>8200</v>
      </c>
      <c r="G2937" s="10" t="s">
        <v>8201</v>
      </c>
      <c r="H2937" s="10" t="s">
        <v>8202</v>
      </c>
      <c r="I2937" s="10" t="s">
        <v>8151</v>
      </c>
    </row>
    <row r="2938" spans="1:9" x14ac:dyDescent="0.15">
      <c r="A2938" s="9">
        <v>2937</v>
      </c>
      <c r="B2938" s="10" t="s">
        <v>9</v>
      </c>
      <c r="C2938" s="10" t="s">
        <v>170</v>
      </c>
      <c r="D2938" s="10" t="s">
        <v>171</v>
      </c>
      <c r="E2938" s="11" t="str">
        <f>+HYPERLINK("http://trademark.i-assist.jp/data/china/image_1900th/79055432.pdf", "79055432")</f>
        <v>79055432</v>
      </c>
      <c r="F2938" s="10" t="s">
        <v>8203</v>
      </c>
      <c r="G2938" s="10" t="s">
        <v>8204</v>
      </c>
      <c r="H2938" s="10" t="s">
        <v>8205</v>
      </c>
      <c r="I2938" s="10" t="s">
        <v>8151</v>
      </c>
    </row>
    <row r="2939" spans="1:9" x14ac:dyDescent="0.15">
      <c r="A2939" s="9">
        <v>2938</v>
      </c>
      <c r="B2939" s="10" t="s">
        <v>9</v>
      </c>
      <c r="C2939" s="10" t="s">
        <v>170</v>
      </c>
      <c r="D2939" s="10" t="s">
        <v>171</v>
      </c>
      <c r="E2939" s="11" t="str">
        <f>+HYPERLINK("http://trademark.i-assist.jp/data/china/image_1900th/79055795.pdf", "79055795")</f>
        <v>79055795</v>
      </c>
      <c r="F2939" s="10" t="s">
        <v>8206</v>
      </c>
      <c r="G2939" s="10" t="s">
        <v>8187</v>
      </c>
      <c r="H2939" s="10" t="s">
        <v>8207</v>
      </c>
      <c r="I2939" s="10" t="s">
        <v>8151</v>
      </c>
    </row>
    <row r="2940" spans="1:9" x14ac:dyDescent="0.15">
      <c r="A2940" s="9">
        <v>2939</v>
      </c>
      <c r="B2940" s="10" t="s">
        <v>9</v>
      </c>
      <c r="C2940" s="10" t="s">
        <v>170</v>
      </c>
      <c r="D2940" s="10" t="s">
        <v>171</v>
      </c>
      <c r="E2940" s="11" t="str">
        <f>+HYPERLINK("http://trademark.i-assist.jp/data/china/image_1900th/79058619.pdf", "79058619")</f>
        <v>79058619</v>
      </c>
      <c r="F2940" s="10" t="s">
        <v>8208</v>
      </c>
      <c r="G2940" s="10" t="s">
        <v>8190</v>
      </c>
      <c r="H2940" s="10" t="s">
        <v>8209</v>
      </c>
      <c r="I2940" s="10" t="s">
        <v>8151</v>
      </c>
    </row>
    <row r="2941" spans="1:9" x14ac:dyDescent="0.15">
      <c r="A2941" s="9">
        <v>2940</v>
      </c>
      <c r="B2941" s="10" t="s">
        <v>9</v>
      </c>
      <c r="C2941" s="10" t="s">
        <v>170</v>
      </c>
      <c r="D2941" s="10" t="s">
        <v>171</v>
      </c>
      <c r="E2941" s="11" t="str">
        <f>+HYPERLINK("http://trademark.i-assist.jp/data/china/image_1900th/79058815.pdf", "79058815")</f>
        <v>79058815</v>
      </c>
      <c r="F2941" s="10" t="s">
        <v>8210</v>
      </c>
      <c r="G2941" s="10" t="s">
        <v>8149</v>
      </c>
      <c r="H2941" s="10" t="s">
        <v>8211</v>
      </c>
      <c r="I2941" s="10" t="s">
        <v>8151</v>
      </c>
    </row>
    <row r="2942" spans="1:9" x14ac:dyDescent="0.15">
      <c r="A2942" s="9">
        <v>2941</v>
      </c>
      <c r="B2942" s="10" t="s">
        <v>9</v>
      </c>
      <c r="C2942" s="10" t="s">
        <v>170</v>
      </c>
      <c r="D2942" s="10" t="s">
        <v>171</v>
      </c>
      <c r="E2942" s="11" t="str">
        <f>+HYPERLINK("http://trademark.i-assist.jp/data/china/image_1900th/79059880.pdf", "79059880")</f>
        <v>79059880</v>
      </c>
      <c r="F2942" s="10" t="s">
        <v>8212</v>
      </c>
      <c r="G2942" s="10" t="s">
        <v>8213</v>
      </c>
      <c r="H2942" s="10" t="s">
        <v>30</v>
      </c>
      <c r="I2942" s="10" t="s">
        <v>8151</v>
      </c>
    </row>
    <row r="2943" spans="1:9" x14ac:dyDescent="0.15">
      <c r="A2943" s="9">
        <v>2942</v>
      </c>
      <c r="B2943" s="10" t="s">
        <v>9</v>
      </c>
      <c r="C2943" s="10" t="s">
        <v>170</v>
      </c>
      <c r="D2943" s="10" t="s">
        <v>171</v>
      </c>
      <c r="E2943" s="11" t="str">
        <f>+HYPERLINK("http://trademark.i-assist.jp/data/china/image_1900th/79060209.pdf", "79060209")</f>
        <v>79060209</v>
      </c>
      <c r="F2943" s="10" t="s">
        <v>15</v>
      </c>
      <c r="G2943" s="10" t="s">
        <v>8214</v>
      </c>
      <c r="H2943" s="10" t="s">
        <v>8215</v>
      </c>
      <c r="I2943" s="10" t="s">
        <v>8151</v>
      </c>
    </row>
    <row r="2944" spans="1:9" x14ac:dyDescent="0.15">
      <c r="A2944" s="9">
        <v>2943</v>
      </c>
      <c r="B2944" s="10" t="s">
        <v>9</v>
      </c>
      <c r="C2944" s="10" t="s">
        <v>170</v>
      </c>
      <c r="D2944" s="10" t="s">
        <v>171</v>
      </c>
      <c r="E2944" s="11" t="str">
        <f>+HYPERLINK("http://trademark.i-assist.jp/data/china/image_1900th/79060334.pdf", "79060334")</f>
        <v>79060334</v>
      </c>
      <c r="F2944" s="10" t="s">
        <v>8216</v>
      </c>
      <c r="G2944" s="10" t="s">
        <v>8190</v>
      </c>
      <c r="H2944" s="10" t="s">
        <v>8217</v>
      </c>
      <c r="I2944" s="10" t="s">
        <v>8151</v>
      </c>
    </row>
    <row r="2945" spans="1:9" x14ac:dyDescent="0.15">
      <c r="A2945" s="9">
        <v>2944</v>
      </c>
      <c r="B2945" s="10" t="s">
        <v>9</v>
      </c>
      <c r="C2945" s="10" t="s">
        <v>170</v>
      </c>
      <c r="D2945" s="10" t="s">
        <v>171</v>
      </c>
      <c r="E2945" s="11" t="str">
        <f>+HYPERLINK("http://trademark.i-assist.jp/data/china/image_1900th/79061548.pdf", "79061548")</f>
        <v>79061548</v>
      </c>
      <c r="F2945" s="10" t="s">
        <v>8218</v>
      </c>
      <c r="G2945" s="10" t="s">
        <v>8190</v>
      </c>
      <c r="H2945" s="10" t="s">
        <v>8219</v>
      </c>
      <c r="I2945" s="10" t="s">
        <v>8151</v>
      </c>
    </row>
    <row r="2946" spans="1:9" x14ac:dyDescent="0.15">
      <c r="A2946" s="9">
        <v>2945</v>
      </c>
      <c r="B2946" s="10" t="s">
        <v>9</v>
      </c>
      <c r="C2946" s="10" t="s">
        <v>170</v>
      </c>
      <c r="D2946" s="10" t="s">
        <v>171</v>
      </c>
      <c r="E2946" s="11" t="str">
        <f>+HYPERLINK("http://trademark.i-assist.jp/data/china/image_1900th/79063751.pdf", "79063751")</f>
        <v>79063751</v>
      </c>
      <c r="F2946" s="10" t="s">
        <v>8220</v>
      </c>
      <c r="G2946" s="10" t="s">
        <v>8221</v>
      </c>
      <c r="H2946" s="10" t="s">
        <v>8222</v>
      </c>
      <c r="I2946" s="10" t="s">
        <v>8223</v>
      </c>
    </row>
    <row r="2947" spans="1:9" x14ac:dyDescent="0.15">
      <c r="A2947" s="9">
        <v>2946</v>
      </c>
      <c r="B2947" s="10" t="s">
        <v>9</v>
      </c>
      <c r="C2947" s="10" t="s">
        <v>170</v>
      </c>
      <c r="D2947" s="10" t="s">
        <v>171</v>
      </c>
      <c r="E2947" s="11" t="str">
        <f>+HYPERLINK("http://trademark.i-assist.jp/data/china/image_1900th/79064044.pdf", "79064044")</f>
        <v>79064044</v>
      </c>
      <c r="F2947" s="10" t="s">
        <v>8224</v>
      </c>
      <c r="G2947" s="10" t="s">
        <v>8225</v>
      </c>
      <c r="H2947" s="10" t="s">
        <v>8226</v>
      </c>
      <c r="I2947" s="10" t="s">
        <v>8223</v>
      </c>
    </row>
    <row r="2948" spans="1:9" x14ac:dyDescent="0.15">
      <c r="A2948" s="9">
        <v>2947</v>
      </c>
      <c r="B2948" s="10" t="s">
        <v>9</v>
      </c>
      <c r="C2948" s="10" t="s">
        <v>170</v>
      </c>
      <c r="D2948" s="10" t="s">
        <v>171</v>
      </c>
      <c r="E2948" s="11" t="str">
        <f>+HYPERLINK("http://trademark.i-assist.jp/data/china/image_1900th/79064080.pdf", "79064080")</f>
        <v>79064080</v>
      </c>
      <c r="F2948" s="10" t="s">
        <v>8227</v>
      </c>
      <c r="G2948" s="10" t="s">
        <v>8228</v>
      </c>
      <c r="H2948" s="10" t="s">
        <v>8229</v>
      </c>
      <c r="I2948" s="10" t="s">
        <v>8223</v>
      </c>
    </row>
    <row r="2949" spans="1:9" x14ac:dyDescent="0.15">
      <c r="A2949" s="9">
        <v>2948</v>
      </c>
      <c r="B2949" s="10" t="s">
        <v>9</v>
      </c>
      <c r="C2949" s="10" t="s">
        <v>170</v>
      </c>
      <c r="D2949" s="10" t="s">
        <v>171</v>
      </c>
      <c r="E2949" s="11" t="str">
        <f>+HYPERLINK("http://trademark.i-assist.jp/data/china/image_1900th/79065100.pdf", "79065100")</f>
        <v>79065100</v>
      </c>
      <c r="F2949" s="10" t="s">
        <v>8230</v>
      </c>
      <c r="G2949" s="10" t="s">
        <v>8231</v>
      </c>
      <c r="H2949" s="10" t="s">
        <v>8232</v>
      </c>
      <c r="I2949" s="10" t="s">
        <v>8223</v>
      </c>
    </row>
    <row r="2950" spans="1:9" x14ac:dyDescent="0.15">
      <c r="A2950" s="9">
        <v>2949</v>
      </c>
      <c r="B2950" s="10" t="s">
        <v>9</v>
      </c>
      <c r="C2950" s="10" t="s">
        <v>170</v>
      </c>
      <c r="D2950" s="10" t="s">
        <v>171</v>
      </c>
      <c r="E2950" s="11" t="str">
        <f>+HYPERLINK("http://trademark.i-assist.jp/data/china/image_1900th/79065142.pdf", "79065142")</f>
        <v>79065142</v>
      </c>
      <c r="F2950" s="10" t="s">
        <v>8233</v>
      </c>
      <c r="G2950" s="10" t="s">
        <v>8234</v>
      </c>
      <c r="H2950" s="10" t="s">
        <v>8235</v>
      </c>
      <c r="I2950" s="10" t="s">
        <v>8223</v>
      </c>
    </row>
    <row r="2951" spans="1:9" x14ac:dyDescent="0.15">
      <c r="A2951" s="9">
        <v>2950</v>
      </c>
      <c r="B2951" s="10" t="s">
        <v>9</v>
      </c>
      <c r="C2951" s="10" t="s">
        <v>170</v>
      </c>
      <c r="D2951" s="10" t="s">
        <v>171</v>
      </c>
      <c r="E2951" s="11" t="str">
        <f>+HYPERLINK("http://trademark.i-assist.jp/data/china/image_1900th/79066660.pdf", "79066660")</f>
        <v>79066660</v>
      </c>
      <c r="F2951" s="10" t="s">
        <v>8236</v>
      </c>
      <c r="G2951" s="10" t="s">
        <v>8237</v>
      </c>
      <c r="H2951" s="10" t="s">
        <v>8238</v>
      </c>
      <c r="I2951" s="10" t="s">
        <v>8223</v>
      </c>
    </row>
    <row r="2952" spans="1:9" x14ac:dyDescent="0.15">
      <c r="A2952" s="9">
        <v>2951</v>
      </c>
      <c r="B2952" s="10" t="s">
        <v>9</v>
      </c>
      <c r="C2952" s="10" t="s">
        <v>170</v>
      </c>
      <c r="D2952" s="10" t="s">
        <v>171</v>
      </c>
      <c r="E2952" s="11" t="str">
        <f>+HYPERLINK("http://trademark.i-assist.jp/data/china/image_1900th/79067295.pdf", "79067295")</f>
        <v>79067295</v>
      </c>
      <c r="F2952" s="10" t="s">
        <v>8239</v>
      </c>
      <c r="G2952" s="10" t="s">
        <v>8240</v>
      </c>
      <c r="H2952" s="10" t="s">
        <v>8241</v>
      </c>
      <c r="I2952" s="10" t="s">
        <v>8223</v>
      </c>
    </row>
    <row r="2953" spans="1:9" x14ac:dyDescent="0.15">
      <c r="A2953" s="9">
        <v>2952</v>
      </c>
      <c r="B2953" s="10" t="s">
        <v>9</v>
      </c>
      <c r="C2953" s="10" t="s">
        <v>170</v>
      </c>
      <c r="D2953" s="10" t="s">
        <v>171</v>
      </c>
      <c r="E2953" s="11" t="str">
        <f>+HYPERLINK("http://trademark.i-assist.jp/data/china/image_1900th/79067900.pdf", "79067900")</f>
        <v>79067900</v>
      </c>
      <c r="F2953" s="10" t="s">
        <v>8242</v>
      </c>
      <c r="G2953" s="10" t="s">
        <v>8243</v>
      </c>
      <c r="H2953" s="10" t="s">
        <v>8244</v>
      </c>
      <c r="I2953" s="10" t="s">
        <v>8223</v>
      </c>
    </row>
    <row r="2954" spans="1:9" x14ac:dyDescent="0.15">
      <c r="A2954" s="9">
        <v>2953</v>
      </c>
      <c r="B2954" s="10" t="s">
        <v>9</v>
      </c>
      <c r="C2954" s="10" t="s">
        <v>170</v>
      </c>
      <c r="D2954" s="10" t="s">
        <v>171</v>
      </c>
      <c r="E2954" s="11" t="str">
        <f>+HYPERLINK("http://trademark.i-assist.jp/data/china/image_1900th/79068823.pdf", "79068823")</f>
        <v>79068823</v>
      </c>
      <c r="F2954" s="10" t="s">
        <v>8245</v>
      </c>
      <c r="G2954" s="10" t="s">
        <v>8246</v>
      </c>
      <c r="H2954" s="10" t="s">
        <v>8247</v>
      </c>
      <c r="I2954" s="10" t="s">
        <v>8223</v>
      </c>
    </row>
    <row r="2955" spans="1:9" x14ac:dyDescent="0.15">
      <c r="A2955" s="9">
        <v>2954</v>
      </c>
      <c r="B2955" s="10" t="s">
        <v>9</v>
      </c>
      <c r="C2955" s="10" t="s">
        <v>170</v>
      </c>
      <c r="D2955" s="10" t="s">
        <v>171</v>
      </c>
      <c r="E2955" s="11" t="str">
        <f>+HYPERLINK("http://trademark.i-assist.jp/data/china/image_1900th/79069900.pdf", "79069900")</f>
        <v>79069900</v>
      </c>
      <c r="F2955" s="10" t="s">
        <v>8248</v>
      </c>
      <c r="G2955" s="10" t="s">
        <v>8249</v>
      </c>
      <c r="H2955" s="10" t="s">
        <v>8250</v>
      </c>
      <c r="I2955" s="10" t="s">
        <v>8223</v>
      </c>
    </row>
    <row r="2956" spans="1:9" x14ac:dyDescent="0.15">
      <c r="A2956" s="9">
        <v>2955</v>
      </c>
      <c r="B2956" s="10" t="s">
        <v>9</v>
      </c>
      <c r="C2956" s="10" t="s">
        <v>170</v>
      </c>
      <c r="D2956" s="10" t="s">
        <v>171</v>
      </c>
      <c r="E2956" s="11" t="str">
        <f>+HYPERLINK("http://trademark.i-assist.jp/data/china/image_1900th/79070051.pdf", "79070051")</f>
        <v>79070051</v>
      </c>
      <c r="F2956" s="10" t="s">
        <v>8251</v>
      </c>
      <c r="G2956" s="10" t="s">
        <v>8252</v>
      </c>
      <c r="H2956" s="10" t="s">
        <v>8253</v>
      </c>
      <c r="I2956" s="10" t="s">
        <v>8223</v>
      </c>
    </row>
    <row r="2957" spans="1:9" x14ac:dyDescent="0.15">
      <c r="A2957" s="9">
        <v>2956</v>
      </c>
      <c r="B2957" s="10" t="s">
        <v>9</v>
      </c>
      <c r="C2957" s="10" t="s">
        <v>170</v>
      </c>
      <c r="D2957" s="10" t="s">
        <v>171</v>
      </c>
      <c r="E2957" s="11" t="str">
        <f>+HYPERLINK("http://trademark.i-assist.jp/data/china/image_1900th/79070070.pdf", "79070070")</f>
        <v>79070070</v>
      </c>
      <c r="F2957" s="10" t="s">
        <v>8254</v>
      </c>
      <c r="G2957" s="10" t="s">
        <v>8255</v>
      </c>
      <c r="H2957" s="10" t="s">
        <v>8256</v>
      </c>
      <c r="I2957" s="10" t="s">
        <v>8223</v>
      </c>
    </row>
    <row r="2958" spans="1:9" x14ac:dyDescent="0.15">
      <c r="A2958" s="9">
        <v>2957</v>
      </c>
      <c r="B2958" s="10" t="s">
        <v>9</v>
      </c>
      <c r="C2958" s="10" t="s">
        <v>170</v>
      </c>
      <c r="D2958" s="10" t="s">
        <v>171</v>
      </c>
      <c r="E2958" s="11" t="str">
        <f>+HYPERLINK("http://trademark.i-assist.jp/data/china/image_1900th/79071029.pdf", "79071029")</f>
        <v>79071029</v>
      </c>
      <c r="F2958" s="10" t="s">
        <v>8257</v>
      </c>
      <c r="G2958" s="10" t="s">
        <v>8243</v>
      </c>
      <c r="H2958" s="10" t="s">
        <v>8258</v>
      </c>
      <c r="I2958" s="10" t="s">
        <v>8223</v>
      </c>
    </row>
    <row r="2959" spans="1:9" x14ac:dyDescent="0.15">
      <c r="A2959" s="9">
        <v>2958</v>
      </c>
      <c r="B2959" s="10" t="s">
        <v>9</v>
      </c>
      <c r="C2959" s="10" t="s">
        <v>170</v>
      </c>
      <c r="D2959" s="10" t="s">
        <v>171</v>
      </c>
      <c r="E2959" s="11" t="str">
        <f>+HYPERLINK("http://trademark.i-assist.jp/data/china/image_1900th/79071286.pdf", "79071286")</f>
        <v>79071286</v>
      </c>
      <c r="F2959" s="10" t="s">
        <v>8259</v>
      </c>
      <c r="G2959" s="10" t="s">
        <v>8260</v>
      </c>
      <c r="H2959" s="10" t="s">
        <v>8261</v>
      </c>
      <c r="I2959" s="10" t="s">
        <v>8223</v>
      </c>
    </row>
    <row r="2960" spans="1:9" x14ac:dyDescent="0.15">
      <c r="A2960" s="9">
        <v>2959</v>
      </c>
      <c r="B2960" s="10" t="s">
        <v>9</v>
      </c>
      <c r="C2960" s="10" t="s">
        <v>170</v>
      </c>
      <c r="D2960" s="10" t="s">
        <v>171</v>
      </c>
      <c r="E2960" s="11" t="str">
        <f>+HYPERLINK("http://trademark.i-assist.jp/data/china/image_1900th/79071397.pdf", "79071397")</f>
        <v>79071397</v>
      </c>
      <c r="F2960" s="10" t="s">
        <v>8262</v>
      </c>
      <c r="G2960" s="10" t="s">
        <v>8263</v>
      </c>
      <c r="H2960" s="10" t="s">
        <v>8264</v>
      </c>
      <c r="I2960" s="10" t="s">
        <v>8223</v>
      </c>
    </row>
    <row r="2961" spans="1:9" x14ac:dyDescent="0.15">
      <c r="A2961" s="9">
        <v>2960</v>
      </c>
      <c r="B2961" s="10" t="s">
        <v>9</v>
      </c>
      <c r="C2961" s="10" t="s">
        <v>170</v>
      </c>
      <c r="D2961" s="10" t="s">
        <v>171</v>
      </c>
      <c r="E2961" s="11" t="str">
        <f>+HYPERLINK("http://trademark.i-assist.jp/data/china/image_1900th/79071531.pdf", "79071531")</f>
        <v>79071531</v>
      </c>
      <c r="F2961" s="10" t="s">
        <v>8265</v>
      </c>
      <c r="G2961" s="10" t="s">
        <v>8266</v>
      </c>
      <c r="H2961" s="10" t="s">
        <v>8267</v>
      </c>
      <c r="I2961" s="10" t="s">
        <v>8223</v>
      </c>
    </row>
    <row r="2962" spans="1:9" x14ac:dyDescent="0.15">
      <c r="A2962" s="9">
        <v>2961</v>
      </c>
      <c r="B2962" s="10" t="s">
        <v>9</v>
      </c>
      <c r="C2962" s="10" t="s">
        <v>170</v>
      </c>
      <c r="D2962" s="10" t="s">
        <v>171</v>
      </c>
      <c r="E2962" s="11" t="str">
        <f>+HYPERLINK("http://trademark.i-assist.jp/data/china/image_1900th/79074177.pdf", "79074177")</f>
        <v>79074177</v>
      </c>
      <c r="F2962" s="10" t="s">
        <v>8268</v>
      </c>
      <c r="G2962" s="10" t="s">
        <v>8269</v>
      </c>
      <c r="H2962" s="10" t="s">
        <v>8270</v>
      </c>
      <c r="I2962" s="10" t="s">
        <v>8223</v>
      </c>
    </row>
    <row r="2963" spans="1:9" x14ac:dyDescent="0.15">
      <c r="A2963" s="9">
        <v>2962</v>
      </c>
      <c r="B2963" s="10" t="s">
        <v>9</v>
      </c>
      <c r="C2963" s="10" t="s">
        <v>170</v>
      </c>
      <c r="D2963" s="10" t="s">
        <v>171</v>
      </c>
      <c r="E2963" s="11" t="str">
        <f>+HYPERLINK("http://trademark.i-assist.jp/data/china/image_1900th/79075681.pdf", "79075681")</f>
        <v>79075681</v>
      </c>
      <c r="F2963" s="10" t="s">
        <v>8271</v>
      </c>
      <c r="G2963" s="10" t="s">
        <v>1089</v>
      </c>
      <c r="H2963" s="10" t="s">
        <v>8272</v>
      </c>
      <c r="I2963" s="10" t="s">
        <v>8223</v>
      </c>
    </row>
    <row r="2964" spans="1:9" x14ac:dyDescent="0.15">
      <c r="A2964" s="9">
        <v>2963</v>
      </c>
      <c r="B2964" s="10" t="s">
        <v>9</v>
      </c>
      <c r="C2964" s="10" t="s">
        <v>170</v>
      </c>
      <c r="D2964" s="10" t="s">
        <v>171</v>
      </c>
      <c r="E2964" s="11" t="str">
        <f>+HYPERLINK("http://trademark.i-assist.jp/data/china/image_1900th/79079464.pdf", "79079464")</f>
        <v>79079464</v>
      </c>
      <c r="F2964" s="10" t="s">
        <v>8273</v>
      </c>
      <c r="G2964" s="10" t="s">
        <v>8274</v>
      </c>
      <c r="H2964" s="10" t="s">
        <v>8275</v>
      </c>
      <c r="I2964" s="10" t="s">
        <v>8223</v>
      </c>
    </row>
    <row r="2965" spans="1:9" x14ac:dyDescent="0.15">
      <c r="A2965" s="9">
        <v>2964</v>
      </c>
      <c r="B2965" s="10" t="s">
        <v>9</v>
      </c>
      <c r="C2965" s="10" t="s">
        <v>170</v>
      </c>
      <c r="D2965" s="10" t="s">
        <v>171</v>
      </c>
      <c r="E2965" s="11" t="str">
        <f>+HYPERLINK("http://trademark.i-assist.jp/data/china/image_1900th/79083954.pdf", "79083954")</f>
        <v>79083954</v>
      </c>
      <c r="F2965" s="10" t="s">
        <v>8276</v>
      </c>
      <c r="G2965" s="10" t="s">
        <v>8277</v>
      </c>
      <c r="H2965" s="10" t="s">
        <v>8278</v>
      </c>
      <c r="I2965" s="10" t="s">
        <v>8223</v>
      </c>
    </row>
    <row r="2966" spans="1:9" x14ac:dyDescent="0.15">
      <c r="A2966" s="9">
        <v>2965</v>
      </c>
      <c r="B2966" s="10" t="s">
        <v>9</v>
      </c>
      <c r="C2966" s="10" t="s">
        <v>170</v>
      </c>
      <c r="D2966" s="10" t="s">
        <v>171</v>
      </c>
      <c r="E2966" s="11" t="str">
        <f>+HYPERLINK("http://trademark.i-assist.jp/data/china/image_1900th/79087676.pdf", "79087676")</f>
        <v>79087676</v>
      </c>
      <c r="F2966" s="10" t="s">
        <v>8279</v>
      </c>
      <c r="G2966" s="10" t="s">
        <v>8277</v>
      </c>
      <c r="H2966" s="10" t="s">
        <v>8280</v>
      </c>
      <c r="I2966" s="10" t="s">
        <v>8223</v>
      </c>
    </row>
    <row r="2967" spans="1:9" x14ac:dyDescent="0.15">
      <c r="A2967" s="9">
        <v>2966</v>
      </c>
      <c r="B2967" s="10" t="s">
        <v>9</v>
      </c>
      <c r="C2967" s="10" t="s">
        <v>170</v>
      </c>
      <c r="D2967" s="10" t="s">
        <v>171</v>
      </c>
      <c r="E2967" s="11" t="str">
        <f>+HYPERLINK("http://trademark.i-assist.jp/data/china/image_1900th/79088607.pdf", "79088607")</f>
        <v>79088607</v>
      </c>
      <c r="F2967" s="10" t="s">
        <v>8281</v>
      </c>
      <c r="G2967" s="10" t="s">
        <v>8282</v>
      </c>
      <c r="H2967" s="10" t="s">
        <v>8283</v>
      </c>
      <c r="I2967" s="10" t="s">
        <v>8223</v>
      </c>
    </row>
    <row r="2968" spans="1:9" x14ac:dyDescent="0.15">
      <c r="A2968" s="9">
        <v>2967</v>
      </c>
      <c r="B2968" s="10" t="s">
        <v>9</v>
      </c>
      <c r="C2968" s="10" t="s">
        <v>170</v>
      </c>
      <c r="D2968" s="10" t="s">
        <v>171</v>
      </c>
      <c r="E2968" s="11" t="str">
        <f>+HYPERLINK("http://trademark.i-assist.jp/data/china/image_1900th/79091580.pdf", "79091580")</f>
        <v>79091580</v>
      </c>
      <c r="F2968" s="10" t="s">
        <v>8284</v>
      </c>
      <c r="G2968" s="10" t="s">
        <v>8285</v>
      </c>
      <c r="H2968" s="10" t="s">
        <v>8286</v>
      </c>
      <c r="I2968" s="10" t="s">
        <v>8287</v>
      </c>
    </row>
    <row r="2969" spans="1:9" x14ac:dyDescent="0.15">
      <c r="A2969" s="9">
        <v>2968</v>
      </c>
      <c r="B2969" s="10" t="s">
        <v>9</v>
      </c>
      <c r="C2969" s="10" t="s">
        <v>170</v>
      </c>
      <c r="D2969" s="10" t="s">
        <v>171</v>
      </c>
      <c r="E2969" s="11" t="str">
        <f>+HYPERLINK("http://trademark.i-assist.jp/data/china/image_1900th/79095460.pdf", "79095460")</f>
        <v>79095460</v>
      </c>
      <c r="F2969" s="10" t="s">
        <v>8288</v>
      </c>
      <c r="G2969" s="10" t="s">
        <v>8289</v>
      </c>
      <c r="H2969" s="10" t="s">
        <v>8290</v>
      </c>
      <c r="I2969" s="10" t="s">
        <v>8287</v>
      </c>
    </row>
    <row r="2970" spans="1:9" x14ac:dyDescent="0.15">
      <c r="A2970" s="9">
        <v>2969</v>
      </c>
      <c r="B2970" s="10" t="s">
        <v>9</v>
      </c>
      <c r="C2970" s="10" t="s">
        <v>170</v>
      </c>
      <c r="D2970" s="10" t="s">
        <v>171</v>
      </c>
      <c r="E2970" s="11" t="str">
        <f>+HYPERLINK("http://trademark.i-assist.jp/data/china/image_1900th/79096812.pdf", "79096812")</f>
        <v>79096812</v>
      </c>
      <c r="F2970" s="10" t="s">
        <v>8291</v>
      </c>
      <c r="G2970" s="10" t="s">
        <v>8292</v>
      </c>
      <c r="H2970" s="10" t="s">
        <v>8293</v>
      </c>
      <c r="I2970" s="10" t="s">
        <v>8287</v>
      </c>
    </row>
    <row r="2971" spans="1:9" x14ac:dyDescent="0.15">
      <c r="A2971" s="9">
        <v>2970</v>
      </c>
      <c r="B2971" s="10" t="s">
        <v>9</v>
      </c>
      <c r="C2971" s="10" t="s">
        <v>170</v>
      </c>
      <c r="D2971" s="10" t="s">
        <v>171</v>
      </c>
      <c r="E2971" s="11" t="str">
        <f>+HYPERLINK("http://trademark.i-assist.jp/data/china/image_1900th/79097470.pdf", "79097470")</f>
        <v>79097470</v>
      </c>
      <c r="F2971" s="10" t="s">
        <v>8294</v>
      </c>
      <c r="G2971" s="10" t="s">
        <v>8295</v>
      </c>
      <c r="H2971" s="10" t="s">
        <v>8296</v>
      </c>
      <c r="I2971" s="10" t="s">
        <v>8287</v>
      </c>
    </row>
    <row r="2972" spans="1:9" x14ac:dyDescent="0.15">
      <c r="A2972" s="9">
        <v>2971</v>
      </c>
      <c r="B2972" s="10" t="s">
        <v>9</v>
      </c>
      <c r="C2972" s="10" t="s">
        <v>170</v>
      </c>
      <c r="D2972" s="10" t="s">
        <v>171</v>
      </c>
      <c r="E2972" s="11" t="str">
        <f>+HYPERLINK("http://trademark.i-assist.jp/data/china/image_1900th/79097718.pdf", "79097718")</f>
        <v>79097718</v>
      </c>
      <c r="F2972" s="10" t="s">
        <v>8297</v>
      </c>
      <c r="G2972" s="10" t="s">
        <v>8298</v>
      </c>
      <c r="H2972" s="10" t="s">
        <v>8299</v>
      </c>
      <c r="I2972" s="10" t="s">
        <v>8287</v>
      </c>
    </row>
    <row r="2973" spans="1:9" x14ac:dyDescent="0.15">
      <c r="A2973" s="9">
        <v>2972</v>
      </c>
      <c r="B2973" s="10" t="s">
        <v>9</v>
      </c>
      <c r="C2973" s="10" t="s">
        <v>170</v>
      </c>
      <c r="D2973" s="10" t="s">
        <v>171</v>
      </c>
      <c r="E2973" s="11" t="str">
        <f>+HYPERLINK("http://trademark.i-assist.jp/data/china/image_1900th/79098883.pdf", "79098883")</f>
        <v>79098883</v>
      </c>
      <c r="F2973" s="10" t="s">
        <v>8300</v>
      </c>
      <c r="G2973" s="10" t="s">
        <v>4275</v>
      </c>
      <c r="H2973" s="10" t="s">
        <v>8301</v>
      </c>
      <c r="I2973" s="10" t="s">
        <v>8287</v>
      </c>
    </row>
    <row r="2974" spans="1:9" x14ac:dyDescent="0.15">
      <c r="A2974" s="9">
        <v>2973</v>
      </c>
      <c r="B2974" s="10" t="s">
        <v>9</v>
      </c>
      <c r="C2974" s="10" t="s">
        <v>170</v>
      </c>
      <c r="D2974" s="10" t="s">
        <v>171</v>
      </c>
      <c r="E2974" s="11" t="str">
        <f>+HYPERLINK("http://trademark.i-assist.jp/data/china/image_1900th/79100214.pdf", "79100214")</f>
        <v>79100214</v>
      </c>
      <c r="F2974" s="10" t="s">
        <v>8302</v>
      </c>
      <c r="G2974" s="10" t="s">
        <v>8303</v>
      </c>
      <c r="H2974" s="10" t="s">
        <v>8304</v>
      </c>
      <c r="I2974" s="10" t="s">
        <v>8287</v>
      </c>
    </row>
    <row r="2975" spans="1:9" x14ac:dyDescent="0.15">
      <c r="A2975" s="9">
        <v>2974</v>
      </c>
      <c r="B2975" s="10" t="s">
        <v>9</v>
      </c>
      <c r="C2975" s="10" t="s">
        <v>170</v>
      </c>
      <c r="D2975" s="10" t="s">
        <v>171</v>
      </c>
      <c r="E2975" s="11" t="str">
        <f>+HYPERLINK("http://trademark.i-assist.jp/data/china/image_1900th/79106241.pdf", "79106241")</f>
        <v>79106241</v>
      </c>
      <c r="F2975" s="10" t="s">
        <v>8305</v>
      </c>
      <c r="G2975" s="10" t="s">
        <v>8303</v>
      </c>
      <c r="H2975" s="10" t="s">
        <v>8306</v>
      </c>
      <c r="I2975" s="10" t="s">
        <v>8287</v>
      </c>
    </row>
    <row r="2976" spans="1:9" x14ac:dyDescent="0.15">
      <c r="A2976" s="9">
        <v>2975</v>
      </c>
      <c r="B2976" s="10" t="s">
        <v>9</v>
      </c>
      <c r="C2976" s="10" t="s">
        <v>170</v>
      </c>
      <c r="D2976" s="10" t="s">
        <v>171</v>
      </c>
      <c r="E2976" s="11" t="str">
        <f>+HYPERLINK("http://trademark.i-assist.jp/data/china/image_1900th/79107053.pdf", "79107053")</f>
        <v>79107053</v>
      </c>
      <c r="F2976" s="10" t="s">
        <v>8300</v>
      </c>
      <c r="G2976" s="10" t="s">
        <v>4275</v>
      </c>
      <c r="H2976" s="10" t="s">
        <v>8307</v>
      </c>
      <c r="I2976" s="10" t="s">
        <v>8287</v>
      </c>
    </row>
    <row r="2977" spans="1:9" x14ac:dyDescent="0.15">
      <c r="A2977" s="9">
        <v>2976</v>
      </c>
      <c r="B2977" s="10" t="s">
        <v>9</v>
      </c>
      <c r="C2977" s="10" t="s">
        <v>170</v>
      </c>
      <c r="D2977" s="10" t="s">
        <v>171</v>
      </c>
      <c r="E2977" s="11" t="str">
        <f>+HYPERLINK("http://trademark.i-assist.jp/data/china/image_1900th/79109882.pdf", "79109882")</f>
        <v>79109882</v>
      </c>
      <c r="F2977" s="10" t="s">
        <v>8308</v>
      </c>
      <c r="G2977" s="10" t="s">
        <v>8303</v>
      </c>
      <c r="H2977" s="10" t="s">
        <v>8309</v>
      </c>
      <c r="I2977" s="10" t="s">
        <v>8287</v>
      </c>
    </row>
    <row r="2978" spans="1:9" x14ac:dyDescent="0.15">
      <c r="A2978" s="9">
        <v>2977</v>
      </c>
      <c r="B2978" s="10" t="s">
        <v>9</v>
      </c>
      <c r="C2978" s="10" t="s">
        <v>170</v>
      </c>
      <c r="D2978" s="10" t="s">
        <v>171</v>
      </c>
      <c r="E2978" s="11" t="str">
        <f>+HYPERLINK("http://trademark.i-assist.jp/data/china/image_1900th/79111757.pdf", "79111757")</f>
        <v>79111757</v>
      </c>
      <c r="F2978" s="10" t="s">
        <v>8310</v>
      </c>
      <c r="G2978" s="10" t="s">
        <v>8311</v>
      </c>
      <c r="H2978" s="10" t="s">
        <v>8312</v>
      </c>
      <c r="I2978" s="10" t="s">
        <v>8287</v>
      </c>
    </row>
    <row r="2979" spans="1:9" x14ac:dyDescent="0.15">
      <c r="A2979" s="9">
        <v>2978</v>
      </c>
      <c r="B2979" s="10" t="s">
        <v>9</v>
      </c>
      <c r="C2979" s="10" t="s">
        <v>170</v>
      </c>
      <c r="D2979" s="10" t="s">
        <v>171</v>
      </c>
      <c r="E2979" s="11" t="str">
        <f>+HYPERLINK("http://trademark.i-assist.jp/data/china/image_1900th/79112724.pdf", "79112724")</f>
        <v>79112724</v>
      </c>
      <c r="F2979" s="10" t="s">
        <v>8313</v>
      </c>
      <c r="G2979" s="10" t="s">
        <v>8314</v>
      </c>
      <c r="H2979" s="10" t="s">
        <v>8315</v>
      </c>
      <c r="I2979" s="10" t="s">
        <v>8287</v>
      </c>
    </row>
    <row r="2980" spans="1:9" x14ac:dyDescent="0.15">
      <c r="A2980" s="9">
        <v>2979</v>
      </c>
      <c r="B2980" s="10" t="s">
        <v>9</v>
      </c>
      <c r="C2980" s="10" t="s">
        <v>170</v>
      </c>
      <c r="D2980" s="10" t="s">
        <v>171</v>
      </c>
      <c r="E2980" s="11" t="str">
        <f>+HYPERLINK("http://trademark.i-assist.jp/data/china/image_1900th/79115292.pdf", "79115292")</f>
        <v>79115292</v>
      </c>
      <c r="F2980" s="10" t="s">
        <v>8316</v>
      </c>
      <c r="G2980" s="10" t="s">
        <v>4275</v>
      </c>
      <c r="H2980" s="10" t="s">
        <v>8317</v>
      </c>
      <c r="I2980" s="10" t="s">
        <v>8287</v>
      </c>
    </row>
    <row r="2981" spans="1:9" x14ac:dyDescent="0.15">
      <c r="A2981" s="9">
        <v>2980</v>
      </c>
      <c r="B2981" s="10" t="s">
        <v>9</v>
      </c>
      <c r="C2981" s="10" t="s">
        <v>170</v>
      </c>
      <c r="D2981" s="10" t="s">
        <v>171</v>
      </c>
      <c r="E2981" s="11" t="str">
        <f>+HYPERLINK("http://trademark.i-assist.jp/data/china/image_1900th/79117267.pdf", "79117267")</f>
        <v>79117267</v>
      </c>
      <c r="F2981" s="10" t="s">
        <v>8318</v>
      </c>
      <c r="G2981" s="10" t="s">
        <v>491</v>
      </c>
      <c r="H2981" s="10" t="s">
        <v>8319</v>
      </c>
      <c r="I2981" s="10" t="s">
        <v>8287</v>
      </c>
    </row>
    <row r="2982" spans="1:9" x14ac:dyDescent="0.15">
      <c r="A2982" s="9">
        <v>2981</v>
      </c>
      <c r="B2982" s="10" t="s">
        <v>9</v>
      </c>
      <c r="C2982" s="10" t="s">
        <v>170</v>
      </c>
      <c r="D2982" s="10" t="s">
        <v>171</v>
      </c>
      <c r="E2982" s="11" t="str">
        <f>+HYPERLINK("http://trademark.i-assist.jp/data/china/image_1900th/79117555.pdf", "79117555")</f>
        <v>79117555</v>
      </c>
      <c r="F2982" s="10" t="s">
        <v>8320</v>
      </c>
      <c r="G2982" s="10" t="s">
        <v>8303</v>
      </c>
      <c r="H2982" s="10" t="s">
        <v>8321</v>
      </c>
      <c r="I2982" s="10" t="s">
        <v>8287</v>
      </c>
    </row>
    <row r="2983" spans="1:9" x14ac:dyDescent="0.15">
      <c r="A2983" s="9">
        <v>2982</v>
      </c>
      <c r="B2983" s="10" t="s">
        <v>9</v>
      </c>
      <c r="C2983" s="10" t="s">
        <v>170</v>
      </c>
      <c r="D2983" s="10" t="s">
        <v>171</v>
      </c>
      <c r="E2983" s="11" t="str">
        <f>+HYPERLINK("http://trademark.i-assist.jp/data/china/image_1900th/79118108.pdf", "79118108")</f>
        <v>79118108</v>
      </c>
      <c r="F2983" s="10" t="s">
        <v>8322</v>
      </c>
      <c r="G2983" s="10" t="s">
        <v>8323</v>
      </c>
      <c r="H2983" s="10" t="s">
        <v>8324</v>
      </c>
      <c r="I2983" s="10" t="s">
        <v>8287</v>
      </c>
    </row>
    <row r="2984" spans="1:9" x14ac:dyDescent="0.15">
      <c r="A2984" s="9">
        <v>2983</v>
      </c>
      <c r="B2984" s="10" t="s">
        <v>9</v>
      </c>
      <c r="C2984" s="10" t="s">
        <v>170</v>
      </c>
      <c r="D2984" s="10" t="s">
        <v>171</v>
      </c>
      <c r="E2984" s="11" t="str">
        <f>+HYPERLINK("http://trademark.i-assist.jp/data/china/image_1900th/79118567.pdf", "79118567")</f>
        <v>79118567</v>
      </c>
      <c r="F2984" s="10" t="s">
        <v>8325</v>
      </c>
      <c r="G2984" s="10" t="s">
        <v>8326</v>
      </c>
      <c r="H2984" s="10" t="s">
        <v>8327</v>
      </c>
      <c r="I2984" s="10" t="s">
        <v>8328</v>
      </c>
    </row>
    <row r="2985" spans="1:9" x14ac:dyDescent="0.15">
      <c r="A2985" s="9">
        <v>2984</v>
      </c>
      <c r="B2985" s="10" t="s">
        <v>9</v>
      </c>
      <c r="C2985" s="10" t="s">
        <v>170</v>
      </c>
      <c r="D2985" s="10" t="s">
        <v>171</v>
      </c>
      <c r="E2985" s="11" t="str">
        <f>+HYPERLINK("http://trademark.i-assist.jp/data/china/image_1900th/79119203.pdf", "79119203")</f>
        <v>79119203</v>
      </c>
      <c r="F2985" s="10" t="s">
        <v>8329</v>
      </c>
      <c r="G2985" s="10" t="s">
        <v>8330</v>
      </c>
      <c r="H2985" s="10" t="s">
        <v>8331</v>
      </c>
      <c r="I2985" s="10" t="s">
        <v>8328</v>
      </c>
    </row>
    <row r="2986" spans="1:9" x14ac:dyDescent="0.15">
      <c r="A2986" s="9">
        <v>2985</v>
      </c>
      <c r="B2986" s="10" t="s">
        <v>9</v>
      </c>
      <c r="C2986" s="10" t="s">
        <v>170</v>
      </c>
      <c r="D2986" s="10" t="s">
        <v>171</v>
      </c>
      <c r="E2986" s="11" t="str">
        <f>+HYPERLINK("http://trademark.i-assist.jp/data/china/image_1900th/79119390.pdf", "79119390")</f>
        <v>79119390</v>
      </c>
      <c r="F2986" s="10" t="s">
        <v>8332</v>
      </c>
      <c r="G2986" s="10" t="s">
        <v>8333</v>
      </c>
      <c r="H2986" s="10" t="s">
        <v>8334</v>
      </c>
      <c r="I2986" s="10" t="s">
        <v>8328</v>
      </c>
    </row>
    <row r="2987" spans="1:9" x14ac:dyDescent="0.15">
      <c r="A2987" s="9">
        <v>2986</v>
      </c>
      <c r="B2987" s="10" t="s">
        <v>9</v>
      </c>
      <c r="C2987" s="10" t="s">
        <v>170</v>
      </c>
      <c r="D2987" s="10" t="s">
        <v>171</v>
      </c>
      <c r="E2987" s="11" t="str">
        <f>+HYPERLINK("http://trademark.i-assist.jp/data/china/image_1900th/79120045.pdf", "79120045")</f>
        <v>79120045</v>
      </c>
      <c r="F2987" s="10" t="s">
        <v>8335</v>
      </c>
      <c r="G2987" s="10" t="s">
        <v>8336</v>
      </c>
      <c r="H2987" s="10" t="s">
        <v>8337</v>
      </c>
      <c r="I2987" s="10" t="s">
        <v>8328</v>
      </c>
    </row>
    <row r="2988" spans="1:9" x14ac:dyDescent="0.15">
      <c r="A2988" s="9">
        <v>2987</v>
      </c>
      <c r="B2988" s="10" t="s">
        <v>9</v>
      </c>
      <c r="C2988" s="10" t="s">
        <v>170</v>
      </c>
      <c r="D2988" s="10" t="s">
        <v>171</v>
      </c>
      <c r="E2988" s="11" t="str">
        <f>+HYPERLINK("http://trademark.i-assist.jp/data/china/image_1900th/79120104.pdf", "79120104")</f>
        <v>79120104</v>
      </c>
      <c r="F2988" s="10" t="s">
        <v>8338</v>
      </c>
      <c r="G2988" s="10" t="s">
        <v>8333</v>
      </c>
      <c r="H2988" s="10" t="s">
        <v>8339</v>
      </c>
      <c r="I2988" s="10" t="s">
        <v>8328</v>
      </c>
    </row>
    <row r="2989" spans="1:9" x14ac:dyDescent="0.15">
      <c r="A2989" s="9">
        <v>2988</v>
      </c>
      <c r="B2989" s="10" t="s">
        <v>9</v>
      </c>
      <c r="C2989" s="10" t="s">
        <v>170</v>
      </c>
      <c r="D2989" s="10" t="s">
        <v>171</v>
      </c>
      <c r="E2989" s="11" t="str">
        <f>+HYPERLINK("http://trademark.i-assist.jp/data/china/image_1900th/79121891.pdf", "79121891")</f>
        <v>79121891</v>
      </c>
      <c r="F2989" s="10" t="s">
        <v>8340</v>
      </c>
      <c r="G2989" s="10" t="s">
        <v>8341</v>
      </c>
      <c r="H2989" s="10" t="s">
        <v>8342</v>
      </c>
      <c r="I2989" s="10" t="s">
        <v>8328</v>
      </c>
    </row>
    <row r="2990" spans="1:9" x14ac:dyDescent="0.15">
      <c r="A2990" s="9">
        <v>2989</v>
      </c>
      <c r="B2990" s="10" t="s">
        <v>9</v>
      </c>
      <c r="C2990" s="10" t="s">
        <v>170</v>
      </c>
      <c r="D2990" s="10" t="s">
        <v>171</v>
      </c>
      <c r="E2990" s="11" t="str">
        <f>+HYPERLINK("http://trademark.i-assist.jp/data/china/image_1900th/79121897.pdf", "79121897")</f>
        <v>79121897</v>
      </c>
      <c r="F2990" s="10" t="s">
        <v>8343</v>
      </c>
      <c r="G2990" s="10" t="s">
        <v>8333</v>
      </c>
      <c r="H2990" s="10" t="s">
        <v>8344</v>
      </c>
      <c r="I2990" s="10" t="s">
        <v>8328</v>
      </c>
    </row>
    <row r="2991" spans="1:9" x14ac:dyDescent="0.15">
      <c r="A2991" s="9">
        <v>2990</v>
      </c>
      <c r="B2991" s="10" t="s">
        <v>9</v>
      </c>
      <c r="C2991" s="10" t="s">
        <v>170</v>
      </c>
      <c r="D2991" s="10" t="s">
        <v>171</v>
      </c>
      <c r="E2991" s="11" t="str">
        <f>+HYPERLINK("http://trademark.i-assist.jp/data/china/image_1900th/79124406.pdf", "79124406")</f>
        <v>79124406</v>
      </c>
      <c r="F2991" s="10" t="s">
        <v>8345</v>
      </c>
      <c r="G2991" s="10" t="s">
        <v>8346</v>
      </c>
      <c r="H2991" s="10" t="s">
        <v>8347</v>
      </c>
      <c r="I2991" s="10" t="s">
        <v>8348</v>
      </c>
    </row>
    <row r="2992" spans="1:9" x14ac:dyDescent="0.15">
      <c r="A2992" s="9">
        <v>2991</v>
      </c>
      <c r="B2992" s="10" t="s">
        <v>9</v>
      </c>
      <c r="C2992" s="10" t="s">
        <v>170</v>
      </c>
      <c r="D2992" s="10" t="s">
        <v>171</v>
      </c>
      <c r="E2992" s="11" t="str">
        <f>+HYPERLINK("http://trademark.i-assist.jp/data/china/image_1900th/79125481.pdf", "79125481")</f>
        <v>79125481</v>
      </c>
      <c r="F2992" s="10" t="s">
        <v>8349</v>
      </c>
      <c r="G2992" s="10" t="s">
        <v>8350</v>
      </c>
      <c r="H2992" s="10" t="s">
        <v>8351</v>
      </c>
      <c r="I2992" s="10" t="s">
        <v>8352</v>
      </c>
    </row>
    <row r="2993" spans="1:9" x14ac:dyDescent="0.15">
      <c r="A2993" s="9">
        <v>2992</v>
      </c>
      <c r="B2993" s="10" t="s">
        <v>9</v>
      </c>
      <c r="C2993" s="10" t="s">
        <v>170</v>
      </c>
      <c r="D2993" s="10" t="s">
        <v>171</v>
      </c>
      <c r="E2993" s="11" t="str">
        <f>+HYPERLINK("http://trademark.i-assist.jp/data/china/image_1900th/79126328.pdf", "79126328")</f>
        <v>79126328</v>
      </c>
      <c r="F2993" s="10" t="s">
        <v>8353</v>
      </c>
      <c r="G2993" s="10" t="s">
        <v>8354</v>
      </c>
      <c r="H2993" s="10" t="s">
        <v>8355</v>
      </c>
      <c r="I2993" s="10" t="s">
        <v>8356</v>
      </c>
    </row>
    <row r="2994" spans="1:9" x14ac:dyDescent="0.15">
      <c r="A2994" s="9">
        <v>2993</v>
      </c>
      <c r="B2994" s="10" t="s">
        <v>9</v>
      </c>
      <c r="C2994" s="10" t="s">
        <v>170</v>
      </c>
      <c r="D2994" s="10" t="s">
        <v>171</v>
      </c>
      <c r="E2994" s="11" t="str">
        <f>+HYPERLINK("http://trademark.i-assist.jp/data/china/image_1900th/79128028.pdf", "79128028")</f>
        <v>79128028</v>
      </c>
      <c r="F2994" s="10" t="s">
        <v>8357</v>
      </c>
      <c r="G2994" s="10" t="s">
        <v>8358</v>
      </c>
      <c r="H2994" s="10" t="s">
        <v>8359</v>
      </c>
      <c r="I2994" s="10" t="s">
        <v>8356</v>
      </c>
    </row>
    <row r="2995" spans="1:9" x14ac:dyDescent="0.15">
      <c r="A2995" s="9">
        <v>2994</v>
      </c>
      <c r="B2995" s="10" t="s">
        <v>9</v>
      </c>
      <c r="C2995" s="10" t="s">
        <v>170</v>
      </c>
      <c r="D2995" s="10" t="s">
        <v>171</v>
      </c>
      <c r="E2995" s="11" t="str">
        <f>+HYPERLINK("http://trademark.i-assist.jp/data/china/image_1900th/79129746.pdf", "79129746")</f>
        <v>79129746</v>
      </c>
      <c r="F2995" s="10" t="s">
        <v>8360</v>
      </c>
      <c r="G2995" s="10" t="s">
        <v>8361</v>
      </c>
      <c r="H2995" s="10" t="s">
        <v>8362</v>
      </c>
      <c r="I2995" s="10" t="s">
        <v>8356</v>
      </c>
    </row>
    <row r="2996" spans="1:9" x14ac:dyDescent="0.15">
      <c r="A2996" s="9">
        <v>2995</v>
      </c>
      <c r="B2996" s="10" t="s">
        <v>9</v>
      </c>
      <c r="C2996" s="10" t="s">
        <v>170</v>
      </c>
      <c r="D2996" s="10" t="s">
        <v>171</v>
      </c>
      <c r="E2996" s="11" t="str">
        <f>+HYPERLINK("http://trademark.i-assist.jp/data/china/image_1900th/79130525.pdf", "79130525")</f>
        <v>79130525</v>
      </c>
      <c r="F2996" s="10" t="s">
        <v>8363</v>
      </c>
      <c r="G2996" s="10" t="s">
        <v>8364</v>
      </c>
      <c r="H2996" s="10" t="s">
        <v>8365</v>
      </c>
      <c r="I2996" s="10" t="s">
        <v>8356</v>
      </c>
    </row>
    <row r="2997" spans="1:9" x14ac:dyDescent="0.15">
      <c r="A2997" s="9">
        <v>2996</v>
      </c>
      <c r="B2997" s="10" t="s">
        <v>9</v>
      </c>
      <c r="C2997" s="10" t="s">
        <v>170</v>
      </c>
      <c r="D2997" s="10" t="s">
        <v>171</v>
      </c>
      <c r="E2997" s="11" t="str">
        <f>+HYPERLINK("http://trademark.i-assist.jp/data/china/image_1900th/79130940.pdf", "79130940")</f>
        <v>79130940</v>
      </c>
      <c r="F2997" s="10" t="s">
        <v>8366</v>
      </c>
      <c r="G2997" s="10" t="s">
        <v>8367</v>
      </c>
      <c r="H2997" s="10" t="s">
        <v>8368</v>
      </c>
      <c r="I2997" s="10" t="s">
        <v>8356</v>
      </c>
    </row>
    <row r="2998" spans="1:9" x14ac:dyDescent="0.15">
      <c r="A2998" s="9">
        <v>2997</v>
      </c>
      <c r="B2998" s="10" t="s">
        <v>9</v>
      </c>
      <c r="C2998" s="10" t="s">
        <v>170</v>
      </c>
      <c r="D2998" s="10" t="s">
        <v>171</v>
      </c>
      <c r="E2998" s="11" t="str">
        <f>+HYPERLINK("http://trademark.i-assist.jp/data/china/image_1900th/79132125.pdf", "79132125")</f>
        <v>79132125</v>
      </c>
      <c r="F2998" s="10" t="s">
        <v>8369</v>
      </c>
      <c r="G2998" s="10" t="s">
        <v>8370</v>
      </c>
      <c r="H2998" s="10" t="s">
        <v>8371</v>
      </c>
      <c r="I2998" s="10" t="s">
        <v>8356</v>
      </c>
    </row>
    <row r="2999" spans="1:9" x14ac:dyDescent="0.15">
      <c r="A2999" s="9">
        <v>2998</v>
      </c>
      <c r="B2999" s="10" t="s">
        <v>9</v>
      </c>
      <c r="C2999" s="10" t="s">
        <v>170</v>
      </c>
      <c r="D2999" s="10" t="s">
        <v>171</v>
      </c>
      <c r="E2999" s="11" t="str">
        <f>+HYPERLINK("http://trademark.i-assist.jp/data/china/image_1900th/79132260.pdf", "79132260")</f>
        <v>79132260</v>
      </c>
      <c r="F2999" s="10" t="s">
        <v>8372</v>
      </c>
      <c r="G2999" s="10" t="s">
        <v>8373</v>
      </c>
      <c r="H2999" s="10" t="s">
        <v>8374</v>
      </c>
      <c r="I2999" s="10" t="s">
        <v>8356</v>
      </c>
    </row>
    <row r="3000" spans="1:9" x14ac:dyDescent="0.15">
      <c r="A3000" s="9">
        <v>2999</v>
      </c>
      <c r="B3000" s="10" t="s">
        <v>9</v>
      </c>
      <c r="C3000" s="10" t="s">
        <v>170</v>
      </c>
      <c r="D3000" s="10" t="s">
        <v>171</v>
      </c>
      <c r="E3000" s="11" t="str">
        <f>+HYPERLINK("http://trademark.i-assist.jp/data/china/image_1900th/79132318.pdf", "79132318")</f>
        <v>79132318</v>
      </c>
      <c r="F3000" s="10" t="s">
        <v>8375</v>
      </c>
      <c r="G3000" s="10" t="s">
        <v>8376</v>
      </c>
      <c r="H3000" s="10" t="s">
        <v>8377</v>
      </c>
      <c r="I3000" s="10" t="s">
        <v>8356</v>
      </c>
    </row>
    <row r="3001" spans="1:9" x14ac:dyDescent="0.15">
      <c r="A3001" s="9">
        <v>3000</v>
      </c>
      <c r="B3001" s="10" t="s">
        <v>9</v>
      </c>
      <c r="C3001" s="10" t="s">
        <v>170</v>
      </c>
      <c r="D3001" s="10" t="s">
        <v>171</v>
      </c>
      <c r="E3001" s="11" t="str">
        <f>+HYPERLINK("http://trademark.i-assist.jp/data/china/image_1900th/79135549.pdf", "79135549")</f>
        <v>79135549</v>
      </c>
      <c r="F3001" s="10" t="s">
        <v>8378</v>
      </c>
      <c r="G3001" s="10" t="s">
        <v>8379</v>
      </c>
      <c r="H3001" s="10" t="s">
        <v>8380</v>
      </c>
      <c r="I3001" s="10" t="s">
        <v>8356</v>
      </c>
    </row>
    <row r="3002" spans="1:9" x14ac:dyDescent="0.15">
      <c r="A3002" s="9">
        <v>3001</v>
      </c>
      <c r="B3002" s="10" t="s">
        <v>9</v>
      </c>
      <c r="C3002" s="10" t="s">
        <v>170</v>
      </c>
      <c r="D3002" s="10" t="s">
        <v>171</v>
      </c>
      <c r="E3002" s="11" t="str">
        <f>+HYPERLINK("http://trademark.i-assist.jp/data/china/image_1900th/79138325.pdf", "79138325")</f>
        <v>79138325</v>
      </c>
      <c r="F3002" s="10" t="s">
        <v>8381</v>
      </c>
      <c r="G3002" s="10" t="s">
        <v>8382</v>
      </c>
      <c r="H3002" s="10" t="s">
        <v>8383</v>
      </c>
      <c r="I3002" s="10" t="s">
        <v>8356</v>
      </c>
    </row>
    <row r="3003" spans="1:9" x14ac:dyDescent="0.15">
      <c r="A3003" s="9">
        <v>3002</v>
      </c>
      <c r="B3003" s="10" t="s">
        <v>9</v>
      </c>
      <c r="C3003" s="10" t="s">
        <v>170</v>
      </c>
      <c r="D3003" s="10" t="s">
        <v>171</v>
      </c>
      <c r="E3003" s="11" t="str">
        <f>+HYPERLINK("http://trademark.i-assist.jp/data/china/image_1900th/79141073.pdf", "79141073")</f>
        <v>79141073</v>
      </c>
      <c r="F3003" s="10" t="s">
        <v>8384</v>
      </c>
      <c r="G3003" s="10" t="s">
        <v>8385</v>
      </c>
      <c r="H3003" s="10" t="s">
        <v>8386</v>
      </c>
      <c r="I3003" s="10" t="s">
        <v>8356</v>
      </c>
    </row>
    <row r="3004" spans="1:9" x14ac:dyDescent="0.15">
      <c r="A3004" s="9">
        <v>3003</v>
      </c>
      <c r="B3004" s="10" t="s">
        <v>9</v>
      </c>
      <c r="C3004" s="10" t="s">
        <v>170</v>
      </c>
      <c r="D3004" s="10" t="s">
        <v>171</v>
      </c>
      <c r="E3004" s="11" t="str">
        <f>+HYPERLINK("http://trademark.i-assist.jp/data/china/image_1900th/79145234.pdf", "79145234")</f>
        <v>79145234</v>
      </c>
      <c r="F3004" s="10" t="s">
        <v>8387</v>
      </c>
      <c r="G3004" s="10" t="s">
        <v>8382</v>
      </c>
      <c r="H3004" s="10" t="s">
        <v>8388</v>
      </c>
      <c r="I3004" s="10" t="s">
        <v>8356</v>
      </c>
    </row>
    <row r="3005" spans="1:9" x14ac:dyDescent="0.15">
      <c r="A3005" s="9">
        <v>3004</v>
      </c>
      <c r="B3005" s="10" t="s">
        <v>9</v>
      </c>
      <c r="C3005" s="10" t="s">
        <v>170</v>
      </c>
      <c r="D3005" s="10" t="s">
        <v>171</v>
      </c>
      <c r="E3005" s="11" t="str">
        <f>+HYPERLINK("http://trademark.i-assist.jp/data/china/image_1900th/79146551.pdf", "79146551")</f>
        <v>79146551</v>
      </c>
      <c r="F3005" s="10" t="s">
        <v>8389</v>
      </c>
      <c r="G3005" s="10" t="s">
        <v>8382</v>
      </c>
      <c r="H3005" s="10" t="s">
        <v>8390</v>
      </c>
      <c r="I3005" s="10" t="s">
        <v>8356</v>
      </c>
    </row>
    <row r="3006" spans="1:9" x14ac:dyDescent="0.15">
      <c r="A3006" s="9">
        <v>3005</v>
      </c>
      <c r="B3006" s="10" t="s">
        <v>9</v>
      </c>
      <c r="C3006" s="10" t="s">
        <v>170</v>
      </c>
      <c r="D3006" s="10" t="s">
        <v>171</v>
      </c>
      <c r="E3006" s="11" t="str">
        <f>+HYPERLINK("http://trademark.i-assist.jp/data/china/image_1900th/79146989.pdf", "79146989")</f>
        <v>79146989</v>
      </c>
      <c r="F3006" s="10" t="s">
        <v>8391</v>
      </c>
      <c r="G3006" s="10" t="s">
        <v>8392</v>
      </c>
      <c r="H3006" s="10" t="s">
        <v>8393</v>
      </c>
      <c r="I3006" s="10" t="s">
        <v>8356</v>
      </c>
    </row>
    <row r="3007" spans="1:9" x14ac:dyDescent="0.15">
      <c r="A3007" s="9">
        <v>3006</v>
      </c>
      <c r="B3007" s="10" t="s">
        <v>9</v>
      </c>
      <c r="C3007" s="10" t="s">
        <v>170</v>
      </c>
      <c r="D3007" s="10" t="s">
        <v>171</v>
      </c>
      <c r="E3007" s="11" t="str">
        <f>+HYPERLINK("http://trademark.i-assist.jp/data/china/image_1900th/79147716.pdf", "79147716")</f>
        <v>79147716</v>
      </c>
      <c r="F3007" s="10" t="s">
        <v>8394</v>
      </c>
      <c r="G3007" s="10" t="s">
        <v>8382</v>
      </c>
      <c r="H3007" s="10" t="s">
        <v>8395</v>
      </c>
      <c r="I3007" s="10" t="s">
        <v>8356</v>
      </c>
    </row>
    <row r="3008" spans="1:9" x14ac:dyDescent="0.15">
      <c r="A3008" s="9">
        <v>3007</v>
      </c>
      <c r="B3008" s="10" t="s">
        <v>9</v>
      </c>
      <c r="C3008" s="10" t="s">
        <v>170</v>
      </c>
      <c r="D3008" s="10" t="s">
        <v>171</v>
      </c>
      <c r="E3008" s="11" t="str">
        <f>+HYPERLINK("http://trademark.i-assist.jp/data/china/image_1900th/79148769.pdf", "79148769")</f>
        <v>79148769</v>
      </c>
      <c r="F3008" s="10" t="s">
        <v>8396</v>
      </c>
      <c r="G3008" s="10" t="s">
        <v>8397</v>
      </c>
      <c r="H3008" s="10" t="s">
        <v>8398</v>
      </c>
      <c r="I3008" s="10" t="s">
        <v>8356</v>
      </c>
    </row>
    <row r="3009" spans="1:9" x14ac:dyDescent="0.15">
      <c r="A3009" s="9">
        <v>3008</v>
      </c>
      <c r="B3009" s="10" t="s">
        <v>9</v>
      </c>
      <c r="C3009" s="10" t="s">
        <v>170</v>
      </c>
      <c r="D3009" s="10" t="s">
        <v>171</v>
      </c>
      <c r="E3009" s="11" t="str">
        <f>+HYPERLINK("http://trademark.i-assist.jp/data/china/image_1900th/79149454.pdf", "79149454")</f>
        <v>79149454</v>
      </c>
      <c r="F3009" s="10" t="s">
        <v>8399</v>
      </c>
      <c r="G3009" s="10" t="s">
        <v>8400</v>
      </c>
      <c r="H3009" s="10" t="s">
        <v>8401</v>
      </c>
      <c r="I3009" s="10" t="s">
        <v>8356</v>
      </c>
    </row>
    <row r="3010" spans="1:9" x14ac:dyDescent="0.15">
      <c r="A3010" s="9">
        <v>3009</v>
      </c>
      <c r="B3010" s="10" t="s">
        <v>9</v>
      </c>
      <c r="C3010" s="10" t="s">
        <v>170</v>
      </c>
      <c r="D3010" s="10" t="s">
        <v>171</v>
      </c>
      <c r="E3010" s="11" t="str">
        <f>+HYPERLINK("http://trademark.i-assist.jp/data/china/image_1900th/79150485.pdf", "79150485")</f>
        <v>79150485</v>
      </c>
      <c r="F3010" s="10" t="s">
        <v>8402</v>
      </c>
      <c r="G3010" s="10" t="s">
        <v>8382</v>
      </c>
      <c r="H3010" s="10" t="s">
        <v>8403</v>
      </c>
      <c r="I3010" s="10" t="s">
        <v>8356</v>
      </c>
    </row>
    <row r="3011" spans="1:9" x14ac:dyDescent="0.15">
      <c r="A3011" s="9">
        <v>3010</v>
      </c>
      <c r="B3011" s="10" t="s">
        <v>9</v>
      </c>
      <c r="C3011" s="10" t="s">
        <v>170</v>
      </c>
      <c r="D3011" s="10" t="s">
        <v>171</v>
      </c>
      <c r="E3011" s="11" t="str">
        <f>+HYPERLINK("http://trademark.i-assist.jp/data/china/image_1900th/79150936.pdf", "79150936")</f>
        <v>79150936</v>
      </c>
      <c r="F3011" s="10" t="s">
        <v>8404</v>
      </c>
      <c r="G3011" s="10" t="s">
        <v>8405</v>
      </c>
      <c r="H3011" s="10" t="s">
        <v>8406</v>
      </c>
      <c r="I3011" s="10" t="s">
        <v>8356</v>
      </c>
    </row>
    <row r="3012" spans="1:9" x14ac:dyDescent="0.15">
      <c r="A3012" s="9">
        <v>3011</v>
      </c>
      <c r="B3012" s="10" t="s">
        <v>9</v>
      </c>
      <c r="C3012" s="10" t="s">
        <v>170</v>
      </c>
      <c r="D3012" s="10" t="s">
        <v>171</v>
      </c>
      <c r="E3012" s="11" t="str">
        <f>+HYPERLINK("http://trademark.i-assist.jp/data/china/image_1900th/79152240.pdf", "79152240")</f>
        <v>79152240</v>
      </c>
      <c r="F3012" s="10" t="s">
        <v>8407</v>
      </c>
      <c r="G3012" s="10" t="s">
        <v>8408</v>
      </c>
      <c r="H3012" s="10" t="s">
        <v>8409</v>
      </c>
      <c r="I3012" s="10" t="s">
        <v>8356</v>
      </c>
    </row>
    <row r="3013" spans="1:9" x14ac:dyDescent="0.15">
      <c r="A3013" s="9">
        <v>3012</v>
      </c>
      <c r="B3013" s="10" t="s">
        <v>9</v>
      </c>
      <c r="C3013" s="10" t="s">
        <v>170</v>
      </c>
      <c r="D3013" s="10" t="s">
        <v>171</v>
      </c>
      <c r="E3013" s="11" t="str">
        <f>+HYPERLINK("http://trademark.i-assist.jp/data/china/image_1900th/79153311.pdf", "79153311")</f>
        <v>79153311</v>
      </c>
      <c r="F3013" s="10" t="s">
        <v>8410</v>
      </c>
      <c r="G3013" s="10" t="s">
        <v>8382</v>
      </c>
      <c r="H3013" s="10" t="s">
        <v>8411</v>
      </c>
      <c r="I3013" s="10" t="s">
        <v>8356</v>
      </c>
    </row>
    <row r="3014" spans="1:9" x14ac:dyDescent="0.15">
      <c r="A3014" s="9">
        <v>3013</v>
      </c>
      <c r="B3014" s="10" t="s">
        <v>9</v>
      </c>
      <c r="C3014" s="10" t="s">
        <v>170</v>
      </c>
      <c r="D3014" s="10" t="s">
        <v>171</v>
      </c>
      <c r="E3014" s="11" t="str">
        <f>+HYPERLINK("http://trademark.i-assist.jp/data/china/image_1900th/79160136.pdf", "79160136")</f>
        <v>79160136</v>
      </c>
      <c r="F3014" s="10" t="s">
        <v>8412</v>
      </c>
      <c r="G3014" s="10" t="s">
        <v>8413</v>
      </c>
      <c r="H3014" s="10" t="s">
        <v>8414</v>
      </c>
      <c r="I3014" s="10" t="s">
        <v>8415</v>
      </c>
    </row>
    <row r="3015" spans="1:9" x14ac:dyDescent="0.15">
      <c r="A3015" s="9">
        <v>3014</v>
      </c>
      <c r="B3015" s="10" t="s">
        <v>9</v>
      </c>
      <c r="C3015" s="10" t="s">
        <v>170</v>
      </c>
      <c r="D3015" s="10" t="s">
        <v>171</v>
      </c>
      <c r="E3015" s="11" t="str">
        <f>+HYPERLINK("http://trademark.i-assist.jp/data/china/image_1900th/79180476.pdf", "79180476")</f>
        <v>79180476</v>
      </c>
      <c r="F3015" s="10" t="s">
        <v>8416</v>
      </c>
      <c r="G3015" s="10" t="s">
        <v>8417</v>
      </c>
      <c r="H3015" s="10" t="s">
        <v>8418</v>
      </c>
      <c r="I3015" s="10" t="s">
        <v>8415</v>
      </c>
    </row>
    <row r="3016" spans="1:9" x14ac:dyDescent="0.15">
      <c r="A3016" s="9">
        <v>3015</v>
      </c>
      <c r="B3016" s="10" t="s">
        <v>9</v>
      </c>
      <c r="C3016" s="10" t="s">
        <v>170</v>
      </c>
      <c r="D3016" s="10" t="s">
        <v>171</v>
      </c>
      <c r="E3016" s="11" t="str">
        <f>+HYPERLINK("http://trademark.i-assist.jp/data/china/image_1900th/79261832.pdf", "79261832")</f>
        <v>79261832</v>
      </c>
      <c r="F3016" s="10" t="s">
        <v>8419</v>
      </c>
      <c r="G3016" s="10" t="s">
        <v>187</v>
      </c>
      <c r="H3016" s="10" t="s">
        <v>8420</v>
      </c>
      <c r="I3016" s="10" t="s">
        <v>8421</v>
      </c>
    </row>
  </sheetData>
  <autoFilter ref="A1:I1" xr:uid="{3B0FB343-47C0-4CE0-8FAB-E7608847F386}"/>
  <phoneticPr fontId="2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1900th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IA-99</cp:lastModifiedBy>
  <dcterms:created xsi:type="dcterms:W3CDTF">2018-08-31T07:51:48Z</dcterms:created>
  <dcterms:modified xsi:type="dcterms:W3CDTF">2025-02-28T05:51:10Z</dcterms:modified>
</cp:coreProperties>
</file>