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IA-99\Desktop\"/>
    </mc:Choice>
  </mc:AlternateContent>
  <xr:revisionPtr revIDLastSave="0" documentId="13_ncr:1_{D7C40E51-07D5-44CA-AF63-99C0DB225DFF}" xr6:coauthVersionLast="47" xr6:coauthVersionMax="47" xr10:uidLastSave="{00000000-0000-0000-0000-000000000000}"/>
  <bookViews>
    <workbookView xWindow="1785" yWindow="645" windowWidth="21600" windowHeight="11295" xr2:uid="{00000000-000D-0000-FFFF-FFFF00000000}"/>
  </bookViews>
  <sheets>
    <sheet name="1899th" sheetId="2" r:id="rId1"/>
  </sheets>
  <definedNames>
    <definedName name="_xlnm._FilterDatabase" localSheetId="0" hidden="1">'1899th'!$A$1:$I$1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2" l="1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</calcChain>
</file>

<file path=xl/sharedStrings.xml><?xml version="1.0" encoding="utf-8"?>
<sst xmlns="http://schemas.openxmlformats.org/spreadsheetml/2006/main" count="6183" uniqueCount="2539">
  <si>
    <t>国名</t>
  </si>
  <si>
    <t>公告期</t>
  </si>
  <si>
    <t>発表日</t>
  </si>
  <si>
    <t>商標番号</t>
  </si>
  <si>
    <t>商標名称</t>
  </si>
  <si>
    <t>申請人</t>
  </si>
  <si>
    <t>商品</t>
  </si>
  <si>
    <t>申請日</t>
  </si>
  <si>
    <t>No.</t>
    <phoneticPr fontId="1"/>
  </si>
  <si>
    <t>中国</t>
  </si>
  <si>
    <t>情景国酱（北京）酒业有限公司</t>
  </si>
  <si>
    <t>贵州情景最藏酒业有限公司</t>
  </si>
  <si>
    <t>果酒（含酒精）;蒸馏饮料;葡萄酒;酒精饮料（啤酒除外）;⽩酒;预先混合的酒精饮料（以啤酒为主的除外）;汽酒;⻩酒;烧酒;⽶酒</t>
  </si>
  <si>
    <t>2023/04/28</t>
  </si>
  <si>
    <t>2023/05/04</t>
  </si>
  <si>
    <t>图形</t>
  </si>
  <si>
    <t>2023/05/19</t>
  </si>
  <si>
    <t>2023/05/23</t>
  </si>
  <si>
    <t>酒精饮料（啤酒除外）</t>
  </si>
  <si>
    <t>2023/06/27</t>
  </si>
  <si>
    <t>薛明秋</t>
  </si>
  <si>
    <t>2023/06/29</t>
  </si>
  <si>
    <t>2023/07/04</t>
  </si>
  <si>
    <t>2023/07/18</t>
  </si>
  <si>
    <t>2023/07/31</t>
  </si>
  <si>
    <t>2023/08/02</t>
  </si>
  <si>
    <t>2023/08/15</t>
  </si>
  <si>
    <t>2023/08/18</t>
  </si>
  <si>
    <t/>
  </si>
  <si>
    <t>2023/08/22</t>
  </si>
  <si>
    <t>2023/09/05</t>
  </si>
  <si>
    <t>2023/09/08</t>
  </si>
  <si>
    <t>2023/09/13</t>
  </si>
  <si>
    <t>2023/11/27</t>
  </si>
  <si>
    <t>⽩酒;葡萄酒</t>
  </si>
  <si>
    <t>2024/01/19</t>
  </si>
  <si>
    <t>2024/01/29</t>
  </si>
  <si>
    <t>⽩酒</t>
  </si>
  <si>
    <t>2024/02/20</t>
  </si>
  <si>
    <t>2024/02/21</t>
  </si>
  <si>
    <t>山西庞泉酒庄有限公司</t>
  </si>
  <si>
    <t>2024/02/26</t>
  </si>
  <si>
    <t>2024/02/27</t>
  </si>
  <si>
    <t>2024/02/29</t>
  </si>
  <si>
    <t>2024/03/04</t>
  </si>
  <si>
    <t>2024/03/05</t>
  </si>
  <si>
    <t>2024/03/06</t>
  </si>
  <si>
    <t>2024/03/07</t>
  </si>
  <si>
    <t>回澜威士忌蒸馏科技（成都）有限公司</t>
  </si>
  <si>
    <t>2024/03/11</t>
  </si>
  <si>
    <t>贵州鼎瑞恒商贸有限责任公司</t>
  </si>
  <si>
    <t>2024/03/13</t>
  </si>
  <si>
    <t>2024/03/18</t>
  </si>
  <si>
    <t>2024/03/21</t>
  </si>
  <si>
    <t>2024/03/27</t>
  </si>
  <si>
    <t>2024/03/28</t>
  </si>
  <si>
    <t>2024/03/29</t>
  </si>
  <si>
    <t>2024/04/01</t>
  </si>
  <si>
    <t>2024/04/02</t>
  </si>
  <si>
    <t>2024/04/03</t>
  </si>
  <si>
    <t>2024/04/06</t>
  </si>
  <si>
    <t>2024/04/07</t>
  </si>
  <si>
    <t>2024/04/08</t>
  </si>
  <si>
    <t>2024/04/09</t>
  </si>
  <si>
    <t>2024/04/10</t>
  </si>
  <si>
    <t>2024/04/11</t>
  </si>
  <si>
    <t>2024/04/13</t>
  </si>
  <si>
    <t>2024/04/15</t>
  </si>
  <si>
    <t>2024/04/16</t>
  </si>
  <si>
    <t>2024/04/17</t>
  </si>
  <si>
    <t>2024/04/18</t>
  </si>
  <si>
    <t>2024/04/22</t>
  </si>
  <si>
    <t>2024/04/23</t>
  </si>
  <si>
    <t>2024/04/24</t>
  </si>
  <si>
    <t>2024/04/25</t>
  </si>
  <si>
    <t>张令哲</t>
  </si>
  <si>
    <t>2024/04/26</t>
  </si>
  <si>
    <t>2024/04/27</t>
  </si>
  <si>
    <t>山东仁醴古酿酒业有限公司</t>
  </si>
  <si>
    <t>徐俊刚</t>
  </si>
  <si>
    <t>智变赢道投资（南京）有限公司</t>
  </si>
  <si>
    <t>2024/04/28</t>
  </si>
  <si>
    <t>孟华良</t>
  </si>
  <si>
    <t>四川杜甫酒业集团股份有限公司</t>
  </si>
  <si>
    <t>2024/04/29</t>
  </si>
  <si>
    <t>辽宁三沟酒业有限责任公司</t>
  </si>
  <si>
    <t>2024/05/06</t>
  </si>
  <si>
    <t>2024/05/07</t>
  </si>
  <si>
    <t>贵州毅通贸易有限公司</t>
  </si>
  <si>
    <t>休宁县糕饼厂</t>
  </si>
  <si>
    <t>杨瑞浩</t>
  </si>
  <si>
    <t>李广芬</t>
  </si>
  <si>
    <t>江晓城</t>
  </si>
  <si>
    <t>北京华夏观峰品牌管理有限公司</t>
  </si>
  <si>
    <t>吴登蓉</t>
  </si>
  <si>
    <t>张金华</t>
  </si>
  <si>
    <t>胡丽</t>
  </si>
  <si>
    <t>罗毅迪</t>
  </si>
  <si>
    <t>何振禧</t>
  </si>
  <si>
    <t>山西中安智能科技有限公司</t>
  </si>
  <si>
    <t>2024/05/08</t>
  </si>
  <si>
    <t>李真真</t>
  </si>
  <si>
    <t>郑勇</t>
  </si>
  <si>
    <t>猇亭区西禾商贸行(个体工商户)</t>
  </si>
  <si>
    <t>潘晓辉</t>
  </si>
  <si>
    <t>王伟</t>
  </si>
  <si>
    <t>李小兰</t>
  </si>
  <si>
    <t>2024/05/09</t>
  </si>
  <si>
    <t>贵州创梦酒业有限公司</t>
  </si>
  <si>
    <t>李斌</t>
  </si>
  <si>
    <t>2024/05/10</t>
  </si>
  <si>
    <t>曹慧</t>
  </si>
  <si>
    <t>李建军142131********5517</t>
  </si>
  <si>
    <t>李妍妍</t>
  </si>
  <si>
    <t>2024/05/11</t>
  </si>
  <si>
    <t>郭燕华</t>
  </si>
  <si>
    <t>北京嘉鑫智茂国际粮油贸易有限公司</t>
  </si>
  <si>
    <t>2024/05/12</t>
  </si>
  <si>
    <t>2024/05/13</t>
  </si>
  <si>
    <t>宿州市驰名商贸有限公司</t>
  </si>
  <si>
    <t>贵州省仁怀市茅台镇文中酒业有限公司</t>
  </si>
  <si>
    <t>深圳市华昱投资控股有限公司</t>
  </si>
  <si>
    <t>2024/05/14</t>
  </si>
  <si>
    <t>2024/05/15</t>
  </si>
  <si>
    <t>佰酿云酒（重庆）科技有限公司</t>
  </si>
  <si>
    <t>2024/05/28</t>
  </si>
  <si>
    <t>1899</t>
  </si>
  <si>
    <t>2024/8/13</t>
  </si>
  <si>
    <t>黄金台</t>
  </si>
  <si>
    <t>上海黄金搭档生物科技有限公司</t>
  </si>
  <si>
    <t>烈酒（饮料）;果酒（含酒精）;酒精饮料（啤酒除外）;⽶酒;⾷⽤酒精;⽩酒;⻩酒;汽酒;威⼠忌;葡萄酒</t>
  </si>
  <si>
    <t>2019/12/04</t>
  </si>
  <si>
    <t>⻩酒;汽酒;威⼠忌;⾷⽤酒精;⽩酒;果酒（含酒精）;酒精饮料（啤酒除外）;⽶酒;葡萄酒;烈酒（饮料）</t>
  </si>
  <si>
    <t>2020/06/02</t>
  </si>
  <si>
    <t>财星高照</t>
  </si>
  <si>
    <t>小方瓶(北京)酒业有限公司</t>
  </si>
  <si>
    <t>果酒（含酒精）;葡萄酒;利⼝酒;清酒（⽇本⽶酒）;⽩酒;⻩酒;红葡萄酒;烈酒;甜酒;酒精饮料（啤酒除外）</t>
  </si>
  <si>
    <t>2021/04/21</t>
  </si>
  <si>
    <t>烈酒（饮料）;烧酒;酒精饮料（啤酒除外）;⽶酒;⾷⽤酒精;⽩酒;⻩酒;汽酒;威⼠忌;葡萄酒</t>
  </si>
  <si>
    <t>2021/06/25</t>
  </si>
  <si>
    <t>恩赐</t>
  </si>
  <si>
    <t>吴奂芳</t>
  </si>
  <si>
    <t>汽酒;⻩酒;⾷⽤酒精;⽩酒;烧酒;果酒;葡萄酒;梅酒;⽼酒（中国蒸馏烈酒）;⽶酒</t>
  </si>
  <si>
    <t>2021/07/28</t>
  </si>
  <si>
    <t>醉翁之意</t>
  </si>
  <si>
    <t>北京巷子很深商贸有限公司</t>
  </si>
  <si>
    <t>清酒（⽇本⽶酒）;汽酒;葡萄酒;果酒（含酒精）;鸡尾酒;酒精饮料原汁;⽶酒;⽩酒;烧酒;蒸馏饮料</t>
  </si>
  <si>
    <t>2021/08/16</t>
  </si>
  <si>
    <t>吉商</t>
  </si>
  <si>
    <t>徽商（中国）实业有限公司</t>
  </si>
  <si>
    <t>烧酒;⽩酒;⻩酒;朗姆酒;⻘稞酒;清酒（⽇本⽶酒）;威⼠忌;酒精饮料（啤酒除外）;⽶酒;葡萄酒</t>
  </si>
  <si>
    <t>2021/08/20</t>
  </si>
  <si>
    <t>NARMI 娜热美</t>
  </si>
  <si>
    <t>洪且木·依明</t>
  </si>
  <si>
    <t>威⼠忌;清酒（⽇本⽶酒）;酒精饮料（啤酒除外）;⽶酒;利⼝酒;烧酒;⻩酒;⽩兰地;烈酒（饮料）;⽩酒</t>
  </si>
  <si>
    <t>2021/11/08</t>
  </si>
  <si>
    <t>仨尒花 SARGUL</t>
  </si>
  <si>
    <t>谢仁阿依·迪力夏提</t>
  </si>
  <si>
    <t>葡萄酒;烈酒（饮料）;威⼠忌;伏特加酒;⾷⽤酒精;果酒（含酒精）;朗姆酒;⻩酒;⽩酒;⽩兰地</t>
  </si>
  <si>
    <t>2021/12/18</t>
  </si>
  <si>
    <t>授 师者传道授业解惑也 50 SHIZHE CHUANDAO SHOUYE JIEHUO</t>
  </si>
  <si>
    <t>果酒（含酒精）;蒸馏饮料;葡萄酒;酒精饮料（啤酒除外）;预先混合的酒精饮料（以啤酒为主的除外）;汽酒;⻩酒;烧酒;⽩酒;⽶酒</t>
  </si>
  <si>
    <t>2022/07/05</t>
  </si>
  <si>
    <t>游子浆</t>
  </si>
  <si>
    <t>浙江德清合家欢生态农业有限公司</t>
  </si>
  <si>
    <t>苹果酒;樱桃酒;含⽔果酒精饮料;草莓酒;⻩酒;葡萄酒;梨酒;⽶酒;⽩酒;果酒（含酒精）</t>
  </si>
  <si>
    <t>2022/07/07</t>
  </si>
  <si>
    <t>年藏真</t>
  </si>
  <si>
    <t>烧酒;⽩酒;果酒（含酒精）;蒸馏饮料;⻩酒;酒精饮料（啤酒除外）;⽶酒;预先混合的酒精饮料（以啤酒为主的除外）;汽酒;葡萄酒</t>
  </si>
  <si>
    <t>2022/08/01</t>
  </si>
  <si>
    <t>娶 年真喜</t>
  </si>
  <si>
    <t>2022/10/25</t>
  </si>
  <si>
    <t>师</t>
  </si>
  <si>
    <t>2022/12/05</t>
  </si>
  <si>
    <t>红搏</t>
  </si>
  <si>
    <t>陕西弱水涟商贸有限公司</t>
  </si>
  <si>
    <t>鸡尾酒;葡萄酒;烈酒（饮料）;⻩酒;⽶酒;⽩酒;⾼粱酒;果酒;烧酒;烈酒</t>
  </si>
  <si>
    <t>2022/12/23</t>
  </si>
  <si>
    <t>不二粮人 KINGHONG</t>
  </si>
  <si>
    <t>深圳九珍堂生物科技有限公司</t>
  </si>
  <si>
    <t>清酒（⽇本⽶酒）;⻘稞酒;烈酒（饮料）;酒精饮料原汁;⽩兰地;酒精饮料（啤酒除外）;鸡尾酒;含⽔果酒精饮料;伏特加酒;酒精饮料浓缩汁</t>
  </si>
  <si>
    <t>2023/02/08</t>
  </si>
  <si>
    <t>BA</t>
  </si>
  <si>
    <t>贵州金丹阿娇文化旅游投资开发有限责任公司</t>
  </si>
  <si>
    <t>果酒;利⼝酒;烧酒（烈酒）;⽼酒（中国蒸馏烈酒）;⾼粱酒;葡萄酒;鸡尾酒;烈酒（饮料）;⽶酒;⽩酒</t>
  </si>
  <si>
    <t>2023/02/14</t>
  </si>
  <si>
    <t>川派</t>
  </si>
  <si>
    <t>四川绵竹川派酒业有限公司</t>
  </si>
  <si>
    <t>⽩酒;⻩酒;苹果酒;开胃酒;朝鲜族⽶酒;⽶酒;蜂蜜酒;烈酒（饮料）;⽩兰地;烧酒</t>
  </si>
  <si>
    <t>2023/03/04</t>
  </si>
  <si>
    <t>祉猷茂</t>
  </si>
  <si>
    <t>王名宏</t>
  </si>
  <si>
    <t>清酒（⽇本⽶酒）;酒精饮料（啤酒除外）;⻩酒;⽶酒;烈酒（饮料）;烧酒;果酒（含酒精）;鸡尾酒;葡萄酒;⽩酒</t>
  </si>
  <si>
    <t>2023/03/06</t>
  </si>
  <si>
    <t>烟火巷子</t>
  </si>
  <si>
    <t>陕西沙河实业有限公司</t>
  </si>
  <si>
    <t>⾷⽤酒精;烧酒;果酒（含酒精）;鸡尾酒;⽩酒;酒精饮料（啤酒除外）;⻩酒;利⼝酒;⽶酒;葡萄酒</t>
  </si>
  <si>
    <t>ICAB INTERNATIONAL JOINT RESEARCH CENTER OF QUALITY AND SAFETY OF ALCOHOLIC BEVERAGES ICAB INTERNATIONAL JOINT RESEARCH CENTER OF QUALITY AND SAFETY OF ALCOHOLIC BEVERAGES</t>
  </si>
  <si>
    <t>中国食品发酵工业研究院有限公司</t>
  </si>
  <si>
    <t>利⼝酒;烈酒（饮料）;⽩兰地;⽩酒;威⼠忌;⽶酒;朗姆酒;伏特加酒;清酒（⽇本⽶酒）;蒸馏饮料;葡萄酒</t>
  </si>
  <si>
    <t>2023/03/14</t>
  </si>
  <si>
    <t>五伦悦</t>
  </si>
  <si>
    <t>北京聚贤聚金电梯装饰有限公司</t>
  </si>
  <si>
    <t>葡萄酒;烈酒（饮料）;⽶酒;清酒;⽩酒;果酒（含酒精）;鸡尾酒;酒精饮料（啤酒除外）;⻩酒;蒸煮提取物（利⼝酒和烈酒）</t>
  </si>
  <si>
    <t>2023/03/25</t>
  </si>
  <si>
    <t>忠信堂烧坊</t>
  </si>
  <si>
    <t>何水丽412721********5442</t>
  </si>
  <si>
    <t>⽶酒;开胃酒;烧酒;⾕物制蒸馏酒精饮料;鸡尾酒;蒸馏饮料;果酒（含酒精）;⽩酒;烈酒（饮料）;葡萄酒</t>
  </si>
  <si>
    <t>2023/03/28</t>
  </si>
  <si>
    <t>贵府</t>
  </si>
  <si>
    <t>联美集团有限公司</t>
  </si>
  <si>
    <t>烧酒;⽩酒;⾷⽤酒精;⽶酒;⻩酒;⽩兰地;果酒;葡萄酒;鸡尾酒;苹果酒</t>
  </si>
  <si>
    <t>2023/04/03</t>
  </si>
  <si>
    <t>烧酒;烈酒;烈酒（饮料）;⻩酒;果酒;⽶酒;鸡尾酒;⽩酒;葡萄酒;⾼粱酒</t>
  </si>
  <si>
    <t>2023/04/06</t>
  </si>
  <si>
    <t>ASKANELI</t>
  </si>
  <si>
    <t>奇哈伊泽·戈查</t>
  </si>
  <si>
    <t>利⼝酒;伏特加酒;烈酒（饮料）;葡萄酒;鸡尾酒;果酒（含酒精）;⽩兰地;威⼠忌;酒精饮料（啤酒除外）</t>
  </si>
  <si>
    <t>2023/04/13</t>
  </si>
  <si>
    <t>钦点翰林院 翰酒</t>
  </si>
  <si>
    <t>贵州禄牌酒业有限公司</t>
  </si>
  <si>
    <t>葡萄酒;预先混合的酒精饮料（以啤酒为主的除外）;⽩酒;蒸馏饮料;酒精饮料（啤酒除外）;汽酒;⻩酒;烧酒;果酒（含酒精）;⽶酒</t>
  </si>
  <si>
    <t>2023/04/14</t>
  </si>
  <si>
    <t>柔藏</t>
  </si>
  <si>
    <t>义乌市衍尚电子商务商行</t>
  </si>
  <si>
    <t>果酒（含酒精）;鸡尾酒;葡萄酒;⽼酒（中国蒸馏烈酒）;⽩⼲酒（中国⽩酒）;烧酒;⾷⽤酒精;⽩酒;⽶酒;酒精饮料（啤酒除外）</t>
  </si>
  <si>
    <t>2023/04/20</t>
  </si>
  <si>
    <t>倾尊</t>
  </si>
  <si>
    <t>遵义中立精工制造有限公司</t>
  </si>
  <si>
    <t>⽩酒;烧酒;⻩酒;酒精饮料（啤酒除外）;⽶酒;威⼠忌;清酒;果酒;葡萄酒;鸡尾酒</t>
  </si>
  <si>
    <t>2023/04/24</t>
  </si>
  <si>
    <t>神溪</t>
  </si>
  <si>
    <t>陈泽如</t>
  </si>
  <si>
    <t>酒精饮料（啤酒除外）;⻩酒;餐后酒（利⼝酒和烈酒）;⽶酒;⽩酒;开胃酒;果酒（含酒精）;含⽔果酒精饮料;⾷⽤酒精;烧酒</t>
  </si>
  <si>
    <t>商殷</t>
  </si>
  <si>
    <t>河南中海物资集团有限公司</t>
  </si>
  <si>
    <t>果酒;烧酒;⽶酒;⽩酒;含⽔果酒精饮料;酒精饮料（啤酒除外）;开胃酒;烈酒;⻩酒;葡萄酒</t>
  </si>
  <si>
    <t>寻龙庄园</t>
  </si>
  <si>
    <t>宁夏西鸽葡萄酒产业集团有限公司</t>
  </si>
  <si>
    <t>烈酒（饮料）;⽩兰地;果酒（含酒精）;苹果酒;汽酒;酸酒（低等葡萄酒）;酒精饮料（啤酒除外）;威⼠忌;⽩酒;葡萄酒</t>
  </si>
  <si>
    <t>盉饮</t>
  </si>
  <si>
    <t>四川广汉三星堆博物馆</t>
  </si>
  <si>
    <t>果酒（含酒精）;鸡尾酒;汽酒;⽶酒;梅酒;⾷⽤酒精;开胃酒;葡萄酒;⽩酒;烧酒</t>
  </si>
  <si>
    <t>三溪</t>
  </si>
  <si>
    <t>四川泸州三溪酒厂有限公司</t>
  </si>
  <si>
    <t>⾷⽤酒精;葡萄酒;烈酒（饮料）;⽼酒（中国蒸馏烈酒）;预先混合的酒精饮料（以啤酒为主的除外）;酒精饮料（啤酒除外）;鸡尾酒;烧酒;⽩兰地;⽩酒</t>
  </si>
  <si>
    <t>黎香酒</t>
  </si>
  <si>
    <t>海马投资集团有限公司</t>
  </si>
  <si>
    <t>开胃酒;烈酒（饮料）;清酒（⽇本⽶酒）;烧酒;含⽔果酒精饮料;甜果酒;餐后酒（利⼝酒和烈酒）;⽩酒;果酒（含酒精）;汽酒</t>
  </si>
  <si>
    <t>2023/05/06</t>
  </si>
  <si>
    <t>年藏古 J30</t>
  </si>
  <si>
    <t>⽩酒;果酒（含酒精）;预先混合的酒精饮料（以啤酒为主的除外）;蒸馏饮料;⻩酒;⽶酒;烧酒;葡萄酒;汽酒;酒精饮料（啤酒除外）</t>
  </si>
  <si>
    <t>2023/05/11</t>
  </si>
  <si>
    <t>爱侬世嘉</t>
  </si>
  <si>
    <t>宇人影业（上海）有限公司</t>
  </si>
  <si>
    <t>果酒（含酒精）;含⽔果酒精饮料;⻩酒;鸡尾酒;⾷⽤酒精;⽩兰地;清酒（⽇本⽶酒）;朗姆酒;⽩酒;葡萄酒</t>
  </si>
  <si>
    <t>阿月</t>
  </si>
  <si>
    <t>孙涵旭</t>
  </si>
  <si>
    <t>果酒（含酒精）;酒精饮料（啤酒除外）;⻩酒;清酒（⽇本⽶酒）;⽩酒;烧酒;蒸馏饮料;葡萄酒;⽶酒;⾷⽤酒精</t>
  </si>
  <si>
    <t>恩</t>
  </si>
  <si>
    <t>民族匠心品牌管理（北京）有限公司</t>
  </si>
  <si>
    <t>葡萄酒;蒸馏饮料;酒精饮料（啤酒除外）;⽶酒;预先混合的酒精饮料（以啤酒为主的除外）;⽩酒;⻩酒;烧酒;果酒（含酒精）;汽酒</t>
  </si>
  <si>
    <t>2023/05/17</t>
  </si>
  <si>
    <t>赤路</t>
  </si>
  <si>
    <t>赤路酒业（山东）有限公司</t>
  </si>
  <si>
    <t>⽶酒;⽩酒;⽩葡萄酒;葡萄酒;红葡萄酒;清酒（⽇本⽶酒）;果酒;鸡尾酒;⻩酒;⾼粱酒</t>
  </si>
  <si>
    <t>山西珍珠纷酒业股份有限公司</t>
  </si>
  <si>
    <t>果酒;烈酒（饮料）;酒精饮料（啤酒除外）;烧酒;葡萄酒;⻩酒;清酒（⽇本⽶酒）;⽩酒;⽶酒;鸡尾酒</t>
  </si>
  <si>
    <t>汤河口</t>
  </si>
  <si>
    <t>北京汤河口酒业有限公司</t>
  </si>
  <si>
    <t>⽩酒;开胃酒;葡萄酒;利⼝酒;烧酒;清酒（⽇本⽶酒）;蒸煮提取物（利⼝酒和烈酒）;⻘稞酒;⾷⽤酒精;伏特加酒</t>
  </si>
  <si>
    <t>2023/05/26</t>
  </si>
  <si>
    <t>牛僧孺</t>
  </si>
  <si>
    <t>甘肃南桥影视文化传媒有限责任公司</t>
  </si>
  <si>
    <t>含⽔果酒精饮料;果酒（含酒精）;苹果酒;烧酒;葡萄酒;⻘稞酒;烈酒（饮料）;⽩酒;⽶酒;⻩酒</t>
  </si>
  <si>
    <t>2023/05/30</t>
  </si>
  <si>
    <t>亿嗨</t>
  </si>
  <si>
    <t>王申兰</t>
  </si>
  <si>
    <t>预先混合的酒精饮料（以啤酒为主的除外）;果酒（含酒精）;烈酒（饮料）;酒精饮料原汁;⽩酒;⽶酒;烧酒;清酒（⽇本⽶酒）;含⽔果酒精饮料;酒精饮料（啤酒除外）</t>
  </si>
  <si>
    <t>东嘉酿</t>
  </si>
  <si>
    <t>平阳东嘉酒业商行</t>
  </si>
  <si>
    <t>果酒（含酒精）;⽶酒;汽酒;⻩酒;开胃酒;葡萄酒;预先混合的酒精饮料（以啤酒为主的除外）;⾼粱酒;⾷⽤酒精;⽩酒</t>
  </si>
  <si>
    <t>2023/06/06</t>
  </si>
  <si>
    <t>东嘉缘</t>
  </si>
  <si>
    <t>葡萄酒;汽酒;⽩酒;⽶酒;⾷⽤酒精;果酒（含酒精）;开胃酒;预先混合的酒精饮料（以啤酒为主的除外）;⻩酒;⾼粱酒</t>
  </si>
  <si>
    <t>五曲</t>
  </si>
  <si>
    <t>苏州市银泽新能源科技有限公司</t>
  </si>
  <si>
    <t>果酒;葡萄酒;烈酒（饮料）;烧酒;酒精饮料原汁;酒精饮料（啤酒除外）;⽶酒;清酒;⽩酒;⻩酒</t>
  </si>
  <si>
    <t>2023/06/19</t>
  </si>
  <si>
    <t>烧酒;⾼粱酒;⻩酒;葡萄酒;鸡尾酒;⽶酒;烈酒;⽩酒;烈酒（饮料）;果酒</t>
  </si>
  <si>
    <t>花米庄园</t>
  </si>
  <si>
    <t>上海花米贤庄生物科技有限公司</t>
  </si>
  <si>
    <t>酒精饮料（啤酒除外）;⽶酒;⽩酒;⻩酒;开胃酒;⽩兰地;清酒（⽇本⽶酒）;汽酒;烧酒;果酒（含酒精）</t>
  </si>
  <si>
    <t>大夏龙将</t>
  </si>
  <si>
    <t>湖南中研华工新能源科技发展有限公司</t>
  </si>
  <si>
    <t>⽩酒;开胃酒;⽶酒;梅酒;葡萄酒;果酒（含酒精）;佐餐酒;烧酒;甜酒;利⼝酒</t>
  </si>
  <si>
    <t>马士基</t>
  </si>
  <si>
    <t>A.P.穆勒-马士基有限公司</t>
  </si>
  <si>
    <t>葡萄酒;⾷⽤酒精;鸡尾酒;含⽔果酒精饮料;预先混合的酒精饮料（以啤酒为主的除外）;果酒（含酒精）;酒精饮料（啤酒除外）;烈酒（饮料）;开胃酒;酒精饮料原汁</t>
  </si>
  <si>
    <t>2023/06/30</t>
  </si>
  <si>
    <t>全球龙 GLOBAL DRAGON</t>
  </si>
  <si>
    <t>深圳市八闽大地实业有限公司</t>
  </si>
  <si>
    <t>含酒精⽔果饮料;葡萄酒;⻩酒;⽶酒;⽩酒;果酒（含酒精）;蜂蜜酒;含酒精的⽔果鸡尾酒饮料;红葡萄酒;含⽔果酒精饮料</t>
  </si>
  <si>
    <t>湘陶坊</t>
  </si>
  <si>
    <t>徐玉新</t>
  </si>
  <si>
    <t>葡萄酒;⽩兰地;⾷⽤酒精;烈酒（饮料）;伏特加酒;⽩酒;果酒;利⼝酒;酒精饮料（啤酒除外）;烧酒</t>
  </si>
  <si>
    <t>典</t>
  </si>
  <si>
    <t>锡山区厚桥方佳五金厂</t>
  </si>
  <si>
    <t>蒸馏饮料;酒精饮料（啤酒除外）;预先混合的酒精饮料（以啤酒为主的除外）;汽酒;⻩酒;烧酒;⽩酒;葡萄酒;果酒（含酒精）;⽶酒</t>
  </si>
  <si>
    <t>2023/07/06</t>
  </si>
  <si>
    <t>开云宴</t>
  </si>
  <si>
    <t>杭州翰美文化艺术有限公司</t>
  </si>
  <si>
    <t>威⼠忌;鸡尾酒;⽶酒;梅酒;⽩酒;酒精饮料（啤酒除外）;果酒;葡萄酒;烧酒;薄荷酒</t>
  </si>
  <si>
    <t>2023/07/07</t>
  </si>
  <si>
    <t>贵州钱氏酒业（集团）有限公司</t>
  </si>
  <si>
    <t>⽩酒;⻩酒;蒸煮提取物（利⼝酒和烈酒）;开胃酒;⽶酒;清酒（⽇本⽶酒）;酒精饮料（啤酒除外）;果酒;烧酒;葡萄酒</t>
  </si>
  <si>
    <t>2023/07/10</t>
  </si>
  <si>
    <t>九龙凤舞</t>
  </si>
  <si>
    <t>葡萄酒;酒精饮料（啤酒除外）;烧酒;⽩酒;鸡尾酒;⻩酒;烈酒（饮料）;⾼粱酒;⽶酒;果酒（含酒精）</t>
  </si>
  <si>
    <t>2023/07/13</t>
  </si>
  <si>
    <t>尊壶</t>
  </si>
  <si>
    <t>曾雷</t>
  </si>
  <si>
    <t>⻩酒;⽼酒（中国蒸馏烈酒）;酒精饮料（啤酒除外）;⽩酒;露酒;⽩⼲酒（中国⽩酒）;果酒（含酒精）;葡萄酒;⽩兰地;梅酒</t>
  </si>
  <si>
    <t>2023/07/14</t>
  </si>
  <si>
    <t>殷都满江红</t>
  </si>
  <si>
    <t>北京威安克商贸有限公司</t>
  </si>
  <si>
    <t>餐后酒（利⼝酒和烈酒）;⻘稞酒;⻩酒;⾷⽤酒精;⽩酒;葡萄酒;果酒（含酒精）;烈酒（饮料）;柑⾹酒;烧酒</t>
  </si>
  <si>
    <t>2023/07/17</t>
  </si>
  <si>
    <t>赤怀</t>
  </si>
  <si>
    <t>保定市骄禧商贸有限公司</t>
  </si>
  <si>
    <t>开胃酒;⻩酒;葡萄酒;鸡尾酒;清酒（⽇本⽶酒）;烧酒;⽶酒;果酒;酒精饮料（啤酒除外）;⽩酒</t>
  </si>
  <si>
    <t>赤岸</t>
  </si>
  <si>
    <t>鸡尾酒;⻩酒;⽩酒;酒精饮料（啤酒除外）;葡萄酒;烧酒;⽶酒;开胃酒;果酒;清酒（⽇本⽶酒）</t>
  </si>
  <si>
    <t>楚颂</t>
  </si>
  <si>
    <t>广州美台酒业有限公司</t>
  </si>
  <si>
    <t>⽶酒;烧酒;梅酒;清酒;⽩酒;鸡尾酒;葡萄酒;⻘稞酒;⻩酒;⾼粱酒</t>
  </si>
  <si>
    <t>2023/07/23</t>
  </si>
  <si>
    <t>希望庄园</t>
  </si>
  <si>
    <t>贵州希望企业管理有限公司</t>
  </si>
  <si>
    <t>⽼酒（中国蒸馏烈酒）;清酒;⽩酒;汽酒;果酒;⽶酒;蒸馏饮料;含酒精的饮料（啤酒除外）;烧酒;含酒精⽔果饮料</t>
  </si>
  <si>
    <t>AUS'MANIA</t>
  </si>
  <si>
    <t>坦斯曼尼亚有限公司</t>
  </si>
  <si>
    <t>利⼝酒;蒸馏饮料;以葡萄酒为主的饮料;葡萄酒;⽶酒;酒精饮料原汁;含⽔果酒精饮料;蒸煮提取物（利⼝酒和烈酒）;预先混合的酒精饮料（以啤酒为主的除外）;鸡尾酒;开胃酒;酒精饮料（啤酒除外）</t>
  </si>
  <si>
    <t>GUSULILA</t>
  </si>
  <si>
    <t>王群良</t>
  </si>
  <si>
    <t>⽩兰地;开胃酒;威⼠忌;果酒（含酒精）;⽩酒;清酒（⽇本⽶酒）;⾕物制蒸馏酒精饮料;蜂蜜酒;葡萄酒;⽶酒</t>
  </si>
  <si>
    <t>2023/08/09</t>
  </si>
  <si>
    <t>快乐酒坊</t>
  </si>
  <si>
    <t>泉州市丰泽区斯琦贸易商行</t>
  </si>
  <si>
    <t>⽩酒;⽇本松针酒;⾼粱酒;含酒精的饮料（啤酒除外）;烈性⼲酒;⽩⼲酒（中国⽩酒）;烈酒;果酒;⽼酒（中国蒸馏烈酒）;烈酒浓缩汁</t>
  </si>
  <si>
    <t>2023/08/10</t>
  </si>
  <si>
    <t>中海萃</t>
  </si>
  <si>
    <t>中涯(三亚)科技有限公司</t>
  </si>
  <si>
    <t>酒精饮料（啤酒除外）;含⽔果酒精饮料;⽶酒;烈酒（饮料）;威⼠忌;葡萄酒;⾷⽤酒精;⽩酒;蒸煮提取物（利⼝酒和烈酒）;果酒（含酒精）</t>
  </si>
  <si>
    <t>2023/08/11</t>
  </si>
  <si>
    <t>赵堡太极</t>
  </si>
  <si>
    <t>刘春花</t>
  </si>
  <si>
    <t>⾷⽤酒精;⻩酒;酒精饮料浓缩汁;酒精饮料（啤酒除外）;葡萄酒;清酒;果酒（含酒精）;开胃酒;烧酒;⽩酒</t>
  </si>
  <si>
    <t>赵堡太极将</t>
  </si>
  <si>
    <t>开胃酒;果酒（含酒精）;清酒;⻩酒;酒精饮料浓缩汁;酒精饮料（啤酒除外）;葡萄酒;⽩酒;烧酒;⾷⽤酒精</t>
  </si>
  <si>
    <t>水浒点将台</t>
  </si>
  <si>
    <t>彭基华</t>
  </si>
  <si>
    <t>果酒（含酒精）;烈酒（饮料）;威⼠忌;⽶酒;⽩酒;鸡尾酒;葡萄酒;烧酒;⻩酒;开胃酒</t>
  </si>
  <si>
    <t>汉露</t>
  </si>
  <si>
    <t>深圳市华策包装设计有限公司</t>
  </si>
  <si>
    <t>烧酒;含酒精的饮料（啤酒除外）;露酒;烈酒;⻩酒;⽶酒;⽩酒;葡萄酒;果酒（含酒精）;蒸煮提取物（利⼝酒和烈酒）</t>
  </si>
  <si>
    <t>依云浅醺</t>
  </si>
  <si>
    <t>黄广剑</t>
  </si>
  <si>
    <t>酒精饮料（啤酒除外）;果酒（含酒精）;⻩酒;⽶酒;烧酒;葡萄酒;烈酒（饮料）;清酒（⽇本⽶酒）;⽩酒;鸡尾酒</t>
  </si>
  <si>
    <t>2023/08/24</t>
  </si>
  <si>
    <t>益百生活</t>
  </si>
  <si>
    <t>江苏国立酒业有限公司</t>
  </si>
  <si>
    <t>果酒（含酒精）;烈酒（饮料）;开胃酒;烧酒;⽶酒;葡萄酒;⾕物制蒸馏酒精饮料;清酒（⽇本⽶酒）;酒精饮料（啤酒除外）;⽩酒</t>
  </si>
  <si>
    <t>2023/08/25</t>
  </si>
  <si>
    <t>山水和宴</t>
  </si>
  <si>
    <t>宜昌三峡稻花香文化传媒有限公司</t>
  </si>
  <si>
    <t>⽶酒;果酒（含酒精）;⽩酒;烈酒;⻩酒;葡萄酒;酒精饮料原汁;酒精饮料（啤酒除外）;烧酒;开胃酒</t>
  </si>
  <si>
    <t>2023/08/29</t>
  </si>
  <si>
    <t>大木</t>
  </si>
  <si>
    <t>赵建萍</t>
  </si>
  <si>
    <t>⽶酒;酒精饮料（啤酒除外）;蒸馏饮料;⻩酒;⾷⽤酒精;⽩酒;果酒（含酒精）;葡萄酒;含⽔果酒精饮料;酒精饮料原汁</t>
  </si>
  <si>
    <t>2023/08/30</t>
  </si>
  <si>
    <t>忍天下</t>
  </si>
  <si>
    <t>毛亮</t>
  </si>
  <si>
    <t>果酒;烈酒;鸡尾酒;⽩兰地;⽶酒;⽼酒（中国蒸馏烈酒）;⽩⼲酒（中国⽩酒）;⽩酒;烧酒;伏特加酒</t>
  </si>
  <si>
    <t>漫小九</t>
  </si>
  <si>
    <t>贵州漫小九酒业集团有限公司</t>
  </si>
  <si>
    <t>烧酒;⽩酒;葡萄酒;⻩酒;酒精饮料浓缩汁;酒精饮料（啤酒除外）;⾷⽤酒精;汽酒;⽶酒;果酒（含酒精）</t>
  </si>
  <si>
    <t>2023/09/01</t>
  </si>
  <si>
    <t>哲礼</t>
  </si>
  <si>
    <t>广东奥洋贸易有限公司</t>
  </si>
  <si>
    <t>烈酒;⽩兰地;威⼠忌;红葡萄酒;烧酒;葡萄酒;⽩酒;伏特加酒;⽶酒;以葡萄酒为主的饮料</t>
  </si>
  <si>
    <t>秋颖佳酿</t>
  </si>
  <si>
    <t>夏雪娇</t>
  </si>
  <si>
    <t>烧酒;⻩酒;⽩兰地;⽶酒;⽩酒;蒸馏饮料;鸡尾酒;葡萄酒;威⼠忌;果酒（含酒精）</t>
  </si>
  <si>
    <t>2023/09/07</t>
  </si>
  <si>
    <t>黄阁麒麟 KYLIN OF HUANGGE</t>
  </si>
  <si>
    <t>四川德源教育科技发展有限公司</t>
  </si>
  <si>
    <t>由⾕物蒸馏的⽩酒;已调味的蒸馏酒;果酒;⻘稞酒;⽩⼲酒（中国⽩酒）;⽩酒;露酒;果酒（含酒精）;⾼粱酒;⽼酒（中国蒸馏烈酒）</t>
  </si>
  <si>
    <t>歌德生活</t>
  </si>
  <si>
    <t>海南歌德盈香酒业有限公司</t>
  </si>
  <si>
    <t>预先混合的酒精饮料（以啤酒为主的除外）;烈酒（饮料）;威⼠忌;葡萄酒;朗姆酒;利⼝酒;⽩兰地;杜松⼦酒;伏特加酒;清酒</t>
  </si>
  <si>
    <t>麦特威</t>
  </si>
  <si>
    <t>厦门居佳房地产营销策划有限公司</t>
  </si>
  <si>
    <t>伏特加酒;⽩酒;威⼠忌;烈酒（饮料）;鸡尾酒;葡萄酒;酒精饮料（啤酒除外）;果酒（含酒精）;烧酒;⽩兰地</t>
  </si>
  <si>
    <t>2023/09/11</t>
  </si>
  <si>
    <t>年酉</t>
  </si>
  <si>
    <t>无锡市坤铭建材有限公司</t>
  </si>
  <si>
    <t>⽩酒;果酒（含酒精）;酒精饮料（啤酒除外）;蒸馏饮料;烧酒;⽶酒;⻩酒;预先混合的酒精饮料（以啤酒为主的除外）;汽酒;葡萄酒</t>
  </si>
  <si>
    <t>起跑线</t>
  </si>
  <si>
    <t>李向阳</t>
  </si>
  <si>
    <t>⽶酒;⾷⽤酒精;⽩酒;蒸馏饮料;鸡尾酒;酒精饮料浓缩汁;含⽔果酒精饮料;果酒;蒸煮提取物（利⼝酒和烈酒）;葡萄酒</t>
  </si>
  <si>
    <t>漳州世德堂贸易有限公司</t>
  </si>
  <si>
    <t>果酒（含酒精）;⽶酒;葡萄酒;威⼠忌;⽩兰地;⻩酒;以葡萄酒为主的饮料;烧酒;⽩酒;鸡尾酒</t>
  </si>
  <si>
    <t>2023/09/20</t>
  </si>
  <si>
    <t>忆江蓝</t>
  </si>
  <si>
    <t>耒阳星雨农业发展有限公司</t>
  </si>
  <si>
    <t>葡萄酒;含⽔果酒精饮料;酒精饮料（啤酒除外）;⻩酒;⽩酒;露酒;果酒（含酒精）;⻘稞酒;⾷⽤酒精;⽶酒</t>
  </si>
  <si>
    <t>2023/09/22</t>
  </si>
  <si>
    <t>中邳</t>
  </si>
  <si>
    <t>上海伏晓汽车租赁有限公司</t>
  </si>
  <si>
    <t>葡萄酒;酒精饮料（啤酒除外）;威⼠忌;烈酒（饮料）;⾷⽤酒精;清酒（⽇本⽶酒）;⽩酒;⽩兰地;酒精饮料浓缩汁;果酒（含酒精）</t>
  </si>
  <si>
    <t>主观</t>
  </si>
  <si>
    <t>贵州习水二郎酒业有限公司</t>
  </si>
  <si>
    <t>烈酒（饮料）;⽶酒;酒精饮料（啤酒除外）;烧酒;⻩酒;果酒（含酒精）;⽩酒;清酒（⽇本⽶酒）;葡萄酒;鸡尾酒</t>
  </si>
  <si>
    <t>2023/09/23</t>
  </si>
  <si>
    <t>千麦香</t>
  </si>
  <si>
    <t>王建琴</t>
  </si>
  <si>
    <t>开胃酒;⽩酒;⽶酒;葡萄酒;⻩酒;⾼粱酒;果酒（含酒精）;⽼酒（中国蒸馏烈酒）;烈酒;酒精饮料（啤酒除外）</t>
  </si>
  <si>
    <t>2023/09/26</t>
  </si>
  <si>
    <t>裕留香</t>
  </si>
  <si>
    <t>湖北裕留香酒业有限公司</t>
  </si>
  <si>
    <t>果酒（含酒精）;清酒（⽇本⽶酒）;鸡尾酒;威⼠忌;⽩酒;酒精饮料（啤酒除外）;葡萄酒;开胃酒;烈酒;⻩酒</t>
  </si>
  <si>
    <t>卡尔拉格斐</t>
  </si>
  <si>
    <t>卡尔拉格斐有限公司</t>
  </si>
  <si>
    <t>酒精饮料（啤酒除外）;含⽔果酒精饮料;⽶酒;葡萄酒;伏特加酒;⽩酒;⽩兰地;⻩酒;威⼠忌;烈酒（饮料）</t>
  </si>
  <si>
    <t>2023/10/13</t>
  </si>
  <si>
    <t>玉露成仙</t>
  </si>
  <si>
    <t>四川省酒中仙酒业有限公司</t>
  </si>
  <si>
    <t>⽶酒;清酒（⽇本⽶酒）;酒精饮料（啤酒除外）;含⽔果酒精饮料;⽩酒;烧酒;果酒（含酒精）;⻩酒;葡萄酒;预先混合的酒精饮料（以啤酒为主的除外）</t>
  </si>
  <si>
    <t>2023/10/16</t>
  </si>
  <si>
    <t>聚神源</t>
  </si>
  <si>
    <t>陈尔强</t>
  </si>
  <si>
    <t>酒精饮料原汁;⽩酒;开胃酒;蜂蜜酒;烧酒;⽶酒;鸡尾酒;果酒（含酒精）;含⽔果酒精饮料;葡萄酒</t>
  </si>
  <si>
    <t>2023/10/20</t>
  </si>
  <si>
    <t>煨奇鲜</t>
  </si>
  <si>
    <t>江苏一觉文化传媒有限公司</t>
  </si>
  <si>
    <t>鸡尾酒;⽩酒;苹果酒;清酒（⽇本⽶酒）;⾷⽤酒精;葡萄酒;果酒（含酒精）;威⼠忌;蜂蜜酒;⻩酒</t>
  </si>
  <si>
    <t>2023/10/25</t>
  </si>
  <si>
    <t>才仁巴毛</t>
  </si>
  <si>
    <t>青海才仁巴毛一切为善商贸有限公司</t>
  </si>
  <si>
    <t>鸡尾酒;烈酒（饮料）;果酒（含酒精）;酒精饮料（啤酒除外）;⽶酒;含⽔果酒精饮料;葡萄酒;烧酒;⽩酒;⻩酒</t>
  </si>
  <si>
    <t>憨厚阿柔 ARIGGLENPA</t>
  </si>
  <si>
    <t>加羊东智布</t>
  </si>
  <si>
    <t>果酒（含酒精）;⽩酒;蒸馏饮料;葡萄酒;⻘稞酒;⾕物制蒸馏酒精饮料;烧酒;⻩酒;⾷⽤酒精;酒精饮料（啤酒除外）</t>
  </si>
  <si>
    <t>2023/12/06</t>
  </si>
  <si>
    <t>安稳酒坊</t>
  </si>
  <si>
    <t>绍兴柯桥和道贸易有限公司</t>
  </si>
  <si>
    <t>⽶酒;⽩酒;果酒（含酒精）;⻩酒</t>
  </si>
  <si>
    <t>2023/12/29</t>
  </si>
  <si>
    <t>君品境界东方</t>
  </si>
  <si>
    <t>贵州习酒股份有限公司</t>
  </si>
  <si>
    <t>鸡尾酒;开胃酒;樱桃酒;烧酒;⽶酒;⽩兰地;⻩酒;⽩酒;梨酒;葡萄酒</t>
  </si>
  <si>
    <t>君品境遇东方</t>
  </si>
  <si>
    <t>开胃酒;⽩兰地;⽶酒;⻩酒;葡萄酒;鸡尾酒;梨酒;烧酒;⽩酒;樱桃酒</t>
  </si>
  <si>
    <t>隐蜀</t>
  </si>
  <si>
    <t>徐州蓝琪酒业有限公司</t>
  </si>
  <si>
    <t>葡萄酒;⽩兰地;清酒（⽇本⽶酒）;⽶酒;果酒;汽酒;⻩酒;烧酒;⽩⼲酒（中国⽩酒）;⽩酒</t>
  </si>
  <si>
    <t>董杜佰草</t>
  </si>
  <si>
    <t>贵州董酒股份有限公司</t>
  </si>
  <si>
    <t>烧酒;梨酒;清酒（⽇本⽶酒）;酒精饮料（啤酒除外）;⽶酒;葡萄酒;⽩酒;果酒（含酒精）;开胃酒;餐后酒（利⼝酒和烈酒）</t>
  </si>
  <si>
    <t>2024/02/02</t>
  </si>
  <si>
    <t>聚蜂园</t>
  </si>
  <si>
    <t>重庆聚蜂汇生态农业有限公司</t>
  </si>
  <si>
    <t>开胃酒;葡萄酒;烧酒;蜂蜜酒;⾕物制蒸馏酒精饮料;⽩酒;果酒（含酒精）;含⽔果酒精饮料;餐后酒（利⼝酒和烈酒）;酒精饮料（啤酒除外）</t>
  </si>
  <si>
    <t>汇点</t>
  </si>
  <si>
    <t>木子贝（洋浦经济开发区）科技有限公司</t>
  </si>
  <si>
    <t>烈酒（饮料）;酒精饮料（啤酒除外）;⾕物制蒸馏酒精饮料;果酒（含酒精）</t>
  </si>
  <si>
    <t>庞泉生肖酒丑牛</t>
  </si>
  <si>
    <t>烧酒;蒸煮提取物（利⼝酒和烈酒）;⾼粱酒;葡萄酒;烈酒（饮料）;⽩酒;⽩⼲酒（中国⽩酒）;烈酒浓缩汁;⻩酒;⾷⽤酒精</t>
  </si>
  <si>
    <t>庞泉生肖酒酉鸡</t>
  </si>
  <si>
    <t>⾷⽤酒精;⽩⼲酒（中国⽩酒）;⾼粱酒;⽩酒;烧酒;葡萄酒;蒸煮提取物（利⼝酒和烈酒）;烈酒浓缩汁;烈酒（饮料）;⻩酒</t>
  </si>
  <si>
    <t>庞泉生肖酒子鼠</t>
  </si>
  <si>
    <t>葡萄酒;⾷⽤酒精;蒸煮提取物（利⼝酒和烈酒）;⽩⼲酒（中国⽩酒）;⾼粱酒;烧酒;⻩酒;烈酒（饮料）;⽩酒;烈酒浓缩汁</t>
  </si>
  <si>
    <t>庞泉生肖酒巳蛇</t>
  </si>
  <si>
    <t>烧酒;蒸煮提取物（利⼝酒和烈酒）;⽩⼲酒（中国⽩酒）;葡萄酒;⽩酒;⾷⽤酒精;烈酒浓缩汁;⾼粱酒;⻩酒;烈酒（饮料）</t>
  </si>
  <si>
    <t>庞泉生肖酒戌狗</t>
  </si>
  <si>
    <t>蒸煮提取物（利⼝酒和烈酒）;烈酒浓缩汁;⾷⽤酒精;⻩酒;烧酒;⽩⼲酒（中国⽩酒）;⽩酒;烈酒（饮料）;葡萄酒;⾼粱酒</t>
  </si>
  <si>
    <t>庞泉生肖酒亥猪</t>
  </si>
  <si>
    <t>⾷⽤酒精;⽩⼲酒（中国⽩酒）;烈酒浓缩汁;烈酒（饮料）;蒸煮提取物（利⼝酒和烈酒）;烧酒;⾼粱酒;⽩酒;⻩酒;葡萄酒</t>
  </si>
  <si>
    <t>美力神</t>
  </si>
  <si>
    <t>广东美力神健康科技有限公司</t>
  </si>
  <si>
    <t>开胃酒;⽩酒;酒精饮料（啤酒除外）;预先混合的酒精饮料（以啤酒为主的除外）;葡萄酒;烧酒;果酒（含酒精）;⽶酒;⾷⽤酒精;含⽔果酒精饮料</t>
  </si>
  <si>
    <t>AIZAOSHI</t>
  </si>
  <si>
    <t>巴州疆南春电子商务有限公司</t>
  </si>
  <si>
    <t>烧酒;⽩酒;开胃酒;⽶酒;鸡尾酒;⻘稞酒;果酒;葡萄酒;⾕物制蒸馏酒精饮料;⽔果汽酒</t>
  </si>
  <si>
    <t>NINGDU ZHOUYAN</t>
  </si>
  <si>
    <t>宁都县翠微旅游投资有限公司</t>
  </si>
  <si>
    <t>鸡尾酒;⽩酒;清酒;⻩酒;⽶酒;蒸馏饮料;威⼠忌;果酒（含酒精）;⾷⽤酒精;葡萄酒</t>
  </si>
  <si>
    <t>CHAMERE</t>
  </si>
  <si>
    <t>维亚科姆国际公司</t>
  </si>
  <si>
    <t>加烈葡萄酒;起泡⽩葡萄酒;起泡葡萄酒;烈酒;利⼝酒;预先混合的酒精饮料（以啤酒为主的除外）;酒精饮料（啤酒除外）;鸡尾酒;起泡红葡萄酒;葡萄酒;苹果酒</t>
  </si>
  <si>
    <t>三个篆 SHAN GE ZHUAN</t>
  </si>
  <si>
    <t>何承均</t>
  </si>
  <si>
    <t>⽩酒;烧酒</t>
  </si>
  <si>
    <t>汉德</t>
  </si>
  <si>
    <t>张璐颖</t>
  </si>
  <si>
    <t>果酒;由⾕物蒸馏的⽩酒;酒精饮料（啤酒除外）;⽩酒;已调味的蒸馏酒;⽼酒（中国蒸馏烈酒）;⽩⼲酒（中国⽩酒）;⾼粱酒;烧酒（烈酒）;含酒精的饮料（啤酒除外）</t>
  </si>
  <si>
    <t>七星之爱</t>
  </si>
  <si>
    <t>毕节市篇端品牌管理有限公司</t>
  </si>
  <si>
    <t>⾕物制蒸馏酒精饮料;⽩酒;酒精饮料（啤酒除外）;含酒精的⽓泡⽔;烈酒（饮料）;果酒（含酒精）;鸡尾酒;⻩酒;酒精饮料原汁</t>
  </si>
  <si>
    <t>七星渡</t>
  </si>
  <si>
    <t>⻩酒;鸡尾酒;烈酒（饮料）;果酒（含酒精）;酒精饮料原汁;⾕物制蒸馏酒精饮料;⽩酒;酒精饮料（啤酒除外）;含酒精的⽓泡⽔</t>
  </si>
  <si>
    <t>YANSHIJI</t>
  </si>
  <si>
    <t>思为健康管理有限公司</t>
  </si>
  <si>
    <t>含⽔果酒精饮料;果酒（含酒精）;⽶酒;⾕物制蒸馏酒精饮料;⽩酒;预先混合的酒精饮料（以啤酒为主的除外）;含酒精的⽓泡⽔;葡萄酒;汽酒;开胃酒</t>
  </si>
  <si>
    <t>百医祖</t>
  </si>
  <si>
    <t>西咸新区空港新城克通百货店</t>
  </si>
  <si>
    <t>果酒（含酒精）;汽酒;烈酒;⽶酒;蒸馏饮料;⽼酒（中国蒸馏烈酒）;酒精饮料（啤酒除外）;清酒（⽇本⽶酒）;⽩酒;葡萄酒</t>
  </si>
  <si>
    <t>滋博士</t>
  </si>
  <si>
    <t>金唐（福建）健康科技有限公司</t>
  </si>
  <si>
    <t>薄荷酒</t>
  </si>
  <si>
    <t>2024/03/12</t>
  </si>
  <si>
    <t>浩源恒</t>
  </si>
  <si>
    <t>葡萄酒;酒精饮料（啤酒除外）;⽩酒;鸡尾酒;⻩酒;烧酒;果酒（含酒精）;含⽔果酒精饮料;⽶酒;烈酒（饮料）</t>
  </si>
  <si>
    <t>WINETOPIA</t>
  </si>
  <si>
    <t>唐超</t>
  </si>
  <si>
    <t>薄荷酒;⽩兰地;⽶酒;⽩酒;开胃酒;鸡尾酒;⻩酒;葡萄酒;烧酒;果酒（含酒精）</t>
  </si>
  <si>
    <t>祖皇帝</t>
  </si>
  <si>
    <t>刘常尖</t>
  </si>
  <si>
    <t>⽩兰地;⻩酒;樱桃酒;烧酒;鸡尾酒;葡萄酒;⽩酒;开胃酒;梨酒;⽶酒</t>
  </si>
  <si>
    <t>养医门</t>
  </si>
  <si>
    <t>西咸新区空港新城理华詹百货店</t>
  </si>
  <si>
    <t>开胃酒;果酒（含酒精）;清酒（⽇本⽶酒）;烧酒;⽩酒;⽩兰地;⽶酒;酒精饮料（啤酒除外）;鸡尾酒;葡萄酒</t>
  </si>
  <si>
    <t>奢香情</t>
  </si>
  <si>
    <t>周礼兴</t>
  </si>
  <si>
    <t>烈酒（饮料）;⽶酒;葡萄酒;果酒（含酒精）;⻩酒;烧酒;酒精饮料（啤酒除外）;⽩酒;鸡尾酒;清酒（⽇本⽶酒）</t>
  </si>
  <si>
    <t>2024/03/15</t>
  </si>
  <si>
    <t>京花蔺</t>
  </si>
  <si>
    <t>贵州茅客居国际酒店管理有限公司</t>
  </si>
  <si>
    <t>⽶酒;⽩酒;清酒;⻩酒;酒精饮料（啤酒除外）;⾷⽤酒精;烈酒;果酒;烧酒;葡萄酒</t>
  </si>
  <si>
    <t>荆赞二锅头</t>
  </si>
  <si>
    <t>何相</t>
  </si>
  <si>
    <t>果酒（含酒精）;酒精饮料（啤酒除外）;烧酒;⽶酒;⽩酒;开胃酒;葡萄酒;烈酒（饮料）;⻘稞酒;鸡尾酒</t>
  </si>
  <si>
    <t>不趣不作</t>
  </si>
  <si>
    <t>伍止境（深圳）食品有限公司</t>
  </si>
  <si>
    <t>含⽔果酒精饮料;樱桃酒;预先混合的酒精饮料（以啤酒为主的除外）;朗姆酒（酒精饮料）;蜂蜜酒;酒精饮料（啤酒除外）;鸡尾酒;含酒精的充⽓饮料（啤酒除外）;果酒（含酒精）;果酒</t>
  </si>
  <si>
    <t>2024/03/19</t>
  </si>
  <si>
    <t>麦之味</t>
  </si>
  <si>
    <t>襄阳市麦之味粮油有限公司</t>
  </si>
  <si>
    <t>⽩葡萄酒;苦荞酒;⽶酒;果酒;烧酒;⽩酒;甜酒;红葡萄酒;⻩酒;⾼粱酒</t>
  </si>
  <si>
    <t>奶郡主</t>
  </si>
  <si>
    <t>苏尼特右旗伟乐思农牧业技术咨询专业合作社</t>
  </si>
  <si>
    <t>含奶油利⼝酒;鸡尾酒;含⽜奶的鸡尾酒;马格利酒（朝鲜传统⽶酒）;果酒;葡萄酒;含酒精蛋奶酒;⻘稞酒;⽩酒;烧酒</t>
  </si>
  <si>
    <t>2024/03/20</t>
  </si>
  <si>
    <t>水浒石碣村</t>
  </si>
  <si>
    <t>刘振祯</t>
  </si>
  <si>
    <t>葡萄酒;果酒（含酒精）;利⼝酒;⾷⽤酒精;⽩酒;酒精饮料原汁;⾕物制蒸馏酒精饮料;⽶酒;烧酒;烈酒（饮料）</t>
  </si>
  <si>
    <t>求香</t>
  </si>
  <si>
    <t>贵州全窖酒业有限公司</t>
  </si>
  <si>
    <t>杨梅酒;⽼酒（中国蒸馏烈酒）;朗姆酒;⾼粱酒;⻩酒;⽩兰地;⽩酒;含酒精的饮料（啤酒除外）;葡萄酒;果酒（含酒精）</t>
  </si>
  <si>
    <t>黄山鹤</t>
  </si>
  <si>
    <t>吕金生</t>
  </si>
  <si>
    <t>佐餐酒;果酒;⽼酒（中国蒸馏烈酒）;露酒;梅酒;烈酒;⽩⼲酒（中国⽩酒）;含酒精的充⽓饮料（啤酒除外）;⻘梅酒;由⾕物蒸馏的⽩酒</t>
  </si>
  <si>
    <t>三两山</t>
  </si>
  <si>
    <t>福建天缘酒业有限公司</t>
  </si>
  <si>
    <t>⽩兰地;⽶酒;⻘稞酒;鸡尾酒;⻩酒;汽酒;伏特加酒;烧酒;⽩酒;威⼠忌</t>
  </si>
  <si>
    <t>鸡口福</t>
  </si>
  <si>
    <t>广州常进餐饮用品有限公司</t>
  </si>
  <si>
    <t>烧酒;果酒（含酒精）;⽶酒;⾷⽤酒精;酒精饮料（啤酒除外）;葡萄酒;⻩酒;利⼝酒;⽩兰地;清酒</t>
  </si>
  <si>
    <t>龙乡玉龙</t>
  </si>
  <si>
    <t>赤峰玉龙酒业有限公司</t>
  </si>
  <si>
    <t>烧酒;⽩兰地;⻩酒;葡萄酒;酒精饮料（啤酒除外）;烈酒（饮料）;⽩酒;⽶酒;果酒（含酒精）;⾷⽤酒精</t>
  </si>
  <si>
    <t>向三康养</t>
  </si>
  <si>
    <t>向三</t>
  </si>
  <si>
    <t>蜂蜜酒;开胃酒;苦味酒;蒸馏饮料;烧酒;⽶酒;樱桃酒;⽩酒</t>
  </si>
  <si>
    <t>品布鲁</t>
  </si>
  <si>
    <t>吴业晨</t>
  </si>
  <si>
    <t>烧酒;鸡尾酒;⾼粱酒;以葡萄酒为主的饮料;果酒;酒精饮料（啤酒除外）;起泡红葡萄酒;起泡⽩葡萄酒;葡萄酒;⽩酒</t>
  </si>
  <si>
    <t>封刀</t>
  </si>
  <si>
    <t>查银桃</t>
  </si>
  <si>
    <t>餐后酒（利⼝酒和烈酒）;葡萄酒;果酒;⽶酒;烈酒;⽩酒;露酒;⻩酒;⾼粱酒;烧酒</t>
  </si>
  <si>
    <t>2024/03/31</t>
  </si>
  <si>
    <t>余香情</t>
  </si>
  <si>
    <t>余香酒业集团有限公司</t>
  </si>
  <si>
    <t>⻩酒;薄荷酒;葡萄酒;⽩酒;⻘稞酒;⽶酒;烧酒;⾼粱酒;露酒;烧酒（烈酒）</t>
  </si>
  <si>
    <t>徽龖璨耀</t>
  </si>
  <si>
    <t>蚌埠喜达荣耀商贸有限公司</t>
  </si>
  <si>
    <t>酒精饮料原汁;酒精饮料（啤酒除外）;烈酒（饮料）;蜂蜜酒;清酒（⽇本⽶酒）;含⽔果酒精饮料;葡萄酒;烧酒;⽩酒;⽶酒</t>
  </si>
  <si>
    <t>穂岁情</t>
  </si>
  <si>
    <t>湖南隆平穗月情酒业贸易有限公司</t>
  </si>
  <si>
    <t>⽩酒;⾷⽤酒精;汽酒;⻩酒;酒精饮料（啤酒除外）;蒸馏饮料;烈酒（饮料）;清酒（⽇本⽶酒）;葡萄酒;果酒（含酒精）;⾕物制蒸馏酒精饮料;酒精饮料原汁</t>
  </si>
  <si>
    <t>源质选</t>
  </si>
  <si>
    <t>江苏国尚供应链管理有限公司</t>
  </si>
  <si>
    <t>含酒精的饮料（啤酒除外）</t>
  </si>
  <si>
    <t>护龙山</t>
  </si>
  <si>
    <t>李红星</t>
  </si>
  <si>
    <t>威⼠忌;葡萄酒;⻩酒;⾼粱酒;朗姆酒;鸡尾酒;⽶酒;⽩酒;清酒;果酒（含酒精）</t>
  </si>
  <si>
    <t>陕西国唐文化产业集团有限公司</t>
  </si>
  <si>
    <t>⽶酒;⽩酒;果酒（含酒精）;伏特加酒;含⽔果酒精饮料;威⼠忌;酒精饮料（啤酒除外）;烈酒（饮料）;薄荷酒;葡萄酒</t>
  </si>
  <si>
    <t>小港夜</t>
  </si>
  <si>
    <t>深圳市豫仕达实业有限公司</t>
  </si>
  <si>
    <t>预先混合的酒精饮料（以啤酒为主的除外）;开胃酒;⽶酒;薄荷酒;蜂蜜酒;利⼝酒;烧酒;⽩酒;⾕物制蒸馏酒精饮料;餐后酒（利⼝酒和烈酒）;⻩酒</t>
  </si>
  <si>
    <t>炳炎酒业</t>
  </si>
  <si>
    <t>宜都市景缘园林绿化工程有限公司</t>
  </si>
  <si>
    <t>果酒（含酒精）;樱桃酒;烧酒;⻩酒;⽶酒;鸡尾酒;葡萄酒;蜂蜜酒;开胃酒;⽩酒</t>
  </si>
  <si>
    <t>潭口小九酒</t>
  </si>
  <si>
    <t>田炜</t>
  </si>
  <si>
    <t>⻩酒;⽩兰地;鸡尾酒;烧酒;威⼠忌;⽶酒;⽩酒;果酒（含酒精）;葡萄酒;蒸馏饮料</t>
  </si>
  <si>
    <t>天鹅兰蔻庄</t>
  </si>
  <si>
    <t>玖鼎进出口贸易（天津）有限公司</t>
  </si>
  <si>
    <t>开胃酒;烈酒（饮料）;含⽔果酒精饮料;汽酒;⽩酒;葡萄酒;⾷⽤酒精;清酒（⽇本⽶酒）;酒精饮料原汁;果酒（含酒精）</t>
  </si>
  <si>
    <t>沧源佤族自治县山脉水业有限责任公司</t>
  </si>
  <si>
    <t>⽩兰地;果酒（含酒精）;苹果酒;⽩酒;烧酒;⽶酒;开胃酒;伏特加酒;⻩酒;葡萄酒</t>
  </si>
  <si>
    <t>秘养堂</t>
  </si>
  <si>
    <t>王贞良</t>
  </si>
  <si>
    <t>酒精饮料（啤酒除外）;果酒（含酒精）;⽩酒;⽶酒;⻩酒;威⼠忌;葡萄酒;⽩兰地;伏特加酒;鸡尾酒</t>
  </si>
  <si>
    <t>古德拉克</t>
  </si>
  <si>
    <t>王丽娜</t>
  </si>
  <si>
    <t>烧酒;果酒（含酒精）;烈酒（饮料）;鸡尾酒;伏特加酒;酒精饮料（啤酒除外）;⽩酒;⽶酒;葡萄酒;威⼠忌</t>
  </si>
  <si>
    <t>义统春秋楼</t>
  </si>
  <si>
    <t>社旗县京都商贸有限公司</t>
  </si>
  <si>
    <t>葡萄酒;烈酒（饮料）;⻩酒;蒸馏饮料;⽩酒;含⽔果酒精饮料;果酒（含酒精）;酒精饮料原汁;酒精饮料（啤酒除外）;利⼝酒</t>
  </si>
  <si>
    <t>A+A</t>
  </si>
  <si>
    <t>佛山市君嘉琪食品有限公司</t>
  </si>
  <si>
    <t>果酒（含酒精）;薄荷酒;含⽔果酒精饮料;烧酒;烈酒（饮料）;⽶酒;混合威⼠忌酒;苹果酒;葡萄酒;⽩兰地</t>
  </si>
  <si>
    <t>绍红袍</t>
  </si>
  <si>
    <t>郭锦龙</t>
  </si>
  <si>
    <t>葡萄酒;⽩酒;⽶酒;⻩酒;果酒;⾼粱酒;烧酒;酒精饮料（啤酒除外）;清酒;露酒</t>
  </si>
  <si>
    <t>咱家人</t>
  </si>
  <si>
    <t>五华区疆旭百货店</t>
  </si>
  <si>
    <t>威⼠忌;清酒（⽇本⽶酒）;⽩酒;⻩酒;葡萄酒;果酒（含酒精）;烈酒;鸡尾酒;开胃酒;酒精饮料（啤酒除外）</t>
  </si>
  <si>
    <t>七彩云南·古滇度假区 ANCIENT DIAN RESORT COLOURFUL YUNNAN</t>
  </si>
  <si>
    <t>昆明诺仕达企业（集团）有限公司</t>
  </si>
  <si>
    <t>葡萄酒;鸡尾酒;含酒精的⽔果鸡尾酒饮料;酒精饮料原汁;蒸馏饮料;含⽔果酒精饮料;酒精饮料（啤酒除外）;⻩酒;烧酒;清酒（⽇本⽶酒）</t>
  </si>
  <si>
    <t>胡天下</t>
  </si>
  <si>
    <t>北京怡福康宝商贸有限公司</t>
  </si>
  <si>
    <t>威⼠忌;鸡尾酒;酒精饮料原汁;⽶酒;⽩酒;葡萄酒;⻩酒;开胃酒;⽩兰地;红葡萄酒</t>
  </si>
  <si>
    <t>来欢牛喜羊</t>
  </si>
  <si>
    <t>杭州欢牛喜羊食品有限公司</t>
  </si>
  <si>
    <t>清酒（⽇本⽶酒）;⻩酒;⾷⽤酒精;鸡尾酒;开胃酒;⽩酒;⻘稞酒;果酒（含酒精）;葡萄酒;⽶酒</t>
  </si>
  <si>
    <t>德旗</t>
  </si>
  <si>
    <t>中山市德旗光电科技有限公司</t>
  </si>
  <si>
    <t>⽼酒（中国蒸馏烈酒）;烧酒;⽩酒</t>
  </si>
  <si>
    <t>柚香源</t>
  </si>
  <si>
    <t>上海香柚源企业管理有限公司</t>
  </si>
  <si>
    <t>鸡尾酒;烈酒（饮料）;果酒（含酒精）;葡萄酒;含⽔果酒精饮料;⽩酒;酒精饮料原汁;酒精饮料（啤酒除外）;⽶酒;开胃酒</t>
  </si>
  <si>
    <t>厦门市永定商会 XMYD CHAMBER OF COMMERCE</t>
  </si>
  <si>
    <t>厦门市永定商会</t>
  </si>
  <si>
    <t>甜酒;⽩兰地;⽩酒;⽶酒;烧酒;清酒;葡萄酒;⻩酒;清酒（⽇本⽶酒）;伏特加酒</t>
  </si>
  <si>
    <t>苹帝</t>
  </si>
  <si>
    <t>承德嘉沃酒业有限公司</t>
  </si>
  <si>
    <t>烧酒;烈酒;果酒;鸡尾酒;威⼠忌;酒精饮料（啤酒除外）;⽩兰地;以蒸馏酒为主的开胃酒;⽩酒;葡萄酒</t>
  </si>
  <si>
    <t>攻掠</t>
  </si>
  <si>
    <t>河南豫兴酿酒有限公司</t>
  </si>
  <si>
    <t>⻩酒;鸡尾酒;除啤酒外的酒精饮料;烈酒;⽩酒;⽩⼲酒（中国⽩酒）;⽶酒;葡萄酒;⾼粱酒;烧酒</t>
  </si>
  <si>
    <t>神州苗家 SHENZHOU MIAOZU</t>
  </si>
  <si>
    <t>北京神州苗家文化发展有限公司</t>
  </si>
  <si>
    <t>果酒;⽩酒;苦荞酒;⽶酒;⻩酒;⽩⼲酒（中国⽩酒）;⾼粱酒;烈酒;含酒精的饮料（啤酒除外）;⽼酒（中国蒸馏烈酒）</t>
  </si>
  <si>
    <t>顶脉 PARIETALVEIN</t>
  </si>
  <si>
    <t>山东慈母湖文化旅游发展有限公司</t>
  </si>
  <si>
    <t>酒精饮料（啤酒除外）;烧酒;⽩酒;⾷⽤酒精;果酒（含酒精）;葡萄酒;蜂蜜酒;⻩酒;威⼠忌;鸡尾酒</t>
  </si>
  <si>
    <t>荣器烧坊</t>
  </si>
  <si>
    <t>果酒;开胃酒;利⼝酒;⽩酒;葡萄酒;朗姆酒;鸡尾酒;酒精饮料（啤酒除外）;烧酒;清酒（⽇本⽶酒）</t>
  </si>
  <si>
    <t>龙盟</t>
  </si>
  <si>
    <t>酒精饮料（啤酒除外）;柑⾹酒;酒精饮料浓缩汁;⽶酒;鸡尾酒;⽩酒;清酒（⽇本⽶酒）;葡萄酒;酸酒（低等葡萄酒）;⻩酒</t>
  </si>
  <si>
    <t>兴昶票号</t>
  </si>
  <si>
    <t>山西永兴昶科技有限公司</t>
  </si>
  <si>
    <t>⻘稞酒;⽶酒;⾼粱酒;蜂蜜酒;葡萄酒;果酒（含酒精）;烧酒;⽩酒;酒精饮料（啤酒除外）;⻩酒</t>
  </si>
  <si>
    <t>双拳</t>
  </si>
  <si>
    <t>顾玉胜</t>
  </si>
  <si>
    <t>葡萄酒;清酒（⽇本⽶酒）;⽶酒;伏特加酒;⻩酒;酒精饮料（啤酒除外）;⽩酒;果酒（含酒精）;⻘稞酒;烧酒</t>
  </si>
  <si>
    <t>桶客</t>
  </si>
  <si>
    <t>葡萄酒;清酒（⽇本⽶酒）;⽶酒;⽩酒;⻘稞酒;果酒（含酒精）;⻩酒;酒精饮料（啤酒除外）;伏特加酒;烧酒</t>
  </si>
  <si>
    <t>兴昶票庄</t>
  </si>
  <si>
    <t>⻘稞酒;蜂蜜酒;⻩酒;⽩酒;果酒（含酒精）;酒精饮料（啤酒除外）;烧酒;葡萄酒;⽶酒;⾼粱酒</t>
  </si>
  <si>
    <t>环味山乡</t>
  </si>
  <si>
    <t>杭州佳芦农业科技有限公司</t>
  </si>
  <si>
    <t>⽩酒;含⽔果酒精饮料;烈酒;⽶酒;烧酒;⻩酒;果酒（含酒精）;葡萄酒;酒精饮料（啤酒除外）;清酒</t>
  </si>
  <si>
    <t>雅韵娜</t>
  </si>
  <si>
    <t>韩磊</t>
  </si>
  <si>
    <t>⽩酒;清酒（⽇本⽶酒）;烧酒;果酒（含酒精）;⾷⽤酒精;⽶酒;⻘稞酒;蒸馏饮料;葡萄酒;酒精饮料（啤酒除外）</t>
  </si>
  <si>
    <t>鹿王明珠</t>
  </si>
  <si>
    <t>房小红</t>
  </si>
  <si>
    <t>果酒;含酒精的饮料（啤酒除外）;烧酒;以葡萄酒为主的饮料;含酒精⽔果饮料;⽼酒（中国蒸馏烈酒）;⽩酒;红葡萄酒;⻩酒;⽶酒</t>
  </si>
  <si>
    <t>赵字号杏坛</t>
  </si>
  <si>
    <t>山西清香酒基地有限公司</t>
  </si>
  <si>
    <t>⽩酒;酒精饮料（啤酒除外）;鸡尾酒;烧酒;烈酒（饮料）;汽酒;⻩酒;果酒（含酒精）;⽶酒;葡萄酒</t>
  </si>
  <si>
    <t>大秦郑国渠 DAQIN ZHENGGUO CANAL</t>
  </si>
  <si>
    <t>陕西和美环保科技有限责任公司</t>
  </si>
  <si>
    <t>⽼酒（中国蒸馏烈酒）;⽶酒;烈酒;⾼粱酒;⽩⼲酒（中国⽩酒）;⽩酒;开胃酒;苹果酒;烈酒（饮料）;烧酒;果酒（含酒精）</t>
  </si>
  <si>
    <t>岁中人</t>
  </si>
  <si>
    <t>立同</t>
  </si>
  <si>
    <t>李霞</t>
  </si>
  <si>
    <t>酒精饮料（啤酒除外）;⽩酒;果酒（含酒精）;开胃酒;⾷⽤酒精;⽩兰地;葡萄酒;清酒（⽇本⽶酒）;烧酒;汽酒</t>
  </si>
  <si>
    <t>⻩酒;⽼酒（中国蒸馏烈酒）;果酒;⽩酒;红葡萄酒;烧酒;含酒精⽔果饮料;以葡萄酒为主的饮料;⽶酒;含酒精的饮料（啤酒除外）</t>
  </si>
  <si>
    <t>红赤情红运当头</t>
  </si>
  <si>
    <t>昆明光彩科技开发有限责任公司</t>
  </si>
  <si>
    <t>葡萄酒;烈酒（饮料）;露酒;苹果酒;⽩酒;⽶酒;果酒（含酒精）;餐后酒（利⼝酒和烈酒）;⾕物制蒸馏酒精饮料;蒸馏饮料</t>
  </si>
  <si>
    <t>画学 1104</t>
  </si>
  <si>
    <t>北京燕园同人文化发展有限公司</t>
  </si>
  <si>
    <t>⽩⼲酒（中国⽩酒）;伏特加酒;⽩酒;⻩酒;鸡尾酒;烧酒;⾼粱酒;威⼠忌;⽩兰地;⽶酒</t>
  </si>
  <si>
    <t>杨金来</t>
  </si>
  <si>
    <t>烧酒;伏特加酒;威⼠忌;⽶酒;⽩酒;⾷⽤酒精;⻘稞酒;葡萄酒;⽩兰地;⻩酒</t>
  </si>
  <si>
    <t>深圳市酩玥轩餐饮管理有限公司</t>
  </si>
  <si>
    <t>酒精饮料浓缩汁;餐后酒（利⼝酒和烈酒）;含⽔果酒精饮料;葡萄酒;果酒;苹果酒;酒精饮料（啤酒除外）;⽶酒;蒸馏饮料;烧酒</t>
  </si>
  <si>
    <t>从开槽坊</t>
  </si>
  <si>
    <t>戴元忠</t>
  </si>
  <si>
    <t>蒸馏饮料;烈酒（饮料）;烧酒;利⼝酒;⽩酒;⽶酒;含⽔果酒精饮料;红葡萄酒;⻩酒;预先混合的酒精饮料（以啤酒为主的除外）</t>
  </si>
  <si>
    <t>红赤情鸿运当头</t>
  </si>
  <si>
    <t>⾕物制蒸馏酒精饮料;苹果酒;餐后酒（利⼝酒和烈酒）;露酒;⽩酒;烈酒（饮料）;蒸馏饮料;果酒（含酒精）;⽶酒;葡萄酒</t>
  </si>
  <si>
    <t>李双能</t>
  </si>
  <si>
    <t>⽩酒;茴⾹酒;苦荞酒;葡萄酒;果酒;果酒（含酒精）;⽶酒;⾼粱酒;⽼酒（中国蒸馏烈酒）;草莓酒</t>
  </si>
  <si>
    <t>莫宗师</t>
  </si>
  <si>
    <t>果酒;鸡尾酒;烈酒（饮料）;烧酒;⽩酒;蒸馏饮料;葡萄酒;⽩兰地;⽶酒;果酒（含酒精）</t>
  </si>
  <si>
    <t>牛尾岗</t>
  </si>
  <si>
    <t>邯郸市北朝贸易有限公司</t>
  </si>
  <si>
    <t>酒精饮料（啤酒除外）;⻩酒;⽼酒（中国蒸馏烈酒）;果酒;烧酒;⽩酒;⽩葡萄酒;⽶酒;⽩⼲酒（中国⽩酒）;红葡萄酒</t>
  </si>
  <si>
    <t>统大师</t>
  </si>
  <si>
    <t>烧酒;⽩兰地;果酒;鸡尾酒;葡萄酒;果酒（含酒精）;蒸馏饮料;烈酒（饮料）;⽶酒;⽩酒</t>
  </si>
  <si>
    <t>阳安</t>
  </si>
  <si>
    <t>李彦良</t>
  </si>
  <si>
    <t>果酒（含酒精）;鸡尾酒;蜂蜜酒;蒸馏饮料;⻩酒;⻘稞酒;⽶酒;⽩酒;葡萄酒;酒精饮料（啤酒除外）</t>
  </si>
  <si>
    <t>祝宗师</t>
  </si>
  <si>
    <t>⽩酒;果酒;果酒（含酒精）;葡萄酒;⽶酒;烈酒（饮料）;⽩兰地;蒸馏饮料;鸡尾酒;烧酒</t>
  </si>
  <si>
    <t>ZHANCHA</t>
  </si>
  <si>
    <t>贺州市八步区盏茶茶馆(个体工商户)</t>
  </si>
  <si>
    <t>⽩酒;含酒精的⽓泡⽔;⽶酒;⽩兰地;含⽔果酒精饮料;果酒;葡萄酒;烧酒;⾷⽤酒精;威⼠忌</t>
  </si>
  <si>
    <t>熊宗师</t>
  </si>
  <si>
    <t>果酒;葡萄酒;⽩酒;果酒（含酒精）;鸡尾酒;⽶酒;烧酒;⽩兰地;蒸馏饮料;烈酒（饮料）</t>
  </si>
  <si>
    <t>韩宗师</t>
  </si>
  <si>
    <t>⽩兰地;⽶酒;葡萄酒;果酒;⽩酒;鸡尾酒;果酒（含酒精）;烈酒（饮料）;烧酒;蒸馏饮料</t>
  </si>
  <si>
    <t>穗宗师</t>
  </si>
  <si>
    <t>烈酒（饮料）;果酒（含酒精）;⽶酒;烧酒;⽩兰地;葡萄酒;⽩酒;果酒;蒸馏饮料;鸡尾酒</t>
  </si>
  <si>
    <t>楚宗师</t>
  </si>
  <si>
    <t>鸡尾酒;葡萄酒;烈酒（饮料）;⽩兰地;烧酒;果酒（含酒精）;蒸馏饮料;⽶酒;果酒;⽩酒</t>
  </si>
  <si>
    <t>泉州市丰泽区呈岍酒业有限公司</t>
  </si>
  <si>
    <t>酒精饮料（啤酒除外）;果酒（含酒精）;⾕物制蒸馏酒精饮料;调制好的葡萄酒鸡尾酒;露酒;甜酒;葡萄酒;⽶酒;佐餐酒;⽩酒</t>
  </si>
  <si>
    <t>关宗</t>
  </si>
  <si>
    <t>果酒;鸡尾酒;⽶酒;烧酒;⽩兰地;蒸馏饮料;⽩酒;葡萄酒;烈酒（饮料）;果酒（含酒精）</t>
  </si>
  <si>
    <t>帅富</t>
  </si>
  <si>
    <t>祖卫</t>
  </si>
  <si>
    <t>餐后酒（利⼝酒和烈酒）;烈酒（饮料）;葡萄汽酒;含⽔果酒精饮料;蜂蜜酒;⽩兰地;⽩酒;葡萄酒;⻩酒;果酒（含酒精）</t>
  </si>
  <si>
    <t>BAIJIUMENG</t>
  </si>
  <si>
    <t>深圳市百久食品有限公司</t>
  </si>
  <si>
    <t>烧酒;⽩兰地;果酒（含酒精）;蜂蜜酒;蒸馏饮料;⻩酒;烈酒（饮料）;蒸煮提取物（利⼝酒和烈酒）;葡萄酒;酒精饮料原汁</t>
  </si>
  <si>
    <t>山东三乙利生物科技有限公司</t>
  </si>
  <si>
    <t>开胃酒;果酒（含酒精）;⾷⽤酒精;薄荷酒;酒精饮料（啤酒除外）;葡萄酒;酒精饮料原汁;蒸馏饮料;⻩酒;苦味酒</t>
  </si>
  <si>
    <t>株式会社麹醇堂</t>
  </si>
  <si>
    <t>⽇式甜⽶酒;烧酒（烈酒）;含⽔果酒精饮料;⽶酒;清酒;马格利酒（朝鲜传统⽶酒）;鸡尾酒;朝鲜烧酒;含酒精⽔果饮料;蒸馏⽶酒（泡盛酒）</t>
  </si>
  <si>
    <t>HUIPINYOUXUAN</t>
  </si>
  <si>
    <t>南京惠品优选商贸有限公司</t>
  </si>
  <si>
    <t>鸡尾酒;威⼠忌;烧酒;葡萄酒;清酒;⽩酒;酒精饮料（啤酒除外）;⻩酒;⽶酒;⽩兰地</t>
  </si>
  <si>
    <t>智变</t>
  </si>
  <si>
    <t>葡萄酒;威⼠忌;⽶酒;⻩酒;烧酒;酒精饮料（啤酒除外）;⽩酒;蒸馏饮料;酒精饮料原汁;果酒（含酒精）</t>
  </si>
  <si>
    <t>满烨</t>
  </si>
  <si>
    <t>贵州酌满酒业有限公司</t>
  </si>
  <si>
    <t>⽼酒（中国蒸馏烈酒）;烧酒;五加⽪酒（中国混合烈酒）;⽩⼲酒（中国⽩酒）;开胃酒;已调味的蒸馏酒;果酒;葡萄酒;⽩酒;⻩酒</t>
  </si>
  <si>
    <t>美林道</t>
  </si>
  <si>
    <t>深圳市美林道房地产投资顾问有限公司</t>
  </si>
  <si>
    <t>果酒（含酒精）;葡萄酒;清酒;鸡尾酒;⻩酒;烧酒;烈酒（饮料）;⽩兰地;伏特加酒;⽶酒</t>
  </si>
  <si>
    <t>智变者</t>
  </si>
  <si>
    <t>蒸馏饮料;果酒（含酒精）;威⼠忌;酒精饮料原汁;⽩酒;⻩酒;烧酒;葡萄酒;酒精饮料（啤酒除外）;⽶酒</t>
  </si>
  <si>
    <t>杨刚刚</t>
  </si>
  <si>
    <t>果酒（含酒精）;酒精饮料（啤酒除外）;蒸馏⽶酒（泡盛酒）;蜂蜜酒;含酒精的饮料（啤酒除外）;⽇式甜⽶酒;含⽔果酒精饮料;已调味的⻨芽酿制的酒精饮料（啤酒除外）;清酒;⽶酒</t>
  </si>
  <si>
    <t>鹿俏膳</t>
  </si>
  <si>
    <t>邵文记</t>
  </si>
  <si>
    <t>⻩酒;烈酒;⽩酒;酒精饮料（啤酒除外）;果酒（含酒精）;清酒（⽇本⽶酒）;葡萄酒;鸡尾酒;威⼠忌;开胃酒</t>
  </si>
  <si>
    <t>泸浅岩</t>
  </si>
  <si>
    <t>⽶酒;葡萄酒;⽩酒;烈酒;烧酒;⻩酒;鸡尾酒;⽩兰地;⻘稞酒;威⼠忌</t>
  </si>
  <si>
    <t>智宪春220182********4736</t>
  </si>
  <si>
    <t>⽩酒;含⽔果酒精饮料;清酒;果酒;预先混合的酒精饮料（以啤酒为主的除外）;葡萄酒;烧酒;⻩酒;酒精饮料（啤酒除外）;⽩⼲酒（中国⽩酒）</t>
  </si>
  <si>
    <t>中文酒道</t>
  </si>
  <si>
    <t>⽩酒;蒸馏饮料;酒精饮料（啤酒除外）;汽酒;⻩酒;酒精饮料原汁;⽶酒;酒精饮料浓缩汁;⻘稞酒;果酒（含酒精）</t>
  </si>
  <si>
    <t>苗小蚩</t>
  </si>
  <si>
    <t>周敏</t>
  </si>
  <si>
    <t>含⽔果酒精饮料;⾕物制蒸馏酒精饮料;果酒（含酒精）;苦艾酒;⽶酒;⽩酒;⾼粱酒;⽩⼲酒（中国⽩酒）;葡萄酒;蜂蜜酒</t>
  </si>
  <si>
    <t>POSHICE JUECAS</t>
  </si>
  <si>
    <t>保时捷集团股份有限公司</t>
  </si>
  <si>
    <t>葡萄酒;⽩兰地;含⽔果酒精饮料;果酒（含酒精）;伏特加酒;鸡尾酒;威⼠忌;⽩酒;利⼝酒;烧酒</t>
  </si>
  <si>
    <t>泰兰猫</t>
  </si>
  <si>
    <t>泰兰猫(杭州)科技有限公司</t>
  </si>
  <si>
    <t>葡萄酒;清酒（⽇本⽶酒）;⻩酒;烧酒;⽶酒;酒精饮料（啤酒除外）;⽩酒;果酒（含酒精）;烈酒（饮料）;甜酒</t>
  </si>
  <si>
    <t>匠枪</t>
  </si>
  <si>
    <t>甘肃勋百年国宾酒业有限公司</t>
  </si>
  <si>
    <t>⻩酒;烧酒;果酒;清酒;餐后酒（利⼝酒和烈酒）;⽩酒;酒精饮料（啤酒除外）;汽酒;⽶酒;葡萄酒</t>
  </si>
  <si>
    <t>THE POWER OF 7</t>
  </si>
  <si>
    <t>佩德雷加尔葡萄园股份公司</t>
  </si>
  <si>
    <t>葡萄酒;汽酒</t>
  </si>
  <si>
    <t>银池</t>
  </si>
  <si>
    <t>四川省淦杰酒业有限公司</t>
  </si>
  <si>
    <t>葡萄酒;酒精饮料（啤酒除外）;⽶酒;含酒精⽔果饮料;⾷⽤酒精;⻘稞酒;烈酒;⽩酒;果酒（含酒精）;烧酒</t>
  </si>
  <si>
    <t>邱家怀抱鱼</t>
  </si>
  <si>
    <t>鸡尾酒;⾼粱酒;葡萄酒;威⼠忌;⽩酒;果酒;烧酒（烈酒）;⽩⼲酒（中国⽩酒）;烧酒;⻩酒</t>
  </si>
  <si>
    <t>招财关小爷</t>
  </si>
  <si>
    <t>上海智泓广告创意有限公司</t>
  </si>
  <si>
    <t>⽶酒;⾷⽤酒精;蒸馏饮料;酒精饮料（啤酒除外）;葡萄酒;果酒（含酒精）;⻩酒;烧酒;酒精饮料原汁;⽩酒</t>
  </si>
  <si>
    <t>巷子深</t>
  </si>
  <si>
    <t>湖北巷子深酿酒有限责任公司</t>
  </si>
  <si>
    <t>鸡尾酒;⾷⽤酒精;果酒（含酒精）;⻩酒;烧酒;预先混合的酒精饮料（以啤酒为主的除外）;葡萄酒;酒精饮料（啤酒除外）;⽶酒;⽩酒</t>
  </si>
  <si>
    <t>四川省哈德实业集团有限公司</t>
  </si>
  <si>
    <t>⽶酒;果酒（含酒精）;鸡尾酒;葡萄酒;酒精饮料浓缩汁;⻩酒;⽩酒;开胃酒;⻘稞酒;⾕物制蒸馏酒精饮料</t>
  </si>
  <si>
    <t>中文酒坊</t>
  </si>
  <si>
    <t>酒精饮料浓缩汁;酒精饮料（啤酒除外）;⽶酒;果酒（含酒精）;⻩酒;⽩酒;⻘稞酒;蒸馏饮料;汽酒;酒精饮料原汁</t>
  </si>
  <si>
    <t>古潭州</t>
  </si>
  <si>
    <t>湖南省辰诚技术创新发展有限公司</t>
  </si>
  <si>
    <t>烧酒;⽶酒;葡萄酒;⽩酒;⾼粱酒;果酒;烈酒;甜酒;⽩兰地;酒精饮料（啤酒除外）</t>
  </si>
  <si>
    <t>歪二龙</t>
  </si>
  <si>
    <t>泸州泸府窖酒业有限公司</t>
  </si>
  <si>
    <t>烧酒;⽩酒;葡萄酒;酒精饮料（啤酒除外）;清酒（⽇本⽶酒）;餐后酒（利⼝酒和烈酒）;含⽔果酒精饮料;预先混合的酒精饮料（以啤酒为主的除外）;果酒（含酒精）;鸡尾酒</t>
  </si>
  <si>
    <t>刘一飞</t>
  </si>
  <si>
    <t>⽩酒;开胃酒;⽶酒;预先混合的酒精饮料（以啤酒为主的除外）;蜂蜜酒;鸡尾酒;葡萄酒;酒精饮料（啤酒除外）;果酒（含酒精）;⻩酒</t>
  </si>
  <si>
    <t>中文古酒</t>
  </si>
  <si>
    <t>⽩酒;⻘稞酒;果酒（含酒精）;酒精饮料原汁;酒精饮料（啤酒除外）;蒸馏饮料;汽酒;⻩酒;酒精饮料浓缩汁;⽶酒</t>
  </si>
  <si>
    <t>美力库</t>
  </si>
  <si>
    <t>武汉美利联商业投资有限公司</t>
  </si>
  <si>
    <t>汽酒;烧酒;甜酒;朗姆酒（酒精饮料）;⻨芽威⼠忌;⽩酒;酒精饮料（啤酒除外）;伏特加酒;清酒（⽇本⽶酒）;果酒</t>
  </si>
  <si>
    <t>壹卯伍</t>
  </si>
  <si>
    <t>左洪</t>
  </si>
  <si>
    <t>鸡尾酒;⽩酒;⻩酒;果酒（含酒精）;⾕物制蒸馏酒精饮料;威⼠忌;烈酒（饮料）;葡萄酒;酒精饮料（啤酒除外）;清酒（⽇本⽶酒）</t>
  </si>
  <si>
    <t>MERRYKKU</t>
  </si>
  <si>
    <t>朗姆酒（酒精饮料）;甜酒;酒精饮料（啤酒除外）;清酒（⽇本⽶酒）;⻨芽威⼠忌;伏特加酒;果酒;汽酒;烧酒;⽩酒</t>
  </si>
  <si>
    <t>中文酒庄</t>
  </si>
  <si>
    <t>酒精饮料原汁;酒精饮料（啤酒除外）;⻩酒;果酒（含酒精）;汽酒;酒精饮料浓缩汁;⽩酒;⻘稞酒;⽶酒;蒸馏饮料</t>
  </si>
  <si>
    <t>豫粮之珠</t>
  </si>
  <si>
    <t>河南麦香圆食品有限公司</t>
  </si>
  <si>
    <t>⻘稞酒;果酒;葡萄酒;含⽔果酒精饮料;⽩酒;⽶酒;清酒;酸酒（低等葡萄酒）;蜂蜜酒;⻩酒</t>
  </si>
  <si>
    <t>绍湖优黄</t>
  </si>
  <si>
    <t>绍兴绍黄酒业有限公司</t>
  </si>
  <si>
    <t>葡萄酒;⾼粱酒;烈酒;含⽔果酒精饮料;烧酒;五加⽪酒（中国混合烈酒）;果酒;⽶酒;⻩酒;⽩酒</t>
  </si>
  <si>
    <t>直坚宝</t>
  </si>
  <si>
    <t>柳州市君及商务咨询有限公司</t>
  </si>
  <si>
    <t>烈酒（饮料）;⾕物制蒸馏酒精饮料;蒸馏饮料;⽩酒;葡萄酒;⽶酒;餐后酒（利⼝酒和烈酒）;露酒;果酒（含酒精）;苹果酒</t>
  </si>
  <si>
    <t>文小言</t>
  </si>
  <si>
    <t>百度在线网络技术（北京）有限公司</t>
  </si>
  <si>
    <t>开胃酒;利⼝酒;葡萄酒;⽩酒;烧酒;酒精饮料（啤酒除外）;⽩兰地;威⼠忌;含⽔果酒精饮料;⾷⽤酒精</t>
  </si>
  <si>
    <t>红松划算</t>
  </si>
  <si>
    <t>北京红松在线科技有限公司</t>
  </si>
  <si>
    <t>蜂蜜酒;葡萄酒;⽩酒;酒精饮料浓缩汁;酒精饮料（啤酒除外）;蒸馏饮料;⽶酒;果酒;汽酒;薄荷酒</t>
  </si>
  <si>
    <t>劲先生 MR FORCE</t>
  </si>
  <si>
    <t>安徽劲先生之道食品有限公司</t>
  </si>
  <si>
    <t>烧酒;葡萄酒;汽酒;含⽔果酒精饮料;蜂蜜酒;⾷⽤酒精;酒精饮料（啤酒除外）;酒精饮料浓缩汁;⽶酒;⻩酒</t>
  </si>
  <si>
    <t>中文贡酒</t>
  </si>
  <si>
    <t>酒精饮料原汁;酒精饮料（啤酒除外）;⽶酒;汽酒;⻘稞酒;蒸馏饮料;⻩酒;酒精饮料浓缩汁;⽩酒;果酒（含酒精）</t>
  </si>
  <si>
    <t>壶关县刘军商贸有限公司</t>
  </si>
  <si>
    <t>蒸馏饮料;鸡尾酒;⽶酒;果酒（含酒精）;⻩酒;烧酒;葡萄酒;⽩兰地;⽩酒;威⼠忌</t>
  </si>
  <si>
    <t>徐尚皇</t>
  </si>
  <si>
    <t>贵州群英汇创农牧食品有限公司</t>
  </si>
  <si>
    <t>葡萄酒;烧酒;果酒（含酒精）;鸡尾酒;⽩酒;含⽔果酒精饮料;蜂蜜酒;烈酒（饮料）;⽶酒;酒精饮料（啤酒除外）</t>
  </si>
  <si>
    <t>SONGMONT</t>
  </si>
  <si>
    <t>山下有松（北京）文化传播有限公司</t>
  </si>
  <si>
    <t>⽩酒;含酒精的饮料（啤酒除外）;烈酒;⻩酒;清酒;烧酒;果酒;甜酒;⽶酒;酒精饮料原汁</t>
  </si>
  <si>
    <t>苏乡盼</t>
  </si>
  <si>
    <t>胡四荣</t>
  </si>
  <si>
    <t>含⽔果酒精饮料;⽩酒;⻩酒;⽶酒;烧酒;烈酒（饮料）;⻘稞酒;⾷⽤酒精;威⼠忌;果酒（含酒精）</t>
  </si>
  <si>
    <t>雪都摆玖</t>
  </si>
  <si>
    <t>张玉明</t>
  </si>
  <si>
    <t>酒精饮料原汁;⽩酒;⻩酒;果酒（含酒精）;⽶酒;⾷⽤酒精;酒精饮料（啤酒除外）;烈酒（饮料）;烧酒;葡萄酒</t>
  </si>
  <si>
    <t>宫窑大清花</t>
  </si>
  <si>
    <t>山西杏花杏汾国酒股份有限公司</t>
  </si>
  <si>
    <t>果酒（含酒精）;葡萄酒;烧酒;鸡尾酒;威⼠忌;⽩兰地;朗姆酒;⻩酒;⽩酒;伏特加酒</t>
  </si>
  <si>
    <t>：颤颤王传奇</t>
  </si>
  <si>
    <t>王法壮</t>
  </si>
  <si>
    <t>汽酒;烧酒;⻩酒;酒精饮料（啤酒除外）;烈酒（饮料）;⽶酒;果酒（含酒精）;⽩酒;⾷⽤酒精;葡萄酒</t>
  </si>
  <si>
    <t>锦江王子</t>
  </si>
  <si>
    <t>怀化锦江泉酒业营销有限公司</t>
  </si>
  <si>
    <t>葡萄酒;含酒精的饮料（啤酒除外）;烈酒;⽶酒;⽩酒;烧酒;威⼠忌;⻩酒;果酒;蜂蜜酒</t>
  </si>
  <si>
    <t>读药</t>
  </si>
  <si>
    <t>河南风吹麦浪农业发展有限公司</t>
  </si>
  <si>
    <t>烧酒;⽩酒;鸡尾酒;⽩兰地;⻩酒;⽶酒;果酒（含酒精）;蒸馏饮料;葡萄酒;威⼠忌</t>
  </si>
  <si>
    <t>ROAMING BUS</t>
  </si>
  <si>
    <t>深圳市前海大自在影视传媒有限公司</t>
  </si>
  <si>
    <t>果酒（含酒精）;苹果酒;伏特加酒;⽩酒;烧酒;威⼠忌;鸡尾酒;蜂蜜酒;⽩兰地;葡萄酒</t>
  </si>
  <si>
    <t>老红火</t>
  </si>
  <si>
    <t>李驾驾</t>
  </si>
  <si>
    <t>果酒;⽩酒;清酒;⽶酒;葡萄酒;⾼粱酒;露酒;蜂蜜酒;烧酒;⽼酒（中国蒸馏烈酒）</t>
  </si>
  <si>
    <t>潭州大道</t>
  </si>
  <si>
    <t>⽩兰地;⾼粱酒;葡萄酒;烈酒;甜酒;烧酒;⽶酒;⽩酒;酒精饮料（啤酒除外）;果酒</t>
  </si>
  <si>
    <t>珠玉满堂 ZHU YV MAN TANG</t>
  </si>
  <si>
    <t>北京华中顺兴科技发展有限公司</t>
  </si>
  <si>
    <t>⽩酒;⻩酒;⽩⼲酒（中国⽩酒）;⾼粱酒;红葡萄酒;由⾕物蒸馏的⽩酒;⽼酒（中国蒸馏烈酒）;烈酒;⽶酒;甜酒</t>
  </si>
  <si>
    <t>浿酒</t>
  </si>
  <si>
    <t>济南鑫润达建材有限公司</t>
  </si>
  <si>
    <t>清酒（⽇本⽶酒）;开胃酒;酒精饮料（啤酒除外）;⽩兰地;烈酒（饮料）;⻩酒;果酒（含酒精）;威⼠忌;⽩酒;葡萄酒</t>
  </si>
  <si>
    <t>雄之骄子</t>
  </si>
  <si>
    <t>五华区晋屹百货店</t>
  </si>
  <si>
    <t>清酒（⽇本⽶酒）;鸡尾酒;开胃酒;⽩兰地;酒精饮料（啤酒除外）;烧酒;⽩酒;葡萄酒;果酒（含酒精）;⽶酒</t>
  </si>
  <si>
    <t>金卣</t>
  </si>
  <si>
    <t>河南金卣酒业有限公司</t>
  </si>
  <si>
    <t>烈酒（饮料）;⽶酒;⾕物制蒸馏酒精饮料;⽩酒;⻘稞酒;蒸馏饮料;烧酒;葡萄酒;⾷⽤酒精;果酒（含酒精）</t>
  </si>
  <si>
    <t>颖久久</t>
  </si>
  <si>
    <t>王若颖</t>
  </si>
  <si>
    <t>果酒（含酒精）;⽶酒</t>
  </si>
  <si>
    <t>君 酩之醉 君之道</t>
  </si>
  <si>
    <t>君子电子商务有限公司</t>
  </si>
  <si>
    <t>⽩酒;果酒;苹果酒;葡萄酒;⽶酒;⻩酒;含酒精的鸡尾酒混合饮品;鸡尾酒;酒精饮料（啤酒除外）;烈酒（饮料）</t>
  </si>
  <si>
    <t>溯源号列车</t>
  </si>
  <si>
    <t>山东本丰健康管理有限公司</t>
  </si>
  <si>
    <t>⽶酒;清酒;⽼酒（中国蒸馏烈酒）;⾼粱酒;烧酒;⽩⼲酒（中国⽩酒）;⽩酒;果酒;烈酒;⻩酒</t>
  </si>
  <si>
    <t>金林珑</t>
  </si>
  <si>
    <t>江门金林珑餐饮管理有限公司</t>
  </si>
  <si>
    <t>果酒（含酒精）;⽩酒;烈酒（饮料）;清酒（⽇本⽶酒）;烧酒;⽶酒;甜酒;葡萄酒;⻩酒;酒精饮料（啤酒除外）</t>
  </si>
  <si>
    <t>泫汐</t>
  </si>
  <si>
    <t>上海秦汉唐贸易有限公司</t>
  </si>
  <si>
    <t>葡萄酒;烈酒（饮料）;果酒（含酒精）;鸡尾酒;酒精饮料（啤酒除外）;⽶酒;清酒（⽇本⽶酒）;⻩酒;烧酒;⽩酒</t>
  </si>
  <si>
    <t>网落城事</t>
  </si>
  <si>
    <t>西安乐葫芦网络城市运营股份有限公司</t>
  </si>
  <si>
    <t>葡萄酒;⽩兰地;餐后酒（利⼝酒和烈酒）;朗姆酒;⻘稞酒;⽩酒;烧酒;果酒（含酒精）;鸡尾酒;清酒（⽇本⽶酒）</t>
  </si>
  <si>
    <t>欧根纱</t>
  </si>
  <si>
    <t>上海酉米酒业有限公司</t>
  </si>
  <si>
    <t>葡萄酒;烈酒（饮料）;威⼠忌;⽩兰地;朗姆酒;果酒（含酒精）;⻩酒;⽩酒;⾷⽤酒精;伏特加酒</t>
  </si>
  <si>
    <t>古馧</t>
  </si>
  <si>
    <t>小蛙科技（无锡）有限公司</t>
  </si>
  <si>
    <t>以葡萄酒为主的饮料;⽩⼲酒（中国⽩酒）;烧酒;⻩酒;以蒸馏酒为主的开胃酒;⾼粱酒;蒸煮提取物（利⼝酒和烈酒）;⾷⽤酒精;⽼酒（中国蒸馏烈酒）;⽩酒</t>
  </si>
  <si>
    <t>君康元</t>
  </si>
  <si>
    <t>君康芪业（固阳）科技有限公司</t>
  </si>
  <si>
    <t>穿岩五十四</t>
  </si>
  <si>
    <t>耀莱两点时尚（北京）顾问有限公司</t>
  </si>
  <si>
    <t>鸡尾酒;酒精饮料（啤酒除外）;利⼝酒;威⼠忌;伏特加酒;朗姆酒;⽩兰地;果酒;葡萄酒;⽩酒</t>
  </si>
  <si>
    <t>秀吧</t>
  </si>
  <si>
    <t>佰梦酒业（福建）有限公司</t>
  </si>
  <si>
    <t>葡萄酒;⽩兰地;清酒（⽇本⽶酒）;酒精饮料（啤酒除外）;⽩酒;含⽔果酒精饮料;开胃酒;威⼠忌;⽶酒;鸡尾酒</t>
  </si>
  <si>
    <t>轻恪</t>
  </si>
  <si>
    <t>宜兰食品工业股份有限公司</t>
  </si>
  <si>
    <t>酒精饮料原汁;果酒（含酒精）;烈酒（饮料）;⽶酒;⻩酒;葡萄酒;⽩酒;汽酒;酒精饮料（啤酒除外）;含酒精的⽓泡⽔</t>
  </si>
  <si>
    <t>美·欧根纱</t>
  </si>
  <si>
    <t>威⼠忌;葡萄酒;⾷⽤酒精;朗姆酒;烈酒（饮料）;伏特加酒;⽩兰地;⽩酒;果酒（含酒精）;⻩酒</t>
  </si>
  <si>
    <t>烈酒（饮料）;烧酒;鸡尾酒;葡萄酒;蒸馏饮料;⽩酒;威⼠忌;⽶酒;酒精饮料（啤酒除外）;果酒（含酒精）</t>
  </si>
  <si>
    <t>滔牌匠</t>
  </si>
  <si>
    <t>保定腾茂建筑装饰工程有限公司</t>
  </si>
  <si>
    <t>果酒（含酒精）;⽩酒;酒精饮料（啤酒除外）;⾼粱酒;烈酒（饮料）;葡萄酒;鸡尾酒;烧酒;⽩⼲酒（中国⽩酒）;⻩酒</t>
  </si>
  <si>
    <t>著浆者</t>
  </si>
  <si>
    <t>⾼粱酒;清酒;烧酒;露酒;⽩酒;⻩酒;葡萄酒;酒精饮料（啤酒除外）;果酒;⽶酒</t>
  </si>
  <si>
    <t>穿岩四十三</t>
  </si>
  <si>
    <t>葡萄酒;利⼝酒;酒精饮料（啤酒除外）;⽩兰地;伏特加酒;⽩酒;果酒;鸡尾酒;朗姆酒;威⼠忌</t>
  </si>
  <si>
    <t>穿岩四十一</t>
  </si>
  <si>
    <t>葡萄酒;伏特加酒;利⼝酒;⽩兰地;酒精饮料（啤酒除外）;果酒;威⼠忌;鸡尾酒;朗姆酒;⽩酒</t>
  </si>
  <si>
    <t>穿岩二十七</t>
  </si>
  <si>
    <t>葡萄酒;酒精饮料（啤酒除外）;果酒;伏特加酒;威⼠忌;⽩兰地;⽩酒;鸡尾酒;朗姆酒;利⼝酒</t>
  </si>
  <si>
    <t>穿岩六十</t>
  </si>
  <si>
    <t>伏特加酒;果酒;⽩兰地;⽩酒;利⼝酒;朗姆酒;威⼠忌;鸡尾酒;酒精饮料（啤酒除外）;葡萄酒</t>
  </si>
  <si>
    <t>穿岩十二</t>
  </si>
  <si>
    <t>葡萄酒;威⼠忌;⽩酒;果酒;伏特加酒;酒精饮料（啤酒除外）;利⼝酒;⽩兰地;朗姆酒;鸡尾酒</t>
  </si>
  <si>
    <t>顾达</t>
  </si>
  <si>
    <t>顾达（天津）国际贸易有限公司</t>
  </si>
  <si>
    <t>葡萄酒;⽶酒;烧酒;⽩酒;⽩兰地;⻩酒;清酒;果酒;威⼠忌;鸡尾酒</t>
  </si>
  <si>
    <t>穿岩二十六</t>
  </si>
  <si>
    <t>果酒;鸡尾酒;葡萄酒;酒精饮料（啤酒除外）;威⼠忌;利⼝酒;朗姆酒;⽩兰地;⽩酒;伏特加酒</t>
  </si>
  <si>
    <t>口福君</t>
  </si>
  <si>
    <t>宜昌口福君酒业有限公司</t>
  </si>
  <si>
    <t>露酒;果酒（含酒精）;⽩酒;蜂蜜酒;葡萄酒;⾼粱酒;汽酒;⽶酒;烧酒;⻩酒</t>
  </si>
  <si>
    <t>穿岩六十三</t>
  </si>
  <si>
    <t>⽩酒;鸡尾酒;酒精饮料（啤酒除外）;⽩兰地;威⼠忌;伏特加酒;利⼝酒;果酒;葡萄酒;朗姆酒</t>
  </si>
  <si>
    <t>穿岩五十九</t>
  </si>
  <si>
    <t>伏特加酒;威⼠忌;鸡尾酒;朗姆酒;果酒;⽩酒;葡萄酒;酒精饮料（啤酒除外）;⽩兰地;利⼝酒</t>
  </si>
  <si>
    <t>穿岩五十六</t>
  </si>
  <si>
    <t>酒精饮料（啤酒除外）;利⼝酒;⽩酒;⽩兰地;朗姆酒;果酒;伏特加酒;鸡尾酒;葡萄酒;威⼠忌</t>
  </si>
  <si>
    <t>穿岩三十三</t>
  </si>
  <si>
    <t>⽩酒;果酒;伏特加酒;威⼠忌;酒精饮料（啤酒除外）;朗姆酒;利⼝酒;葡萄酒;⽩兰地;鸡尾酒</t>
  </si>
  <si>
    <t>穿岩三十八</t>
  </si>
  <si>
    <t>威⼠忌;果酒;鸡尾酒;伏特加酒;利⼝酒;⽩酒;葡萄酒;酒精饮料（啤酒除外）;朗姆酒;⽩兰地</t>
  </si>
  <si>
    <t>穿岩三十二</t>
  </si>
  <si>
    <t>鸡尾酒;利⼝酒;威⼠忌;果酒;⽩兰地;伏特加酒;⽩酒;葡萄酒;朗姆酒;酒精饮料（啤酒除外）</t>
  </si>
  <si>
    <t>穿岩三十一</t>
  </si>
  <si>
    <t>⽩兰地;威⼠忌;果酒;鸡尾酒;伏特加酒;⽩酒;酒精饮料（啤酒除外）;朗姆酒;利⼝酒;葡萄酒</t>
  </si>
  <si>
    <t>穿岩四十六</t>
  </si>
  <si>
    <t>⽩兰地;酒精饮料（啤酒除外）;伏特加酒;鸡尾酒;果酒;⽩酒;朗姆酒;利⼝酒;威⼠忌;葡萄酒</t>
  </si>
  <si>
    <t>穿岩四十五</t>
  </si>
  <si>
    <t>鸡尾酒;威⼠忌;葡萄酒;酒精饮料（啤酒除外）;朗姆酒;⽩兰地;利⼝酒;⽩酒;果酒;伏特加酒</t>
  </si>
  <si>
    <t>穿岩二十三</t>
  </si>
  <si>
    <t>果酒;朗姆酒;⽩酒;⽩兰地;伏特加酒;鸡尾酒;葡萄酒;威⼠忌;酒精饮料（啤酒除外）;利⼝酒</t>
  </si>
  <si>
    <t>穿岩四十二</t>
  </si>
  <si>
    <t>果酒;朗姆酒;鸡尾酒;⽩兰地;葡萄酒;酒精饮料（啤酒除外）;利⼝酒;伏特加酒;⽩酒;威⼠忌</t>
  </si>
  <si>
    <t>穿岩五十八</t>
  </si>
  <si>
    <t>鸡尾酒;伏特加酒;威⼠忌;⽩酒;葡萄酒;朗姆酒;⽩兰地;酒精饮料（啤酒除外）;利⼝酒;果酒</t>
  </si>
  <si>
    <t>穿岩十六</t>
  </si>
  <si>
    <t>果酒;葡萄酒;伏特加酒;⽩兰地;朗姆酒;酒精饮料（啤酒除外）;利⼝酒;威⼠忌;鸡尾酒;⽩酒</t>
  </si>
  <si>
    <t>穿岩二十八</t>
  </si>
  <si>
    <t>利⼝酒;果酒;葡萄酒;酒精饮料（啤酒除外）;威⼠忌;鸡尾酒;⽩兰地;⽩酒;伏特加酒;朗姆酒</t>
  </si>
  <si>
    <t>穿岩六十四</t>
  </si>
  <si>
    <t>酒精饮料（啤酒除外）;伏特加酒;威⼠忌;葡萄酒;⽩兰地;果酒;利⼝酒;鸡尾酒;朗姆酒;⽩酒</t>
  </si>
  <si>
    <t>穿岩五十五</t>
  </si>
  <si>
    <t>果酒;伏特加酒;葡萄酒;⽩兰地;朗姆酒;⽩酒;鸡尾酒;酒精饮料（啤酒除外）;利⼝酒;威⼠忌</t>
  </si>
  <si>
    <t>穿岩十八</t>
  </si>
  <si>
    <t>果酒;酒精饮料（啤酒除外）;⽩兰地;鸡尾酒;利⼝酒;伏特加酒;威⼠忌;⽩酒;朗姆酒;葡萄酒</t>
  </si>
  <si>
    <t>穿岩六</t>
  </si>
  <si>
    <t>葡萄酒;伏特加酒;果酒;⽩酒;酒精饮料（啤酒除外）;朗姆酒;威⼠忌;利⼝酒;鸡尾酒;⽩兰地</t>
  </si>
  <si>
    <t>穿岩四十四</t>
  </si>
  <si>
    <t>利⼝酒;酒精饮料（啤酒除外）;朗姆酒;威⼠忌;⽩兰地;果酒;鸡尾酒;葡萄酒;伏特加酒;⽩酒</t>
  </si>
  <si>
    <t>穿岩三十五</t>
  </si>
  <si>
    <t>朗姆酒;利⼝酒;⽩兰地;果酒;威⼠忌;酒精饮料（啤酒除外）;伏特加酒;⽩酒;葡萄酒;鸡尾酒</t>
  </si>
  <si>
    <t>穿岩三十九</t>
  </si>
  <si>
    <t>葡萄酒;威⼠忌;酒精饮料（啤酒除外）;⽩兰地;利⼝酒;⽩酒;果酒;鸡尾酒;朗姆酒;伏特加酒</t>
  </si>
  <si>
    <t>黔佬儿</t>
  </si>
  <si>
    <t>酒精饮料原汁;烈酒（饮料）;尼⽡（以⽢蔗为主的酒精饮料）;烧酒;酒精饮料（啤酒除外）;⽶酒;果酒（含酒精）;⾷⽤酒精;⽩酒;餐后酒（利⼝酒和烈酒）</t>
  </si>
  <si>
    <t>穿岩三</t>
  </si>
  <si>
    <t>朗姆酒;果酒;伏特加酒;利⼝酒;威⼠忌;鸡尾酒;葡萄酒;酒精饮料（啤酒除外）;⽩酒;⽩兰地</t>
  </si>
  <si>
    <t>穿岩二</t>
  </si>
  <si>
    <t>酒精饮料（啤酒除外）;利⼝酒;⽩酒;葡萄酒;⽩兰地;鸡尾酒;果酒;威⼠忌;朗姆酒;伏特加酒</t>
  </si>
  <si>
    <t>贵豫</t>
  </si>
  <si>
    <t>河南省养生殿酒业有限公司</t>
  </si>
  <si>
    <t>烧酒（烈酒）;含⽔果酒精饮料;⽩酒;烈酒;⻩酒;酒精饮料（啤酒除外）;酒精饮料原汁;⽼酒（中国蒸馏烈酒）;葡萄酒;露酒</t>
  </si>
  <si>
    <t>浙江好溢笙生物科技有限公司</t>
  </si>
  <si>
    <t>⽩酒;葡萄酒;威⼠忌;⻩酒;含⽔果酒精饮料;薄荷酒;开胃酒;蒸馏饮料;酒精饮料（啤酒除外）;果酒（含酒精）</t>
  </si>
  <si>
    <t>穿岩五十一</t>
  </si>
  <si>
    <t>伏特加酒;威⼠忌;利⼝酒;酒精饮料（啤酒除外）;⽩兰地;⽩酒;果酒;鸡尾酒;葡萄酒;朗姆酒</t>
  </si>
  <si>
    <t>穿岩二十九</t>
  </si>
  <si>
    <t>⽩酒;鸡尾酒;葡萄酒;威⼠忌;⽩兰地;酒精饮料（啤酒除外）;朗姆酒;伏特加酒;利⼝酒;果酒</t>
  </si>
  <si>
    <t>穿岩二十一</t>
  </si>
  <si>
    <t>酒精饮料（啤酒除外）;鸡尾酒;葡萄酒;利⼝酒;⽩兰地;⽩酒;果酒;朗姆酒;伏特加酒;威⼠忌</t>
  </si>
  <si>
    <t>穿岩三十六</t>
  </si>
  <si>
    <t>酒精饮料（啤酒除外）;⽩兰地;利⼝酒;⽩酒;鸡尾酒;朗姆酒;伏特加酒;威⼠忌;果酒;葡萄酒</t>
  </si>
  <si>
    <t>穿岩五十二</t>
  </si>
  <si>
    <t>葡萄酒;利⼝酒;威⼠忌;⽩酒;⽩兰地;鸡尾酒;酒精饮料（啤酒除外）;朗姆酒;伏特加酒;果酒</t>
  </si>
  <si>
    <t>穿岩二十</t>
  </si>
  <si>
    <t>果酒;⽩兰地;鸡尾酒;葡萄酒;威⼠忌;利⼝酒;伏特加酒;⽩酒;朗姆酒;酒精饮料（啤酒除外）</t>
  </si>
  <si>
    <t>穿岩六十一</t>
  </si>
  <si>
    <t>葡萄酒;酒精饮料（啤酒除外）;伏特加酒;⽩兰地;威⼠忌;⽩酒;鸡尾酒;朗姆酒;果酒;利⼝酒</t>
  </si>
  <si>
    <t>穿岩三十</t>
  </si>
  <si>
    <t>⽩酒;鸡尾酒;果酒;葡萄酒;酒精饮料（啤酒除外）;⽩兰地;朗姆酒;伏特加酒;威⼠忌;利⼝酒</t>
  </si>
  <si>
    <t>玻瓶高三</t>
  </si>
  <si>
    <t>詹妃倩</t>
  </si>
  <si>
    <t>⽩酒;酒精饮料（啤酒除外）;葡萄酒;烧酒;⽶酒;开胃酒;果酒;⽩兰地;清酒;蒸馏饮料</t>
  </si>
  <si>
    <t>穿岩五</t>
  </si>
  <si>
    <t>葡萄酒;果酒;朗姆酒;伏特加酒;酒精饮料（啤酒除外）;⽩兰地;威⼠忌;⽩酒;鸡尾酒;利⼝酒</t>
  </si>
  <si>
    <t>穿岩四十九</t>
  </si>
  <si>
    <t>果酒;鸡尾酒;酒精饮料（啤酒除外）;伏特加酒;威⼠忌;⽩酒;葡萄酒;⽩兰地;朗姆酒;利⼝酒</t>
  </si>
  <si>
    <t>穿岩七</t>
  </si>
  <si>
    <t>利⼝酒;鸡尾酒;威⼠忌;酒精饮料（啤酒除外）;果酒;⽩兰地;葡萄酒;⽩酒;朗姆酒;伏特加酒</t>
  </si>
  <si>
    <t>穿岩二十四</t>
  </si>
  <si>
    <t>威⼠忌;鸡尾酒;⽩兰地;⽩酒;朗姆酒;伏特加酒;利⼝酒;果酒;酒精饮料（啤酒除外）;葡萄酒</t>
  </si>
  <si>
    <t>穿岩六十二</t>
  </si>
  <si>
    <t>葡萄酒;朗姆酒;⽩酒;伏特加酒;果酒;鸡尾酒;酒精饮料（啤酒除外）;利⼝酒;威⼠忌;⽩兰地</t>
  </si>
  <si>
    <t>穿岩十</t>
  </si>
  <si>
    <t>伏特加酒;朗姆酒;鸡尾酒;葡萄酒;酒精饮料（啤酒除外）;⽩兰地;威⼠忌;⽩酒;果酒;利⼝酒</t>
  </si>
  <si>
    <t>穿岩二十二</t>
  </si>
  <si>
    <t>果酒;伏特加酒;葡萄酒;酒精饮料（啤酒除外）;⽩酒;利⼝酒;威⼠忌;鸡尾酒;⽩兰地;朗姆酒</t>
  </si>
  <si>
    <t>穿岩十五</t>
  </si>
  <si>
    <t>⽩酒;伏特加酒;⽩兰地;威⼠忌;朗姆酒;葡萄酒;利⼝酒;鸡尾酒;酒精饮料（啤酒除外）;果酒</t>
  </si>
  <si>
    <t>穿岩八</t>
  </si>
  <si>
    <t>⽩酒;利⼝酒;⽩兰地;鸡尾酒;威⼠忌;果酒;葡萄酒;酒精饮料（啤酒除外）;朗姆酒;伏特加酒</t>
  </si>
  <si>
    <t>穿岩五十七</t>
  </si>
  <si>
    <t>伏特加酒;酒精饮料（啤酒除外）;朗姆酒;鸡尾酒;⽩酒;利⼝酒;⽩兰地;威⼠忌;果酒;葡萄酒</t>
  </si>
  <si>
    <t>穿岩五十</t>
  </si>
  <si>
    <t>果酒;鸡尾酒;酒精饮料（啤酒除外）;威⼠忌;伏特加酒;⽩兰地;葡萄酒;⽩酒;朗姆酒;利⼝酒</t>
  </si>
  <si>
    <t>穿岩四十七</t>
  </si>
  <si>
    <t>朗姆酒;利⼝酒;伏特加酒;果酒;威⼠忌;⽩酒;鸡尾酒;葡萄酒;酒精饮料（啤酒除外）;⽩兰地</t>
  </si>
  <si>
    <t>穿岩三十四</t>
  </si>
  <si>
    <t>果酒;葡萄酒;酒精饮料（啤酒除外）;朗姆酒;⽩酒;⽩兰地;鸡尾酒;利⼝酒;威⼠忌;伏特加酒</t>
  </si>
  <si>
    <t>穿岩十三</t>
  </si>
  <si>
    <t>果酒;葡萄酒;利⼝酒;朗姆酒;威⼠忌;鸡尾酒;酒精饮料（啤酒除外）;⽩兰地;⽩酒;伏特加酒</t>
  </si>
  <si>
    <t>穿岩二十五</t>
  </si>
  <si>
    <t>朗姆酒;鸡尾酒;伏特加酒;⽩兰地;利⼝酒;果酒;酒精饮料（啤酒除外）;⽩酒;葡萄酒;威⼠忌</t>
  </si>
  <si>
    <t>穿岩四十八</t>
  </si>
  <si>
    <t>伏特加酒;利⼝酒;果酒;鸡尾酒;⽩兰地;朗姆酒;威⼠忌;⽩酒;葡萄酒;酒精饮料（啤酒除外）</t>
  </si>
  <si>
    <t>穿岩十一</t>
  </si>
  <si>
    <t>果酒;朗姆酒;威⼠忌;⽩酒;伏特加酒;葡萄酒;⽩兰地;鸡尾酒;酒精饮料（啤酒除外）;利⼝酒</t>
  </si>
  <si>
    <t>穿岩九</t>
  </si>
  <si>
    <t>鸡尾酒;酒精饮料（啤酒除外）;伏特加酒;利⼝酒;果酒;威⼠忌;葡萄酒;朗姆酒;⽩酒;⽩兰地</t>
  </si>
  <si>
    <t>穿岩四</t>
  </si>
  <si>
    <t>鸡尾酒;酒精饮料（啤酒除外）;葡萄酒;伏特加酒;威⼠忌;⽩酒;果酒;朗姆酒;利⼝酒;⽩兰地</t>
  </si>
  <si>
    <t>穿岩十七</t>
  </si>
  <si>
    <t>⽩酒;酒精饮料（啤酒除外）;伏特加酒;果酒;威⼠忌;葡萄酒;朗姆酒;利⼝酒;⽩兰地;鸡尾酒</t>
  </si>
  <si>
    <t>穿岩十四</t>
  </si>
  <si>
    <t>⽩酒;果酒;威⼠忌;朗姆酒;⽩兰地;葡萄酒;酒精饮料（啤酒除外）;鸡尾酒;伏特加酒;利⼝酒</t>
  </si>
  <si>
    <t>穿岩三十七</t>
  </si>
  <si>
    <t>威⼠忌;鸡尾酒;朗姆酒;⽩酒;⽩兰地;果酒;葡萄酒;伏特加酒;利⼝酒;酒精饮料（啤酒除外）</t>
  </si>
  <si>
    <t>WOERLV</t>
  </si>
  <si>
    <t>西双版纳沃尔绿农业科技有限公司</t>
  </si>
  <si>
    <t>⽶酒;葡萄酒;烧酒（烈酒）;⾕物制蒸馏酒精饮料;鸡尾酒;⾷⽤酒精;果酒;⽩酒;除啤酒外的酒精饮料;汽酒</t>
  </si>
  <si>
    <t>尕咆牛</t>
  </si>
  <si>
    <t>青海倍力甘草科技发展有限责任公司</t>
  </si>
  <si>
    <t>鸡尾酒;⽶酒;清酒;⾷⽤酒精;⽢蔗制烈酒;⻘稞酒;⽩酒;⾼粱酒;葡萄酒;酒精饮料原汁</t>
  </si>
  <si>
    <t>武汉市仟豪商贸有限公司</t>
  </si>
  <si>
    <t>酒精饮料（啤酒除外）;⽶酒;烈酒;利⼝酒;⾷⽤酒精;⽩酒;含⽔果酒精饮料;葡萄酒;⾕物制蒸馏酒精饮料;酒精饮料浓缩汁</t>
  </si>
  <si>
    <t>蜀中桃子姐</t>
  </si>
  <si>
    <t>自贡荣丰科技发展有限责任公司</t>
  </si>
  <si>
    <t>果酒（含酒精）;含⽔果酒精饮料;⽩酒;⽶酒;葡萄酒</t>
  </si>
  <si>
    <t>BEAUTY TIPSS</t>
  </si>
  <si>
    <t>天津盛豪峰商贸有限公司</t>
  </si>
  <si>
    <t>果酒（含酒精）;含⽔果酒精饮料;以葡萄酒为主的饮料;预先混合的酒精饮料（以啤酒为主的除外）;⽩兰地;⽩酒;开胃酒;蒸馏饮料;葡萄酒;烈酒（饮料）</t>
  </si>
  <si>
    <t>仙窖玺</t>
  </si>
  <si>
    <t>⽶酒;⽼酒（中国蒸馏烈酒）;⽩酒;⾷⽤酒精;酒精饮料浓缩汁;葡萄酒;烧酒;果酒（含酒精）;酒精饮料（啤酒除外）;蒸煮提取物（利⼝酒和烈酒）</t>
  </si>
  <si>
    <t>桃花夏曲</t>
  </si>
  <si>
    <t>南长区华祺兄弟百货商行</t>
  </si>
  <si>
    <t>川花瓗浆</t>
  </si>
  <si>
    <t>南江县家乡记忆家庭农场</t>
  </si>
  <si>
    <t>果酒（含酒精）;⽩酒;酒精饮料原汁;酒精饮料（啤酒除外）;清酒（⽇本⽶酒）;鸡尾酒;葡萄酒;含⽔果酒精饮料;⽶酒;苦味酒</t>
  </si>
  <si>
    <t>立敷元</t>
  </si>
  <si>
    <t>威⼠忌;⻩酒;葡萄酒;利⼝酒;烈酒（饮料）;⽩酒;烧酒;酒精饮料（啤酒除外）;果酒;⽶酒</t>
  </si>
  <si>
    <t>青觥</t>
  </si>
  <si>
    <t>保定零点冻鲜食品有限公司</t>
  </si>
  <si>
    <t>⽩兰地;烧酒;汽酒;⽩酒;⻘稞酒;甜果酒;果酒（含酒精）;利⼝酒;⽶酒;葡萄酒</t>
  </si>
  <si>
    <t>醉黔父</t>
  </si>
  <si>
    <t>葡萄酒;果酒;开胃酒;朗姆酒;烧酒;鸡尾酒;酒精饮料（啤酒除外）;⽩酒;清酒（⽇本⽶酒）;利⼝酒</t>
  </si>
  <si>
    <t>必迎</t>
  </si>
  <si>
    <t>刘江中</t>
  </si>
  <si>
    <t>酒精饮料（啤酒除外）;⻩酒;酒精饮料原汁;⽩酒;威⼠忌;蒸煮提取物（利⼝酒和烈酒）;果酒（含酒精）;鸡尾酒;⽩兰地;葡萄酒</t>
  </si>
  <si>
    <t>靓咔</t>
  </si>
  <si>
    <t>山东裔知教育科技有限公司</t>
  </si>
  <si>
    <t>鸡尾酒;利⼝酒;清酒;朗姆酒;薄荷酒;苦味酒;⽩酒;开胃酒;伏特加酒;果酒</t>
  </si>
  <si>
    <t>无形健</t>
  </si>
  <si>
    <t>李建昌</t>
  </si>
  <si>
    <t>开胃酒;⽶酒;⾷⽤酒精;果酒;⻩酒;蜂蜜酒;葡萄酒;酒精饮料（啤酒除外）;含酒精的⽓泡⽔;薄荷酒</t>
  </si>
  <si>
    <t>MLNFINTY</t>
  </si>
  <si>
    <t>赵焜嘉</t>
  </si>
  <si>
    <t>鸡尾酒;汽酒;红葡萄酒;⽶酒;不起泡葡萄酒;开胃酒;酸酒（低等葡萄酒）;含⽔果酒精饮料;果酒（含酒精）;葡萄酒</t>
  </si>
  <si>
    <t>山父水母</t>
  </si>
  <si>
    <t>刘晨</t>
  </si>
  <si>
    <t>果酒（含酒精）;鸡尾酒;烧酒;利⼝酒;⻩酒;开胃酒;葡萄酒;⽶酒;⽩兰地;⽩酒</t>
  </si>
  <si>
    <t>成都御康医疗器械有限公司</t>
  </si>
  <si>
    <t>烈酒（饮料）;烧酒;葡萄酒;⾷⽤酒精;果酒（含酒精）;开胃酒;⽩酒;⽶酒;⻩酒;威⼠忌</t>
  </si>
  <si>
    <t>始皇圣君</t>
  </si>
  <si>
    <t>果酒（含酒精）;烧酒;鸡尾酒;⽶酒;含⽔果酒精饮料;葡萄酒;蜂蜜酒;⻩酒;烈酒（饮料）;⽩酒</t>
  </si>
  <si>
    <t>古鄄</t>
  </si>
  <si>
    <t>山东省陈王酒业有限公司</t>
  </si>
  <si>
    <t>果酒（含酒精）;⽩酒;⽶酒;酒精饮料（啤酒除外）;蒸煮提取物（利⼝酒和烈酒）;葡萄酒;⾷⽤酒精;⻩酒;含⽔果酒精饮料;烧酒</t>
  </si>
  <si>
    <t>ZHIZUNLAOBA</t>
  </si>
  <si>
    <t>宿迁市洋河镇久洋酒业有限公司</t>
  </si>
  <si>
    <t>果酒（含酒精）;葡萄酒;酒精饮料（啤酒除外）;⽶酒;鸡尾酒;清酒（⽇本⽶酒）;⻩酒;烧酒;⽩酒;烈酒（饮料）</t>
  </si>
  <si>
    <t>VINESTHE</t>
  </si>
  <si>
    <t>广州红颜容酒业有限公司</t>
  </si>
  <si>
    <t>红葡萄酒;⽩葡萄酒;桃红葡萄酒;加烈葡萄酒;葡萄汽酒;以葡萄酒为主的饮料;葡萄酒;除啤酒外的酒精饮料;起泡红葡萄酒;葡萄潘趣酒</t>
  </si>
  <si>
    <t>嗨善匠 HI SAPIENCE INGENUITY</t>
  </si>
  <si>
    <t>山东善品萃网络科技有限公司</t>
  </si>
  <si>
    <t>葡萄酒;烧酒;⽩酒;清酒（⽇本⽶酒）;甜酒;烈酒;除啤酒外的酒精饮料;预调甜酒;⻩酒;果酒（含酒精）</t>
  </si>
  <si>
    <t>疆禧农</t>
  </si>
  <si>
    <t>庞中华</t>
  </si>
  <si>
    <t>果酒（含酒精）;酒精饮料（啤酒除外）;酒精饮料原汁;⽩酒;葡萄酒;蒸馏饮料;酒精饮料浓缩汁;含⽔果酒精饮料;⻩酒;⽶酒</t>
  </si>
  <si>
    <t>纯狐之春</t>
  </si>
  <si>
    <t>宿州市纯狐之春生物科技有限公司</t>
  </si>
  <si>
    <t>含酒精的潘趣酒;葡萄酒;⽩酒;甜酒;草莓酒;含酒精⽔果饮料;果酒（含酒精）;预先混合的酒精饮料（以啤酒为主的除外）;露酒;果酒</t>
  </si>
  <si>
    <t>誉匠年</t>
  </si>
  <si>
    <t>清酒;酒精饮料（啤酒除外）;果酒（含酒精）;⾷⽤酒精;⽶酒;葡萄酒;⽩酒;蒸煮提取物（利⼝酒和烈酒）;烧酒;酒精饮料浓缩汁</t>
  </si>
  <si>
    <t>火船头</t>
  </si>
  <si>
    <t>谢永牌</t>
  </si>
  <si>
    <t>⻩酒;⽶酒;果酒（含酒精）;葡萄酒;酒精饮料（啤酒除外）;蒸煮提取物（利⼝酒和烈酒）;伏特加酒;⽩酒;蜂蜜酒;开胃酒</t>
  </si>
  <si>
    <t>禧农开拓</t>
  </si>
  <si>
    <t>葡萄酒;酒精饮料原汁;酒精饮料浓缩汁;含⽔果酒精饮料;果酒（含酒精）;酒精饮料（啤酒除外）;蒸馏饮料;⻩酒;⽩酒;⽶酒</t>
  </si>
  <si>
    <t>九街十二巷</t>
  </si>
  <si>
    <t>施胜鑫</t>
  </si>
  <si>
    <t>果酒（含酒精）;葡萄酒;酒精饮料（啤酒除外）;蒸煮提取物（利⼝酒和烈酒）;伏特加酒;⽩酒;⽩兰地;⽶酒;⻩酒;威⼠忌</t>
  </si>
  <si>
    <t>皇帝飞仙</t>
  </si>
  <si>
    <t>葡萄酒;鸡尾酒;含⽔果酒精饮料;烧酒;烈酒（饮料）;⽩酒;果酒（含酒精）;蜂蜜酒;⽶酒;⻩酒</t>
  </si>
  <si>
    <t>蓼城名酒</t>
  </si>
  <si>
    <t>安徽蓼城酒业（集团）股份有限公司</t>
  </si>
  <si>
    <t>蒸馏饮料;⽩酒;鸡尾酒;威⼠忌;⽶酒;果酒（含酒精）;⻩酒;⽩兰地;葡萄酒;烧酒</t>
  </si>
  <si>
    <t>安澜码头</t>
  </si>
  <si>
    <t>淮安奥林营销策划咨询有限公司</t>
  </si>
  <si>
    <t>⽶酒;⻘稞酒;⽩酒;葡萄酒;汽酒;果酒;⻩酒;鸡尾酒;烧酒;酒精饮料（啤酒除外）</t>
  </si>
  <si>
    <t>联合醉球</t>
  </si>
  <si>
    <t>贵州省仁怀市茅台镇联合酿酒有限公司</t>
  </si>
  <si>
    <t>蒸馏饮料;含⽔果酒精饮料;⾼粱酒;葡萄酒;露酒;果酒（含酒精）;酒精饮料原汁;烧酒;⽩酒;酒精饮料浓缩汁</t>
  </si>
  <si>
    <t>越芈青</t>
  </si>
  <si>
    <t>邢园园</t>
  </si>
  <si>
    <t>汽酒;⻩酒;⽩酒;梅酒;朗姆酒;伏特加酒;果酒;威⼠忌;葡萄酒;鸡尾酒</t>
  </si>
  <si>
    <t>洛水如舟</t>
  </si>
  <si>
    <t>重庆首科生物技术有限公司</t>
  </si>
  <si>
    <t>果酒（含酒精）;⽩酒;酒精饮料（啤酒除外）;含⽔果酒精饮料;威⼠忌;薄荷酒;开胃酒;蒸馏饮料;葡萄酒;⻩酒</t>
  </si>
  <si>
    <t>壶醉间</t>
  </si>
  <si>
    <t>烧酒;开胃酒;梨酒;蜂蜜酒;⾼粱酒;⻩酒;果酒;⽩酒;葡萄酒;鸡尾酒</t>
  </si>
  <si>
    <t>谷主的</t>
  </si>
  <si>
    <t>云南维和无量药谷控股有限公司</t>
  </si>
  <si>
    <t>利⼝酒;烈酒（饮料）;葡萄酒;蒸煮提取物（利⼝酒和烈酒）;⽔果汽酒;甜酒;蒸馏饮料;果酒（含酒精）;鸡尾酒;⽩酒</t>
  </si>
  <si>
    <t>坛香山</t>
  </si>
  <si>
    <t>四川果叁仟酒业集团有限公司</t>
  </si>
  <si>
    <t>葡萄酒;⽶酒;⻩酒;含⽔果酒精饮料;⽩酒;果酒（含酒精）;烈酒（饮料）;酒精饮料（啤酒除外）;酒精饮料浓缩汁;烧酒</t>
  </si>
  <si>
    <t>贵州奇迹酒业有限公司</t>
  </si>
  <si>
    <t>⽩酒;⽶酒;清酒（⽇本⽶酒）;葡萄酒;含⽔果酒精饮料;烧酒;鸡尾酒;⻩酒;⾷⽤酒精;预先混合的酒精饮料（以啤酒为主的除外）</t>
  </si>
  <si>
    <t>多情东江水</t>
  </si>
  <si>
    <t>深圳市候鸟之家健康旅居研究院</t>
  </si>
  <si>
    <t>清酒;葡萄酒;蒸馏饮料;含⽔果酒精饮料;⻩酒;果酒（含酒精）;⽶酒;蜂蜜酒;薄荷酒;开胃酒</t>
  </si>
  <si>
    <t>市井长巷</t>
  </si>
  <si>
    <t>山西市井长巷商贸有限公司</t>
  </si>
  <si>
    <t>中贝 ZONEBANNER</t>
  </si>
  <si>
    <t>浙江中贝九洲集团有限公司</t>
  </si>
  <si>
    <t>⽶酒;伏特加酒;鸡尾酒;葡萄酒;⻩酒;⾷⽤酒精;⽩酒;⽩兰地;烧酒;威⼠忌</t>
  </si>
  <si>
    <t>股丰股道</t>
  </si>
  <si>
    <t>⽩兰地;果酒（含酒精）;开胃酒;清酒;酒精饮料（啤酒除外）;⽩酒;利⼝酒;⾷⽤酒精;烧酒;葡萄酒</t>
  </si>
  <si>
    <t>福甑</t>
  </si>
  <si>
    <t>⽶酒;葡萄酒;薄荷酒;蜂蜜酒;果酒（含酒精）;蒸馏饮料;⻩酒;含⽔果酒精饮料;开胃酒;清酒</t>
  </si>
  <si>
    <t>萄拉图</t>
  </si>
  <si>
    <t>朱家领</t>
  </si>
  <si>
    <t>果酒（含酒精）;⽩酒;鸡尾酒;含⽔果酒精饮料;威⼠忌;伏特加酒;葡萄酒;清酒（⽇本⽶酒）;酒精饮料（啤酒除外）;朗姆酒</t>
  </si>
  <si>
    <t>懒懒野人</t>
  </si>
  <si>
    <t>广州市懒懒野人运动科技有限公司</t>
  </si>
  <si>
    <t>烧酒;含⽔果酒精饮料;烈酒;鸡尾酒;清酒;威⼠忌;葡萄酒;蒸馏饮料;利⼝酒;⽩酒</t>
  </si>
  <si>
    <t>万兴楼清宫御</t>
  </si>
  <si>
    <t>果酒（含酒精）;烧酒;威⼠忌;⽶酒;⽩兰地;葡萄酒;烈酒（饮料）;⻩酒;鸡尾酒;⽩酒</t>
  </si>
  <si>
    <t>皓进</t>
  </si>
  <si>
    <t>杨志明</t>
  </si>
  <si>
    <t>含⽔果酒精饮料;预先混合的酒精饮料（以啤酒为主的除外）;⽩酒;⽶酒;已调味的⻨芽酿制的酒精饮料（啤酒除外）;酒精饮料浓缩汁;酒精饮料（啤酒除外）;果酒（含酒精）;葡萄酒;⾕物制蒸馏酒精饮料</t>
  </si>
  <si>
    <t>雁鱼灯</t>
  </si>
  <si>
    <t>山西升泰蚯蚓养殖有限公司</t>
  </si>
  <si>
    <t>果酒（含酒精）;烧酒;⻘稞酒;威⼠忌;烈酒（饮料）;⻩酒;⽶酒;开胃酒;葡萄酒;⽩酒</t>
  </si>
  <si>
    <t>九圣斛仙</t>
  </si>
  <si>
    <t>安徽斛石记生物科技有限公司</t>
  </si>
  <si>
    <t>鸡尾酒;清酒;葡萄酒;⽶酒;果酒（含酒精）;威⼠忌;烧酒;⽩酒;⽩⼲酒（中国⽩酒）;⻩酒</t>
  </si>
  <si>
    <t>贵州财大投资发展集团有限公司</t>
  </si>
  <si>
    <t>汽酒;果酒（含酒精）;开胃酒;烈酒（饮料）;烧酒;含⽔果酒精饮料;⽩酒;⻩酒;⾷⽤酒精;酒精饮料（啤酒除外）</t>
  </si>
  <si>
    <t>康连接</t>
  </si>
  <si>
    <t>康连接体育文化集团有限公司</t>
  </si>
  <si>
    <t>含⽔果酒精饮料;⽩酒;果酒（含酒精）;葡萄酒;鸡尾酒;⽶酒;威⼠忌;酒精饮料（啤酒除外）;烧酒;烈酒（饮料）</t>
  </si>
  <si>
    <t>杨记票</t>
  </si>
  <si>
    <t>刘莉</t>
  </si>
  <si>
    <t>清酒（⽇本⽶酒）;⽩酒;果酒（含酒精）;⾼粱酒;朗姆酒;伏特加酒;⻘稞酒;⽩葡萄酒;烧酒;⽶酒</t>
  </si>
  <si>
    <t>⻩酒;葡萄酒;⽶酒;⽩酒;威⼠忌;烈酒（饮料）;酒精饮料（啤酒除外）;⽼酒（中国蒸馏烈酒）;鸡尾酒;果酒（含酒精）</t>
  </si>
  <si>
    <t>太湖醉古</t>
  </si>
  <si>
    <t>无锡文发文化发展集团有限公司</t>
  </si>
  <si>
    <t>清酒（⽇本⽶酒）;⽩兰地;开胃酒;葡萄酒;⽩酒;鸡尾酒;⻩酒;预先混合的酒精饮料（以啤酒为主的除外）;苹果酒;果酒（含酒精）</t>
  </si>
  <si>
    <t>晟恰康</t>
  </si>
  <si>
    <t>云南晟恰康劳务服务有限公司</t>
  </si>
  <si>
    <t>清酒;杜松⼦酒;红葡萄酒;露酒;烧酒;苦荞酒;⽶酒;威末酒;⻘稞酒;⽼酒（中国蒸馏烈酒）</t>
  </si>
  <si>
    <t>稻花香庆丰收</t>
  </si>
  <si>
    <t>湖北稻花香酒业股份有限公司</t>
  </si>
  <si>
    <t>开胃酒;酒精饮料（啤酒除外）;⽶酒;⻩酒;⽩酒;果酒（含酒精）;葡萄酒;烈酒;酒精饮料原汁;烧酒</t>
  </si>
  <si>
    <t>鹿七品</t>
  </si>
  <si>
    <t>吉林立鹿生物科技有限公司</t>
  </si>
  <si>
    <t>蜂蜜酒;酒精饮料（啤酒除外）;鸡尾酒;威⼠忌;葡萄酒;⽶酒;⽩兰地;烧酒;⽩酒;⾷⽤酒精</t>
  </si>
  <si>
    <t>扶雨</t>
  </si>
  <si>
    <t>北京万水泉酒文化有限公司</t>
  </si>
  <si>
    <t>汽酒;⻩酒;⻨芽威⼠忌;混合威⼠忌酒;酸酒（低等葡萄酒）;鸡尾酒;蒸馏饮料;⽩酒;蒸煮提取物（利⼝酒和烈酒）;⽶酒;清酒（⽇本⽶酒）;威⼠忌;葡萄酒</t>
  </si>
  <si>
    <t>绍奎将</t>
  </si>
  <si>
    <t>海南京昌景文商务有限公司</t>
  </si>
  <si>
    <t>⽩酒;⻩酒;果酒（含酒精）;开胃酒;烧酒;蒸煮提取物（利⼝酒和烈酒）;酒精饮料（啤酒除外）;⽶酒;葡萄酒;清酒</t>
  </si>
  <si>
    <t>红指藤</t>
  </si>
  <si>
    <t>澳顿谷（成都）国际贸易有限公司</t>
  </si>
  <si>
    <t>⽩酒;甜酒;红葡萄酒;⽩葡萄酒;葡萄汽酒;⽩兰地;威⼠忌;以葡萄酒为主的饮料;加烈葡萄酒;葡萄酒</t>
  </si>
  <si>
    <t>邱台邱氏一家亲</t>
  </si>
  <si>
    <t>邱勇</t>
  </si>
  <si>
    <t>⻩酒;酒精饮料（啤酒除外）;果酒（含酒精）;开胃酒;葡萄酒;烧酒;⽶酒;⽩酒;蒸煮提取物（利⼝酒和烈酒）;清酒</t>
  </si>
  <si>
    <t>GSAN</t>
  </si>
  <si>
    <t>林天赐</t>
  </si>
  <si>
    <t>⽩兰地;⽩酒;葡萄酒;酒精饮料（啤酒除外）;清酒（⽇本⽶酒）;烧酒;⽇本梅⼦酒;威⼠忌;含酒精的充⽓饮料（啤酒除外）;⻩酒</t>
  </si>
  <si>
    <t>亚顺</t>
  </si>
  <si>
    <t>林广华</t>
  </si>
  <si>
    <t>果酒（含酒精）;蒸煮提取物（利⼝酒和烈酒）;鸡尾酒;起泡红葡萄酒;桃红葡萄酒;⽩酒;葡萄酒;红葡萄酒;以葡萄酒为主的开胃酒;⽶酒</t>
  </si>
  <si>
    <t>九尊精</t>
  </si>
  <si>
    <t>习静斋文化服务（宁波）有限公司</t>
  </si>
  <si>
    <t>薄荷酒;⻩酒;樱桃酒;⽩酒;烈酒（饮料）;蜂蜜酒;葡萄酒;⽶酒;开胃酒;清酒</t>
  </si>
  <si>
    <t>⽩酒;蒸煮提取物（利⼝酒和烈酒）;威⼠忌;烧酒;⾷⽤酒精;烈酒（饮料）;⽶酒;葡萄酒;⽩兰地;果酒（含酒精）</t>
  </si>
  <si>
    <t>姜源山甑</t>
  </si>
  <si>
    <t>姜才山</t>
  </si>
  <si>
    <t>蜂蜜酒;烈酒（饮料）;开胃酒;果酒（含酒精）;含⽔果酒精饮料;酒精饮料原汁;⽶酒;烧酒;鸡尾酒;葡萄酒</t>
  </si>
  <si>
    <t>御溢坊</t>
  </si>
  <si>
    <t>刘奋军</t>
  </si>
  <si>
    <t>⻘稞酒;葡萄酒;⽩酒;⽶酒;果酒;烈酒;开胃酒;烧酒;⻩酒;汽酒</t>
  </si>
  <si>
    <t>源头山甑</t>
  </si>
  <si>
    <t>葡萄酒;蜂蜜酒;鸡尾酒;含⽔果酒精饮料;烈酒（饮料）;⽶酒;烧酒;开胃酒;酒精饮料原汁;果酒（含酒精）</t>
  </si>
  <si>
    <t>情怀十三梦</t>
  </si>
  <si>
    <t>宿迁市臻酿酒业有限公司</t>
  </si>
  <si>
    <t>⽩酒;威⼠忌;果酒（含酒精）;⾼粱酒;烧酒;⽩⼲酒（中国⽩酒）;葡萄酒;清酒（⽇本⽶酒）;⽶酒;含酒精⽔果饮料</t>
  </si>
  <si>
    <t>十三情怀梦</t>
  </si>
  <si>
    <t>威⼠忌;烧酒;果酒（含酒精）;⽩酒;⽶酒;含酒精⽔果饮料;⾼粱酒;⽩⼲酒（中国⽩酒）;清酒（⽇本⽶酒）;葡萄酒</t>
  </si>
  <si>
    <t>刘银燕430922********3523</t>
  </si>
  <si>
    <t>⻩酒;⽩兰地;果酒（含酒精）;酒精饮料（啤酒除外）;⽩酒;苹果酒;鸡尾酒;⽶酒;威⼠忌;烧酒</t>
  </si>
  <si>
    <t>圆酌派</t>
  </si>
  <si>
    <t>四川慢工酒业有限公司</t>
  </si>
  <si>
    <t>汽酒;果酒;⽶酒;鸡尾酒;烈酒浓缩汁;甜酒;⽩酒;开胃酒;⻩酒;烧酒</t>
  </si>
  <si>
    <t>RED THUMBS</t>
  </si>
  <si>
    <t>葡萄酒;葡萄汽酒;⽩兰地;威⼠忌;⽩葡萄酒;以葡萄酒为主的饮料;⽩酒;红葡萄酒;甜酒;加烈葡萄酒</t>
  </si>
  <si>
    <t>冰堂上尊</t>
  </si>
  <si>
    <t>河南诚仕源贸易有限公司</t>
  </si>
  <si>
    <t>⽩酒;葡萄酒;含⽔果酒精饮料;伏特加酒;含酒精蛋奶酒;果酒;天然汽酒;⽩兰地;威⼠忌;预先混合的酒精饮料（以啤酒为主的除外）</t>
  </si>
  <si>
    <t>仁效堂</t>
  </si>
  <si>
    <t>任小卫</t>
  </si>
  <si>
    <t>葡萄酒;⾷⽤酒精;甜酒;⽩酒;清酒;⻩酒;开胃酒;果酒;汽酒;⽶酒</t>
  </si>
  <si>
    <t>香山论剑</t>
  </si>
  <si>
    <t>海南潮白水悦食品有限公司</t>
  </si>
  <si>
    <t>烈酒（饮料）;混合威⼠忌酒;薄荷酒;汽酒;鸡尾酒;酒精饮料原汁;开胃酒;以葡萄酒为主的饮料;蒸馏饮料;⻘稞酒</t>
  </si>
  <si>
    <t>RED THUMBS VINE</t>
  </si>
  <si>
    <t>以葡萄酒为主的饮料;⽩兰地;葡萄酒;⽩葡萄酒;葡萄汽酒;红葡萄酒;威⼠忌;加烈葡萄酒;甜酒;⽩酒</t>
  </si>
  <si>
    <t>叙泸春</t>
  </si>
  <si>
    <t>王亭</t>
  </si>
  <si>
    <t>⽩酒;烈酒（饮料）;⻩酒;清酒;烧酒;果酒（含酒精）;鸡尾酒;葡萄酒;⾷⽤酒精;酒精饮料（啤酒除外）</t>
  </si>
  <si>
    <t>襄檀溪</t>
  </si>
  <si>
    <t>襄阳虎头山石雕园林有限公司</t>
  </si>
  <si>
    <t>⻩酒;苦荞酒;清酒;⽶酒;甜⻩酒;开胃酒;预先混合的酒精饮料（以啤酒为主的除外）;酒精饮料（啤酒除外）;果酒;⽩酒</t>
  </si>
  <si>
    <t>晋叶</t>
  </si>
  <si>
    <t>深圳市爱利普思科技有限公司</t>
  </si>
  <si>
    <t>酒精饮料（啤酒除外）;含⽔果酒精饮料;烧酒;葡萄酒;蒸馏饮料;鸡尾酒;烈酒（饮料）;⾼粱酒;⽩酒;果酒（含酒精）</t>
  </si>
  <si>
    <t>上海岚丰酒业有限公司</t>
  </si>
  <si>
    <t>以葡萄酒为主的饮料;利⼝酒;果酒（含酒精）;含酒精的饮料（啤酒除外）;威⼠忌;酒精饮料原汁;葡萄酒;⽩兰地;以朗姆酒为主的饮料;红葡萄酒</t>
  </si>
  <si>
    <t>王维文宗六曲</t>
  </si>
  <si>
    <t>水墨时间榜（北京）文化艺术有限公司</t>
  </si>
  <si>
    <t>蜂蜜酒;酒精饮料（啤酒除外）;烧酒;⽩酒;⽶酒;⻩酒;蒸馏饮料;樱桃酒;烈酒（饮料）;果酒（含酒精）</t>
  </si>
  <si>
    <t>中选天下</t>
  </si>
  <si>
    <t>郑杰</t>
  </si>
  <si>
    <t>⽩⼲酒（中国⽩酒）;⽩酒;果酒;烧酒（烈酒）;⾼粱酒;⽼酒（中国蒸馏烈酒）;已调味的蒸馏酒;由⾕物蒸馏的⽩酒;酒精饮料（啤酒除外）;含酒精的饮料（啤酒除外）</t>
  </si>
  <si>
    <t>王桂钢</t>
  </si>
  <si>
    <t>果酒（含酒精）;露酒;葡萄酒;酒精饮料（啤酒除外）;甜酒;⽩酒;⾕物制蒸馏酒精饮料;⽶酒;佐餐酒;调制好的葡萄酒鸡尾酒</t>
  </si>
  <si>
    <t>云南壬一酒业有限公司</t>
  </si>
  <si>
    <t>果酒（含酒精）;⽩酒;烧酒;⾕物制蒸馏酒精饮料;⾼粱酒;⽼酒（中国蒸馏烈酒）;⽶酒;酒精饮料（啤酒除外）;⻩酒;葡萄酒</t>
  </si>
  <si>
    <t>半山庐</t>
  </si>
  <si>
    <t>珞客文化（湖北）有限公司</t>
  </si>
  <si>
    <t>鸡尾酒;⻩酒;⽩酒;烈酒（饮料）;开胃酒;含⽔果酒精饮料;汽酒;果酒（含酒精）;酒精饮料（啤酒除外）;葡萄酒</t>
  </si>
  <si>
    <t>迎龙潭</t>
  </si>
  <si>
    <t>王波</t>
  </si>
  <si>
    <t>烧酒;⽩酒;烈酒（饮料）;酒精饮料原汁;⻩酒;果酒（含酒精）;⽶酒;酒精饮料（啤酒除外）;餐后酒（利⼝酒和烈酒）;葡萄酒</t>
  </si>
  <si>
    <t>秦佳禄</t>
  </si>
  <si>
    <t>酒精饮料（啤酒除外）;清酒（⽇本⽶酒）;果酒（含酒精）;蒸馏饮料;烧酒;⽶酒;⻘稞酒;⾷⽤酒精;⽩酒;葡萄酒</t>
  </si>
  <si>
    <t>成都玛萨斯贝斯科技有限公司</t>
  </si>
  <si>
    <t>烈酒;餐后酒（利⼝酒和烈酒）;果酒（含酒精）;威⼠忌;⽩酒;薄荷酒;开胃酒;酒精饮料浓缩汁;酒精饮料（啤酒除外）;鸡尾酒</t>
  </si>
  <si>
    <t>盐池县悯农供销集团有限公司</t>
  </si>
  <si>
    <t>葡萄酒;⽩酒;含⽔果酒精饮料;⻩酒;⽶酒;⾕物制蒸馏酒精饮料;蒸馏饮料;果酒;以葡萄酒为主的饮料;酒精饮料（啤酒除外）</t>
  </si>
  <si>
    <t>大唐瀛天下</t>
  </si>
  <si>
    <t>贵州大曲鸿基酒业有限公司</t>
  </si>
  <si>
    <t>⾕物制蒸馏酒精饮料;⻩酒;⽼酒（中国蒸馏烈酒）;含酒精的饮料（啤酒除外）;烧酒;酒精饮料（啤酒除外）;⽩酒;⽩⼲酒（中国⽩酒）;⾷⽤酒精;⾼粱酒</t>
  </si>
  <si>
    <t>邹开良酒道馆</t>
  </si>
  <si>
    <t>贵州邹开良酒业有限公司</t>
  </si>
  <si>
    <t>葡萄酒;⾷⽤酒精;果酒（含酒精）;⽶酒;含⽔果酒精饮料;烧酒;鸡尾酒;⻩酒;⽩酒;酒精饮料（啤酒除外）</t>
  </si>
  <si>
    <t>邹开良酒窖</t>
  </si>
  <si>
    <t>米酒;果酒（含酒精）;葡萄酒;酒精饮料（啤酒除外）;含水果酒精饮料;食用酒精;烧酒;鸡尾酒;黄酒;白酒</t>
  </si>
  <si>
    <t>楚清王</t>
  </si>
  <si>
    <t>廖串妹</t>
  </si>
  <si>
    <t>滇西云凤醉</t>
  </si>
  <si>
    <t>恩施州新聚农食品科技有限公司</t>
  </si>
  <si>
    <t>⽩酒;蒸馏饮料;蜂蜜酒;酒精饮料原汁;柑⾹酒;酸酒（低等葡萄酒）;⻘稞酒;烧酒;葡萄酒;⽶酒</t>
  </si>
  <si>
    <t>赢传台</t>
  </si>
  <si>
    <t>禤海东</t>
  </si>
  <si>
    <t>⽶酒;烧酒;鸡尾酒;樱桃酒;⻩酒;⽩酒;⽩兰地;开胃酒;葡萄酒;梨酒</t>
  </si>
  <si>
    <t>PORHUBERT</t>
  </si>
  <si>
    <t>林洪武</t>
  </si>
  <si>
    <t>葡萄酒;⽩酒;⽶酒;烈酒（饮料）;烧酒;以葡萄酒为主的饮料;鸡尾酒;果酒（含酒精）;⽩兰地;威⼠忌</t>
  </si>
  <si>
    <t>畅致醉</t>
  </si>
  <si>
    <t>贵州军伟恒酒业有限公司</t>
  </si>
  <si>
    <t>鸡尾酒;烈酒（饮料）;⽶酒;⾼粱酒;烈酒;果酒;红葡萄酒;⽼酒（中国蒸馏烈酒）;酒精饮料（啤酒除外）;⽩酒</t>
  </si>
  <si>
    <t>贵族飞要酒</t>
  </si>
  <si>
    <t>胡学成</t>
  </si>
  <si>
    <t>葡萄酒;⽩酒;威⼠忌;⽶酒;伏特加酒;果酒（含酒精）;烈酒（饮料）;酒精饮料（啤酒除外）;烧酒;⻩酒</t>
  </si>
  <si>
    <t>邹开良酒庄</t>
  </si>
  <si>
    <t>⽶酒;葡萄酒;⻩酒;⽩酒;酒精饮料（啤酒除外）;果酒（含酒精）;鸡尾酒;烧酒;含⽔果酒精饮料;⾷⽤酒精</t>
  </si>
  <si>
    <t>思念清花</t>
  </si>
  <si>
    <t>谷世国</t>
  </si>
  <si>
    <t>烧酒;⽩酒;利⼝酒;酒精饮料原汁;⾼粱酒;酒精饮料（啤酒除外）;开胃酒;烈酒（饮料）;⻩酒;⽶酒</t>
  </si>
  <si>
    <t>詹森</t>
  </si>
  <si>
    <t>易扬杰</t>
  </si>
  <si>
    <t>⽩酒;葡萄酒;⽶酒;烈酒（饮料）;烧酒;清酒（⽇本⽶酒）;⻩酒;果酒（含酒精）;威⼠忌;鸡尾酒</t>
  </si>
  <si>
    <t>匠百分</t>
  </si>
  <si>
    <t>张睿月</t>
  </si>
  <si>
    <t>⻩酒;果酒;鸡尾酒;含酒精的饮料（啤酒除外）;⽩酒;烧酒;清酒;含⽔果酒精饮料;⾼粱酒;葡萄酒</t>
  </si>
  <si>
    <t>邹开良酒池</t>
  </si>
  <si>
    <t>鸡尾酒;葡萄酒;含⽔果酒精饮料;⽶酒;烧酒;⻩酒;⾷⽤酒精;酒精饮料（啤酒除外）;⽩酒;果酒（含酒精）</t>
  </si>
  <si>
    <t>延吉市龙金信息服务部</t>
  </si>
  <si>
    <t>含⽔果酒精饮料;⽶酒;烧酒;鸡尾酒;预先混合的酒精饮料（以啤酒为主的除外）;葡萄酒;⽩酒;果酒;⽩兰地;⻩酒</t>
  </si>
  <si>
    <t>九久易禾</t>
  </si>
  <si>
    <t>张杰文</t>
  </si>
  <si>
    <t>除啤酒外的酒精饮料;梅酒;薄荷酒;⽩兰地;以葡萄酒为主的饮料;葡萄酒;⽩酒;威⼠忌;⻩酒;含⽔果酒精饮料</t>
  </si>
  <si>
    <t>TEHAOLA</t>
  </si>
  <si>
    <t>深圳市特好拉科技有限公司</t>
  </si>
  <si>
    <t>果酒（含酒精）;苹果酒;⽩酒;⽶酒;薄荷酒;鸡尾酒;汽酒;烧酒;苦味酒;葡萄酒</t>
  </si>
  <si>
    <t>务边</t>
  </si>
  <si>
    <t>北京科莱博医药开发有限责任公司</t>
  </si>
  <si>
    <t>鸡尾酒;⽶酒;烈酒（饮料）;葡萄酒;烧酒;⻩酒;蒸馏饮料;果酒（含酒精）;⽩酒;酒精饮料（啤酒除外）</t>
  </si>
  <si>
    <t>满湖春</t>
  </si>
  <si>
    <t>湖北满湖春酒业有限责任公司</t>
  </si>
  <si>
    <t>葡萄酒;⻩酒;⻘稞酒;烈酒;⽩酒;果酒（含酒精）;蜂蜜酒;⽩兰地;清酒（⽇本⽶酒）;⽶酒</t>
  </si>
  <si>
    <t>芸鸣</t>
  </si>
  <si>
    <t>咏芮（上海）品牌管理有限公司</t>
  </si>
  <si>
    <t>葡萄酒;餐后酒（利⼝酒和烈酒）;⽩酒;清酒（⽇本⽶酒）;烧酒;⻩酒;威⼠忌;朗姆酒;⽩兰地;酒精饮料（啤酒除外）</t>
  </si>
  <si>
    <t>鹿鸣祥瑞</t>
  </si>
  <si>
    <t>北京鹿鸣祥瑞文化传播有限公司</t>
  </si>
  <si>
    <t>鸡尾酒;蜂蜜酒;甜酒;⻘稞酒;葡萄酒;烈酒（饮料）;⽩酒;⻩酒;威⼠忌;开胃酒</t>
  </si>
  <si>
    <t>泸三桂</t>
  </si>
  <si>
    <t>四川宴美佳果农产品有限公司</t>
  </si>
  <si>
    <t>果酒（含酒精）;烧酒;含⽔果酒精饮料;⾷⽤酒精;葡萄酒;⾕物制蒸馏酒精饮料;⽩酒;酒精饮料原汁;⽩兰地;酒精饮料（啤酒除外）</t>
  </si>
  <si>
    <t>萧然故事</t>
  </si>
  <si>
    <t>浙江瀚天石文化发展有限公司</t>
  </si>
  <si>
    <t>酒精饮料（啤酒除外）;葡萄酒;⽩酒;鸡尾酒;烧酒;开胃酒;威⼠忌;果酒（含酒精）;⽶酒;蜂蜜酒</t>
  </si>
  <si>
    <t>忆情画域</t>
  </si>
  <si>
    <t>李晓</t>
  </si>
  <si>
    <t>⽶酒;开胃酒;⽼酒（中国蒸馏烈酒）;含酒精的鸡尾酒混合饮品;利⼝酒;葡萄酒;⾼粱酒;果酒;烧酒（烈酒）;⽩酒</t>
  </si>
  <si>
    <t>匠王赋</t>
  </si>
  <si>
    <t>匠王台酒业销售有限公司</t>
  </si>
  <si>
    <t>露酒;葡萄酒;威⼠忌;果酒（含酒精）;⻘稞酒;⻩酒;烧酒;酒精饮料（啤酒除外）;⽩酒;⽶酒</t>
  </si>
  <si>
    <t>敖盛泉</t>
  </si>
  <si>
    <t>李晓芹</t>
  </si>
  <si>
    <t>葡萄酒;⾕物制蒸馏酒精饮料;烧酒;烈酒;已调味的蒸馏酒;⽶酒;酒精饮料（啤酒除外）;⽩酒;开胃酒;果酒（含酒精）</t>
  </si>
  <si>
    <t>贵山禄</t>
  </si>
  <si>
    <t>李恒儒</t>
  </si>
  <si>
    <t>蒸馏饮料;果酒（含酒精）;由⾕物蒸馏的⽩酒;⽩酒;⽼酒（中国蒸馏烈酒）;含酒精⽔果饮料;烧酒（烈酒）;威⼠忌;⾼粱酒;葡萄酒</t>
  </si>
  <si>
    <t>悦脑</t>
  </si>
  <si>
    <t>认知与生命科学研究院（云南）有限公司</t>
  </si>
  <si>
    <t>已调味的蒸馏酒;果酒;⽶酒;⽼酒（中国蒸馏烈酒）;⾼粱酒;⽩酒;清酒;朗姆酒（酒精饮料）;⽩⼲酒（中国⽩酒）;红葡萄酒</t>
  </si>
  <si>
    <t>石屋山</t>
  </si>
  <si>
    <t>山东石屋山酒业有限公司</t>
  </si>
  <si>
    <t>烧酒;威⼠忌;伏特加酒;果酒（含酒精）;蜂蜜酒;烈酒（饮料）;含⽔果酒精饮料;葡萄酒;酒精饮料（啤酒除外）;⽶酒</t>
  </si>
  <si>
    <t>木笔</t>
  </si>
  <si>
    <t>清酒（⽇本⽶酒）;威⼠忌;烈酒（饮料）;葡萄酒;⽩酒;⽩兰地;酒精饮料（啤酒除外）;⽶酒;以葡萄酒为主的饮料;果酒（含酒精）</t>
  </si>
  <si>
    <t>礼匠梦</t>
  </si>
  <si>
    <t>买玉旺</t>
  </si>
  <si>
    <t>⻩酒;⽩兰地;果酒（含酒精）;葡萄酒;⽩酒;鸡尾酒;蒸馏饮料;⽶酒;烧酒;威⼠忌</t>
  </si>
  <si>
    <t>卡罗奈斯金伯爵</t>
  </si>
  <si>
    <t>济南恒悦酒业有限公司</t>
  </si>
  <si>
    <t>⽩酒;伏特加酒;威⼠忌;⽩兰地;开胃酒;酒精饮料（啤酒除外）;果酒（含酒精）;葡萄酒;朗姆酒;鸡尾酒</t>
  </si>
  <si>
    <t>绝境新生</t>
  </si>
  <si>
    <t>中酒银河科技（郑州）有限公司</t>
  </si>
  <si>
    <t>酒精饮料（啤酒除外）;烧酒;⻩酒;露酒;葡萄酒;果酒（含酒精）;威⼠忌;⽩酒;⻘稞酒;⽶酒</t>
  </si>
  <si>
    <t>2024/05/16</t>
  </si>
  <si>
    <t>天天妙妙</t>
  </si>
  <si>
    <t>泉州市天晟商贸有限公司</t>
  </si>
  <si>
    <t>鸡尾酒;伏特加酒;果酒;烈酒（饮料）;烧酒;薄荷酒;⽩酒;⽩兰地;葡萄酒;威⼠忌</t>
  </si>
  <si>
    <t>良念</t>
  </si>
  <si>
    <t>张小虎</t>
  </si>
  <si>
    <t>葡萄酒;果酒（含酒精）;蜂蜜酒;⽩酒;烧酒;甜酒;草莓酒;⽶酒;⻩酒;清酒</t>
  </si>
  <si>
    <t>荔力</t>
  </si>
  <si>
    <t>广东顺德酒厂有限公司</t>
  </si>
  <si>
    <t>⻩酒;⾼粱酒;酒精饮料（啤酒除外）;已调味的蒸馏酒;烧酒;⽼酒（中国蒸馏烈酒）;⽶酒;烈酒;⽩酒;果酒（含酒精）</t>
  </si>
  <si>
    <t>海南云仓供应链管理有限公司</t>
  </si>
  <si>
    <t>葡萄酒;烧酒;⽩酒;开胃酒;威⼠忌;清酒（⽇本⽶酒）;伏特加酒;果酒（含酒精）;⽩兰地;烈酒（饮料）</t>
  </si>
  <si>
    <t>子寅</t>
  </si>
  <si>
    <t>亳州市醉蓬莱酒业有限责任公司</t>
  </si>
  <si>
    <t>⽩酒;⻘梅酒;烧酒（烈酒）;⾕物制蒸馏酒精饮料;⽩⼲酒（中国⽩酒）;烧酒;⻩酒;⾼粱酒;由⾕物蒸馏的⽩酒</t>
  </si>
  <si>
    <t>杭州奇诺贸易有限公司</t>
  </si>
  <si>
    <t>酒精饮料浓缩汁;葡萄酒;蒸馏饮料;预先混合的酒精饮料（以啤酒为主的除外）;果酒（含酒精）;含⽔果酒精饮料;开胃酒;酒精饮料（啤酒除外）;烧酒;酒精饮料原汁</t>
  </si>
  <si>
    <t>老弗嘢</t>
  </si>
  <si>
    <t>佛山市顺德区瓷娃美容护肤品科技有限公司</t>
  </si>
  <si>
    <t>⽩酒;⽼酒（中国蒸馏烈酒）;⻘稞酒;以葡萄酒为主的饮料;⾼粱酒;⽩⼲酒（中国⽩酒）;⽶酒;葡萄酒;⾕物制蒸馏酒精饮料;⻩酒</t>
  </si>
  <si>
    <t>豪仑狮大成门</t>
  </si>
  <si>
    <t>张程茗</t>
  </si>
  <si>
    <t>预先混合的酒精饮料（以啤酒为主的除外）;伏特加酒;果酒（含酒精）;鸡尾酒;朗姆酒;葡萄酒;威⼠忌;利⼝酒;⽩兰地;蒸煮提取物（利⼝酒和烈酒）</t>
  </si>
  <si>
    <t>顺龘顺</t>
  </si>
  <si>
    <t>佛山市顺德区桦林企业管理咨询有限公司</t>
  </si>
  <si>
    <t>⻘稞酒;预先混合的酒精饮料（以啤酒为主的除外）;⽶酒;酒精饮料（啤酒除外）;⽩酒;⻩酒;果酒（含酒精）;尼⽡（以⽢蔗为主的酒精饮料）;葡萄酒;烧酒</t>
  </si>
  <si>
    <t>沙丘酒祖</t>
  </si>
  <si>
    <t>祁利民</t>
  </si>
  <si>
    <t>⾼粱酒;葡萄酒;红葡萄酒;⽩酒;果酒;烈性⼲酒;⻩酒;果酒（含酒精）;⻘稞酒;烧酒</t>
  </si>
  <si>
    <t>茶健山</t>
  </si>
  <si>
    <t>山东乾明生物科技有限公司</t>
  </si>
  <si>
    <t>果酒（含酒精）;樱桃酒;梨酒;含⽔果酒精饮料;鸡尾酒;苹果酒;葡萄酒;⽩酒;汽酒;薄荷酒</t>
  </si>
  <si>
    <t>杨建合</t>
  </si>
  <si>
    <t>果酒（含酒精）;烈酒（饮料）;鸡尾酒;葡萄酒;⻩酒;利⼝酒;酒精饮料（啤酒除外）;开胃酒;酒精饮料原汁;⽩酒</t>
  </si>
  <si>
    <t>峸泉</t>
  </si>
  <si>
    <t>代湃</t>
  </si>
  <si>
    <t>蒸馏饮料;⽩兰地;⾕物制蒸馏酒精饮料;烧酒;威⼠忌;果酒;薄荷酒;苹果酒;梨酒;⽩酒</t>
  </si>
  <si>
    <t>辉天下</t>
  </si>
  <si>
    <t>清酒;⽶酒;露酒;果酒（含酒精）;⻩酒;烈酒;烧酒;⾼粱酒;葡萄酒;⽩酒</t>
  </si>
  <si>
    <t>呵宝缘</t>
  </si>
  <si>
    <t>惠州市清晟园生态文化科技有限公司</t>
  </si>
  <si>
    <t>果酒（含酒精）;蒸馏饮料;含⽔果酒精饮料;⽶酒;⻩酒;威⼠忌;⽩酒;⽩兰地;酒精饮料（啤酒除外）;葡萄酒</t>
  </si>
  <si>
    <t>浙江溢宸纺织品有限公司</t>
  </si>
  <si>
    <t>⽶酒;伏特加酒;⾷⽤酒精;鸡尾酒;果酒;⽩酒;葡萄酒;烧酒;⻩酒;威⼠忌</t>
  </si>
  <si>
    <t>DJYXU</t>
  </si>
  <si>
    <t>杭州楚云文化传媒有限公司</t>
  </si>
  <si>
    <t>葡萄酒;⽩兰地;烈酒;⽩酒;果酒;鸡尾酒;⻩酒;朗姆酒（酒精饮料）;酒精饮料（啤酒除外）;⽼酒（中国蒸馏烈酒）</t>
  </si>
  <si>
    <t>扶将</t>
  </si>
  <si>
    <t>扶余市玖日食品厂</t>
  </si>
  <si>
    <t>⾕物制蒸馏酒精饮料;伏特加酒;葡萄酒;樱桃酒;餐后酒（利⼝酒和烈酒）;⾷⽤酒精;亚⼒酒;鸡尾酒;蜂蜜酒;⽶酒;⽩兰地;清酒（⽇本⽶酒）</t>
  </si>
  <si>
    <t>MINGHEYUN</t>
  </si>
  <si>
    <t>江苏茗鹤信息技术有限公司</t>
  </si>
  <si>
    <t>酒精饮料（啤酒除外）;葡萄酒;⽶酒;果酒;⾼粱酒;⽩酒;蒸馏饮料;烧酒;⻩酒;利⼝酒</t>
  </si>
  <si>
    <t>葛珍好</t>
  </si>
  <si>
    <t>张红清</t>
  </si>
  <si>
    <t>⽩酒;⽶酒;⽩兰地;葡萄酒;鸡尾酒;烈酒（饮料）;酒精饮料（啤酒除外）;清酒（⽇本⽶酒）;⾕物制蒸馏酒精饮料;酒精饮料浓缩汁</t>
  </si>
  <si>
    <t>LA GRITONA</t>
  </si>
  <si>
    <t>拉格里托纳有限责任公司</t>
  </si>
  <si>
    <t>蒸馏饮料;含酒精⽔果饮料;含酒精的⽓泡⽔;酒精饮料（啤酒除外）;预先混合的酒精饮料（以啤酒为主的除外）</t>
  </si>
  <si>
    <t>守赋</t>
  </si>
  <si>
    <t>曾明青</t>
  </si>
  <si>
    <t>⻩酒;⻘稞酒;⽩酒;酸酒（低等葡萄酒）;⽶酒;苹果酒;朗姆酒;烧酒;甜果酒;清酒（⽇本⽶酒）</t>
  </si>
  <si>
    <t>LOVEFUN 拉芳</t>
  </si>
  <si>
    <t>拉芳家化股份有限公司</t>
  </si>
  <si>
    <t>果酒（含酒精）;⽩酒;⽩兰地;⻘稞酒;⻩酒;清酒（⽇本⽶酒）;威⼠忌;酒精饮料（啤酒除外）;⽶酒;葡萄酒</t>
  </si>
  <si>
    <t>育焉堂</t>
  </si>
  <si>
    <t>汪伟</t>
  </si>
  <si>
    <t>含酒精的⽓泡⽔;开胃酒;清酒;⻩酒;含⽔果酒精饮料;烧酒;⽩兰地;鸡尾酒;葡萄酒;果酒（含酒精）</t>
  </si>
  <si>
    <t>辉勋</t>
  </si>
  <si>
    <t>烈酒;⾼粱酒;果酒（含酒精）;露酒;葡萄酒;烧酒;⻩酒;⽩酒;清酒;⽶酒</t>
  </si>
  <si>
    <t>银海囍点</t>
  </si>
  <si>
    <t>湛江悦珑荟餐饮管理有限公司</t>
  </si>
  <si>
    <t>以葡萄酒为主的饮料;⻩酒;⽩酒;⽶酒;果酒（含酒精）;烧酒;利⼝酒;烈酒（饮料）;酒精饮料原汁;含⽔果酒精饮料</t>
  </si>
  <si>
    <t>幸酝儿</t>
  </si>
  <si>
    <t>覃辰辰</t>
  </si>
  <si>
    <t>果酒（含酒精）;葡萄酒;威⼠忌;⻩酒;开胃酒;⽩酒;鸡尾酒;清酒（⽇本⽶酒）;烈酒;酒精饮料（啤酒除外）</t>
  </si>
  <si>
    <t>2024/05/17</t>
  </si>
  <si>
    <t>绶鸟之王</t>
  </si>
  <si>
    <t>遇见酒业（大连）有限公司</t>
  </si>
  <si>
    <t>酒精饮料原汁;含⽔果酒精饮料;⽩酒;鸡尾酒;果酒;酒精饮料（啤酒除外）;汽酒;葡萄酒;⻩酒;烧酒</t>
  </si>
  <si>
    <t>柠萌怪兽</t>
  </si>
  <si>
    <t>上海圆容企业发展有限公司</t>
  </si>
  <si>
    <t>汽酒;葡萄酒;以葡萄酒为主的饮料;预先混合的酒精饮料（以啤酒为主的除外）;调制好的葡萄酒鸡尾酒;含酒精⽔果饮料;果酒（含酒精）;鸡尾酒;含酒精的鸡尾酒混合饮品;含酒精的⽔果鸡尾酒饮料</t>
  </si>
  <si>
    <t>上海元气医疗科技集团有限公司</t>
  </si>
  <si>
    <t>蒸馏饮料;葡萄酒;烈酒（饮料）;清酒（⽇本⽶酒）;⽶酒;伏特加酒;鸡尾酒;⻩酒;果酒（含酒精）;威⼠忌</t>
  </si>
  <si>
    <t>姬伍烧坊</t>
  </si>
  <si>
    <t>⽶酒;葡萄酒;酸酒（低等葡萄酒）;⻩酒;烧酒;⾷⽤酒精;⽩酒;苦味酒;⾕物制蒸馏酒精饮料;柑⾹酒</t>
  </si>
  <si>
    <t>歆译</t>
  </si>
  <si>
    <t>蔡明刚</t>
  </si>
  <si>
    <t>⻘稞酒;烈酒;鸡尾酒;葡萄酒;⽩酒;朗姆酒;果酒;⻩酒;⽶酒;酒精饮料原汁</t>
  </si>
  <si>
    <t>壶中笑</t>
  </si>
  <si>
    <t>张庆</t>
  </si>
  <si>
    <t>烧酒;⽩⼲酒（中国⽩酒）;烧酒（烈酒）;含酒精的饮料（啤酒除外）;烈酒;⽩酒;⽶酒;葡萄酒;蒸馏饮料;餐后酒（利⼝酒和烈酒）</t>
  </si>
  <si>
    <t>道朗格</t>
  </si>
  <si>
    <t>黑龙江美高美商贸有限公司</t>
  </si>
  <si>
    <t>果酒（含酒精）;⽶酒;⻩酒;葡萄酒;烈酒（饮料）;鸡尾酒;⽩酒;烧酒;⾼粱酒;酒精饮料（啤酒除外）</t>
  </si>
  <si>
    <t>集贤颂</t>
  </si>
  <si>
    <t>福建明集荟科技发展有限公司</t>
  </si>
  <si>
    <t>酒精饮料（啤酒除外）;果酒（含酒精）;⽶酒;烧酒;清酒（⽇本⽶酒）;⻩酒;⽩酒;葡萄酒;烈酒（饮料）;鸡尾酒</t>
  </si>
  <si>
    <t>SK SUN KOALA</t>
  </si>
  <si>
    <t>新濠世纪(深圳)国际贸易有限公司</t>
  </si>
  <si>
    <t>由⾕物蒸馏的⽩酒;⽩⼲酒（中国⽩酒）;⽼酒（中国蒸馏烈酒）;红葡萄酒;⽩葡萄酒;以葡萄酒为主的饮料;⽩酒;葡萄酒;烈酒;果酒</t>
  </si>
  <si>
    <t>映青天</t>
  </si>
  <si>
    <t>李庆</t>
  </si>
  <si>
    <t>⽩⼲酒（中国⽩酒）;苦荞酒;⾼粱酒;⽶酒;甜酒;果酒;⻩酒;⽩酒;红葡萄酒;汽酒</t>
  </si>
  <si>
    <t>白益兰</t>
  </si>
  <si>
    <t>福建省学松工程机械有限公司</t>
  </si>
  <si>
    <t>开胃酒;⻩酒;烧酒;以葡萄酒为主的饮料;⽶酒;⽩酒;⾷⽤酒精;葡萄酒;清酒（⽇本⽶酒）;果酒（含酒精）</t>
  </si>
  <si>
    <t>盛藏青</t>
  </si>
  <si>
    <t>许培</t>
  </si>
  <si>
    <t>⽩兰地;⽩酒;烈酒（饮料）;果酒（含酒精）;鸡尾酒;开胃酒;烧酒;朗姆酒;⾕物制蒸馏酒精饮料;⾼粱酒</t>
  </si>
  <si>
    <t>桑丘潘沙</t>
  </si>
  <si>
    <t>香港哈伯纳集团有限公司</t>
  </si>
  <si>
    <t>果酒（含酒精）;⽩兰地;酒精饮料原汁;威⼠忌;⽶酒;含⽔果酒精饮料;⽩酒;葡萄酒;烧酒;⻩酒</t>
  </si>
  <si>
    <t>SHIE JIRA WINER</t>
  </si>
  <si>
    <t>徐玉洁</t>
  </si>
  <si>
    <t>酒精饮料（啤酒除外）;⾷⽤酒精;不起泡葡萄酒;桃红葡萄酒;含酒精⽔果饮料;⻩酒;含⽔果酒精饮料;烧酒;红葡萄酒;⽩酒</t>
  </si>
  <si>
    <t>大汗王蒙天下</t>
  </si>
  <si>
    <t>呼伦贝尔手工坊酿酒有限责任公司</t>
  </si>
  <si>
    <t>⻘稞酒;烧酒;已调味的蒸馏酒;果酒（含酒精）;⽩酒;葡萄酒;酒精饮料（啤酒除外）;⻩酒;⽶酒;鸡尾酒</t>
  </si>
  <si>
    <t>河南优通科技有限公司</t>
  </si>
  <si>
    <t>⽇式甜⽶酒;果酒;开胃酒;⽩⼲酒（中国⽩酒）;⻩酒;⾼粱酒;葡萄酒;⽶酒;⽼酒（中国蒸馏烈酒）;⽩酒</t>
  </si>
  <si>
    <t>周秉宏</t>
  </si>
  <si>
    <t>周丙宏</t>
  </si>
  <si>
    <t>⽩酒;五加⽪酒（中国混合烈酒）;葡萄酒;梅酒;含酒精的饮料（啤酒除外）;鸡尾酒;果酒（含酒精）;⻩酒;烧酒;清酒</t>
  </si>
  <si>
    <t>禧小匠</t>
  </si>
  <si>
    <t>胡慧敏</t>
  </si>
  <si>
    <t>果酒（含酒精）;开胃酒;威⼠忌;⽩酒;清酒（⽇本⽶酒）;烈酒;葡萄酒;⻩酒;鸡尾酒;酒精饮料（啤酒除外）</t>
  </si>
  <si>
    <t>锦小匠</t>
  </si>
  <si>
    <t>开胃酒;葡萄酒;⽩酒;⻩酒;威⼠忌;清酒（⽇本⽶酒）;果酒（含酒精）;酒精饮料（啤酒除外）;烈酒;鸡尾酒</t>
  </si>
  <si>
    <t>河之醑</t>
  </si>
  <si>
    <t>北京缘来柿你文化发展有限公司</t>
  </si>
  <si>
    <t>葡萄酒;⽶酒;⻩酒;鸡尾酒;烈酒（饮料）;⽩酒;酒精饮料（啤酒除外）;果酒（含酒精）;烧酒;⽢蔗制烈酒</t>
  </si>
  <si>
    <t>雍紫香</t>
  </si>
  <si>
    <t>北京启心科技有限公司</t>
  </si>
  <si>
    <t>起泡⽩葡萄酒;起泡红葡萄酒;葡萄汽酒;调制好的葡萄酒鸡尾酒;威⼠忌;不起泡葡萄酒;⽶酒;红葡萄酒;⽩酒;葡萄酒</t>
  </si>
  <si>
    <t>晓海煜</t>
  </si>
  <si>
    <t>李海鹏</t>
  </si>
  <si>
    <t>露酒;蒸煮提取物（利⼝酒和烈酒）;利⼝酒;清酒（⽇本⽶酒）;除啤酒外的酒精饮料;⽶酒;⽩酒;烧酒;葡萄酒;烈酒</t>
  </si>
  <si>
    <t>悦安幸福村</t>
  </si>
  <si>
    <t>悦安幸福村（海南）科技有限公司</t>
  </si>
  <si>
    <t>果酒（含酒精）;⽩酒;⽼酒（中国蒸馏烈酒）;烧酒;⻩酒;⽶酒</t>
  </si>
  <si>
    <t>胡匠</t>
  </si>
  <si>
    <t>四川聚美优视文化传媒有限公司</t>
  </si>
  <si>
    <t>鸡尾酒;葡萄酒;⻩酒;⽩⼲酒（中国⽩酒）;⽼酒（中国蒸馏烈酒）;果酒（含酒精）;⽶酒;⽩酒;烧酒;露酒</t>
  </si>
  <si>
    <t>诚让</t>
  </si>
  <si>
    <t>陈劲珍</t>
  </si>
  <si>
    <t>⽶酒;⽩兰地;果酒（含酒精）;⽩酒;⾷⽤酒精;威⼠忌;葡萄酒;烧酒;⻩酒;鸡尾酒</t>
  </si>
  <si>
    <t>乐仁尚酒</t>
  </si>
  <si>
    <t>津药达仁堂集团股份有限公司</t>
  </si>
  <si>
    <t>含酒精的⽓泡⽔;汽酒;酒精饮料（啤酒除外）;含⽔果酒精饮料;酒精饮料浓缩汁;⻩酒;⽩酒;果酒（含酒精）;酒精饮料原汁;烧酒</t>
  </si>
  <si>
    <t>杭州锦煌科技有限公司</t>
  </si>
  <si>
    <t>酒精饮料（啤酒除外）;⽶酒;预先混合的酒精饮料（以啤酒为主的除外）;⽩酒;含⽔果酒精饮料;果酒（含酒精）;烧酒;葡萄酒;⾷⽤酒精;烈酒（饮料）</t>
  </si>
  <si>
    <t>贡修堂</t>
  </si>
  <si>
    <t>张钊</t>
  </si>
  <si>
    <t>开胃酒;⻩酒;果酒;汽酒;清酒;葡萄酒;⾷⽤酒精;⽩酒;⽶酒;甜酒</t>
  </si>
  <si>
    <t>福海馋</t>
  </si>
  <si>
    <t>翁源万福生态旅游发展有限公司</t>
  </si>
  <si>
    <t>鸡尾酒;伏特加酒;酒精饮料（啤酒除外）;酒精饮料原汁;⽩酒;清酒（⽇本⽶酒）;烈酒（饮料）;⽶酒;威⼠忌;葡萄酒</t>
  </si>
  <si>
    <t>屿儿旺</t>
  </si>
  <si>
    <t>关艳清</t>
  </si>
  <si>
    <t>烈酒（饮料）;含⽔果酒精饮料;果酒（含酒精）;酒精饮料（啤酒除外）;⽩酒;⽶酒;蒸馏饮料;葡萄酒;酒精饮料浓缩汁;烧酒</t>
  </si>
  <si>
    <t>豫田家品</t>
  </si>
  <si>
    <t>白城市尚校酒业有限公司</t>
  </si>
  <si>
    <t>⽼酒（中国蒸馏烈酒）;烈酒;⽩⼲酒（中国⽩酒）;含酒精的饮料（啤酒除外）</t>
  </si>
  <si>
    <t>丰赡</t>
  </si>
  <si>
    <t>杨静</t>
  </si>
  <si>
    <t>⽩酒;果酒（含酒精）;葡萄酒;酒精饮料（啤酒除外）;威⼠忌;烈酒;开胃酒;鸡尾酒;清酒（⽇本⽶酒）;⻩酒</t>
  </si>
  <si>
    <t>歆毅</t>
  </si>
  <si>
    <t>果酒;烈酒;酒精饮料原汁;⻘稞酒;⽩酒;朗姆酒;⻩酒;鸡尾酒;葡萄酒;⽶酒</t>
  </si>
  <si>
    <t>谜舍</t>
  </si>
  <si>
    <t>兰海霞</t>
  </si>
  <si>
    <t>烧酒;⽶酒;汽酒;酒精饮料（啤酒除外）;果酒（含酒精）;⽩酒;⻘稞酒;清酒;烈酒（饮料）;⻩酒</t>
  </si>
  <si>
    <t>宝艺和</t>
  </si>
  <si>
    <t>北京国文盛世文化传媒有限公司</t>
  </si>
  <si>
    <t>烈酒（饮料）;葡萄酒;威⼠忌;烧酒;伏特加酒;⽶酒;⾼粱酒;汽酒;烈酒;烧酒（烈酒）</t>
  </si>
  <si>
    <t>成都泰久泰商贸有限公司</t>
  </si>
  <si>
    <t>开胃酒;⽩酒;含酒精的饮料（啤酒除外）;蒸馏⽶酒（泡盛酒）;烈酒浓缩汁;烧酒;已调味的蒸馏酒;⾼粱酒;果酒;⽶酒</t>
  </si>
  <si>
    <t>新标红</t>
  </si>
  <si>
    <t>杨吉龙</t>
  </si>
  <si>
    <t>伏特加酒;苹果酒;葡萄酒;开胃酒;果酒（含酒精）;⽩葡萄酒;威⼠忌;烧酒（烈酒）;鸡尾酒;清酒</t>
  </si>
  <si>
    <t>到自在</t>
  </si>
  <si>
    <t>玉儿叫</t>
  </si>
  <si>
    <t>葡萄酒;清酒（⽇本⽶酒）;鸡尾酒;果酒（含酒精）;含⽔果酒精饮料;威⼠忌;⽩酒;烧酒;烈酒（饮料）;⻩酒</t>
  </si>
  <si>
    <t>见彩</t>
  </si>
  <si>
    <t>翟孟佳</t>
  </si>
  <si>
    <t>⻩酒;⽶酒;果酒;⽩酒;鸡尾酒;烧酒;⻘稞酒;⾼粱酒;烈酒;葡萄酒</t>
  </si>
  <si>
    <t>老宫门</t>
  </si>
  <si>
    <t>袁峰</t>
  </si>
  <si>
    <t>汽酒;清酒;甜酒;⽩酒;⻩酒;⾷⽤酒精;开胃酒;果酒;葡萄酒;⽶酒</t>
  </si>
  <si>
    <t>湘洲台鉴</t>
  </si>
  <si>
    <t>湖南钧堂喜饮品有限公司</t>
  </si>
  <si>
    <t>葡萄酒;果酒（含酒精）;威⼠忌;酒精饮料（啤酒除外）;酒精饮料原汁;⽩酒;开胃酒;烈酒（饮料）;⻩酒;⽶酒</t>
  </si>
  <si>
    <t>乐仁小酒</t>
  </si>
  <si>
    <t>酒精饮料浓缩汁;烧酒;⽩酒;酒精饮料原汁;果酒（含酒精）;汽酒;⻩酒;含⽔果酒精饮料;含酒精的⽓泡⽔;酒精饮料（啤酒除外）</t>
  </si>
  <si>
    <t>玖阿福 玖</t>
  </si>
  <si>
    <t>大连玖福佳沃产业园有限公司</t>
  </si>
  <si>
    <t>⽩酒;含⽔果酒精饮料;烧酒;⽶酒;⽩兰地;酒精饮料原汁;果酒（含酒精）;鸡尾酒;威⼠忌;葡萄酒</t>
  </si>
  <si>
    <t>卓清湘</t>
  </si>
  <si>
    <t>李平上</t>
  </si>
  <si>
    <t>松叶酒;⽩兰地;⾼粱酒;清酒;⻩酒;⽶酒;开胃酒;果酒;烧酒;烈酒（饮料）</t>
  </si>
  <si>
    <t>鹿雄昌</t>
  </si>
  <si>
    <t>李昌昱</t>
  </si>
  <si>
    <t>⽶酒;威⼠忌;⽩酒;⻘稞酒;鸡尾酒;烧酒;烈酒;葡萄酒;果酒;⻩酒</t>
  </si>
  <si>
    <t>熠懿</t>
  </si>
  <si>
    <t>佛山市顺盈装饰设计工程有限公司</t>
  </si>
  <si>
    <t>葡萄酒;汽酒;⻩酒;烈酒（饮料）;⽩酒;蒸馏饮料;果酒（含酒精）;⽶酒;⾕物制蒸馏酒精饮料;烧酒</t>
  </si>
  <si>
    <t>慧华里</t>
  </si>
  <si>
    <t>上海升铧源实业有限公司</t>
  </si>
  <si>
    <t>⽩酒;果酒（含酒精）;⽩兰地;⻩酒;⾼粱酒;清酒（⽇本⽶酒）;伏特加酒;⽇本梅⼦酒;葡萄酒;苦艾酒</t>
  </si>
  <si>
    <t>天府黑龙滩</t>
  </si>
  <si>
    <t>仁寿县天府水乡旅游开发有限责任公司</t>
  </si>
  <si>
    <t>烈酒（饮料）;酒精饮料（啤酒除外）;烧酒;⻩酒;⽩酒;⾷⽤酒精;开胃酒;蒸馏饮料;⾕物制蒸馏酒精饮料;已调味的⻨芽酿制的酒精饮料（啤酒除外）</t>
  </si>
  <si>
    <t>入逍遥</t>
  </si>
  <si>
    <t>高黎进</t>
  </si>
  <si>
    <t>烈酒;酒精饮料（啤酒除外）;⽩酒;⻩酒;鸡尾酒;开胃酒;清酒（⽇本⽶酒）;果酒（含酒精）;葡萄酒;威⼠忌</t>
  </si>
  <si>
    <t>府马号</t>
  </si>
  <si>
    <t>保定会琴商贸有限公司</t>
  </si>
  <si>
    <t>开胃酒;⽶酒;烧酒;⻘稞酒;⽩酒;果酒（含酒精）;鸡尾酒;葡萄酒;⾷⽤酒精;⻩酒</t>
  </si>
  <si>
    <t>丰古村粮</t>
  </si>
  <si>
    <t>德阳市绵圣曲酒厂</t>
  </si>
  <si>
    <t>⽶酒;⽩酒;烧酒;葡萄酒;⻘稞酒;果酒（含酒精）;开胃酒;伏特加酒;威⼠忌;鸡尾酒</t>
  </si>
  <si>
    <t>世华企</t>
  </si>
  <si>
    <t>德力根</t>
  </si>
  <si>
    <t>果酒（含酒精）;烧酒;⽩酒;汽酒;烈酒;⽶酒;鸡尾酒;葡萄酒;清酒（⽇本⽶酒）;⻩酒</t>
  </si>
  <si>
    <t>杜甫文酒</t>
  </si>
  <si>
    <t>威⼠忌;葡萄酒;果酒（含酒精）;烈酒（饮料）;⻩酒;酒精饮料（啤酒除外）;清酒（⽇本⽶酒）;烧酒;⽩酒;薄荷酒</t>
  </si>
  <si>
    <t>佬匠工</t>
  </si>
  <si>
    <t>张松</t>
  </si>
  <si>
    <t>果酒;露酒;酸酒（低等葡萄酒）;亚⼒酒;⽶酒;⽩酒;清酒;⾼粱酒;茴芹酒（利⼝酒）;⻩酒</t>
  </si>
  <si>
    <t>谷巷荷酒</t>
  </si>
  <si>
    <t>河南少康商贸有限公司</t>
  </si>
  <si>
    <t>烈酒;⽩⼲酒（中国⽩酒）;果酒;由⾕物蒸馏的⽩酒;⽼酒（中国蒸馏烈酒）;⽶酒;⽩酒;烧酒;⾷⽤酒精;⾼粱酒</t>
  </si>
  <si>
    <t>沐善养正</t>
  </si>
  <si>
    <t>青岛墨风文商健康产业有限公司</t>
  </si>
  <si>
    <t>⽶酒;⽼酒（中国蒸馏烈酒）;葡萄酒;⽩酒;烧酒;含酒精⽔果饮料;果酒;⾼粱酒;⻩酒;⽩兰地</t>
  </si>
  <si>
    <t>莓佳乐</t>
  </si>
  <si>
    <t>四川省川派清香科技有限公司</t>
  </si>
  <si>
    <t>⻩酒;果酒（含酒精）;鸡尾酒;烈酒（饮料）;烧酒;威⼠忌;⽩酒;⽶酒;⽩兰地;⻘稞酒</t>
  </si>
  <si>
    <t>光合加 特酿</t>
  </si>
  <si>
    <t>德惠市久久盈门酿酒厂</t>
  </si>
  <si>
    <t>清酒（⽇本⽶酒）;蜂蜜酒;烧酒;汽酒;⽶酒;⽩酒;樱桃酒;⻩酒;葡萄酒;⾼粱酒</t>
  </si>
  <si>
    <t>喆满盈</t>
  </si>
  <si>
    <t>梁正平</t>
  </si>
  <si>
    <t>⽶酒;酒精饮料（啤酒除外）;威⼠忌;烧酒;⻩酒;⽩酒;烈酒;⻘稞酒;⾼粱酒;果酒</t>
  </si>
  <si>
    <t>衡湖潭</t>
  </si>
  <si>
    <t>马建芳13112********3342X</t>
  </si>
  <si>
    <t>葡萄酒;果酒（含酒精）;酒精饮料（啤酒除外）;鸡尾酒;⽢蔗制烈酒;⻩酒;⽩酒;烧酒;⽶酒;烈酒（饮料）</t>
  </si>
  <si>
    <t>六世君</t>
  </si>
  <si>
    <t>胡建波</t>
  </si>
  <si>
    <t>⽼酒（中国蒸馏烈酒）;除啤酒外的酒精饮料;⽩⼲酒（中国⽩酒）;烈酒;含酒精的饮料（啤酒除外）;已调味的蒸馏酒;由⾕物蒸馏的⽩酒;开胃酒;⽩酒;烈酒（饮料）</t>
  </si>
  <si>
    <t>LOS ENCINOS</t>
  </si>
  <si>
    <t>莆田市畅闲传媒科技有限公司</t>
  </si>
  <si>
    <t>⾷⽤酒精;清酒（⽇本⽶酒）;果酒;⽶酒;威⼠忌;除啤酒外的酒精饮料;⽩酒;⽩兰地;鸡尾酒;葡萄酒</t>
  </si>
  <si>
    <t>潭仙公</t>
  </si>
  <si>
    <t>鸡尾酒;果酒;烧酒;葡萄酒;⻘稞酒;⻩酒;威⼠忌;⽶酒;烈酒;⽩酒</t>
  </si>
  <si>
    <t>心安自若</t>
  </si>
  <si>
    <t>绍兴若耶溪品牌管理有限公司</t>
  </si>
  <si>
    <t>果酒;威⼠忌;⽶酒;薄荷酒;葡萄酒;梅酒;果酒（含酒精）;⻘梅酒;⻩酒;清酒</t>
  </si>
  <si>
    <t>屈江赋</t>
  </si>
  <si>
    <t>覃向荣</t>
  </si>
  <si>
    <t>鸡尾酒;葡萄酒;清酒（⽇本⽶酒）;威⼠忌;烈酒;⻩酒;⽩酒;开胃酒;酒精饮料（啤酒除外）;果酒（含酒精）</t>
  </si>
  <si>
    <t>悠然客</t>
  </si>
  <si>
    <t>袁清州</t>
  </si>
  <si>
    <t>⽩兰地;⻘稞酒;果酒;葡萄酒;⽩酒;烧酒;开胃酒;⽶酒;⻩酒;酒精饮料（啤酒除外）</t>
  </si>
  <si>
    <t>吟酒路宽</t>
  </si>
  <si>
    <t>烧酒;⻘稞酒;⽩酒;⻩酒;⽼酒（中国蒸馏烈酒）;⾼粱酒;清酒;⽩⼲酒（中国⽩酒）;烈酒;露酒</t>
  </si>
  <si>
    <t>柔运</t>
  </si>
  <si>
    <t>黄勇</t>
  </si>
  <si>
    <t>果酒（含酒精）;清酒（⽇本⽶酒）;威⼠忌;⽩酒;⻩酒;葡萄酒;酒精饮料（啤酒除外）;烈酒;开胃酒;鸡尾酒</t>
  </si>
  <si>
    <t>知小匠</t>
  </si>
  <si>
    <t>鸡尾酒;酒精饮料（啤酒除外）;⽩酒;果酒（含酒精）;威⼠忌;清酒（⽇本⽶酒）;烈酒;开胃酒;葡萄酒;⻩酒</t>
  </si>
  <si>
    <t>心彩</t>
  </si>
  <si>
    <t>⾼粱酒;⽩酒;⻩酒;烧酒;果酒;⻘稞酒;烈酒;葡萄酒;⽶酒;鸡尾酒</t>
  </si>
  <si>
    <t>眉泉玉</t>
  </si>
  <si>
    <t>蒋永建</t>
  </si>
  <si>
    <t>⽩兰地;威⼠忌;⽶酒;⽩酒;⻘稞酒;⻩酒;葡萄酒;利⼝酒;烧酒;鸡尾酒</t>
  </si>
  <si>
    <t>昊天晟世</t>
  </si>
  <si>
    <t>佛山市昊晟酒业有限公司</t>
  </si>
  <si>
    <t>⽩酒;果酒（含酒精）;⻩酒;清酒（⽇本⽶酒）;烧酒;酒精饮料（啤酒除外）;蒸馏饮料;⽶酒;烈酒（饮料）;⾷⽤酒精</t>
  </si>
  <si>
    <t>相约潇湘</t>
  </si>
  <si>
    <t>湖南润三石商贸有限公司</t>
  </si>
  <si>
    <t>鸡尾酒;酒精饮料（啤酒除外）;⽩酒;烈酒（饮料）;蒸馏饮料;⽶酒;葡萄酒;⾷⽤酒精;利⼝酒;果酒（含酒精）</t>
  </si>
  <si>
    <t>轩辙</t>
  </si>
  <si>
    <t>邢台轩辙汽车配件销售有限公司</t>
  </si>
  <si>
    <t>果酒;⽼酒（中国蒸馏烈酒）;开胃酒;利⼝酒;⻩酒;⽩酒;葡萄酒;蜂蜜酒;⾼粱酒;甜酒</t>
  </si>
  <si>
    <t>阆壶春</t>
  </si>
  <si>
    <t>青岛狄秋茂贸易有限公司</t>
  </si>
  <si>
    <t>果酒（含酒精）;清酒（⽇本⽶酒）;蒸馏饮料;烧酒;⽩酒;鸡尾酒;⾕物制蒸馏酒精饮料;酒精饮料（啤酒除外）;⽶酒;⽩⼲酒（中国⽩酒）</t>
  </si>
  <si>
    <t>杜甫蜀酒</t>
  </si>
  <si>
    <t>⻩酒;果酒（含酒精）;清酒（⽇本⽶酒）;⽩酒;葡萄酒;威⼠忌;酒精饮料（啤酒除外）;烈酒（饮料）;烧酒;薄荷酒</t>
  </si>
  <si>
    <t>仁翊樽</t>
  </si>
  <si>
    <t>遵义仁翊樽酒业有限公司</t>
  </si>
  <si>
    <t>⽶酒;利⼝酒;葡萄酒;果酒（含酒精）;烧酒;⽩酒;酒精饮料（啤酒除外）;⽩兰地;开胃酒;清酒（⽇本⽶酒）</t>
  </si>
  <si>
    <t>江北玉宇泉</t>
  </si>
  <si>
    <t>湖北江北玉宇泉酒业有限公司</t>
  </si>
  <si>
    <t>⽩⼲酒（中国⽩酒）;苦荞酒;⾼粱酒;烧酒（烈酒）;烈酒;⽩酒;⽼酒（中国蒸馏烈酒）;⽶酒;由⾕物蒸馏的⽩酒;⻩酒</t>
  </si>
  <si>
    <t>谢顺华</t>
  </si>
  <si>
    <t>果酒（含酒精）;葡萄酒;蜂蜜酒;杨梅酒;⾼粱酒;⽩酒;鸡尾酒;⾷⽤酒精;⻘梅酒;⽶酒</t>
  </si>
  <si>
    <t>乐仁堂酒</t>
  </si>
  <si>
    <t>⽩酒;含酒精的⽓泡⽔;果酒（含酒精）;含⽔果酒精饮料;酒精饮料（啤酒除外）;汽酒;⻩酒;酒精饮料原汁;酒精饮料浓缩汁;烧酒</t>
  </si>
  <si>
    <t>丰务村粮</t>
  </si>
  <si>
    <t>鸡尾酒;果酒（含酒精）;威⼠忌;⻘稞酒;烧酒;⽶酒;葡萄酒;⽩酒;开胃酒;伏特加酒</t>
  </si>
  <si>
    <t>湖北天逸集团有限公司</t>
  </si>
  <si>
    <t>伏特加酒;威⼠忌;果酒;葡萄酒;⻩酒;汽酒;⽶酒;朗姆酒;清酒;含酒精的饮料（啤酒除外）;⽩酒</t>
  </si>
  <si>
    <t>人开花</t>
  </si>
  <si>
    <t>南京软咔科技有限公司</t>
  </si>
  <si>
    <t>高粱酒;含酒精的饮料（啤酒除外）;食用酒精;含水果酒精饮料;黄酒;烈酒（饮料）;鸡尾酒;白酒;米酒;果酒（含酒精）</t>
  </si>
  <si>
    <t>CHOOFEEL</t>
  </si>
  <si>
    <t>湖北全丰控股集团有限公司</t>
  </si>
  <si>
    <t>开胃酒;蒸馏饮料;薄荷酒;果酒（含酒精）;苹果酒;鸡尾酒;葡萄酒;⽩兰地;威⼠忌;含⽔果酒精饮料</t>
  </si>
  <si>
    <t>革美沅</t>
  </si>
  <si>
    <t>秦皇岛昱源生物科技有限公司</t>
  </si>
  <si>
    <t>蒸煮提取物（利⼝酒和烈酒）;含酒精⽔果饮料;酒精饮料浓缩汁;利⼝酒;蒸馏饮料;果酒（含酒精）;⽩酒;烈酒;葡萄酒;汽酒</t>
  </si>
  <si>
    <t>海妈记得 HAI MA REMEMBERS</t>
  </si>
  <si>
    <t>海妈记得（杭州）健康科技有限公司</t>
  </si>
  <si>
    <t>酒精饮料（啤酒除外）;⽶酒;威⼠忌;烈酒（饮料）;果酒（含酒精）;烧酒;清酒（⽇本⽶酒）;⽩酒;葡萄酒;⻩酒</t>
  </si>
  <si>
    <t>藏名青</t>
  </si>
  <si>
    <t>烈酒（饮料）;朗姆酒;⽩兰地;果酒（含酒精）;⽩酒;⾕物制蒸馏酒精饮料;⾼粱酒;鸡尾酒;开胃酒;烧酒</t>
  </si>
  <si>
    <t>贺幸福美酒</t>
  </si>
  <si>
    <t>天台聚缘坊酒业有限公司</t>
  </si>
  <si>
    <t>弥葡萨思</t>
  </si>
  <si>
    <t>文安县智哲研究工作室</t>
  </si>
  <si>
    <t>烧酒;苹果酒;朗姆酒;⽩酒;⻩酒;葡萄酒;果酒;清酒;蜂蜜酒;开胃酒</t>
  </si>
  <si>
    <t>彩小超超市</t>
  </si>
  <si>
    <t>易胜彩(广东)票务服务有限公司</t>
  </si>
  <si>
    <t>烈酒（饮料）;果酒（含酒精）;⽶酒;除啤酒外的酒精饮料;⽩酒;葡萄酒;烈酒;汽酒;梅酒;⻩酒</t>
  </si>
  <si>
    <t>武当関</t>
  </si>
  <si>
    <t>张选利610121********1071</t>
  </si>
  <si>
    <t>烈酒（饮料）;⽩酒;葡萄酒;鸡尾酒;⽶酒;清酒（⽇本⽶酒）;烧酒;酒精饮料（啤酒除外）;⻩酒;果酒（含酒精）</t>
  </si>
  <si>
    <t>乐仁御酒</t>
  </si>
  <si>
    <t>汽酒;⽩酒;酒精饮料（啤酒除外）;烧酒;⻩酒;果酒（含酒精）;酒精饮料原汁;酒精饮料浓缩汁;含⽔果酒精饮料;含酒精的⽓泡⽔</t>
  </si>
  <si>
    <t>百胜台</t>
  </si>
  <si>
    <t>湖南朱亭企业管理有限公司</t>
  </si>
  <si>
    <t>果酒（含酒精）;葡萄酒;酒精饮料（啤酒除外）;含⽔果酒精饮料;⻩酒;预先混合的酒精饮料（以啤酒为主的除外）;清酒（⽇本⽶酒）;⽶酒;⽩酒;烧酒</t>
  </si>
  <si>
    <t>2024/05/18</t>
  </si>
  <si>
    <t>美玖宴</t>
  </si>
  <si>
    <t>万光绪</t>
  </si>
  <si>
    <t>葡萄酒;酒精饮料（啤酒除外）;烧酒;⽩酒;⽶酒;烈酒（饮料）;开胃酒;蒸馏饮料;蜂蜜酒;果酒（含酒精）</t>
  </si>
  <si>
    <t>荒沟里</t>
  </si>
  <si>
    <t>吉林省东晟恒业工贸有限公司</t>
  </si>
  <si>
    <t>⽩酒;⽶酒;果酒（含酒精）;烈酒（饮料）;烧酒;甜果酒;朝鲜烧酒;葡萄酒;朝鲜族⽶酒;梨酒</t>
  </si>
  <si>
    <t>酒仁澜</t>
  </si>
  <si>
    <t>丁洁</t>
  </si>
  <si>
    <t>烈酒;⽩酒;酒精饮料（啤酒除外）;甜酒;烧酒;⽼酒（中国蒸馏烈酒）;果酒（含酒精）;预先混合的酒精饮料（以啤酒为主的除外）;果酒;葡萄酒</t>
  </si>
  <si>
    <t>粤野</t>
  </si>
  <si>
    <t>四会市灵牛酒业商行</t>
  </si>
  <si>
    <t>酒精饮料（啤酒除外）;甜酒;含⽔果酒精饮料;⾷⽤酒精;⽩酒;果酒;葡萄酒;汽酒;烧酒;清酒</t>
  </si>
  <si>
    <t>锦粤星厨</t>
  </si>
  <si>
    <t>河南蓉亭餐饮管理有限公司</t>
  </si>
  <si>
    <t>果酒（含酒精）;葡萄酒;⽶酒;⽩酒;杨梅酒;⻩酒;⻘梅酒;朗姆酒;汽酒;含⽔果酒精饮料</t>
  </si>
  <si>
    <t>淄小刀</t>
  </si>
  <si>
    <t>冯振波37030********5591X</t>
  </si>
  <si>
    <t>⽩酒;⻩酒;葡萄酒;鸡尾酒;烧酒;果酒（含酒精）;烈酒（饮料）;威⼠忌;⽶酒;⽩兰地</t>
  </si>
  <si>
    <t>厚宁情怀</t>
  </si>
  <si>
    <t>河北巨达商贸有限公司</t>
  </si>
  <si>
    <t>酒精饮料（啤酒除外）;含⽔果酒精饮料;果酒（含酒精）;以葡萄酒为主的饮料;⽩酒;蒸馏饮料;预先混合的酒精饮料（以啤酒为主的除外）;苹果酒;葡萄酒;樱桃酒</t>
  </si>
  <si>
    <t>富居图</t>
  </si>
  <si>
    <t>含⽔果酒精饮料;葡萄酒;烧酒;果酒（含酒精）;⽩酒;清酒（⽇本⽶酒）;酒精饮料（啤酒除外）;⽶酒;预先混合的酒精饮料（以啤酒为主的除外）;⻩酒</t>
  </si>
  <si>
    <t>YAOWANGQUAN</t>
  </si>
  <si>
    <t>京都乐寿堂国药（石家庄）有限公司</t>
  </si>
  <si>
    <t>⽶酒;威⼠忌;⻩酒;⽩兰地;⽩酒;清酒（⽇本⽶酒）;⻘稞酒;伏特加酒;烧酒;蒸馏饮料</t>
  </si>
  <si>
    <t>神圣的雪</t>
  </si>
  <si>
    <t>佛山市百星奇贸易有限公司</t>
  </si>
  <si>
    <t>清酒（⽇本⽶酒）;⽇本梅⼦酒;酒精饮料（啤酒除外）;⽶酒;杜松⼦酒;⾕物制蒸馏酒精饮料;果酒（含酒精）;鸡尾酒;葡萄酒;⽩兰地;含⽔果酒精饮料;朗姆酒;伏特加酒;以葡萄酒为主的饮料;⽇本松针酒;威⼠忌</t>
  </si>
  <si>
    <t>疆山垚</t>
  </si>
  <si>
    <t>张建辉</t>
  </si>
  <si>
    <t>清酒（⽇本⽶酒）;鸡尾酒;果酒（含酒精）;开胃酒;酒精饮料（啤酒除外）;⽩酒;葡萄酒;⻩酒;威⼠忌;烈酒</t>
  </si>
  <si>
    <t>吾什杉渡</t>
  </si>
  <si>
    <t>向金彩</t>
  </si>
  <si>
    <t>葡萄酒;威⼠忌;⾼粱酒;烧酒;⾷⽤酒精;果酒;⽶酒;含酒精的饮料（啤酒除外）;⽩兰地;⽩酒</t>
  </si>
  <si>
    <t>来优品</t>
  </si>
  <si>
    <t>南京万优商业连锁管理有限公司</t>
  </si>
  <si>
    <t>酒精饮料浓缩汁;果酒（含酒精）;烈酒;酒精饮料（啤酒除外）;⽩酒;蒸馏饮料;葡萄酒;鸡尾酒;⽩⼲酒（中国⽩酒）;⽶酒</t>
  </si>
  <si>
    <t>2024/05/20</t>
  </si>
  <si>
    <t>隆中决</t>
  </si>
  <si>
    <t>黄荣垒</t>
  </si>
  <si>
    <t>烧酒;⽶酒;利⼝酒;烈酒;葡萄酒;鸡尾酒;开胃酒;果酒（含酒精）;⽩酒;汽酒</t>
  </si>
  <si>
    <t>BALONGAOMUFAN</t>
  </si>
  <si>
    <t>台州市路桥奔富澳穆梵科技有限公司</t>
  </si>
  <si>
    <t>烈酒（饮料）;⽩兰地;鸡尾酒;伏特加酒;酒精饮料（啤酒除外）;果酒（含酒精）;葡萄酒;利⼝酒;威⼠忌;⽩酒</t>
  </si>
  <si>
    <t>良缘天成</t>
  </si>
  <si>
    <t>范现立</t>
  </si>
  <si>
    <t>果酒;含酒精的饮料（啤酒除外）;⽼酒（中国蒸馏烈酒）;烧酒（烈酒）;⽩酒;由⾕物蒸馏的⽩酒;⽩⼲酒（中国⽩酒）;⾼粱酒;酒精饮料（啤酒除外）;已调味的蒸馏酒</t>
  </si>
  <si>
    <t>THE HUILAN ORIENTAL</t>
  </si>
  <si>
    <t>⾼粱酒;果酒;鸡尾酒;葡萄酒;甜酒;烈酒;⽶酒;威⼠忌;混合威⼠忌酒;利⼝酒</t>
  </si>
  <si>
    <t>仁里春</t>
  </si>
  <si>
    <t>⽩酒;烧酒;除啤酒外的酒精饮料;⽶酒;烈酒;清酒;开胃酒;⾷⽤酒精;⻩酒;酒精饮料原汁</t>
  </si>
  <si>
    <t>世载</t>
  </si>
  <si>
    <t>葡萄酒;酒精饮料（啤酒除外）;果酒;清酒（⽇本⽶酒）;鸡尾酒;⽩酒;开胃酒;烧酒;利⼝酒;朗姆酒</t>
  </si>
  <si>
    <t>莺冠</t>
  </si>
  <si>
    <t>刘子祥</t>
  </si>
  <si>
    <t>葡萄酒;甜酒;苦荞酒;果酒;酒精饮料（啤酒除外）;⻘稞酒;⽩酒;烧酒;⾼粱酒;鸡尾酒</t>
  </si>
  <si>
    <t>饥鹿壹号</t>
  </si>
  <si>
    <t>山东龙群商贸有限公司</t>
  </si>
  <si>
    <t>已调味的⻨芽酿制的酒精饮料（啤酒除外）;露酒;⻩酒;开胃酒;⽩酒;含酒精⽔果饮料;薄荷酒;含酒精的⽓泡⽔;烈酒（饮料）;亚⼒酒</t>
  </si>
  <si>
    <t>辉养康陈</t>
  </si>
  <si>
    <t>云阳县辉煌养老服务有限公司</t>
  </si>
  <si>
    <t>果酒;烈酒;⽶酒;⾼粱酒;烧酒;清酒;葡萄酒;⻩酒;⽩酒;梅酒</t>
  </si>
  <si>
    <t>孟状元品鉴</t>
  </si>
  <si>
    <t>衡水孟状元酿酒厂</t>
  </si>
  <si>
    <t>果酒（含酒精）;柑⾹酒;酒精饮料（啤酒除外）;⾷⽤酒精;含⽔果酒精饮料;⽶酒;烧酒;⽩酒;利⼝酒;烈酒（饮料）</t>
  </si>
  <si>
    <t>谷磊</t>
  </si>
  <si>
    <t>赵国瑞</t>
  </si>
  <si>
    <t>葡萄酒;果酒（含酒精）;⽩酒;酒精饮料（啤酒除外）;⻩酒;酒精饮料原汁;含⽔果酒精饮料;烈酒（饮料）;酒精饮料浓缩汁;⾷⽤酒精</t>
  </si>
  <si>
    <t>帛泉豪</t>
  </si>
  <si>
    <t>诸暨市帛泉豪农业开发有限公司</t>
  </si>
  <si>
    <t>汽酒;果酒（含酒精）;⻩酒;烧酒;⽶酒;⽩酒;薄荷酒;鸡尾酒;蜂蜜酒;蒸馏饮料</t>
  </si>
  <si>
    <t>GIINSENBEAR</t>
  </si>
  <si>
    <t>山东茹禾健康科技有限公司</t>
  </si>
  <si>
    <t>⽶酒;果酒（含酒精）;酒精饮料原汁;葡萄酒;⽩酒;蒸馏饮料;烈酒（饮料）;酒精饮料（啤酒除外）;预先混合的酒精饮料（以啤酒为主的除外）;含酒精的⽓泡⽔</t>
  </si>
  <si>
    <t>湖南五茅商贸有限公司</t>
  </si>
  <si>
    <t>烈酒（饮料）;⽶酒;利⼝酒;酒精饮料（啤酒除外）;烧酒;果酒（含酒精）;葡萄酒;鸡尾酒;⻩酒;⽩酒</t>
  </si>
  <si>
    <t>章恒升</t>
  </si>
  <si>
    <t>兰溪市盛明健副食品商店</t>
  </si>
  <si>
    <t>⻩酒;梅酒;果酒（含酒精）;鸡尾酒;烈酒;⽶酒;烧酒;清酒;⽩酒;葡萄酒</t>
  </si>
  <si>
    <t>葡萄酒;⻩酒;⽩⼲酒（中国⽩酒）;果酒;⽶酒;⾼粱酒;清酒;⽼酒（中国蒸馏烈酒）;蜂蜜酒;烈酒</t>
  </si>
  <si>
    <t>严灿林</t>
  </si>
  <si>
    <t>苹果酒;⽩酒;蒸馏饮料;酒精饮料（啤酒除外）;⽶酒;果酒（含酒精）;开胃酒;鸡尾酒;烈酒（饮料）;威⼠忌</t>
  </si>
  <si>
    <t>黄鹤楼酒</t>
  </si>
  <si>
    <t>黄鹤楼酒业有限公司</t>
  </si>
  <si>
    <t>⽩酒;⾷⽤酒精;果酒（含酒精）;蒸煮提取物（利⼝酒和烈酒）;开胃酒;清酒（⽇本⽶酒）;烈酒（饮料）;烧酒;⻩酒;⽶酒</t>
  </si>
  <si>
    <t>岩场</t>
  </si>
  <si>
    <t>杭州晓拍文化有限公司</t>
  </si>
  <si>
    <t>⽩酒;樱桃酒;⻩酒;甜果酒;预先混合的酒精饮料（以啤酒为主的除外）;葡萄酒;酒精饮料（啤酒除外）;威⼠忌;清酒（⽇本⽶酒）;果酒（含酒精）</t>
  </si>
  <si>
    <t>幸福向前</t>
  </si>
  <si>
    <t>贵州省仁怀市茅台镇浩存酒业销售有限责任公司</t>
  </si>
  <si>
    <t>烈酒（饮料）;⻩酒;⽩酒;葡萄酒;酒精饮料（啤酒除外）;⾕物制蒸馏酒精饮料;烧酒;果酒（含酒精）;鸡尾酒;⽶酒</t>
  </si>
  <si>
    <t>蜀小碗</t>
  </si>
  <si>
    <t>济宁市魏老头饮食文化传播有限公司</t>
  </si>
  <si>
    <t>⻩酒;烈酒（饮料）;烧酒;蒸馏饮料;果酒（含酒精）;鸡尾酒;葡萄酒;酒精饮料（啤酒除外）;⽩酒;⽶酒</t>
  </si>
  <si>
    <t>LANSEE BANDAO</t>
  </si>
  <si>
    <t>上海棉诺商贸有限公司</t>
  </si>
  <si>
    <t>⽩兰地;苹果酒;威⼠忌;伏特加酒;朗姆酒;⽩酒;鸡尾酒;葡萄酒;清酒（⽇本⽶酒）;⻩酒</t>
  </si>
  <si>
    <t>ODYBIRD 欧迪鸟</t>
  </si>
  <si>
    <t>厦门漫步云贸易有限公司</t>
  </si>
  <si>
    <t>⽶酒;鸡尾酒;酒精饮料（啤酒除外）;⽩酒;⽩兰地;葡萄酒;蒸馏饮料;含⽔果酒精饮料;威⼠忌;⻩酒</t>
  </si>
  <si>
    <t>携优</t>
  </si>
  <si>
    <t>常州中金投资管理有限公司</t>
  </si>
  <si>
    <t>葡萄酒;⻩酒;威⼠忌;酒精饮料（啤酒除外）;⽩兰地;⽩酒;汽酒;果酒（含酒精）;烈酒（饮料）;⽶酒</t>
  </si>
  <si>
    <t>2024/05/21</t>
  </si>
  <si>
    <t>羌回壶</t>
  </si>
  <si>
    <t>徐浩然</t>
  </si>
  <si>
    <t>酒精饮料原汁;烧酒;⽩酒;果酒（含酒精）;清酒;含⽔果酒精饮料;烈酒（饮料）;威⼠忌;蒸馏饮料;鸡尾酒</t>
  </si>
  <si>
    <t>汉广典藏</t>
  </si>
  <si>
    <t>刘玉霞</t>
  </si>
  <si>
    <t>⽩酒;果酒（含酒精）;苦味酒;⽶酒;露酒;⽼酒（中国蒸馏烈酒）;⻩酒;烧酒;⾷⽤酒精;清酒</t>
  </si>
  <si>
    <t>北京基因玛瑙科技有限公司</t>
  </si>
  <si>
    <t>⽩兰地;鸡尾酒;果酒（含酒精）;烈酒（饮料）;⽩酒;⻩酒;伏特加酒;葡萄酒;朗姆酒;⽶酒</t>
  </si>
  <si>
    <t>晓萍古</t>
  </si>
  <si>
    <t>⾼粱酒;⽼酒（中国蒸馏烈酒）;甜酒;⻩酒;烈酒（饮料）;⽶酒;葡萄酒;⽩⼲酒（中国⽩酒）;烧酒;⽩酒</t>
  </si>
  <si>
    <t>善式</t>
  </si>
  <si>
    <t>湖南众途项目管理有限公司</t>
  </si>
  <si>
    <t>葡萄酒;威⼠忌;⽶酒;⽩酒;预先混合的酒精饮料（以啤酒为主的除外）;果酒（含酒精）;烈酒（饮料）;⻩酒;利⼝酒;烧酒</t>
  </si>
  <si>
    <t>淳中淳</t>
  </si>
  <si>
    <t>李文忠</t>
  </si>
  <si>
    <t>朗姆酒;伏特加酒;果酒（含酒精）;苦味酒;利⼝酒;⽩酒;樱桃酒;蜂蜜酒;⽶酒;酒精饮料（啤酒除外）</t>
  </si>
  <si>
    <t>泉河大恩</t>
  </si>
  <si>
    <t>山东泉河酒业有限公司</t>
  </si>
  <si>
    <t>果酒（含酒精）;⽩兰地;⽩酒;蒸馏饮料;烧酒;⻩酒;葡萄酒;开胃酒;⽶酒;利⼝酒</t>
  </si>
  <si>
    <t>企太太</t>
  </si>
  <si>
    <t>浙江企泰泰家居有限公司</t>
  </si>
  <si>
    <t>⻩酒;伏特加酒;蒸馏饮料;朗姆酒;烧酒;鸡尾酒;⽩酒;果酒（含酒精）;葡萄酒;开胃酒</t>
  </si>
  <si>
    <t>御之养</t>
  </si>
  <si>
    <t>杨海涛</t>
  </si>
  <si>
    <t>开胃酒;汽酒;⽩酒;果酒;葡萄酒;⾷⽤酒精;⻩酒;⽶酒;甜酒;清酒</t>
  </si>
  <si>
    <t>匠醇蕴</t>
  </si>
  <si>
    <t>张艳玲</t>
  </si>
  <si>
    <t>烈酒（饮料）;清酒（⽇本⽶酒）;甜酒;葡萄酒;⽩酒;酒精饮料（啤酒除外）;⽶酒;⻩酒;烧酒;果酒（含酒精）</t>
  </si>
  <si>
    <t>壶稻梁</t>
  </si>
  <si>
    <t>徐朋友</t>
  </si>
  <si>
    <t>⽩酒;烈酒（饮料）;威⼠忌;含⽔果酒精饮料;鸡尾酒;烧酒;果酒（含酒精）;蒸馏饮料;酒精饮料原汁;清酒</t>
  </si>
  <si>
    <t>御准御果园</t>
  </si>
  <si>
    <t>恩平市御准农业科技开发有限公司</t>
  </si>
  <si>
    <t>⽶酒;柑⾹酒;果酒（含酒精）;⻘稞酒;樱桃酒;含⽔果酒精饮料;⾕物制蒸馏酒精饮料;开胃酒;酒精饮料（啤酒除外）;苹果酒</t>
  </si>
  <si>
    <t>山海泊隐</t>
  </si>
  <si>
    <t>山东山海邮享酒店管理有限公司</t>
  </si>
  <si>
    <t>烧酒;除啤酒外的酒精饮料;烈酒（饮料）;含⽔果酒精饮料;果酒（含酒精）;⽩兰地;⽶酒;葡萄酒;⽩酒;威⼠忌</t>
  </si>
  <si>
    <t>湖北高粱红酒业有限公司</t>
  </si>
  <si>
    <t>⽶酒;烈酒（饮料）;汽酒;⽩酒;⻩酒;酒精饮料（啤酒除外）;苦味酒;开胃酒;烧酒;⾕物制蒸馏酒精饮料</t>
  </si>
  <si>
    <t>诗仙匠心</t>
  </si>
  <si>
    <t>戚海洲</t>
  </si>
  <si>
    <t>汽酒;⽶酒;清酒（⽇本⽶酒）;⽩酒;葡萄酒;果酒（含酒精）;酒精饮料（啤酒除外）;⻩酒;烧酒;鸡尾酒</t>
  </si>
  <si>
    <t>欢喜临</t>
  </si>
  <si>
    <t>刘玉眉</t>
  </si>
  <si>
    <t>烈酒（饮料）;酒精饮料（啤酒除外）;⾕物制蒸馏酒精饮料;葡萄酒;⻘稞酒;蒸馏饮料;朗姆酒;⻩酒;⽩酒;含⽔果酒精饮料</t>
  </si>
  <si>
    <t>BLOOMTOPIA</t>
  </si>
  <si>
    <t>广陵区布卢姆烘焙坊</t>
  </si>
  <si>
    <t>伏特加酒;混合威⼠忌酒;清酒（⽇本⽶酒）;桃红葡萄酒;含⽔果酒精饮料;蒸煮提取物（利⼝酒和烈酒）;甜果酒;威⼠忌;⽩葡萄酒;加⾹料的热葡萄酒</t>
  </si>
  <si>
    <t>张洪亮</t>
  </si>
  <si>
    <t>⽩酒;烧酒;葡萄酒;清酒;果酒;酒精饮料（啤酒除外）;鸡尾酒;烈酒;⽶酒;⽼酒（中国蒸馏烈酒）</t>
  </si>
  <si>
    <t>皖贤贡</t>
  </si>
  <si>
    <t>亳州市德福酒业销售有限公司</t>
  </si>
  <si>
    <t>⽩酒;果酒（含酒精）;除啤酒外的酒精饮料;含⽔果酒精饮料;蒸馏饮料;⽶酒;⻘稞酒;⻩酒;烧酒;葡萄酒</t>
  </si>
  <si>
    <t>承根</t>
  </si>
  <si>
    <t>浙江承根中医药文化传播有限公司</t>
  </si>
  <si>
    <t>蒸馏饮料;酒精饮料原汁;酒精饮料（啤酒除外）;烈酒（饮料）;⽩酒;酒精饮料浓缩汁;⻩酒;葡萄酒;⾷⽤酒精;果酒（含酒精）</t>
  </si>
  <si>
    <t>JLHL</t>
  </si>
  <si>
    <t>郭占国</t>
  </si>
  <si>
    <t>开胃酒;清酒（⽇本⽶酒）;⾷⽤酒精;葡萄酒;除啤酒外的酒精饮料;含酒精的⽔果鸡尾酒饮料;果酒（含酒精）;⽶酒;烧酒;⽩酒</t>
  </si>
  <si>
    <t>杭州千岛湖蒋和友酒业有限公司</t>
  </si>
  <si>
    <t>利⼝酒;蒸馏饮料;烧酒;果酒（含酒精）;⽩酒;酒精饮料（啤酒除外）;⽶酒;以葡萄酒为主的饮料;⻩酒;鸡尾酒</t>
  </si>
  <si>
    <t>手托涯</t>
  </si>
  <si>
    <t>郝建荣142422********3917</t>
  </si>
  <si>
    <t>⽩⼲酒（中国⽩酒）;葡萄酒;⽶酒;烧酒;⽼酒（中国蒸馏烈酒）;⾼粱酒;苦味酒;梨酒;⽩酒;薄荷酒</t>
  </si>
  <si>
    <t>雪夫兰天</t>
  </si>
  <si>
    <t>上海雪孵石墨烯科技集团有限公司</t>
  </si>
  <si>
    <t>含⽔果酒精饮料;⽶酒;⽩酒;伏特加酒;葡萄酒;朗姆酒;威⼠忌;酒精饮料（啤酒除外）;鸡尾酒;⻩酒</t>
  </si>
  <si>
    <t>聃心清</t>
  </si>
  <si>
    <t>果酒（含酒精）;⽶酒;果酒;⻘稞酒;薄荷酒;含酒精的⽓泡⽔;⽩酒;⻩酒;含酒精⽔果饮料;以葡萄酒为主的饮料</t>
  </si>
  <si>
    <t>瓦檐酒舍</t>
  </si>
  <si>
    <t>北京便利酿造信息技术咨询服务有限公司</t>
  </si>
  <si>
    <t>果酒（含酒精）;⽩酒;鸡尾酒;葡萄酒;果酒;⽔果汽酒;含⽔果酒精饮料;⽼酒（中国蒸馏烈酒）;酒精饮料（啤酒除外）;威⼠忌</t>
  </si>
  <si>
    <t>鑫都泉</t>
  </si>
  <si>
    <t>扬州鑫都泉纯粮酒坊（个人独资）</t>
  </si>
  <si>
    <t>葡萄酒;鸡尾酒;威⼠忌;⽶酒;清酒（⽇本⽶酒）;⽩酒;果酒（含酒精）;烈酒（饮料）;⽩兰地;⻩酒</t>
  </si>
  <si>
    <t>醉石林</t>
  </si>
  <si>
    <t>徐柱</t>
  </si>
  <si>
    <t>葡萄酒;鸡尾酒;烈酒（饮料）;清酒（⽇本⽶酒）;酒精饮料（啤酒除外）;⽩酒;⻩酒;⽶酒;果酒（含酒精）;烧酒</t>
  </si>
  <si>
    <t>忆嘉山绿液</t>
  </si>
  <si>
    <t>朱万晓</t>
  </si>
  <si>
    <t>清酒（⽇本⽶酒）;⽶酒;烈酒（饮料）;⻩酒;鸡尾酒;果酒（含酒精）;酒精饮料（啤酒除外）;⽩酒;葡萄酒;烧酒</t>
  </si>
  <si>
    <t>圣百华</t>
  </si>
  <si>
    <t>杜忠霞</t>
  </si>
  <si>
    <t>蒸馏饮料;酒精饮料（啤酒除外）;葡萄酒;⽩酒;鸡尾酒;烧酒;威⼠忌;⽶酒;烈酒（饮料）;果酒（含酒精）</t>
  </si>
  <si>
    <t>德恩全</t>
  </si>
  <si>
    <t>李德煌</t>
  </si>
  <si>
    <t>⻩酒;酒精饮料原汁;烧酒;汽酒;⾷⽤酒精;⽩兰地;⽩酒;果酒（含酒精）;鸡尾酒;烈酒（饮料）</t>
  </si>
  <si>
    <t>果酒（含酒精）;⽩酒;⻩酒;鸡尾酒;以葡萄酒为主的饮料;⽶酒;烧酒;蒸馏饮料;酒精饮料（啤酒除外）;利⼝酒</t>
  </si>
  <si>
    <t>鹭过人间</t>
  </si>
  <si>
    <t>杨志超</t>
  </si>
  <si>
    <t>威⼠忌;鸡尾酒;⽩酒;葡萄酒;果酒（含酒精）;烈酒（饮料）;⽶酒;⻩酒;⽩兰地;除啤酒外的酒精饮料</t>
  </si>
  <si>
    <t>2024/05/22</t>
  </si>
  <si>
    <t>鲁英怀</t>
  </si>
  <si>
    <t>买红霞</t>
  </si>
  <si>
    <t>⻩酒;葡萄酒;威⼠忌;⽶酒;鸡尾酒;蒸馏饮料;⽩兰地;⽩酒;果酒（含酒精）;烧酒</t>
  </si>
  <si>
    <t>朝鲜族⽶酒;清酒;⽼酒（中国蒸馏烈酒）;⾷⽤酒精;⾕物制蒸馏酒精饮料;烧酒;⽩酒;葡萄酒;果酒（含酒精）;汽酒</t>
  </si>
  <si>
    <t>花姨妈</t>
  </si>
  <si>
    <t>云南寅峯供应链有限公司</t>
  </si>
  <si>
    <t>鸡尾酒;含⽔果酒精饮料;⻩酒;⽩酒;果酒（含酒精）;⽶酒;果酒;含酒精的鸡尾酒混合饮品;葡萄酒;酒精饮料（啤酒除外）</t>
  </si>
  <si>
    <t>灶烟起</t>
  </si>
  <si>
    <t>张宗杰</t>
  </si>
  <si>
    <t>开胃酒;苹果酒;葡萄酒;烈酒（饮料）;⻩酒;烧酒;⽩酒;含⽔果酒精饮料;果酒;⽶酒</t>
  </si>
  <si>
    <t>FIZ HOME 斐兹生活</t>
  </si>
  <si>
    <t>上海斐兹品牌管理有限公司</t>
  </si>
  <si>
    <t>薄荷酒;餐后酒（利⼝酒和烈酒）;果酒（含酒精）;苹果酒;含⽔果酒精饮料;鸡尾酒;烧酒;清酒（⽇本⽶酒）;蜂蜜酒;蒸馏饮料</t>
  </si>
  <si>
    <t>北京亿咖云科技有限公司</t>
  </si>
  <si>
    <t>葡萄酒;鸡尾酒;樱桃⽩兰地;含酒精的⽓泡⽔;⾼粱酒;威⼠忌;果酒;⽩酒;咖啡利⼝酒;含酒精⽔果饮料</t>
  </si>
  <si>
    <t>黄小梵</t>
  </si>
  <si>
    <t>贵州美酒网电子商务有限公司</t>
  </si>
  <si>
    <t>⽩酒;果酒（含酒精）;⽶酒;鸡尾酒;烧酒;⻩酒;葡萄酒;威⼠忌;⻘稞酒;含⽔果酒精饮料</t>
  </si>
  <si>
    <t>WFGEY</t>
  </si>
  <si>
    <t>张水新</t>
  </si>
  <si>
    <t>开胃酒;鸡尾酒;⽩酒;清酒（⽇本⽶酒）;⻩酒;烈酒（饮料）;威⼠忌;烧酒;⻘稞酒;蜂蜜酒</t>
  </si>
  <si>
    <t>海路醇</t>
  </si>
  <si>
    <t>湖南海路微生态医药科技有限公司</t>
  </si>
  <si>
    <t>烧酒;蒸馏饮料;汽酒;⻩酒;烧酒（烈酒）;烈酒（饮料）;⽩酒;⾕物制蒸馏酒精饮料;⾷⽤酒精;⽶酒</t>
  </si>
  <si>
    <t>莲都廿四鲜</t>
  </si>
  <si>
    <t>丽水市莲都兴村集体经济发展有限公司</t>
  </si>
  <si>
    <t>酒精饮料（啤酒除外）;葡萄酒;果酒（含酒精）;开胃酒;蒸馏饮料;⽩酒;⽶酒;汽酒;烧酒;⻩酒</t>
  </si>
  <si>
    <t>赛博犀牛 CYBERRHINO</t>
  </si>
  <si>
    <t>王滔</t>
  </si>
  <si>
    <t>⻩酒;果酒;烈酒;烧酒;酒精饮料（啤酒除外）;⾼粱酒;⽩酒;⽼酒（中国蒸馏烈酒）;葡萄酒;⽶酒</t>
  </si>
  <si>
    <t>西渚烧坊</t>
  </si>
  <si>
    <t>国大贸易（江苏）有限公司</t>
  </si>
  <si>
    <t>⾕物制蒸馏酒精饮料;葡萄酒;烈酒（饮料）;威⼠忌;⽶酒;清酒（⽇本⽶酒）;烧酒;⽩酒;含酒精的⽔果鸡尾酒饮料;果酒（含酒精）</t>
  </si>
  <si>
    <t>咖啡利⼝酒;葡萄酒;含酒精的⽓泡⽔;含酒精⽔果饮料;果酒;⾼粱酒;鸡尾酒;⽩酒;威⼠忌;樱桃⽩兰地</t>
  </si>
  <si>
    <t>成都尼甲餐饮管理有限公司</t>
  </si>
  <si>
    <t>鸡尾酒;利⼝酒;伏特加酒;朗姆酒;⽩兰地;葡萄酒;酒精饮料（啤酒除外）;威⼠忌;果酒（含酒精）;杜松⼦酒</t>
  </si>
  <si>
    <t>北京市门头沟区区域协同发展促进中心</t>
  </si>
  <si>
    <t>开胃酒;⾷⽤酒精;⽩酒;果酒（含酒精）;⻩酒;烈酒（饮料）;酒精饮料（啤酒除外）;烧酒;⽶酒;葡萄酒</t>
  </si>
  <si>
    <t>杜良银</t>
  </si>
  <si>
    <t>⽼酒（中国蒸馏烈酒）;果酒;⽩酒;⾼粱酒;以蒸馏酒为主的开胃酒;蒸馏饮料;露酒;⻩酒;由⾕物蒸馏的⽩酒;⽶酒</t>
  </si>
  <si>
    <t>火烧岭</t>
  </si>
  <si>
    <t>张金堂</t>
  </si>
  <si>
    <t>果酒（含酒精）;⻩酒;以蒸馏酒为主的开胃酒;酒精饮料（啤酒除外）;⾷⽤酒精;烧酒（烈酒）;⽶酒;由⾕物蒸馏的⽩酒;烧酒;⽩酒</t>
  </si>
  <si>
    <t>古路奇</t>
  </si>
  <si>
    <t>常玉龙</t>
  </si>
  <si>
    <t>伏特加酒;⽩兰地;葡萄酒;朗姆酒;⽩葡萄酒;烈酒;⽩酒;含酒精⽔果饮料;混合威⼠忌酒;⽩⼲酒（中国⽩酒）</t>
  </si>
  <si>
    <t>2024/05/23</t>
  </si>
  <si>
    <t>粱盏临江仙</t>
  </si>
  <si>
    <t>刘红丽</t>
  </si>
  <si>
    <t>酒精饮料（啤酒除外）;⻩酒;葡萄酒;酒精饮料浓缩汁;朝鲜族⽶酒;⽩酒;酒精饮料原汁;烈酒（饮料）;⾷⽤酒精;烧酒</t>
  </si>
  <si>
    <t>左拾右补</t>
  </si>
  <si>
    <t>左拾右补（杭州）食品科技有限公司</t>
  </si>
  <si>
    <t>果酒;鸡尾酒;⽶酒;威⼠忌;⽩酒;⻩酒;葡萄酒;以葡萄酒为主的饮料;汽酒;⾕物制蒸馏酒精饮料</t>
  </si>
  <si>
    <t>呼伦贝尔长生天商贸有限公司</t>
  </si>
  <si>
    <t>⽶酒;含⽔果酒精饮料;杜松⼦酒;葡萄酒;⻩酒;朗姆酒;⽩酒;⻘稞酒;利⼝酒;蜂蜜酒</t>
  </si>
  <si>
    <t>宝竹</t>
  </si>
  <si>
    <t>山西杏花国宾酒业有限公司</t>
  </si>
  <si>
    <t>烈酒（饮料）;开胃酒;⻩酒;⽩酒;利⼝酒;烧酒;⻘稞酒;杜松⼦酒;⾷⽤酒精;蒸煮提取物（利⼝酒和烈酒）</t>
  </si>
  <si>
    <t>展世邦</t>
  </si>
  <si>
    <t>展世邦（成都）商业管理有限公司</t>
  </si>
  <si>
    <t>甜果酒;⻩酒;烧酒;葡萄酒;蜂蜜酒;⻘稞酒;烈酒;⽩酒;鸡尾酒;⽶酒</t>
  </si>
  <si>
    <t>飞龙侠</t>
  </si>
  <si>
    <t>烈酒（饮料）;蒸煮提取物（利⼝酒和烈酒）;酒精饮料原汁;⽩酒;果酒（含酒精）;⽶酒;葡萄酒;酒精饮料（啤酒除外）;烧酒;清酒（⽇本⽶酒）</t>
  </si>
  <si>
    <t>浙江珐琅彩科技有限公司</t>
  </si>
  <si>
    <t>威⼠忌;预先混合的酒精饮料（以啤酒为主的除外）;含⽔果酒精饮料;葡萄酒;⽶酒;开胃酒;烈酒（饮料）;烧酒;⻩酒;果酒（含酒精）</t>
  </si>
  <si>
    <t>威威凤泉</t>
  </si>
  <si>
    <t>化州市威威酒业有限公司</t>
  </si>
  <si>
    <t>⽩兰地;⽩酒;鸡尾酒;果酒（含酒精）;酒精饮料（啤酒除外）;烈酒（饮料）;含⽔果酒精饮料;开胃酒;烧酒;葡萄酒</t>
  </si>
  <si>
    <t>创至农</t>
  </si>
  <si>
    <t>贵州省创农食品有限责任公司</t>
  </si>
  <si>
    <t>⽶酒;鸡尾酒;烈酒;果酒（含酒精）;⽩⼲酒（中国⽩酒）;⻩酒;烧酒（烈酒）;⾼粱酒;由⾕物蒸馏的⽩酒;烧酒</t>
  </si>
  <si>
    <t>厦门冉健投资有限公司</t>
  </si>
  <si>
    <t>果酒（含酒精）;烈酒（饮料）;⽩酒;⻩酒;葡萄酒;蒸馏饮料;⽩兰地;酒精饮料（啤酒除外）;开胃酒;烧酒</t>
  </si>
  <si>
    <t>广东省峻铭酒业有限公司</t>
  </si>
  <si>
    <t>⽶酒;开胃酒;果酒（含酒精）;蒸馏饮料;烧酒;烈酒（饮料）;⻩酒;⻘稞酒;⽩酒;⽩兰地</t>
  </si>
  <si>
    <t>深圳微掌通智能科技有限公司</t>
  </si>
  <si>
    <t>果酒（含酒精）;伏特加酒;⽩酒;朗姆酒;威⼠忌;葡萄酒;预先混合的酒精饮料（以啤酒为主的除外）;烈酒（饮料）;清酒（⽇本⽶酒）;鸡尾酒</t>
  </si>
  <si>
    <t>野山介</t>
  </si>
  <si>
    <t>蜂蜜酒;含⽔果酒精饮料;烧酒;汽酒;果酒（含酒精）;⻩酒;薄荷酒;⽶酒;⽩酒;清酒</t>
  </si>
  <si>
    <t>LUTTMANN</t>
  </si>
  <si>
    <t>屋企西岸品牌管理（苏州）有限公司</t>
  </si>
  <si>
    <t>烧酒;蒸馏饮料;葡萄酒;烈酒（饮料）;果酒（含酒精）;⽶酒;⻩酒;⽩酒;含⽔果酒精饮料;酒精饮料（啤酒除外）</t>
  </si>
  <si>
    <t>福源天品</t>
  </si>
  <si>
    <t>北京福源天石珠宝有限公司</t>
  </si>
  <si>
    <t>果酒（含酒精）;烈酒（饮料）;⽶酒;酒精饮料（啤酒除外）;烧酒;蒸煮提取物（利⼝酒和烈酒）;⽩兰地;开胃酒;葡萄酒;⽩酒</t>
  </si>
  <si>
    <t>阳阳拍拍熊</t>
  </si>
  <si>
    <t>北京东方阳阳企业管理有限公司</t>
  </si>
  <si>
    <t>酒精饮料原汁;蒸馏饮料;⽩酒;葡萄酒;⽶酒;果酒（含酒精）;烈酒（饮料）;烧酒;酒精饮料（啤酒除外）;汽酒</t>
  </si>
  <si>
    <t>椒目</t>
  </si>
  <si>
    <t>辽源市梅香曲酒业有限责任公司</t>
  </si>
  <si>
    <t>酒精饮料（啤酒除外）;刺五加酒;含酒精⽔果饮料;露酒;⽼酒（中国蒸馏烈酒）;⽩⼲酒（中国⽩酒）;⾼粱酒;果酒（含酒精）;烧酒;⽩酒</t>
  </si>
  <si>
    <t>2024/05/24</t>
  </si>
  <si>
    <t>河南越布悠科技有限公司</t>
  </si>
  <si>
    <t>⽩酒;酒精饮料（啤酒除外）;葡萄酒;⽶酒;鸡尾酒;⻩酒;烈酒（饮料）;汽酒;果酒（含酒精）;烧酒</t>
  </si>
  <si>
    <t>羊囡囡</t>
  </si>
  <si>
    <t>由⾕物蒸馏的⽩酒;⽼酒（中国蒸馏烈酒）;⽶酒;⻘稞酒;⽩酒;⽩⼲酒（中国⽩酒）;薄荷酒;利⼝酒;⻩酒;烧酒（烈酒）</t>
  </si>
  <si>
    <t>顺势明道</t>
  </si>
  <si>
    <t>尉氏县思佳塑业有限公司</t>
  </si>
  <si>
    <t>汽酒;鸡尾酒;⻩酒;⽶酒;烈酒;烧酒;⽩酒;⻘稞酒;伏特加酒;葡萄酒</t>
  </si>
  <si>
    <t>阳阳拍拍兔</t>
  </si>
  <si>
    <t>果酒（含酒精）;酒精饮料（啤酒除外）;酒精饮料原汁;汽酒;蒸馏饮料;⽶酒;⽩酒;葡萄酒;烧酒;烈酒（饮料）</t>
  </si>
  <si>
    <t>华夏鲲鹏科技股份有限公司</t>
  </si>
  <si>
    <t>⽶酒;⽩酒;蒸馏饮料;威⼠忌;⽩兰地;酒精饮料原汁;⽩葡萄酒;红葡萄酒;⾷⽤酒精;烧酒</t>
  </si>
  <si>
    <t>酒精饮料原汁;烧酒;酒精饮料（啤酒除外）;⽶酒;果酒（含酒精）;汽酒;烈酒（饮料）;葡萄酒;蒸馏饮料;⽩酒</t>
  </si>
  <si>
    <t>欣菲柔</t>
  </si>
  <si>
    <t>李月钗</t>
  </si>
  <si>
    <t>⻨芽威⼠忌;葡萄酒;烧酒;⻩酒;果酒;果酒（含酒精）;鸡尾酒;清酒（⽇本⽶酒）;⽶酒;⽩酒</t>
  </si>
  <si>
    <t>赏雾山</t>
  </si>
  <si>
    <t>嵊州市辉宏茶业有限公司</t>
  </si>
  <si>
    <t>⽩酒;烧酒;威⼠忌;⻩酒;烈酒（饮料）;果酒（含酒精）;鸡尾酒;⽶酒;葡萄酒;酒精饮料（啤酒除外）</t>
  </si>
  <si>
    <t>七玺帝皇</t>
  </si>
  <si>
    <t>贵州省仁怀市尘世间商贸有限公司</t>
  </si>
  <si>
    <t>⽩酒;⽼酒（中国蒸馏烈酒）;葡萄酒;利⼝酒;露酒;⾼粱酒;果酒（含酒精）;清酒;⽶酒;酒精饮料（啤酒除外）</t>
  </si>
  <si>
    <t>砚珍</t>
  </si>
  <si>
    <t>横峰县葛珍种植有限公司</t>
  </si>
  <si>
    <t>酒精饮料（啤酒除外）;⽶酒;葡萄酒;蒸馏饮料;⽩酒;烧酒;果酒（含酒精）;鸡尾酒;⾷⽤酒精;⽩兰地</t>
  </si>
  <si>
    <t>沧星</t>
  </si>
  <si>
    <t>宋清双</t>
  </si>
  <si>
    <t>⽩酒;威⼠忌;葡萄酒;果酒（含酒精）;鸡尾酒;烈酒;⻩酒;开胃酒;酒精饮料（啤酒除外）;清酒（⽇本⽶酒）</t>
  </si>
  <si>
    <t>京狮爷</t>
  </si>
  <si>
    <t>武东焕</t>
  </si>
  <si>
    <t>⽶酒;⽩酒;⾷⽤酒精;利⼝酒;葡萄酒;烧酒;蒸馏饮料;果酒（含酒精）;⾼粱酒;酒精饮料（啤酒除外）</t>
  </si>
  <si>
    <t>唯然有里</t>
  </si>
  <si>
    <t>唯然(北京)国际文化传播有限公司</t>
  </si>
  <si>
    <t>酒精饮料（啤酒除外）;⽶酒;⻩酒;苦艾酒;甜酒;柑⾹酒;葡萄酒;露酒;果酒（含酒精）;⽩酒</t>
  </si>
  <si>
    <t>桦与花</t>
  </si>
  <si>
    <t>长白山保护开发区呦呦鹿鸣电子商务有限公司</t>
  </si>
  <si>
    <t>含酒精的饮料（啤酒除外）;果酒（含酒精）;酒精饮料原汁;⽩酒;酒精饮料浓缩汁;蜂蜜酒;汽酒;伏特加酒;朝鲜族⽶酒;已调味的蒸馏酒</t>
  </si>
  <si>
    <t>宝山食谷</t>
  </si>
  <si>
    <t>四川宝山旅游有限责任公司</t>
  </si>
  <si>
    <t>烈酒（饮料）;果酒（含酒精）;鸡尾酒;汽酒;⻩酒;⾷⽤酒精;⽩酒;葡萄酒;烧酒;⻘稞酒</t>
  </si>
  <si>
    <t>仙花靓女人</t>
  </si>
  <si>
    <t>四川河涛工程项目管理咨询有限公司</t>
  </si>
  <si>
    <t>葡萄酒;烈酒;果酒;⽩酒;⽶酒;威⼠忌;含⽔果酒精饮料;⻘稞酒;⾷⽤酒精;鸡尾酒</t>
  </si>
  <si>
    <t>泗县领头雁农业种植专业合作社</t>
  </si>
  <si>
    <t>⽶酒;酒精饮料（啤酒除外）;烧酒（烈酒）;⻩酒;⽩酒;果酒;由⾕物蒸馏的⽩酒;⽼酒（中国蒸馏烈酒）;⾼粱酒;⽩⼲酒（中国⽩酒）</t>
  </si>
  <si>
    <t>淘气的姥姥</t>
  </si>
  <si>
    <t>槛外葩鸟（广州）文化发展有限公司</t>
  </si>
  <si>
    <t>蒸馏饮料;鸡尾酒;威⼠忌;以葡萄酒为主的饮料;含⽔果酒精饮料;果酒（含酒精）;清酒（⽇本⽶酒）;咖啡利⼝酒;酒精饮料（啤酒除外）;含酒精⽔果饮料</t>
  </si>
  <si>
    <t>江苏省农垦健康生活服务有限公司</t>
  </si>
  <si>
    <t>果酒（含酒精）;鸡尾酒;蒸馏饮料;烈酒（饮料）;酸酒（低等葡萄酒）;⽩酒;酒精饮料（啤酒除外）;葡萄酒;清酒（⽇本⽶酒）;朗姆酒</t>
  </si>
  <si>
    <t>长盛久安</t>
  </si>
  <si>
    <t>陕西酒聖品牌运营管理有限公司</t>
  </si>
  <si>
    <t>鸡尾酒;葡萄酒;烈酒（饮料）;清酒（⽇本⽶酒）;⽶酒;烧酒;果酒（含酒精）;酒精饮料（啤酒除外）;⻩酒;⽩酒</t>
  </si>
  <si>
    <t>葩鸟</t>
  </si>
  <si>
    <t>威⼠忌;含酒精⽔果饮料;蒸馏饮料;酒精饮料（啤酒除外）;咖啡利⼝酒;清酒（⽇本⽶酒）;含⽔果酒精饮料;鸡尾酒;以葡萄酒为主的饮料;果酒（含酒精）</t>
  </si>
  <si>
    <t>广州三易健康科技有限公司</t>
  </si>
  <si>
    <t>⻩酒;⽩葡萄酒;⽩酒;含酒精⽔果饮料;烧酒（烈酒）;梅酒;果酒;伏特加酒;鸡尾酒;⽶酒</t>
  </si>
  <si>
    <t>杭州哲领传媒有限公司</t>
  </si>
  <si>
    <t>⽩酒;酒精饮料（啤酒除外）;葡萄酒;威⼠忌;含⽔果酒精饮料;薄荷酒;果酒（含酒精）;开胃酒;蒸馏饮料;⻩酒</t>
  </si>
  <si>
    <t>南京乐洁辉餐饮发展合伙企业（有限合伙）</t>
  </si>
  <si>
    <t>汽酒;葡萄酒;烧酒;⻘稞酒;⽶酒;⽩酒;果酒（含酒精）;鸡尾酒;含⽔果酒精饮料;⻩酒</t>
  </si>
  <si>
    <t>冯俊伟</t>
  </si>
  <si>
    <t>果酒;葡萄酒;鸡尾酒;已调味的蒸馏酒;烈酒;含酒精的饮料（啤酒除外）;⾼粱酒;⽶酒;⻩酒;⽩酒</t>
  </si>
  <si>
    <t>卓曼尼</t>
  </si>
  <si>
    <t>吴琦</t>
  </si>
  <si>
    <t>葡萄酒;蒸馏饮料;酒精饮料（啤酒除外）;⻩酒;⽩酒;⾕物制蒸馏酒精饮料;烈酒（饮料）;含⽔果酒精饮料;朗姆酒;⻘稞酒</t>
  </si>
  <si>
    <t>御上京典</t>
  </si>
  <si>
    <t>北京京都鸿志酒业有限公司</t>
  </si>
  <si>
    <t>烧酒;开胃酒;鸡尾酒;⾼粱酒;果酒;利⼝酒;葡萄酒;⻩酒;⽶酒;⽩酒</t>
  </si>
  <si>
    <t>香百海</t>
  </si>
  <si>
    <t>林志妙</t>
  </si>
  <si>
    <t>烧酒;⻩酒;⽩酒;果酒（含酒精）;⽶酒;葡萄酒;利⼝酒;蜂蜜酒;⽩兰地;鸡尾酒</t>
  </si>
  <si>
    <t>酒精饮料（啤酒除外）;⽶酒;果酒（含酒精）;葡萄酒;烈酒（饮料）;⻩酒;⽩酒;鸡尾酒;烧酒;清酒（⽇本⽶酒）</t>
  </si>
  <si>
    <t>焉支周师傅米酒</t>
  </si>
  <si>
    <t>周龙622223********1533</t>
  </si>
  <si>
    <t>⽇式甜⽶酒;清酒（⽇本⽶酒）;朝鲜族⽶酒;⽶酒;蒸馏⽶酒（泡盛酒）</t>
  </si>
  <si>
    <t>康健天年</t>
  </si>
  <si>
    <t>四川壹康生物科技有限公司</t>
  </si>
  <si>
    <t>蜂蜜酒;酒精饮料（啤酒除外）;含酒精的饮料（啤酒除外）;果酒（含酒精）;苦荞酒;已调味的⻨芽酿制的酒精饮料（啤酒除外）</t>
  </si>
  <si>
    <t>遵义市黔北汽车检测有限公司</t>
  </si>
  <si>
    <t>果酒（含酒精）;葡萄酒;⽶酒;烧酒;⾕物制蒸馏酒精饮料;⽩酒;烈酒（饮料）;酒精饮料（啤酒除外）;清酒（⽇本⽶酒）;开胃酒</t>
  </si>
  <si>
    <t>内蒙古羽林酒业有限公司</t>
  </si>
  <si>
    <t>蒸馏饮料;含⽔果酒精饮料;⽶酒;烧酒;果酒;⾼粱酒;⻩酒;⽩酒;葡萄酒;⾷⽤酒精</t>
  </si>
  <si>
    <t>九斑马酒业</t>
  </si>
  <si>
    <t>宋晶蕾</t>
  </si>
  <si>
    <t>蒸煮提取物（利⼝酒和烈酒）;烈酒（饮料）;⽩酒;汽酒;酒精饮料（啤酒除外）;蜂蜜酒;果酒（含酒精）;蒸馏饮料;含⽔果酒精饮料;鸡尾酒</t>
  </si>
  <si>
    <t>陈方友</t>
  </si>
  <si>
    <t>安吉章村老陈方友食用菌经营部</t>
  </si>
  <si>
    <t>⽶酒;烧酒;⽩酒;蒸馏饮料;酒精饮料（啤酒除外）;利⼝酒;烈酒（饮料）;果酒（含酒精）;开胃酒;⻩酒</t>
  </si>
  <si>
    <t>蔻孜</t>
  </si>
  <si>
    <t>丰城市顶冠鞋业有限公司</t>
  </si>
  <si>
    <t>烈酒（饮料）;⽩兰地;⽩酒;烧酒;⻩酒;酒精饮料（啤酒除外）;⽶酒;⻘稞酒;果酒;清酒（⽇本⽶酒）</t>
  </si>
  <si>
    <t>京武发</t>
  </si>
  <si>
    <t>吴金武</t>
  </si>
  <si>
    <t>酒精饮料（啤酒除外）;甜酒;果酒（含酒精）;葡萄酒;鸡尾酒;蜂蜜酒;樱桃酒;梨酒;⽶酒;苹果酒</t>
  </si>
  <si>
    <t>知也鑫</t>
  </si>
  <si>
    <t>沭阳倍维奇电子商务有限公司</t>
  </si>
  <si>
    <t>蜂蜜酒;⽶酒;葡萄酒;含⽔果酒精饮料;酒精饮料（啤酒除外）;⽩酒;烧酒;⾷⽤酒精;⻩酒;果酒（含酒精）</t>
  </si>
  <si>
    <t>淏鑫</t>
  </si>
  <si>
    <t>周云丽</t>
  </si>
  <si>
    <t>⽶酒;⽼酒（中国蒸馏烈酒）;露酒;烧酒;果酒;清酒;鸡尾酒;葡萄酒;⾼粱酒;⽩酒</t>
  </si>
  <si>
    <t>念酒翁</t>
  </si>
  <si>
    <t>周传珍</t>
  </si>
  <si>
    <t>烧酒;开胃酒;苦荞酒;⽩⼲酒（中国⽩酒）;果酒（含酒精）;⻩酒;⽶酒;烈酒;⾼粱酒;⽩酒</t>
  </si>
  <si>
    <t>吊梢眉</t>
  </si>
  <si>
    <t>蒸馏饮料;含⽔果酒精饮料;鸡尾酒;清酒（⽇本⽶酒）;咖啡利⼝酒;威⼠忌;含酒精⽔果饮料;酒精饮料（啤酒除外）;以葡萄酒为主的饮料;果酒（含酒精）</t>
  </si>
  <si>
    <t>贵州省仁怀市黔生缘酒业销售有限公司</t>
  </si>
  <si>
    <t>葡萄酒;烧酒;⽩酒;⻩酒;⾷⽤酒精;⽶酒;⻘稞酒;鸡尾酒;果酒（含酒精）;酒精饮料（啤酒除外）</t>
  </si>
  <si>
    <t>PABIRD</t>
  </si>
  <si>
    <t>蒸馏饮料;清酒（⽇本⽶酒）;以葡萄酒为主的饮料;含酒精⽔果饮料;果酒（含酒精）;鸡尾酒;威⼠忌;酒精饮料（啤酒除外）;咖啡利⼝酒;含⽔果酒精饮料</t>
  </si>
  <si>
    <t>尧街舜巷</t>
  </si>
  <si>
    <t>以葡萄酒为主的饮料;鸡尾酒;威⼠忌;含酒精⽔果饮料;果酒（含酒精）;清酒（⽇本⽶酒）;酒精饮料（啤酒除外）;含⽔果酒精饮料;蒸馏饮料;咖啡利⼝酒</t>
  </si>
  <si>
    <t>严兴堂</t>
  </si>
  <si>
    <t>葡萄酒;伏特加酒;⽩兰地;⻩酒;开胃酒;烧酒;苹果酒;⽶酒;⽩酒;果酒（含酒精）</t>
  </si>
  <si>
    <t>2024/05/25</t>
  </si>
  <si>
    <t>孚奥玛</t>
  </si>
  <si>
    <t>广州佛马品牌管理有限公司</t>
  </si>
  <si>
    <t>汽酒;⻩酒;⽶酒;梨酒;清酒（⽇本⽶酒）;葡萄酒;开胃酒;鸡尾酒;含⽔果酒精饮料;⽩酒</t>
  </si>
  <si>
    <t>汉御川</t>
  </si>
  <si>
    <t>杨溢</t>
  </si>
  <si>
    <t>威⼠忌;⽩酒;酒精饮料（啤酒除外）;含⽔果酒精饮料;伏特加酒;葡萄酒;⻩酒;清酒（⽇本⽶酒）;⽶酒;果酒（含酒精）</t>
  </si>
  <si>
    <t>2024/05/26</t>
  </si>
  <si>
    <t>斛中尊</t>
  </si>
  <si>
    <t>曾修贵</t>
  </si>
  <si>
    <t>果酒（含酒精）;苹果酒;含⽔果酒精饮料;葡萄酒;⽶酒;烈酒（饮料）;梨酒;⽩⼲酒（中国⽩酒）;烧酒;⽩酒</t>
  </si>
  <si>
    <t>世外醉仙</t>
  </si>
  <si>
    <t>杨金贵</t>
  </si>
  <si>
    <t>⽶酒;⽩⼲酒（中国⽩酒）;⽩酒;烧酒;梅酒;杨梅酒;酒精饮料（啤酒除外）;⻩酒;烈酒;果酒</t>
  </si>
  <si>
    <t>2024/05/27</t>
  </si>
  <si>
    <t>潼淮坊</t>
  </si>
  <si>
    <t>王晓艳</t>
  </si>
  <si>
    <t>⽶酒;⽩酒;葡萄酒;蒸馏饮料;⽩兰地;烧酒;⻩酒;果酒（含酒精）;鸡尾酒;威⼠忌</t>
  </si>
  <si>
    <t>BLOOOOM</t>
  </si>
  <si>
    <t>武汉在地餐饮管理有限公司</t>
  </si>
  <si>
    <t>烈酒（饮料）;果酒（含酒精）;⽩兰地;柑⾹酒;烧酒;⽩酒;含酒精的⽓泡⽔;开胃酒;葡萄酒;鸡尾酒</t>
  </si>
  <si>
    <t>林培源</t>
  </si>
  <si>
    <t>林培源健康研究（广东）有限公司</t>
  </si>
  <si>
    <t>樱桃酒;酒精饮料原汁;⻩酒;⽩酒;果酒（含酒精）;烈酒（饮料）;⽶酒;⾕物制蒸馏酒精饮料;烧酒;葡萄酒</t>
  </si>
  <si>
    <t>玖大哥</t>
  </si>
  <si>
    <t>成都剑魂春酒业有限公司</t>
  </si>
  <si>
    <t>酒精饮料（啤酒除外）;⻩酒;⾷⽤酒精;葡萄酒;⻘稞酒;⽩酒;蜂蜜酒;烈酒（饮料）;烧酒;⽶酒</t>
  </si>
  <si>
    <t>俪玛商业经营管理（上海）有限公司</t>
  </si>
  <si>
    <t>含⽔果酒精饮料;鸡尾酒;⽩酒;葡萄酒;朗姆酒;伏特加酒;果酒（含酒精）;⽩兰地;清酒（⽇本⽶酒）;威⼠忌</t>
  </si>
  <si>
    <t>渡礼</t>
  </si>
  <si>
    <t>江西李渡酒业有限公司</t>
  </si>
  <si>
    <t>威⼠忌;酒精饮料（啤酒除外）;烈酒（饮料）;⽶酒;果酒（含酒精）;⽩酒;⻩酒;葡萄酒;利⼝酒;预先混合的酒精饮料（以啤酒为主的除外）</t>
  </si>
  <si>
    <t>虢寿</t>
  </si>
  <si>
    <t>张会香</t>
  </si>
  <si>
    <t>鸡尾酒;利⼝酒;樱桃酒;薄荷酒;⻩酒;烧酒;伏特加酒;开胃酒;酒精饮料浓缩汁;⽩酒</t>
  </si>
  <si>
    <t>希拉乐</t>
  </si>
  <si>
    <t>上海粉玺企业管理有限公司</t>
  </si>
  <si>
    <t>果酒（含酒精）;葡萄酒;⽶酒;酒精饮料原汁;⻩酒;⾷⽤酒精;鸡尾酒;威⼠忌;汽酒;酒精饮料（啤酒除外）</t>
  </si>
  <si>
    <t>舍粮赋</t>
  </si>
  <si>
    <t>河南德信诚商贸有限公司</t>
  </si>
  <si>
    <t>⽩酒;⻩酒;果酒（含酒精）;开胃酒;葡萄酒;⾷⽤酒精;蒸煮提取物（利⼝酒和烈酒）;酒精饮料（啤酒除外）;烧酒;⽶酒</t>
  </si>
  <si>
    <t>惠州市汉江餐饮管理有限公司</t>
  </si>
  <si>
    <t>朝鲜族⽶酒;清酒;酒精饮料（啤酒除外）;⾕物制蒸馏酒精饮料;朝鲜烧酒;果酒（含酒精）;葡萄酒;烈酒（饮料）;马格利酒（朝鲜传统⽶酒）;鸡尾酒</t>
  </si>
  <si>
    <t>豫康超</t>
  </si>
  <si>
    <t>河南省康超医疗科技有限公司</t>
  </si>
  <si>
    <t>果酒（含酒精）;葡萄酒;开胃酒;利⼝酒;预先混合的酒精饮料（以啤酒为主的除外）;⽶酒;⽩酒;酒精饮料原汁;鸡尾酒;烈酒（饮料）</t>
  </si>
  <si>
    <t>菩池</t>
  </si>
  <si>
    <t>河南玄天科技有限公司</t>
  </si>
  <si>
    <t>⽩兰地;酒精饮料（啤酒除外）;威⼠忌;⽩酒;鸡尾酒;葡萄酒;⻩酒;烈酒（饮料）;⾷⽤酒精;⽶酒</t>
  </si>
  <si>
    <t>雅嘉怡</t>
  </si>
  <si>
    <t>广州高璞贸易有限公司</t>
  </si>
  <si>
    <t>葡萄酒;烈酒（饮料）;⽩兰地;酒精饮料（啤酒除外）;朗姆酒（酒精饮料）;甜酒;含⽔果酒精饮料;⽶酒;伏特加酒;威⼠忌</t>
  </si>
  <si>
    <t>佛冈县水头镇新坣经济联合社</t>
  </si>
  <si>
    <t>⽶酒;⻩酒;⽇式甜⽶酒;果酒;甜果酒;烧酒;甜酒;⽩酒;清酒;烈酒</t>
  </si>
  <si>
    <t>佛山市高明区明南农业有限公司</t>
  </si>
  <si>
    <t>朗姆酒;含⽔果酒精饮料;鸡尾酒;⽶酒;葡萄酒;威⼠忌;⽩兰地;⽩酒;烈酒（饮料）;伏特加酒</t>
  </si>
  <si>
    <t>李渡爱渡</t>
  </si>
  <si>
    <t>酒精饮料（啤酒除外）;利⼝酒;⽶酒;果酒（含酒精）;葡萄酒;⻩酒;⽩酒;烈酒（饮料）;预先混合的酒精饮料（以啤酒为主的除外）;威⼠忌</t>
  </si>
  <si>
    <t>李渡东坡醉</t>
  </si>
  <si>
    <t>⽩酒;果酒（含酒精）;烈酒（饮料）;⽶酒;威⼠忌;葡萄酒;⻩酒;预先混合的酒精饮料（以啤酒为主的除外）;利⼝酒;酒精饮料（啤酒除外）</t>
  </si>
  <si>
    <t>迎龙奉圣</t>
  </si>
  <si>
    <t>⽶酒;烈酒;⽩⼲酒（中国⽩酒）;⽩酒;烧酒;杨梅酒;酒精饮料（啤酒除外）;⻩酒;梅酒;果酒</t>
  </si>
  <si>
    <t>御酩天</t>
  </si>
  <si>
    <t>王坤</t>
  </si>
  <si>
    <t>含水果酒精饮料;黄酒;酒精饮料（啤酒除外）;米酒;威士忌;果酒（含酒精）;伏特加酒;白酒;葡萄酒;清酒（日本米酒）</t>
  </si>
  <si>
    <t>安山胖</t>
  </si>
  <si>
    <t>杨中宁</t>
  </si>
  <si>
    <t>⽶酒;⻩酒;⾷⽤酒精;含⽔果酒精饮料;⽩酒;果酒（含酒精）;蒸馏饮料;鸡尾酒;⾕物制蒸馏酒精饮料;以葡萄酒为主的饮料</t>
  </si>
  <si>
    <t>渡爱</t>
  </si>
  <si>
    <t>烈酒（饮料）;⻩酒;葡萄酒;⽩酒;酒精饮料（啤酒除外）;⽶酒;果酒（含酒精）;预先混合的酒精饮料（以啤酒为主的除外）;威⼠忌;利⼝酒</t>
  </si>
  <si>
    <t>JULIAETTE</t>
  </si>
  <si>
    <t>斯帝凯国际贸易（北京）有限公司</t>
  </si>
  <si>
    <t>烧酒;开胃酒;⻩酒;⽩酒;鸡尾酒;葡萄酒;伏特加酒;清酒;⽩兰地;⻘稞酒</t>
  </si>
  <si>
    <t>慧圆新悦</t>
  </si>
  <si>
    <t>云南慧圆新悦生物科技有限公司</t>
  </si>
  <si>
    <t>⽩酒;含⽔果酒精饮料;葡萄酒;烈性⼲酒;伏特加酒;⽩葡萄酒;含⽜奶的鸡尾酒;以葡萄酒为主的饮料;烈酒（饮料）;烧酒</t>
  </si>
  <si>
    <t>乐西湖</t>
  </si>
  <si>
    <t>李军利</t>
  </si>
  <si>
    <t>烧酒（烈酒）;果酒（含酒精）;开胃酒;⻩酒;⽶酒;由⾕物蒸馏的⽩酒;葡萄酒;含⽔果酒精饮料;⽩兰地;⽩酒</t>
  </si>
  <si>
    <t>李渡礼渡</t>
  </si>
  <si>
    <t>⽩酒;⽶酒;酒精饮料（啤酒除外）;果酒（含酒精）;葡萄酒;烈酒（饮料）;利⼝酒;威⼠忌;⻩酒;预先混合的酒精饮料（以啤酒为主的除外）</t>
  </si>
  <si>
    <t>李渡千年渡</t>
  </si>
  <si>
    <t>烈酒（饮料）;葡萄酒;⽩酒;⽶酒;预先混合的酒精饮料（以啤酒为主的除外）;酒精饮料（啤酒除外）;⻩酒;利⼝酒;果酒（含酒精）;威⼠忌</t>
  </si>
  <si>
    <t>李渡宋礼</t>
  </si>
  <si>
    <t>⽩酒;烈酒（饮料）;果酒（含酒精）;葡萄酒;预先混合的酒精饮料（以啤酒为主的除外）;利⼝酒;⽶酒;酒精饮料（啤酒除外）;威⼠忌;⻩酒</t>
  </si>
  <si>
    <t>中恳</t>
  </si>
  <si>
    <t>焦菡蓉</t>
  </si>
  <si>
    <t>⽶酒;⾼粱酒;烧酒;开胃酒;果酒（含酒精）;⽩酒;葡萄酒;酒精饮料（啤酒除外）;⻩酒;烈酒（饮料）</t>
  </si>
  <si>
    <t>泉州市战蓝品牌管理有限公司</t>
  </si>
  <si>
    <t>⽩酒;果酒（含酒精）;鸡尾酒;⽶酒;朗姆酒;烈酒（饮料）;⽩兰地;伏特加酒;威⼠忌;葡萄酒</t>
  </si>
  <si>
    <t>苗寿山</t>
  </si>
  <si>
    <t>湖南硒晃山生态科技有限公司</t>
  </si>
  <si>
    <t>葡萄酒;烈酒（饮料）;⾼粱酒;酒精饮料（啤酒除外）;⽶酒;开胃酒;⾕物制蒸馏酒精饮料;⽩酒;甜酒;果酒（含酒精）</t>
  </si>
  <si>
    <t>阿麦和阿包</t>
  </si>
  <si>
    <t>湖南顺记坊食品有限公司</t>
  </si>
  <si>
    <t>⻘稞酒;清酒;酒精饮料浓缩汁;烧酒;葡萄酒;烈酒;⽶酒;果酒;开胃酒;⽩酒</t>
  </si>
  <si>
    <t>村秀</t>
  </si>
  <si>
    <t>成都远巢传媒有限责任公司</t>
  </si>
  <si>
    <t>果酒;朝鲜族⽶酒;⻩酒;薄荷酒;烧酒;⽩兰地;⽩酒;利⼝酒;威⼠忌;亚⼒酒</t>
  </si>
  <si>
    <t>露森兄弟</t>
  </si>
  <si>
    <t>恩斯特-弗里德里希·洛森</t>
  </si>
  <si>
    <t>汽酒;起泡⽩葡萄酒;以葡萄酒为主的开胃酒;葡萄酒;以葡萄酒为主的饮料;红葡萄酒;桃红葡萄酒;起泡红葡萄酒;酒精饮料（啤酒除外）;⽩葡萄酒</t>
  </si>
  <si>
    <t>时间谷</t>
  </si>
  <si>
    <t>湖南时间谷商贸有限公司</t>
  </si>
  <si>
    <t>由⾕物蒸馏的⽩酒;⻩酒;苹果酒;含酒精⽔果饮料;甜酒;⾼粱酒;柑⾹酒;葡萄酒;果酒;⽶酒</t>
  </si>
  <si>
    <t>瑶诺康</t>
  </si>
  <si>
    <t>华大（江西）健康科技有限公司</t>
  </si>
  <si>
    <t>果酒（含酒精）;⽶酒;以葡萄酒为主的饮料;⽩酒;烈酒（饮料）;葡萄酒;⻩酒;⽼酒（中国蒸馏烈酒）;烧酒;餐后酒（利⼝酒和烈酒）</t>
  </si>
  <si>
    <t>黄晨宇</t>
  </si>
  <si>
    <t>浙江中酒汇文化发展有限公司</t>
  </si>
  <si>
    <t>薄荷酒;葡萄酒;⻩酒;烈酒（饮料）;⽩酒;利⼝酒;汽酒;⾷⽤酒精</t>
  </si>
  <si>
    <t>享忆缘</t>
  </si>
  <si>
    <t>北京中电诚信工程设计有限公司</t>
  </si>
  <si>
    <t>⽩酒;果酒（含酒精）;⻩酒;烈酒（饮料）;⾷⽤酒精;⽶酒;清酒;酒精饮料（啤酒除外）;葡萄酒;威⼠忌</t>
  </si>
  <si>
    <t>董沅朋</t>
  </si>
  <si>
    <t>济南冠鸿经贸有限公司</t>
  </si>
  <si>
    <t>预先混合的酒精饮料（以啤酒为主的除外）;伏特加酒;威⼠忌;⽶酒;烈酒（饮料）;鸡尾酒;⽩酒;葡萄酒;朗姆酒;⻩酒</t>
  </si>
  <si>
    <t>天爱盈洋</t>
  </si>
  <si>
    <t>李明夏</t>
  </si>
  <si>
    <t>⽶酒;含⽔果酒精饮料;清酒（⽇本⽶酒）;酒精饮料（啤酒除外）;⽩酒;烧酒;果酒（含酒精）;葡萄酒;⽩兰地;⻩酒</t>
  </si>
  <si>
    <t>李渡福生</t>
  </si>
  <si>
    <t>利⼝酒;酒精饮料（啤酒除外）;⽩酒;⽶酒;葡萄酒;烈酒（饮料）;⻩酒;果酒（含酒精）;预先混合的酒精饮料（以啤酒为主的除外）;威⼠忌</t>
  </si>
  <si>
    <t>梦屿木</t>
  </si>
  <si>
    <t>林局</t>
  </si>
  <si>
    <t>含酒精的鸡尾酒混合饮品;⽩⼲酒（中国⽩酒）;⾷⽤酒精;⽩葡萄酒;含酒精的⽔果鸡尾酒饮料;⽩酒;果酒;含⽔果酒精饮料;酒精饮料原汁;⽩兰地</t>
  </si>
  <si>
    <t>李渡万茂</t>
  </si>
  <si>
    <t>威⼠忌;⻩酒;⽩酒;葡萄酒;预先混合的酒精饮料（以啤酒为主的除外）;利⼝酒;⽶酒;酒精饮料（啤酒除外）;果酒（含酒精）;烈酒（饮料）</t>
  </si>
  <si>
    <t>李渡福裕泰</t>
  </si>
  <si>
    <t>威⼠忌;预先混合的酒精饮料（以啤酒为主的除外）;⽩酒;⻩酒;⽶酒;烈酒（饮料）;利⼝酒;酒精饮料（啤酒除外）;果酒（含酒精）;葡萄酒</t>
  </si>
  <si>
    <t>王福纪</t>
  </si>
  <si>
    <t>王科</t>
  </si>
  <si>
    <t>蒸馏饮料;葡萄酒;⽶酒;烧酒;⽩酒;酒精饮料（啤酒除外）;清酒（⽇本⽶酒）;⻘稞酒;⾷⽤酒精;果酒（含酒精）</t>
  </si>
  <si>
    <t>牛赳赳</t>
  </si>
  <si>
    <t>甘维行</t>
  </si>
  <si>
    <t>开胃酒;葡萄酒;⽩酒;⾕物制蒸馏酒精饮料</t>
  </si>
  <si>
    <t>上猷臻品</t>
  </si>
  <si>
    <t>上犹县犹江实业发展有限公司</t>
  </si>
  <si>
    <t>酒精饮料原汁;薄荷酒;开胃酒;烧酒;柑⾹酒;茴芹酒（利⼝酒）;烈酒（饮料）;预先混合的酒精饮料（以啤酒为主的除外）;梅酒;清酒（⽇本⽶酒）</t>
  </si>
  <si>
    <t>囍汕应时</t>
  </si>
  <si>
    <t>武汉泽泽霖霖餐饮管理有限责任公司</t>
  </si>
  <si>
    <t>⻩酒;果酒（含酒精）;蒸馏饮料;酒精饮料（啤酒除外）;⾕物制蒸馏酒精饮料;⽢蔗制酒精饮料;鸡尾酒;含⽔果酒精饮料;⽶酒;⽩酒</t>
  </si>
  <si>
    <t>印祥</t>
  </si>
  <si>
    <t>清酒（⽇本⽶酒）;⾷⽤酒精;葡萄酒;酒精饮料（啤酒除外）;烧酒;蒸馏饮料;⽶酒;⻘稞酒;⽩酒;果酒（含酒精）</t>
  </si>
  <si>
    <t>广东大力环保科技有限公司</t>
  </si>
  <si>
    <t>烧酒;葡萄酒;鸡尾酒;⽩兰地;⽩酒;⽶酒;⻩酒;蜂蜜酒;蒸煮提取物（利⼝酒和烈酒）;果酒（含酒精）</t>
  </si>
  <si>
    <t>泛比亚</t>
  </si>
  <si>
    <t>佛山市绿壹生物科技有限公司</t>
  </si>
  <si>
    <t>薄荷酒;开胃酒;蒸馏饮料;⻩酒;含⽔果酒精饮料;威⼠忌;果酒（含酒精）;葡萄酒;酒精饮料（啤酒除外）;⽩酒</t>
  </si>
  <si>
    <t>李渡万义</t>
  </si>
  <si>
    <t>⽩酒;威⼠忌;⻩酒;果酒（含酒精）;利⼝酒;葡萄酒;烈酒（饮料）;⽶酒;酒精饮料（啤酒除外）;预先混合的酒精饮料（以啤酒为主的除外）</t>
  </si>
  <si>
    <t>李渡福生烧坊</t>
  </si>
  <si>
    <t>⽩酒;烈酒（饮料）;利⼝酒;⽶酒;葡萄酒;果酒（含酒精）;预先混合的酒精饮料（以啤酒为主的除外）;酒精饮料（啤酒除外）;⻩酒;威⼠忌</t>
  </si>
  <si>
    <t>李渡宋宴</t>
  </si>
  <si>
    <t>⽩酒;利⼝酒;⽶酒;威⼠忌;预先混合的酒精饮料（以啤酒为主的除外）;果酒（含酒精）;葡萄酒;烈酒（饮料）;⻩酒;酒精饮料（啤酒除外）</t>
  </si>
  <si>
    <t>雁十三</t>
  </si>
  <si>
    <t>王利国</t>
  </si>
  <si>
    <t>含酒精⽔果饮料;鸡尾酒;葡萄酒;⾕物制蒸馏酒精饮料;⽩兰地;⾷⽤酒精;⽶酒;果酒（含酒精）;蒸馏饮料;烈酒（饮料）</t>
  </si>
  <si>
    <t>广州市晟恩农业科技有限公司</t>
  </si>
  <si>
    <t>酒精饮料（啤酒除外）;⽩酒;⾷⽤酒精;开胃酒;餐后酒（利⼝酒和烈酒）;含⽔果酒精饮料;酒精饮料原汁;酒精饮料浓缩汁;预先混合的酒精饮料（以啤酒为主的除外）;鸡尾酒</t>
  </si>
  <si>
    <t>奋求</t>
  </si>
  <si>
    <t>杭州认养一头羊食品科技有限公司</t>
  </si>
  <si>
    <t>清酒（⽇本⽶酒）;⽶酒;利⼝酒;含⽔果酒精饮料;蒸馏饮料;开胃酒;⽩酒;蜂蜜酒;烧酒;果酒（含酒精）</t>
  </si>
  <si>
    <t>滇八戒</t>
  </si>
  <si>
    <t>洪香玲</t>
  </si>
  <si>
    <t>开胃酒;蒸馏饮料;酒精饮料（啤酒除外）;果酒（含酒精）;含⽔果酒精饮料;薄荷酒;葡萄酒;威⼠忌;⽩酒;⻩酒</t>
  </si>
  <si>
    <t>李渡福兴泰</t>
  </si>
  <si>
    <t>⽶酒;酒精饮料（啤酒除外）;⻩酒;利⼝酒;烈酒（饮料）;⽩酒;威⼠忌;果酒（含酒精）;预先混合的酒精饮料（以啤酒为主的除外）;葡萄酒</t>
  </si>
  <si>
    <t>李渡万祥</t>
  </si>
  <si>
    <t>⽩酒;烈酒（饮料）;利⼝酒;果酒（含酒精）;预先混合的酒精饮料（以啤酒为主的除外）;威⼠忌;酒精饮料（啤酒除外）;葡萄酒;⽶酒;⻩酒</t>
  </si>
  <si>
    <t>李渡福昌烧坊</t>
  </si>
  <si>
    <t>威⼠忌;⻩酒;预先混合的酒精饮料（以啤酒为主的除外）;葡萄酒;果酒（含酒精）;利⼝酒;烈酒（饮料）;⽶酒;酒精饮料（啤酒除外）;⽩酒</t>
  </si>
  <si>
    <t>李渡万盛</t>
  </si>
  <si>
    <t>利⼝酒;⽶酒;酒精饮料（啤酒除外）;果酒（含酒精）;威⼠忌;烈酒（饮料）;⻩酒;预先混合的酒精饮料（以啤酒为主的除外）;⽩酒;葡萄酒</t>
  </si>
  <si>
    <t>鸿稷荟</t>
  </si>
  <si>
    <t>汉者河北国际贸易有限公司</t>
  </si>
  <si>
    <t>果酒（含酒精）;⻩酒;鸡尾酒;威⼠忌;⽼酒（中国蒸馏烈酒）;⻘稞酒;⽩酒;⽶酒;烧酒</t>
  </si>
  <si>
    <t>李渡青砖小窑</t>
  </si>
  <si>
    <t>果酒（含酒精）;葡萄酒;⽩酒;利⼝酒;预先混合的酒精饮料（以啤酒为主的除外）;烈酒（饮料）;威⼠忌;⽶酒;酒精饮料（啤酒除外）;⻩酒</t>
  </si>
  <si>
    <t>李渡元始佳酿</t>
  </si>
  <si>
    <t>利⼝酒;⽩酒;烈酒（饮料）;酒精饮料（啤酒除外）;葡萄酒;⽶酒;威⼠忌;⻩酒;预先混合的酒精饮料（以啤酒为主的除外）;果酒（含酒精）</t>
  </si>
  <si>
    <t>轩聚达</t>
  </si>
  <si>
    <t>漳浦县轩聚达贸易商行</t>
  </si>
  <si>
    <t>蒸馏饮料;鸡尾酒;⽩酒;葡萄酒;⾷⽤酒精;清酒（⽇本⽶酒）;果酒（含酒精）;⽶酒;⻘稞酒;酒精饮料（啤酒除外）</t>
  </si>
  <si>
    <t>万竹山</t>
  </si>
  <si>
    <t>王益亮</t>
  </si>
  <si>
    <t>果酒（含酒精）;⽶酒;红葡萄酒;由⾕物蒸馏的⽩酒;⾼粱酒;苦荞酒;⽩酒;含酒精⽔果饮料;⻩酒;烧酒</t>
  </si>
  <si>
    <t>李渡宋曲</t>
  </si>
  <si>
    <t>酒精饮料（啤酒除外）;⻩酒;利⼝酒;⽶酒;葡萄酒;果酒（含酒精）;预先混合的酒精饮料（以啤酒为主的除外）;烈酒（饮料）;⽩酒;威⼠忌</t>
  </si>
  <si>
    <t>李渡宋宴流香</t>
  </si>
  <si>
    <t>⻩酒;酒精饮料（啤酒除外）;预先混合的酒精饮料（以啤酒为主的除外）;葡萄酒;果酒（含酒精）;⽩酒;烈酒（饮料）;威⼠忌;⽶酒;利⼝酒</t>
  </si>
  <si>
    <t>李渡福隆</t>
  </si>
  <si>
    <t>利⼝酒;⻩酒;烈酒（饮料）;⽶酒;预先混合的酒精饮料（以啤酒为主的除外）;酒精饮料（啤酒除外）;葡萄酒;⽩酒;果酒（含酒精）;威⼠忌</t>
  </si>
  <si>
    <t>李渡青砖古窖</t>
  </si>
  <si>
    <t>利⼝酒;⽶酒;威⼠忌;果酒（含酒精）;葡萄酒;⻩酒;⽩酒;酒精饮料（啤酒除外）;预先混合的酒精饮料（以啤酒为主的除外）;烈酒（饮料）</t>
  </si>
  <si>
    <t>李渡青砖古窑</t>
  </si>
  <si>
    <t>烈酒（饮料）;利⼝酒;⽶酒;酒精饮料（啤酒除外）;葡萄酒;果酒（含酒精）;⽩酒;威⼠忌;预先混合的酒精饮料（以啤酒为主的除外）;⻩酒</t>
  </si>
  <si>
    <t>李渡宋风</t>
  </si>
  <si>
    <t>预先混合的酒精饮料（以啤酒为主的除外）;⻩酒;威⼠忌;⽩酒;葡萄酒;利⼝酒;⽶酒;酒精饮料（啤酒除外）;果酒（含酒精）;烈酒（饮料）</t>
  </si>
  <si>
    <t>李渡宋香</t>
  </si>
  <si>
    <t>烈酒（饮料）;利⼝酒;威⼠忌;酒精饮料（啤酒除外）;葡萄酒;⽩酒;⽶酒;⻩酒;预先混合的酒精饮料（以啤酒为主的除外）;果酒（含酒精）</t>
  </si>
  <si>
    <t>极诺康</t>
  </si>
  <si>
    <t>⻩酒;⽼酒（中国蒸馏烈酒）;烧酒;⽶酒;葡萄酒;⽩酒;以葡萄酒为主的饮料;餐后酒（利⼝酒和烈酒）;烈酒（饮料）;果酒（含酒精）</t>
  </si>
  <si>
    <t>时益衡</t>
  </si>
  <si>
    <t>河南省杂粮先生食品有限公司</t>
  </si>
  <si>
    <t>果酒（含酒精）;果酒;葡萄酒;⾼粱酒;⽶酒;开胃酒;⽩酒;含酒精的饮料（啤酒除外）;清酒;烧酒（烈酒）</t>
  </si>
  <si>
    <t>元丰醴琼</t>
  </si>
  <si>
    <t>浙江元宵酒业有限公司</t>
  </si>
  <si>
    <t>⽩兰地;酒精饮料（啤酒除外）;伏特加酒;葡萄酒;⽔果汽酒;清酒;⻩酒;威⼠忌;⽩酒;果酒</t>
  </si>
  <si>
    <t>霖玖</t>
  </si>
  <si>
    <t>林祥霖350582********0034</t>
  </si>
  <si>
    <t>烈酒（饮料）;⽩酒;鸡尾酒;⻩酒;⽩兰地;利⼝酒;葡萄酒;果酒;⽶酒;威⼠忌</t>
  </si>
  <si>
    <t>法禧东方</t>
  </si>
  <si>
    <t>珠海市魔力红科技有限公司</t>
  </si>
  <si>
    <t>果酒（含酒精）;蒸馏饮料;葡萄酒;⽩酒;含⽔果酒精饮料;⻩酒;清酒;威⼠忌;酒精饮料（啤酒除外）;开胃酒</t>
  </si>
  <si>
    <t>北京申易达商贸有限公司</t>
  </si>
  <si>
    <t>⽔果汽酒;梅酒;⽶酒;清酒;甜果酒;杨梅酒;⻘梅酒;天然汽酒;果酒;⽇式甜⽶酒</t>
  </si>
  <si>
    <t>桑旨</t>
  </si>
  <si>
    <t>湖北房州有礼农旅发展有限公司</t>
  </si>
  <si>
    <t>⽩酒;含酒精的⽔果鸡尾酒饮料;含酒精的充⽓饮料（啤酒除外）;⻩酒;⽔果汽酒;含⽔果酒精饮料;⽶酒;果酒;⾼粱酒;果酒（含酒精）</t>
  </si>
  <si>
    <t>北京中旭吉石咨询有限公司</t>
  </si>
  <si>
    <t>烧酒;⻘稞酒;葡萄酒;⻩酒;⽶酒;⽩酒;⾷⽤酒精;酒精饮料（啤酒除外）;含⽔果酒精饮料;蒸馏饮料</t>
  </si>
  <si>
    <t>秧坊小院</t>
  </si>
  <si>
    <t>涿州市秧坊小院餐饮服务有限公司</t>
  </si>
  <si>
    <t>⽶酒;清酒;烧酒;⽩酒;烈酒（饮料）;酒精饮料（啤酒除外）;含⽔果酒精饮料;开胃酒;⻩酒;葡萄酒</t>
  </si>
  <si>
    <t>同春来</t>
  </si>
  <si>
    <t>幸福世嘉生态投资（深圳）有限公司</t>
  </si>
  <si>
    <t>⽶酒;果酒（含酒精）;清酒（⽇本⽶酒）;鸡尾酒;⻩酒;⽩酒;伏特加酒;汽酒;朗姆酒;葡萄酒</t>
  </si>
  <si>
    <t>杨明</t>
  </si>
  <si>
    <t>⽩酒;⻩酒;⽶酒;果酒（含酒精）;烈酒（饮料）;酒精饮料（啤酒除外）;鸡尾酒;葡萄酒;烧酒;清酒（⽇本⽶酒）</t>
  </si>
  <si>
    <t>昭富实业股份有限公司</t>
  </si>
  <si>
    <t>果酒（含酒精）;蒸馏饮料;含⽔果酒精饮料;⻩酒;汽酒;清酒（⽇本⽶酒）;酒精饮料（啤酒除外）;烧酒;⽶酒;苹果酒</t>
  </si>
  <si>
    <t>巧吾九站</t>
  </si>
  <si>
    <t>郑海涛</t>
  </si>
  <si>
    <t>果酒（含酒精）;⻩酒;⾷⽤酒精;烈酒（饮料）;蒸馏饮料;鸡尾酒;⽶酒;酒精饮料（啤酒除外）;⽩酒;开胃酒</t>
  </si>
  <si>
    <t>HIRMISE</t>
  </si>
  <si>
    <t>沈爱恒</t>
  </si>
  <si>
    <t>果酒（含酒精）;⽩兰地;⻩酒;威⼠忌;鸡尾酒;含⽔果酒精饮料;⽩酒;薄荷酒;开胃酒;酒精饮料（啤酒除外）</t>
  </si>
  <si>
    <t>含⽔果酒精饮料;汽酒;蒸馏饮料;清酒（⽇本⽶酒）;苹果酒;果酒（含酒精）;⽶酒;烧酒;⻩酒;酒精饮料（啤酒除外）</t>
  </si>
  <si>
    <t>诺贝妈咪</t>
  </si>
  <si>
    <t>林冬雪330302********5243</t>
  </si>
  <si>
    <t>酒精饮料（啤酒除外）;果酒（含酒精）;葡萄酒;⽶酒;⽩酒;薄荷酒;烧酒;开胃酒;鸡尾酒;⻩酒</t>
  </si>
  <si>
    <t>吉林省唤醒之源文化传播有限公司</t>
  </si>
  <si>
    <t>⽶酒;以葡萄酒为主的饮料;葡萄酒;⽩兰地;开胃酒;⻩酒;含⽔果酒精饮料;果酒（含酒精）;威⼠忌;⽩酒</t>
  </si>
  <si>
    <t>⾼粱酒;⽩葡萄酒;威⼠忌;⻩酒;杜松⼦酒;⽶酒;伏特加酒;⽩酒;果酒;红葡萄酒</t>
  </si>
  <si>
    <t>陕西丹凤秦汉唐酒庄有限公司</t>
  </si>
  <si>
    <t>葡萄酒;烧酒;青稞酒;酒精饮料（啤酒除外）;烈酒;蒸煮提取物（利口酒和烈酒）;白酒;果酒;黄酒;含水果酒精饮料</t>
  </si>
  <si>
    <t>HIIILIFEWAY</t>
  </si>
  <si>
    <t>长沙嗨蚁商业管理有限责任公司</t>
  </si>
  <si>
    <t>鸡尾酒;酒精饮料（啤酒除外）;朗姆酒;清酒（⽇本⽶酒）;含⽔果酒精饮料;开胃酒;葡萄酒;烈酒（饮料）;果酒（含酒精）;⻩酒</t>
  </si>
  <si>
    <t>泰安市菲塔运动装备有限公司</t>
  </si>
  <si>
    <t>果酒（含酒精）;葡萄酒;⾕物制蒸馏酒精饮料;⽩兰地;烈酒（饮料）;⽩酒;含酒精的饮料（啤酒除外）;⻩酒;酒精饮料（啤酒除外）;威⼠忌</t>
  </si>
  <si>
    <t>芋嘉源</t>
  </si>
  <si>
    <t>惠州市日金贸易有限公司</t>
  </si>
  <si>
    <t>果酒（含酒精）;⻩酒;⽩酒;烧酒;⽼酒（中国蒸馏烈酒）;⽶酒;含酒精的充⽓饮料（啤酒除外）;酒精饮料（啤酒除外）;红葡萄酒;威⼠忌</t>
  </si>
  <si>
    <t>陈美</t>
  </si>
  <si>
    <t>果酒（含酒精）;含⽔果酒精饮料;开胃酒;鸡尾酒;葡萄酒;⻩酒;⽩兰地;⽩酒;酒精饮料（啤酒除外）;⾷⽤酒精</t>
  </si>
  <si>
    <t>川水谣</t>
  </si>
  <si>
    <t>奚峰</t>
  </si>
  <si>
    <t>蒸馏饮料;果酒（含酒精）;威⼠忌;酒精饮料（啤酒除外）;⽩酒;烧酒;鸡尾酒;葡萄酒;⽶酒;⻩酒</t>
  </si>
  <si>
    <t>初禾当午</t>
  </si>
  <si>
    <t>关艾安国中药产业发展有限公司</t>
  </si>
  <si>
    <t>⽩酒;果酒（含酒精）;清酒（⽇本⽶酒）;酒精饮料（啤酒除外）;⽶酒;鸡尾酒;烈酒（饮料）;烧酒;葡萄酒;⻩酒</t>
  </si>
  <si>
    <t>朴大爷</t>
  </si>
  <si>
    <t>郭建</t>
  </si>
  <si>
    <t>⽩酒;鸡尾酒;酒精饮料（啤酒除外）;⽶酒;葡萄酒;烈酒（饮料）;⻩酒;清酒;果酒（含酒精）;烧酒</t>
  </si>
  <si>
    <t>玉宇情深</t>
  </si>
  <si>
    <t>青岛凯旋者商贸有限公司</t>
  </si>
  <si>
    <t>⻘稞酒;葡萄酒;汽酒;开胃酒;烧酒;酸酒（低等葡萄酒）;⽩酒;清酒;⻩酒;鸡尾酒</t>
  </si>
  <si>
    <t>果酒;⽶酒;⻩酒;⾼粱酒;⽩酒;伏特加酒;红葡萄酒;⽩葡萄酒;威⼠忌;杜松⼦酒</t>
  </si>
  <si>
    <t>云南玉露轩酒业有限公司</t>
  </si>
  <si>
    <t>⽩酒;酒精饮料（啤酒除外）;果酒（含酒精）;佐餐酒;露酒;甜酒;葡萄酒;⽶酒;调制好的葡萄酒鸡尾酒;⾕物制蒸馏酒精饮料</t>
  </si>
  <si>
    <t>2024/05/29</t>
  </si>
  <si>
    <t>汲山辉</t>
  </si>
  <si>
    <t>糁婺（兰陵）酒业有限公司</t>
  </si>
  <si>
    <t>果酒（含酒精）;利⼝酒;烈酒（饮料）;⾕物制蒸馏酒精饮料;⽶酒;含酒精的⽓泡⽔;酒精饮料（啤酒除外）;⻩酒;⽩酒;烧酒（烈酒）</t>
  </si>
  <si>
    <t>人然重生乐园</t>
  </si>
  <si>
    <t>无锡无相禅文化创意有限公司</t>
  </si>
  <si>
    <t>果酒（含酒精）;鸡尾酒;酒精饮料（啤酒除外）;⾷⽤酒精;⻩酒;烈酒（饮料）;葡萄酒;⽶酒;开胃酒;蒸馏饮料</t>
  </si>
  <si>
    <t>百华录</t>
  </si>
  <si>
    <t>曾顺明</t>
  </si>
  <si>
    <t>清酒（⽇本⽶酒）;鸡尾酒;⽩兰地;⻩酒;⽩酒;伏特加酒;威⼠忌;果酒（含酒精）;⽶酒;烧酒</t>
  </si>
  <si>
    <t>宁波玖隐文化传媒有限公司</t>
  </si>
  <si>
    <t>鳄斯拉</t>
  </si>
  <si>
    <t>湖州棉也服饰有限公司</t>
  </si>
  <si>
    <t>⽩酒;果酒（含酒精）;薄荷酒;⻩酒;葡萄酒;烈酒（饮料）;清酒（⽇本⽶酒）;苦味酒;⽶酒;烧酒</t>
  </si>
  <si>
    <t>艾箭</t>
  </si>
  <si>
    <t>牧佳人(菏泽)电子科技有限公司</t>
  </si>
  <si>
    <t>亚⼒酒;蒸馏饮料;鸡尾酒;薄荷酒;苹果酒;果酒（含酒精）;苦味酒;茴⾹酒（利⼝酒）;开胃酒;茴芹酒（利⼝酒）</t>
  </si>
  <si>
    <t>森遇茗芝</t>
  </si>
  <si>
    <t>牟善琪</t>
  </si>
  <si>
    <t>⽩酒;⽶酒;⾷⽤酒精;酒精饮料原汁;酒精饮料（啤酒除外）;烈酒（饮料）;⻩酒;烧酒;葡萄酒;果酒（含酒精）</t>
  </si>
  <si>
    <t>洛琳渧尼</t>
  </si>
  <si>
    <t>伏特加酒;⽩兰地;威⼠忌;果酒（含酒精）;⽩酒;酸酒（低等葡萄酒）;鸡尾酒;葡萄酒;以葡萄酒为主的饮料;烧酒</t>
  </si>
  <si>
    <t>含⽔果酒精饮料;⾼粱酒;⽩酒;⽶酒;鸡尾酒;⻩酒;酒精饮料（啤酒除外）;烈酒;葡萄酒;果酒</t>
  </si>
  <si>
    <t>千年客</t>
  </si>
  <si>
    <t>程文燕</t>
  </si>
  <si>
    <t>⽩酒;蒸馏饮料;葡萄酒;⻩酒;烧酒;果酒（含酒精）;鸡尾酒;威⼠忌;⽶酒;酒精饮料（啤酒除外）</t>
  </si>
  <si>
    <t>九盏福</t>
  </si>
  <si>
    <t>李吉祥</t>
  </si>
  <si>
    <t>威⼠忌;开胃酒;果酒（含酒精）;清酒（⽇本⽶酒）;⻩酒;烈酒;酒精饮料（啤酒除外）;葡萄酒;鸡尾酒;⽩酒</t>
  </si>
  <si>
    <t>各有各</t>
  </si>
  <si>
    <t>上海各有各科技有限公司</t>
  </si>
  <si>
    <t>烈酒（饮料）;⽩酒;果酒（含酒精）;葡萄酒;⽶酒;酒精饮料原汁;鸡尾酒;酒精饮料（啤酒除外）;⻩酒;⾷⽤酒精</t>
  </si>
  <si>
    <t>禾寿花</t>
  </si>
  <si>
    <t>定州胜粮农业发展有限公司</t>
  </si>
  <si>
    <t>⽶酒;鸡尾酒;⻩酒;⽩酒;烧酒;烈酒（饮料）;葡萄酒;清酒（⽇本⽶酒）;酒精饮料（啤酒除外）;果酒（含酒精）</t>
  </si>
  <si>
    <t>忧吾沛</t>
  </si>
  <si>
    <t>曾俊钞</t>
  </si>
  <si>
    <t>清酒;烈酒（饮料）;鸡尾酒;含⽔果酒精饮料;烧酒;果酒（含酒精）;威⼠忌;酒精饮料原汁;蒸馏饮料;⽩酒</t>
  </si>
  <si>
    <t>弘记云中郡</t>
  </si>
  <si>
    <t>清酒（⽇本⽶酒）;预先混合的酒精饮料（以啤酒为主的除外）;⾕物制蒸馏酒精饮料;蒸馏饮料;⽶酒;⽩酒;果酒（含酒精）;开胃酒;餐后酒（利⼝酒和烈酒）;⻩酒</t>
  </si>
  <si>
    <t>御千朝</t>
  </si>
  <si>
    <t>威⼠忌;开胃酒;烈酒;酒精饮料（啤酒除外）;鸡尾酒;果酒（含酒精）;⻩酒;⽩酒;清酒（⽇本⽶酒）;葡萄酒</t>
  </si>
  <si>
    <t>华曲囩</t>
  </si>
  <si>
    <t>⽩酒;威⼠忌;⽶酒;⻩酒;伏特加酒;烧酒;⽩兰地;鸡尾酒;果酒（含酒精）;清酒（⽇本⽶酒）</t>
  </si>
  <si>
    <t>云禾锦</t>
  </si>
  <si>
    <t>无锡云禾锦贸易有限公司</t>
  </si>
  <si>
    <t>伏特加酒;除啤酒外的酒精饮料;葡萄酒;⽩兰地;威⼠忌;露酒;清酒;⽩酒;利⼝酒;烈酒;朗姆酒;果酒（含酒精）</t>
  </si>
  <si>
    <t>黄洛城</t>
  </si>
  <si>
    <t>唐山久顺酒业有限公司</t>
  </si>
  <si>
    <t>烧酒;⻘稞酒;开胃酒;⽶酒;⻩酒;含酒精的饮料（啤酒除外）;含⽔果酒精饮料;果酒（含酒精）;⽩酒;蒸煮提取物（利⼝酒和烈酒）</t>
  </si>
  <si>
    <t>橙皓</t>
  </si>
  <si>
    <t>喻凯凯</t>
  </si>
  <si>
    <t>蒸馏饮料;烧酒;鸡尾酒;清酒;含⽔果酒精饮料;⽩酒;果酒（含酒精）;威⼠忌;酒精饮料原汁;烈酒（饮料）</t>
  </si>
  <si>
    <t>自我无界</t>
  </si>
  <si>
    <t>曹志康</t>
  </si>
  <si>
    <t>梅酒;利⼝酒;烧酒;果酒;⻩酒;⽩酒;葡萄酒;⽶酒;汽酒;甜酒</t>
  </si>
  <si>
    <t>高竹长玖</t>
  </si>
  <si>
    <t>唐清芬</t>
  </si>
  <si>
    <t>⻩酒;葡萄酒;⾼粱酒;⻘稞酒;果酒（含酒精）;⽩酒;含酒精的饮料（啤酒除外）;⽼酒（中国蒸馏烈酒）;⾷⽤酒精;⾕物制蒸馏酒精饮料</t>
  </si>
  <si>
    <t>御水谣</t>
  </si>
  <si>
    <t>李杰</t>
  </si>
  <si>
    <t>鸡尾酒;⻩酒;果酒（含酒精）;酒精饮料（啤酒除外）;烧酒（烈酒）;葡萄酒;蒸馏饮料;威⼠忌;⽶酒;⽩酒</t>
  </si>
  <si>
    <t>搬货郎黑土地</t>
  </si>
  <si>
    <t>唐山舒氏商贸有限公司</t>
  </si>
  <si>
    <t>烧酒;除啤酒外的酒精饮料;预先混合的酒精饮料（以啤酒为主的除外）;⾼粱酒;⻩酒;葡萄酒;鸡尾酒;⽩酒;⽶酒;果酒</t>
  </si>
  <si>
    <t>葡潭</t>
  </si>
  <si>
    <t>时翠连</t>
  </si>
  <si>
    <t>果酒（含酒精）;⻩酒;鸡尾酒;葡萄酒;烧酒;威⼠忌;酒精饮料（啤酒除外）;⽶酒;⽩酒;烈酒（饮料）</t>
  </si>
  <si>
    <t>姣乐</t>
  </si>
  <si>
    <t>牛吉闯</t>
  </si>
  <si>
    <t>酒精饮料（啤酒除外）;⽩酒;含酒精的饮料（啤酒除外）;⽩⼲酒（中国⽩酒）;酒精饮料原汁</t>
  </si>
  <si>
    <t>洐囩</t>
  </si>
  <si>
    <t>清酒（⽇本⽶酒）;⽩酒;⽶酒;威⼠忌;伏特加酒;⽩兰地;⻩酒;鸡尾酒;烧酒;果酒（含酒精）</t>
  </si>
  <si>
    <t>哐廷台</t>
  </si>
  <si>
    <t>果酒（含酒精）;⽩兰地;⽩酒;清酒（⽇本⽶酒）;伏特加酒;威⼠忌;鸡尾酒;⻩酒;烧酒;⽶酒</t>
  </si>
  <si>
    <t>览桐</t>
  </si>
  <si>
    <t>时宝兰</t>
  </si>
  <si>
    <t>⻩酒;清酒（⽇本⽶酒）;葡萄酒;⽩酒;烧酒;⽶酒;果酒（含酒精）;酒精饮料（啤酒除外）;烈酒（饮料）;鸡尾酒</t>
  </si>
  <si>
    <t>四个熊咖</t>
  </si>
  <si>
    <t>品牌孵化基地云南有限公司</t>
  </si>
  <si>
    <t>⽩酒;⽶酒;⻘稞酒;餐后酒（利⼝酒和烈酒）;伏特加酒;⽩兰地;威⼠忌;烧酒;朝鲜族⽶酒;⻩酒</t>
  </si>
  <si>
    <t>帝品凰</t>
  </si>
  <si>
    <t>周涛</t>
  </si>
  <si>
    <t>鸡尾酒;葡萄酒;⽩兰地;⽩酒;威⼠忌;烧酒;⽶酒;果酒（含酒精）;烈酒（饮料）;酒精饮料（啤酒除外）</t>
  </si>
  <si>
    <t>2024/05/30</t>
  </si>
  <si>
    <t>商烈</t>
  </si>
  <si>
    <t>⽩兰地;⽩酒;鸡尾酒;果酒（含酒精）;葡萄酒;威⼠忌;酒精饮料（啤酒除外）;烧酒;⽶酒;烈酒（饮料）</t>
  </si>
  <si>
    <t>崇岩惜</t>
  </si>
  <si>
    <t>福州市晋安区崇岩惜茶业有限公司</t>
  </si>
  <si>
    <t>鸡尾酒;果酒（含酒精）;餐后酒（利⼝酒和烈酒）;⽩兰地;烧酒;⽩酒;葡萄酒;⽶酒;伏特加酒;⻩酒</t>
  </si>
  <si>
    <t>2024/06/02</t>
  </si>
  <si>
    <t>内蒙古自治区疾病预防控制中心（内蒙古自治区预防医学科学院）</t>
  </si>
  <si>
    <t>⽶酒;⻩酒;烧酒;开胃酒;威⼠忌;利⼝酒;⾷⽤酒精;果酒（含酒精）;葡萄酒;⽩酒</t>
  </si>
  <si>
    <t>2024/06/03</t>
  </si>
  <si>
    <t>海口龙华区裴豫百货商行</t>
  </si>
  <si>
    <t>⻩酒;⽩酒;酒精饮料（啤酒除外）;烧酒;汽酒;果酒（含酒精）;烈酒;葡萄酒;⾼粱酒;⽶酒</t>
  </si>
  <si>
    <t>莱曼杰德</t>
  </si>
  <si>
    <t>秦皇岛恒天商贸有限公司</t>
  </si>
  <si>
    <t>清酒;葡萄酒;威⼠忌;烧酒;⽩兰地;伏特加酒;鸡尾酒;汽酒;果酒（含酒精）;蒸煮提取物（利⼝酒和烈酒）</t>
  </si>
  <si>
    <t>玖克里里</t>
  </si>
  <si>
    <t>罗榆</t>
  </si>
  <si>
    <t>伏特加酒;威⼠忌;鸡尾酒;清酒;烈酒;红葡萄酒;⽩酒;⽩兰地;⽇本梅⼦酒;含酒精的饮料（啤酒除外）</t>
  </si>
  <si>
    <t>匠涩源</t>
  </si>
  <si>
    <t>深圳市梓鸣信息咨询有限公司</t>
  </si>
  <si>
    <t>⽩酒;鸡尾酒;威⼠忌;烧酒;蒸馏饮料;葡萄酒;果酒（含酒精）;含⽔果酒精饮料;⽼酒（中国蒸馏烈酒）;汽酒</t>
  </si>
  <si>
    <t>BLOSSOMTEX</t>
  </si>
  <si>
    <t>上海金优纺织品有限公司</t>
  </si>
  <si>
    <t>⽩兰地;清酒（⽇本⽶酒）;⽩酒;威⼠忌;果酒（含酒精）;开胃酒;鸡尾酒;⽶酒;含⽔果酒精饮料;⻩酒</t>
  </si>
  <si>
    <t>MILYMALY</t>
  </si>
  <si>
    <t>常州市雅惜商贸有限公司</t>
  </si>
  <si>
    <t>葡萄酒;开胃酒;烈酒（饮料）;⽶酒;⽩酒;酒精饮料（啤酒除外）;烧酒;果酒（含酒精）;含⽔果酒精饮料;鸡尾酒</t>
  </si>
  <si>
    <t>2024/06/04</t>
  </si>
  <si>
    <t>深圳市御林堂健康科技有限公司</t>
  </si>
  <si>
    <t>威⼠忌;⽶酒;蜂蜜酒;葡萄酒;鸡尾酒;⽩兰地;酒精饮料浓缩汁;烧酒;果酒（含酒精）;苹果酒</t>
  </si>
  <si>
    <t>多金名</t>
  </si>
  <si>
    <t>田绍金</t>
  </si>
  <si>
    <t>⽩酒;⽩⼲酒（中国⽩酒）;含酒精的鸡尾酒混合饮品;以葡萄酒为主的饮料;烧酒;葡萄酒;餐后酒（利⼝酒和烈酒）;伏特加酒;⽶酒;含酒精⽔果饮料</t>
  </si>
  <si>
    <t>大枫洞</t>
  </si>
  <si>
    <t>湖北明森生态农业有限公司</t>
  </si>
  <si>
    <t>⽶酒;⽩酒;蒸馏饮料;葡萄酒;鸡尾酒;⽩兰地;威⼠忌;⻩酒;果酒（含酒精）;烧酒</t>
  </si>
  <si>
    <t>掌涂</t>
  </si>
  <si>
    <t>威远县掌涂农业科技发展有限公司</t>
  </si>
  <si>
    <t>葡萄酒;果酒;由⾕物蒸馏的⽩酒;⽼酒（中国蒸馏烈酒）;烈酒;烧酒;⽶酒;酒精饮料（啤酒除外）;⾼粱酒;⽩酒</t>
  </si>
  <si>
    <t>五小侠</t>
  </si>
  <si>
    <t>四川五粮液新零售管理有限公司</t>
  </si>
  <si>
    <t>⽩酒;⽼酒（中国蒸馏烈酒）;含酒精⽔果饮料;果酒;葡萄酒;⽩⼲酒（中国⽩酒）;已调味的蒸馏酒;酒精饮料（啤酒除外）;鸡尾酒;利⼝酒</t>
  </si>
  <si>
    <t>瑞贝福葛佬</t>
  </si>
  <si>
    <t>瑞贝福（江西）饮料食品有限公司</t>
  </si>
  <si>
    <t>⽩酒;酒精饮料（啤酒除外）;⽩兰地;烧酒;清酒（⽇本⽶酒）;⻩酒;⽶酒;⻘稞酒;果酒（含酒精）;葡萄酒</t>
  </si>
  <si>
    <t>2024/06/17</t>
  </si>
  <si>
    <t>瑞贝福葛露</t>
  </si>
  <si>
    <t>⻘稞酒;烧酒;葡萄酒;果酒（含酒精）;⽶酒;酒精饮料（啤酒除外）;⻩酒;⽩酒;⽩兰地;清酒（⽇本⽶酒）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</si>
</sst>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m/dd"/>
    <numFmt numFmtId="177" formatCode="0_ "/>
  </numFmts>
  <fonts count="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4" fillId="0" borderId="0" applyNumberForma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2" borderId="1" xfId="0" applyFill="1" applyBorder="1" applyAlignment="1">
      <alignment horizontal="center" vertical="top" wrapText="1"/>
    </xf>
    <xf numFmtId="49" fontId="0" fillId="2" borderId="1" xfId="0" applyNumberFormat="1" applyFill="1" applyBorder="1" applyAlignment="1">
      <alignment horizontal="center" vertical="top" wrapText="1"/>
    </xf>
    <xf numFmtId="177" fontId="0" fillId="2" borderId="1" xfId="0" applyNumberFormat="1" applyFill="1" applyBorder="1" applyAlignment="1">
      <alignment horizontal="center" vertical="top" wrapText="1"/>
    </xf>
    <xf numFmtId="176" fontId="0" fillId="2" borderId="1" xfId="0" applyNumberForma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49" fontId="0" fillId="0" borderId="0" xfId="0" applyNumberFormat="1" applyAlignment="1">
      <alignment vertical="top" wrapText="1"/>
    </xf>
    <xf numFmtId="177" fontId="0" fillId="0" borderId="0" xfId="0" applyNumberFormat="1" applyAlignment="1">
      <alignment vertical="top" wrapText="1"/>
    </xf>
    <xf numFmtId="176" fontId="0" fillId="0" borderId="0" xfId="0" applyNumberFormat="1" applyAlignment="1">
      <alignment vertical="top" wrapText="1"/>
    </xf>
    <xf numFmtId="0" fontId="3" fillId="0" borderId="1" xfId="1" applyBorder="1" applyAlignment="1">
      <alignment horizontal="right"/>
    </xf>
    <xf numFmtId="0" fontId="3" fillId="0" borderId="1" xfId="1" applyBorder="1"/>
    <xf numFmtId="0" fontId="4" fillId="0" borderId="1" xfId="2" applyFill="1" applyBorder="1" applyAlignment="1"/>
  </cellXfs>
  <cellStyles count="3">
    <cellStyle name="ハイパーリンク" xfId="2" builtinId="8"/>
    <cellStyle name="標準" xfId="0" builtinId="0"/>
    <cellStyle name="標準_1889th" xfId="1" xr:uid="{4AA09252-DDF1-4F95-95DD-DD10F46928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FB343-47C0-4CE0-8FAB-E7608847F386}">
  <dimension ref="A1:I2259"/>
  <sheetViews>
    <sheetView tabSelected="1" workbookViewId="0"/>
  </sheetViews>
  <sheetFormatPr defaultRowHeight="13.5" x14ac:dyDescent="0.15"/>
  <cols>
    <col min="1" max="1" width="9" style="5"/>
    <col min="2" max="2" width="9" style="6"/>
    <col min="3" max="3" width="9" style="7"/>
    <col min="4" max="4" width="11.625" style="8" customWidth="1"/>
    <col min="5" max="5" width="10.625" style="7" bestFit="1" customWidth="1"/>
    <col min="6" max="6" width="28.375" style="6" customWidth="1"/>
    <col min="7" max="7" width="31.375" style="6" customWidth="1"/>
    <col min="8" max="8" width="30.625" style="6" customWidth="1"/>
    <col min="9" max="9" width="11.625" style="8" bestFit="1" customWidth="1"/>
  </cols>
  <sheetData>
    <row r="1" spans="1:9" x14ac:dyDescent="0.15">
      <c r="A1" s="1" t="s">
        <v>8</v>
      </c>
      <c r="B1" s="2" t="s">
        <v>0</v>
      </c>
      <c r="C1" s="3" t="s">
        <v>1</v>
      </c>
      <c r="D1" s="4" t="s">
        <v>2</v>
      </c>
      <c r="E1" s="3" t="s">
        <v>3</v>
      </c>
      <c r="F1" s="2" t="s">
        <v>4</v>
      </c>
      <c r="G1" s="2" t="s">
        <v>5</v>
      </c>
      <c r="H1" s="2" t="s">
        <v>6</v>
      </c>
      <c r="I1" s="4" t="s">
        <v>7</v>
      </c>
    </row>
    <row r="2" spans="1:9" x14ac:dyDescent="0.15">
      <c r="A2" s="9">
        <v>1</v>
      </c>
      <c r="B2" s="10" t="s">
        <v>9</v>
      </c>
      <c r="C2" s="10" t="s">
        <v>126</v>
      </c>
      <c r="D2" s="10" t="s">
        <v>127</v>
      </c>
      <c r="E2" s="11" t="str">
        <f>+HYPERLINK("http://trademark.i-assist.jp/data/china/image_1899th/42829597.pdf", "42829597")</f>
        <v>42829597</v>
      </c>
      <c r="F2" s="10" t="s">
        <v>128</v>
      </c>
      <c r="G2" s="10" t="s">
        <v>129</v>
      </c>
      <c r="H2" s="10" t="s">
        <v>130</v>
      </c>
      <c r="I2" s="10" t="s">
        <v>131</v>
      </c>
    </row>
    <row r="3" spans="1:9" x14ac:dyDescent="0.15">
      <c r="A3" s="9">
        <v>2</v>
      </c>
      <c r="B3" s="10" t="s">
        <v>9</v>
      </c>
      <c r="C3" s="10" t="s">
        <v>126</v>
      </c>
      <c r="D3" s="10" t="s">
        <v>127</v>
      </c>
      <c r="E3" s="11" t="str">
        <f>+HYPERLINK("http://trademark.i-assist.jp/data/china/image_1899th/46867967.pdf", "46867967")</f>
        <v>46867967</v>
      </c>
      <c r="F3" s="10" t="s">
        <v>128</v>
      </c>
      <c r="G3" s="10" t="s">
        <v>129</v>
      </c>
      <c r="H3" s="10" t="s">
        <v>132</v>
      </c>
      <c r="I3" s="10" t="s">
        <v>133</v>
      </c>
    </row>
    <row r="4" spans="1:9" x14ac:dyDescent="0.15">
      <c r="A4" s="9">
        <v>3</v>
      </c>
      <c r="B4" s="10" t="s">
        <v>9</v>
      </c>
      <c r="C4" s="10" t="s">
        <v>126</v>
      </c>
      <c r="D4" s="10" t="s">
        <v>127</v>
      </c>
      <c r="E4" s="11" t="str">
        <f>+HYPERLINK("http://trademark.i-assist.jp/data/china/image_1899th/55433125.pdf", "55433125")</f>
        <v>55433125</v>
      </c>
      <c r="F4" s="10" t="s">
        <v>134</v>
      </c>
      <c r="G4" s="10" t="s">
        <v>135</v>
      </c>
      <c r="H4" s="10" t="s">
        <v>136</v>
      </c>
      <c r="I4" s="10" t="s">
        <v>137</v>
      </c>
    </row>
    <row r="5" spans="1:9" x14ac:dyDescent="0.15">
      <c r="A5" s="9">
        <v>4</v>
      </c>
      <c r="B5" s="10" t="s">
        <v>9</v>
      </c>
      <c r="C5" s="10" t="s">
        <v>126</v>
      </c>
      <c r="D5" s="10" t="s">
        <v>127</v>
      </c>
      <c r="E5" s="11" t="str">
        <f>+HYPERLINK("http://trademark.i-assist.jp/data/china/image_1899th/57221716.pdf", "57221716")</f>
        <v>57221716</v>
      </c>
      <c r="F5" s="10" t="s">
        <v>128</v>
      </c>
      <c r="G5" s="10" t="s">
        <v>129</v>
      </c>
      <c r="H5" s="10" t="s">
        <v>138</v>
      </c>
      <c r="I5" s="10" t="s">
        <v>139</v>
      </c>
    </row>
    <row r="6" spans="1:9" x14ac:dyDescent="0.15">
      <c r="A6" s="9">
        <v>5</v>
      </c>
      <c r="B6" s="10" t="s">
        <v>9</v>
      </c>
      <c r="C6" s="10" t="s">
        <v>126</v>
      </c>
      <c r="D6" s="10" t="s">
        <v>127</v>
      </c>
      <c r="E6" s="11" t="str">
        <f>+HYPERLINK("http://trademark.i-assist.jp/data/china/image_1899th/58059529.pdf", "58059529")</f>
        <v>58059529</v>
      </c>
      <c r="F6" s="10" t="s">
        <v>140</v>
      </c>
      <c r="G6" s="10" t="s">
        <v>141</v>
      </c>
      <c r="H6" s="10" t="s">
        <v>142</v>
      </c>
      <c r="I6" s="10" t="s">
        <v>143</v>
      </c>
    </row>
    <row r="7" spans="1:9" x14ac:dyDescent="0.15">
      <c r="A7" s="9">
        <v>6</v>
      </c>
      <c r="B7" s="10" t="s">
        <v>9</v>
      </c>
      <c r="C7" s="10" t="s">
        <v>126</v>
      </c>
      <c r="D7" s="10" t="s">
        <v>127</v>
      </c>
      <c r="E7" s="11" t="str">
        <f>+HYPERLINK("http://trademark.i-assist.jp/data/china/image_1899th/58483767.pdf", "58483767")</f>
        <v>58483767</v>
      </c>
      <c r="F7" s="10" t="s">
        <v>144</v>
      </c>
      <c r="G7" s="10" t="s">
        <v>145</v>
      </c>
      <c r="H7" s="10" t="s">
        <v>146</v>
      </c>
      <c r="I7" s="10" t="s">
        <v>147</v>
      </c>
    </row>
    <row r="8" spans="1:9" x14ac:dyDescent="0.15">
      <c r="A8" s="9">
        <v>7</v>
      </c>
      <c r="B8" s="10" t="s">
        <v>9</v>
      </c>
      <c r="C8" s="10" t="s">
        <v>126</v>
      </c>
      <c r="D8" s="10" t="s">
        <v>127</v>
      </c>
      <c r="E8" s="11" t="str">
        <f>+HYPERLINK("http://trademark.i-assist.jp/data/china/image_1899th/58626250.pdf", "58626250")</f>
        <v>58626250</v>
      </c>
      <c r="F8" s="10" t="s">
        <v>148</v>
      </c>
      <c r="G8" s="10" t="s">
        <v>149</v>
      </c>
      <c r="H8" s="10" t="s">
        <v>150</v>
      </c>
      <c r="I8" s="10" t="s">
        <v>151</v>
      </c>
    </row>
    <row r="9" spans="1:9" x14ac:dyDescent="0.15">
      <c r="A9" s="9">
        <v>8</v>
      </c>
      <c r="B9" s="10" t="s">
        <v>9</v>
      </c>
      <c r="C9" s="10" t="s">
        <v>126</v>
      </c>
      <c r="D9" s="10" t="s">
        <v>127</v>
      </c>
      <c r="E9" s="11" t="str">
        <f>+HYPERLINK("http://trademark.i-assist.jp/data/china/image_1899th/60380212.pdf", "60380212")</f>
        <v>60380212</v>
      </c>
      <c r="F9" s="10" t="s">
        <v>152</v>
      </c>
      <c r="G9" s="10" t="s">
        <v>153</v>
      </c>
      <c r="H9" s="10" t="s">
        <v>154</v>
      </c>
      <c r="I9" s="10" t="s">
        <v>155</v>
      </c>
    </row>
    <row r="10" spans="1:9" x14ac:dyDescent="0.15">
      <c r="A10" s="9">
        <v>9</v>
      </c>
      <c r="B10" s="10" t="s">
        <v>9</v>
      </c>
      <c r="C10" s="10" t="s">
        <v>126</v>
      </c>
      <c r="D10" s="10" t="s">
        <v>127</v>
      </c>
      <c r="E10" s="11" t="str">
        <f>+HYPERLINK("http://trademark.i-assist.jp/data/china/image_1899th/61508765.pdf", "61508765")</f>
        <v>61508765</v>
      </c>
      <c r="F10" s="10" t="s">
        <v>156</v>
      </c>
      <c r="G10" s="10" t="s">
        <v>157</v>
      </c>
      <c r="H10" s="10" t="s">
        <v>158</v>
      </c>
      <c r="I10" s="10" t="s">
        <v>159</v>
      </c>
    </row>
    <row r="11" spans="1:9" x14ac:dyDescent="0.15">
      <c r="A11" s="9">
        <v>10</v>
      </c>
      <c r="B11" s="10" t="s">
        <v>9</v>
      </c>
      <c r="C11" s="10" t="s">
        <v>126</v>
      </c>
      <c r="D11" s="10" t="s">
        <v>127</v>
      </c>
      <c r="E11" s="11" t="str">
        <f>+HYPERLINK("http://trademark.i-assist.jp/data/china/image_1899th/65754410.pdf", "65754410")</f>
        <v>65754410</v>
      </c>
      <c r="F11" s="10" t="s">
        <v>160</v>
      </c>
      <c r="G11" s="10" t="s">
        <v>10</v>
      </c>
      <c r="H11" s="10" t="s">
        <v>161</v>
      </c>
      <c r="I11" s="10" t="s">
        <v>162</v>
      </c>
    </row>
    <row r="12" spans="1:9" x14ac:dyDescent="0.15">
      <c r="A12" s="9">
        <v>11</v>
      </c>
      <c r="B12" s="10" t="s">
        <v>9</v>
      </c>
      <c r="C12" s="10" t="s">
        <v>126</v>
      </c>
      <c r="D12" s="10" t="s">
        <v>127</v>
      </c>
      <c r="E12" s="11" t="str">
        <f>+HYPERLINK("http://trademark.i-assist.jp/data/china/image_1899th/65804684.pdf", "65804684")</f>
        <v>65804684</v>
      </c>
      <c r="F12" s="10" t="s">
        <v>163</v>
      </c>
      <c r="G12" s="10" t="s">
        <v>164</v>
      </c>
      <c r="H12" s="10" t="s">
        <v>165</v>
      </c>
      <c r="I12" s="10" t="s">
        <v>166</v>
      </c>
    </row>
    <row r="13" spans="1:9" x14ac:dyDescent="0.15">
      <c r="A13" s="9">
        <v>12</v>
      </c>
      <c r="B13" s="10" t="s">
        <v>9</v>
      </c>
      <c r="C13" s="10" t="s">
        <v>126</v>
      </c>
      <c r="D13" s="10" t="s">
        <v>127</v>
      </c>
      <c r="E13" s="11" t="str">
        <f>+HYPERLINK("http://trademark.i-assist.jp/data/china/image_1899th/66333291.pdf", "66333291")</f>
        <v>66333291</v>
      </c>
      <c r="F13" s="10" t="s">
        <v>167</v>
      </c>
      <c r="G13" s="10" t="s">
        <v>11</v>
      </c>
      <c r="H13" s="10" t="s">
        <v>168</v>
      </c>
      <c r="I13" s="10" t="s">
        <v>169</v>
      </c>
    </row>
    <row r="14" spans="1:9" x14ac:dyDescent="0.15">
      <c r="A14" s="9">
        <v>13</v>
      </c>
      <c r="B14" s="10" t="s">
        <v>9</v>
      </c>
      <c r="C14" s="10" t="s">
        <v>126</v>
      </c>
      <c r="D14" s="10" t="s">
        <v>127</v>
      </c>
      <c r="E14" s="11" t="str">
        <f>+HYPERLINK("http://trademark.i-assist.jp/data/china/image_1899th/67937896.pdf", "67937896")</f>
        <v>67937896</v>
      </c>
      <c r="F14" s="10" t="s">
        <v>170</v>
      </c>
      <c r="G14" s="10" t="s">
        <v>11</v>
      </c>
      <c r="H14" s="10" t="s">
        <v>12</v>
      </c>
      <c r="I14" s="10" t="s">
        <v>171</v>
      </c>
    </row>
    <row r="15" spans="1:9" x14ac:dyDescent="0.15">
      <c r="A15" s="9">
        <v>14</v>
      </c>
      <c r="B15" s="10" t="s">
        <v>9</v>
      </c>
      <c r="C15" s="10" t="s">
        <v>126</v>
      </c>
      <c r="D15" s="10" t="s">
        <v>127</v>
      </c>
      <c r="E15" s="11" t="str">
        <f>+HYPERLINK("http://trademark.i-assist.jp/data/china/image_1899th/68698729.pdf", "68698729")</f>
        <v>68698729</v>
      </c>
      <c r="F15" s="10" t="s">
        <v>172</v>
      </c>
      <c r="G15" s="10" t="s">
        <v>10</v>
      </c>
      <c r="H15" s="10" t="s">
        <v>12</v>
      </c>
      <c r="I15" s="10" t="s">
        <v>173</v>
      </c>
    </row>
    <row r="16" spans="1:9" x14ac:dyDescent="0.15">
      <c r="A16" s="9">
        <v>15</v>
      </c>
      <c r="B16" s="10" t="s">
        <v>9</v>
      </c>
      <c r="C16" s="10" t="s">
        <v>126</v>
      </c>
      <c r="D16" s="10" t="s">
        <v>127</v>
      </c>
      <c r="E16" s="11" t="str">
        <f>+HYPERLINK("http://trademark.i-assist.jp/data/china/image_1899th/68979592.pdf", "68979592")</f>
        <v>68979592</v>
      </c>
      <c r="F16" s="10" t="s">
        <v>174</v>
      </c>
      <c r="G16" s="10" t="s">
        <v>175</v>
      </c>
      <c r="H16" s="10" t="s">
        <v>176</v>
      </c>
      <c r="I16" s="10" t="s">
        <v>177</v>
      </c>
    </row>
    <row r="17" spans="1:9" x14ac:dyDescent="0.15">
      <c r="A17" s="9">
        <v>16</v>
      </c>
      <c r="B17" s="10" t="s">
        <v>9</v>
      </c>
      <c r="C17" s="10" t="s">
        <v>126</v>
      </c>
      <c r="D17" s="10" t="s">
        <v>127</v>
      </c>
      <c r="E17" s="11" t="str">
        <f>+HYPERLINK("http://trademark.i-assist.jp/data/china/image_1899th/69453350.pdf", "69453350")</f>
        <v>69453350</v>
      </c>
      <c r="F17" s="10" t="s">
        <v>178</v>
      </c>
      <c r="G17" s="10" t="s">
        <v>179</v>
      </c>
      <c r="H17" s="10" t="s">
        <v>180</v>
      </c>
      <c r="I17" s="10" t="s">
        <v>181</v>
      </c>
    </row>
    <row r="18" spans="1:9" x14ac:dyDescent="0.15">
      <c r="A18" s="9">
        <v>17</v>
      </c>
      <c r="B18" s="10" t="s">
        <v>9</v>
      </c>
      <c r="C18" s="10" t="s">
        <v>126</v>
      </c>
      <c r="D18" s="10" t="s">
        <v>127</v>
      </c>
      <c r="E18" s="11" t="str">
        <f>+HYPERLINK("http://trademark.i-assist.jp/data/china/image_1899th/69567021.pdf", "69567021")</f>
        <v>69567021</v>
      </c>
      <c r="F18" s="10" t="s">
        <v>182</v>
      </c>
      <c r="G18" s="10" t="s">
        <v>183</v>
      </c>
      <c r="H18" s="10" t="s">
        <v>184</v>
      </c>
      <c r="I18" s="10" t="s">
        <v>185</v>
      </c>
    </row>
    <row r="19" spans="1:9" x14ac:dyDescent="0.15">
      <c r="A19" s="9">
        <v>18</v>
      </c>
      <c r="B19" s="10" t="s">
        <v>9</v>
      </c>
      <c r="C19" s="10" t="s">
        <v>126</v>
      </c>
      <c r="D19" s="10" t="s">
        <v>127</v>
      </c>
      <c r="E19" s="11" t="str">
        <f>+HYPERLINK("http://trademark.i-assist.jp/data/china/image_1899th/69962275.pdf", "69962275")</f>
        <v>69962275</v>
      </c>
      <c r="F19" s="10" t="s">
        <v>186</v>
      </c>
      <c r="G19" s="10" t="s">
        <v>187</v>
      </c>
      <c r="H19" s="10" t="s">
        <v>188</v>
      </c>
      <c r="I19" s="10" t="s">
        <v>189</v>
      </c>
    </row>
    <row r="20" spans="1:9" x14ac:dyDescent="0.15">
      <c r="A20" s="9">
        <v>19</v>
      </c>
      <c r="B20" s="10" t="s">
        <v>9</v>
      </c>
      <c r="C20" s="10" t="s">
        <v>126</v>
      </c>
      <c r="D20" s="10" t="s">
        <v>127</v>
      </c>
      <c r="E20" s="11" t="str">
        <f>+HYPERLINK("http://trademark.i-assist.jp/data/china/image_1899th/69980359.pdf", "69980359")</f>
        <v>69980359</v>
      </c>
      <c r="F20" s="10" t="s">
        <v>190</v>
      </c>
      <c r="G20" s="10" t="s">
        <v>191</v>
      </c>
      <c r="H20" s="10" t="s">
        <v>192</v>
      </c>
      <c r="I20" s="10" t="s">
        <v>193</v>
      </c>
    </row>
    <row r="21" spans="1:9" x14ac:dyDescent="0.15">
      <c r="A21" s="9">
        <v>20</v>
      </c>
      <c r="B21" s="10" t="s">
        <v>9</v>
      </c>
      <c r="C21" s="10" t="s">
        <v>126</v>
      </c>
      <c r="D21" s="10" t="s">
        <v>127</v>
      </c>
      <c r="E21" s="11" t="str">
        <f>+HYPERLINK("http://trademark.i-assist.jp/data/china/image_1899th/69999930.pdf", "69999930")</f>
        <v>69999930</v>
      </c>
      <c r="F21" s="10" t="s">
        <v>194</v>
      </c>
      <c r="G21" s="10" t="s">
        <v>195</v>
      </c>
      <c r="H21" s="10" t="s">
        <v>196</v>
      </c>
      <c r="I21" s="10" t="s">
        <v>193</v>
      </c>
    </row>
    <row r="22" spans="1:9" x14ac:dyDescent="0.15">
      <c r="A22" s="9">
        <v>21</v>
      </c>
      <c r="B22" s="10" t="s">
        <v>9</v>
      </c>
      <c r="C22" s="10" t="s">
        <v>126</v>
      </c>
      <c r="D22" s="10" t="s">
        <v>127</v>
      </c>
      <c r="E22" s="11" t="str">
        <f>+HYPERLINK("http://trademark.i-assist.jp/data/china/image_1899th/70161699.pdf", "70161699")</f>
        <v>70161699</v>
      </c>
      <c r="F22" s="10" t="s">
        <v>197</v>
      </c>
      <c r="G22" s="10" t="s">
        <v>198</v>
      </c>
      <c r="H22" s="10" t="s">
        <v>199</v>
      </c>
      <c r="I22" s="10" t="s">
        <v>200</v>
      </c>
    </row>
    <row r="23" spans="1:9" x14ac:dyDescent="0.15">
      <c r="A23" s="9">
        <v>22</v>
      </c>
      <c r="B23" s="10" t="s">
        <v>9</v>
      </c>
      <c r="C23" s="10" t="s">
        <v>126</v>
      </c>
      <c r="D23" s="10" t="s">
        <v>127</v>
      </c>
      <c r="E23" s="11" t="str">
        <f>+HYPERLINK("http://trademark.i-assist.jp/data/china/image_1899th/70457879.pdf", "70457879")</f>
        <v>70457879</v>
      </c>
      <c r="F23" s="10" t="s">
        <v>201</v>
      </c>
      <c r="G23" s="10" t="s">
        <v>202</v>
      </c>
      <c r="H23" s="10" t="s">
        <v>203</v>
      </c>
      <c r="I23" s="10" t="s">
        <v>204</v>
      </c>
    </row>
    <row r="24" spans="1:9" x14ac:dyDescent="0.15">
      <c r="A24" s="9">
        <v>23</v>
      </c>
      <c r="B24" s="10" t="s">
        <v>9</v>
      </c>
      <c r="C24" s="10" t="s">
        <v>126</v>
      </c>
      <c r="D24" s="10" t="s">
        <v>127</v>
      </c>
      <c r="E24" s="11" t="str">
        <f>+HYPERLINK("http://trademark.i-assist.jp/data/china/image_1899th/70508991.pdf", "70508991")</f>
        <v>70508991</v>
      </c>
      <c r="F24" s="10" t="s">
        <v>205</v>
      </c>
      <c r="G24" s="10" t="s">
        <v>206</v>
      </c>
      <c r="H24" s="10" t="s">
        <v>207</v>
      </c>
      <c r="I24" s="10" t="s">
        <v>208</v>
      </c>
    </row>
    <row r="25" spans="1:9" x14ac:dyDescent="0.15">
      <c r="A25" s="9">
        <v>24</v>
      </c>
      <c r="B25" s="10" t="s">
        <v>9</v>
      </c>
      <c r="C25" s="10" t="s">
        <v>126</v>
      </c>
      <c r="D25" s="10" t="s">
        <v>127</v>
      </c>
      <c r="E25" s="11" t="str">
        <f>+HYPERLINK("http://trademark.i-assist.jp/data/china/image_1899th/70639477.pdf", "70639477")</f>
        <v>70639477</v>
      </c>
      <c r="F25" s="10" t="s">
        <v>209</v>
      </c>
      <c r="G25" s="10" t="s">
        <v>210</v>
      </c>
      <c r="H25" s="10" t="s">
        <v>211</v>
      </c>
      <c r="I25" s="10" t="s">
        <v>212</v>
      </c>
    </row>
    <row r="26" spans="1:9" x14ac:dyDescent="0.15">
      <c r="A26" s="9">
        <v>25</v>
      </c>
      <c r="B26" s="10" t="s">
        <v>9</v>
      </c>
      <c r="C26" s="10" t="s">
        <v>126</v>
      </c>
      <c r="D26" s="10" t="s">
        <v>127</v>
      </c>
      <c r="E26" s="11" t="str">
        <f>+HYPERLINK("http://trademark.i-assist.jp/data/china/image_1899th/70705839.pdf", "70705839")</f>
        <v>70705839</v>
      </c>
      <c r="F26" s="10" t="s">
        <v>174</v>
      </c>
      <c r="G26" s="10" t="s">
        <v>175</v>
      </c>
      <c r="H26" s="10" t="s">
        <v>213</v>
      </c>
      <c r="I26" s="10" t="s">
        <v>214</v>
      </c>
    </row>
    <row r="27" spans="1:9" x14ac:dyDescent="0.15">
      <c r="A27" s="9">
        <v>26</v>
      </c>
      <c r="B27" s="10" t="s">
        <v>9</v>
      </c>
      <c r="C27" s="10" t="s">
        <v>126</v>
      </c>
      <c r="D27" s="10" t="s">
        <v>127</v>
      </c>
      <c r="E27" s="11" t="str">
        <f>+HYPERLINK("http://trademark.i-assist.jp/data/china/image_1899th/70896434.pdf", "70896434")</f>
        <v>70896434</v>
      </c>
      <c r="F27" s="10" t="s">
        <v>215</v>
      </c>
      <c r="G27" s="10" t="s">
        <v>216</v>
      </c>
      <c r="H27" s="10" t="s">
        <v>217</v>
      </c>
      <c r="I27" s="10" t="s">
        <v>218</v>
      </c>
    </row>
    <row r="28" spans="1:9" x14ac:dyDescent="0.15">
      <c r="A28" s="9">
        <v>27</v>
      </c>
      <c r="B28" s="10" t="s">
        <v>9</v>
      </c>
      <c r="C28" s="10" t="s">
        <v>126</v>
      </c>
      <c r="D28" s="10" t="s">
        <v>127</v>
      </c>
      <c r="E28" s="11" t="str">
        <f>+HYPERLINK("http://trademark.i-assist.jp/data/china/image_1899th/70919034.pdf", "70919034")</f>
        <v>70919034</v>
      </c>
      <c r="F28" s="10" t="s">
        <v>219</v>
      </c>
      <c r="G28" s="10" t="s">
        <v>220</v>
      </c>
      <c r="H28" s="10" t="s">
        <v>221</v>
      </c>
      <c r="I28" s="10" t="s">
        <v>222</v>
      </c>
    </row>
    <row r="29" spans="1:9" x14ac:dyDescent="0.15">
      <c r="A29" s="9">
        <v>28</v>
      </c>
      <c r="B29" s="10" t="s">
        <v>9</v>
      </c>
      <c r="C29" s="10" t="s">
        <v>126</v>
      </c>
      <c r="D29" s="10" t="s">
        <v>127</v>
      </c>
      <c r="E29" s="11" t="str">
        <f>+HYPERLINK("http://trademark.i-assist.jp/data/china/image_1899th/71036707.pdf", "71036707")</f>
        <v>71036707</v>
      </c>
      <c r="F29" s="10" t="s">
        <v>223</v>
      </c>
      <c r="G29" s="10" t="s">
        <v>224</v>
      </c>
      <c r="H29" s="10" t="s">
        <v>225</v>
      </c>
      <c r="I29" s="10" t="s">
        <v>226</v>
      </c>
    </row>
    <row r="30" spans="1:9" x14ac:dyDescent="0.15">
      <c r="A30" s="9">
        <v>29</v>
      </c>
      <c r="B30" s="10" t="s">
        <v>9</v>
      </c>
      <c r="C30" s="10" t="s">
        <v>126</v>
      </c>
      <c r="D30" s="10" t="s">
        <v>127</v>
      </c>
      <c r="E30" s="11" t="str">
        <f>+HYPERLINK("http://trademark.i-assist.jp/data/china/image_1899th/71128022.pdf", "71128022")</f>
        <v>71128022</v>
      </c>
      <c r="F30" s="10" t="s">
        <v>227</v>
      </c>
      <c r="G30" s="10" t="s">
        <v>228</v>
      </c>
      <c r="H30" s="10" t="s">
        <v>229</v>
      </c>
      <c r="I30" s="10" t="s">
        <v>230</v>
      </c>
    </row>
    <row r="31" spans="1:9" x14ac:dyDescent="0.15">
      <c r="A31" s="9">
        <v>30</v>
      </c>
      <c r="B31" s="10" t="s">
        <v>9</v>
      </c>
      <c r="C31" s="10" t="s">
        <v>126</v>
      </c>
      <c r="D31" s="10" t="s">
        <v>127</v>
      </c>
      <c r="E31" s="11" t="str">
        <f>+HYPERLINK("http://trademark.i-assist.jp/data/china/image_1899th/71141935.pdf", "71141935")</f>
        <v>71141935</v>
      </c>
      <c r="F31" s="10" t="s">
        <v>231</v>
      </c>
      <c r="G31" s="10" t="s">
        <v>232</v>
      </c>
      <c r="H31" s="10" t="s">
        <v>233</v>
      </c>
      <c r="I31" s="10" t="s">
        <v>230</v>
      </c>
    </row>
    <row r="32" spans="1:9" x14ac:dyDescent="0.15">
      <c r="A32" s="9">
        <v>31</v>
      </c>
      <c r="B32" s="10" t="s">
        <v>9</v>
      </c>
      <c r="C32" s="10" t="s">
        <v>126</v>
      </c>
      <c r="D32" s="10" t="s">
        <v>127</v>
      </c>
      <c r="E32" s="11" t="str">
        <f>+HYPERLINK("http://trademark.i-assist.jp/data/china/image_1899th/71143612.pdf", "71143612")</f>
        <v>71143612</v>
      </c>
      <c r="F32" s="10" t="s">
        <v>234</v>
      </c>
      <c r="G32" s="10" t="s">
        <v>235</v>
      </c>
      <c r="H32" s="10" t="s">
        <v>236</v>
      </c>
      <c r="I32" s="10" t="s">
        <v>230</v>
      </c>
    </row>
    <row r="33" spans="1:9" x14ac:dyDescent="0.15">
      <c r="A33" s="9">
        <v>32</v>
      </c>
      <c r="B33" s="10" t="s">
        <v>9</v>
      </c>
      <c r="C33" s="10" t="s">
        <v>126</v>
      </c>
      <c r="D33" s="10" t="s">
        <v>127</v>
      </c>
      <c r="E33" s="11" t="str">
        <f>+HYPERLINK("http://trademark.i-assist.jp/data/china/image_1899th/71253715.pdf", "71253715")</f>
        <v>71253715</v>
      </c>
      <c r="F33" s="10" t="s">
        <v>237</v>
      </c>
      <c r="G33" s="10" t="s">
        <v>238</v>
      </c>
      <c r="H33" s="10" t="s">
        <v>239</v>
      </c>
      <c r="I33" s="10" t="s">
        <v>13</v>
      </c>
    </row>
    <row r="34" spans="1:9" x14ac:dyDescent="0.15">
      <c r="A34" s="9">
        <v>33</v>
      </c>
      <c r="B34" s="10" t="s">
        <v>9</v>
      </c>
      <c r="C34" s="10" t="s">
        <v>126</v>
      </c>
      <c r="D34" s="10" t="s">
        <v>127</v>
      </c>
      <c r="E34" s="11" t="str">
        <f>+HYPERLINK("http://trademark.i-assist.jp/data/china/image_1899th/71254355.pdf", "71254355")</f>
        <v>71254355</v>
      </c>
      <c r="F34" s="10" t="s">
        <v>240</v>
      </c>
      <c r="G34" s="10" t="s">
        <v>241</v>
      </c>
      <c r="H34" s="10" t="s">
        <v>242</v>
      </c>
      <c r="I34" s="10" t="s">
        <v>13</v>
      </c>
    </row>
    <row r="35" spans="1:9" x14ac:dyDescent="0.15">
      <c r="A35" s="9">
        <v>34</v>
      </c>
      <c r="B35" s="10" t="s">
        <v>9</v>
      </c>
      <c r="C35" s="10" t="s">
        <v>126</v>
      </c>
      <c r="D35" s="10" t="s">
        <v>127</v>
      </c>
      <c r="E35" s="11" t="str">
        <f>+HYPERLINK("http://trademark.i-assist.jp/data/china/image_1899th/71303018.pdf", "71303018")</f>
        <v>71303018</v>
      </c>
      <c r="F35" s="10" t="s">
        <v>243</v>
      </c>
      <c r="G35" s="10" t="s">
        <v>244</v>
      </c>
      <c r="H35" s="10" t="s">
        <v>245</v>
      </c>
      <c r="I35" s="10" t="s">
        <v>14</v>
      </c>
    </row>
    <row r="36" spans="1:9" x14ac:dyDescent="0.15">
      <c r="A36" s="9">
        <v>35</v>
      </c>
      <c r="B36" s="10" t="s">
        <v>9</v>
      </c>
      <c r="C36" s="10" t="s">
        <v>126</v>
      </c>
      <c r="D36" s="10" t="s">
        <v>127</v>
      </c>
      <c r="E36" s="11" t="str">
        <f>+HYPERLINK("http://trademark.i-assist.jp/data/china/image_1899th/71372079.pdf", "71372079")</f>
        <v>71372079</v>
      </c>
      <c r="F36" s="10" t="s">
        <v>246</v>
      </c>
      <c r="G36" s="10" t="s">
        <v>247</v>
      </c>
      <c r="H36" s="10" t="s">
        <v>248</v>
      </c>
      <c r="I36" s="10" t="s">
        <v>249</v>
      </c>
    </row>
    <row r="37" spans="1:9" x14ac:dyDescent="0.15">
      <c r="A37" s="9">
        <v>36</v>
      </c>
      <c r="B37" s="10" t="s">
        <v>9</v>
      </c>
      <c r="C37" s="10" t="s">
        <v>126</v>
      </c>
      <c r="D37" s="10" t="s">
        <v>127</v>
      </c>
      <c r="E37" s="11" t="str">
        <f>+HYPERLINK("http://trademark.i-assist.jp/data/china/image_1899th/71473478.pdf", "71473478")</f>
        <v>71473478</v>
      </c>
      <c r="F37" s="10" t="s">
        <v>250</v>
      </c>
      <c r="G37" s="10" t="s">
        <v>11</v>
      </c>
      <c r="H37" s="10" t="s">
        <v>251</v>
      </c>
      <c r="I37" s="10" t="s">
        <v>252</v>
      </c>
    </row>
    <row r="38" spans="1:9" x14ac:dyDescent="0.15">
      <c r="A38" s="9">
        <v>37</v>
      </c>
      <c r="B38" s="10" t="s">
        <v>9</v>
      </c>
      <c r="C38" s="10" t="s">
        <v>126</v>
      </c>
      <c r="D38" s="10" t="s">
        <v>127</v>
      </c>
      <c r="E38" s="11" t="str">
        <f>+HYPERLINK("http://trademark.i-assist.jp/data/china/image_1899th/71485804.pdf", "71485804")</f>
        <v>71485804</v>
      </c>
      <c r="F38" s="10" t="s">
        <v>253</v>
      </c>
      <c r="G38" s="10" t="s">
        <v>254</v>
      </c>
      <c r="H38" s="10" t="s">
        <v>255</v>
      </c>
      <c r="I38" s="10" t="s">
        <v>252</v>
      </c>
    </row>
    <row r="39" spans="1:9" x14ac:dyDescent="0.15">
      <c r="A39" s="9">
        <v>38</v>
      </c>
      <c r="B39" s="10" t="s">
        <v>9</v>
      </c>
      <c r="C39" s="10" t="s">
        <v>126</v>
      </c>
      <c r="D39" s="10" t="s">
        <v>127</v>
      </c>
      <c r="E39" s="11" t="str">
        <f>+HYPERLINK("http://trademark.i-assist.jp/data/china/image_1899th/71499860.pdf", "71499860")</f>
        <v>71499860</v>
      </c>
      <c r="F39" s="10" t="s">
        <v>256</v>
      </c>
      <c r="G39" s="10" t="s">
        <v>257</v>
      </c>
      <c r="H39" s="10" t="s">
        <v>258</v>
      </c>
      <c r="I39" s="10" t="s">
        <v>252</v>
      </c>
    </row>
    <row r="40" spans="1:9" x14ac:dyDescent="0.15">
      <c r="A40" s="9">
        <v>39</v>
      </c>
      <c r="B40" s="10" t="s">
        <v>9</v>
      </c>
      <c r="C40" s="10" t="s">
        <v>126</v>
      </c>
      <c r="D40" s="10" t="s">
        <v>127</v>
      </c>
      <c r="E40" s="11" t="str">
        <f>+HYPERLINK("http://trademark.i-assist.jp/data/china/image_1899th/71621819.pdf", "71621819")</f>
        <v>71621819</v>
      </c>
      <c r="F40" s="10" t="s">
        <v>259</v>
      </c>
      <c r="G40" s="10" t="s">
        <v>260</v>
      </c>
      <c r="H40" s="10" t="s">
        <v>261</v>
      </c>
      <c r="I40" s="10" t="s">
        <v>262</v>
      </c>
    </row>
    <row r="41" spans="1:9" x14ac:dyDescent="0.15">
      <c r="A41" s="9">
        <v>40</v>
      </c>
      <c r="B41" s="10" t="s">
        <v>9</v>
      </c>
      <c r="C41" s="10" t="s">
        <v>126</v>
      </c>
      <c r="D41" s="10" t="s">
        <v>127</v>
      </c>
      <c r="E41" s="11" t="str">
        <f>+HYPERLINK("http://trademark.i-assist.jp/data/china/image_1899th/71677244.pdf", "71677244")</f>
        <v>71677244</v>
      </c>
      <c r="F41" s="10" t="s">
        <v>263</v>
      </c>
      <c r="G41" s="10" t="s">
        <v>264</v>
      </c>
      <c r="H41" s="10" t="s">
        <v>265</v>
      </c>
      <c r="I41" s="10" t="s">
        <v>16</v>
      </c>
    </row>
    <row r="42" spans="1:9" x14ac:dyDescent="0.15">
      <c r="A42" s="9">
        <v>41</v>
      </c>
      <c r="B42" s="10" t="s">
        <v>9</v>
      </c>
      <c r="C42" s="10" t="s">
        <v>126</v>
      </c>
      <c r="D42" s="10" t="s">
        <v>127</v>
      </c>
      <c r="E42" s="11" t="str">
        <f>+HYPERLINK("http://trademark.i-assist.jp/data/china/image_1899th/71740764.pdf", "71740764")</f>
        <v>71740764</v>
      </c>
      <c r="F42" s="10" t="s">
        <v>15</v>
      </c>
      <c r="G42" s="10" t="s">
        <v>266</v>
      </c>
      <c r="H42" s="10" t="s">
        <v>267</v>
      </c>
      <c r="I42" s="10" t="s">
        <v>17</v>
      </c>
    </row>
    <row r="43" spans="1:9" x14ac:dyDescent="0.15">
      <c r="A43" s="9">
        <v>42</v>
      </c>
      <c r="B43" s="10" t="s">
        <v>9</v>
      </c>
      <c r="C43" s="10" t="s">
        <v>126</v>
      </c>
      <c r="D43" s="10" t="s">
        <v>127</v>
      </c>
      <c r="E43" s="11" t="str">
        <f>+HYPERLINK("http://trademark.i-assist.jp/data/china/image_1899th/71844106.pdf", "71844106")</f>
        <v>71844106</v>
      </c>
      <c r="F43" s="10" t="s">
        <v>268</v>
      </c>
      <c r="G43" s="10" t="s">
        <v>269</v>
      </c>
      <c r="H43" s="10" t="s">
        <v>270</v>
      </c>
      <c r="I43" s="10" t="s">
        <v>271</v>
      </c>
    </row>
    <row r="44" spans="1:9" x14ac:dyDescent="0.15">
      <c r="A44" s="9">
        <v>43</v>
      </c>
      <c r="B44" s="10" t="s">
        <v>9</v>
      </c>
      <c r="C44" s="10" t="s">
        <v>126</v>
      </c>
      <c r="D44" s="10" t="s">
        <v>127</v>
      </c>
      <c r="E44" s="11" t="str">
        <f>+HYPERLINK("http://trademark.i-assist.jp/data/china/image_1899th/71913996.pdf", "71913996")</f>
        <v>71913996</v>
      </c>
      <c r="F44" s="10" t="s">
        <v>272</v>
      </c>
      <c r="G44" s="10" t="s">
        <v>273</v>
      </c>
      <c r="H44" s="10" t="s">
        <v>274</v>
      </c>
      <c r="I44" s="10" t="s">
        <v>275</v>
      </c>
    </row>
    <row r="45" spans="1:9" x14ac:dyDescent="0.15">
      <c r="A45" s="9">
        <v>44</v>
      </c>
      <c r="B45" s="10" t="s">
        <v>9</v>
      </c>
      <c r="C45" s="10" t="s">
        <v>126</v>
      </c>
      <c r="D45" s="10" t="s">
        <v>127</v>
      </c>
      <c r="E45" s="11" t="str">
        <f>+HYPERLINK("http://trademark.i-assist.jp/data/china/image_1899th/71924779.pdf", "71924779")</f>
        <v>71924779</v>
      </c>
      <c r="F45" s="10" t="s">
        <v>276</v>
      </c>
      <c r="G45" s="10" t="s">
        <v>277</v>
      </c>
      <c r="H45" s="10" t="s">
        <v>278</v>
      </c>
      <c r="I45" s="10" t="s">
        <v>275</v>
      </c>
    </row>
    <row r="46" spans="1:9" x14ac:dyDescent="0.15">
      <c r="A46" s="9">
        <v>45</v>
      </c>
      <c r="B46" s="10" t="s">
        <v>9</v>
      </c>
      <c r="C46" s="10" t="s">
        <v>126</v>
      </c>
      <c r="D46" s="10" t="s">
        <v>127</v>
      </c>
      <c r="E46" s="11" t="str">
        <f>+HYPERLINK("http://trademark.i-assist.jp/data/china/image_1899th/72039220.pdf", "72039220")</f>
        <v>72039220</v>
      </c>
      <c r="F46" s="10" t="s">
        <v>279</v>
      </c>
      <c r="G46" s="10" t="s">
        <v>280</v>
      </c>
      <c r="H46" s="10" t="s">
        <v>281</v>
      </c>
      <c r="I46" s="10" t="s">
        <v>282</v>
      </c>
    </row>
    <row r="47" spans="1:9" x14ac:dyDescent="0.15">
      <c r="A47" s="9">
        <v>46</v>
      </c>
      <c r="B47" s="10" t="s">
        <v>9</v>
      </c>
      <c r="C47" s="10" t="s">
        <v>126</v>
      </c>
      <c r="D47" s="10" t="s">
        <v>127</v>
      </c>
      <c r="E47" s="11" t="str">
        <f>+HYPERLINK("http://trademark.i-assist.jp/data/china/image_1899th/72046502.pdf", "72046502")</f>
        <v>72046502</v>
      </c>
      <c r="F47" s="10" t="s">
        <v>283</v>
      </c>
      <c r="G47" s="10" t="s">
        <v>280</v>
      </c>
      <c r="H47" s="10" t="s">
        <v>284</v>
      </c>
      <c r="I47" s="10" t="s">
        <v>282</v>
      </c>
    </row>
    <row r="48" spans="1:9" x14ac:dyDescent="0.15">
      <c r="A48" s="9">
        <v>47</v>
      </c>
      <c r="B48" s="10" t="s">
        <v>9</v>
      </c>
      <c r="C48" s="10" t="s">
        <v>126</v>
      </c>
      <c r="D48" s="10" t="s">
        <v>127</v>
      </c>
      <c r="E48" s="11" t="str">
        <f>+HYPERLINK("http://trademark.i-assist.jp/data/china/image_1899th/72307839.pdf", "72307839")</f>
        <v>72307839</v>
      </c>
      <c r="F48" s="10" t="s">
        <v>285</v>
      </c>
      <c r="G48" s="10" t="s">
        <v>286</v>
      </c>
      <c r="H48" s="10" t="s">
        <v>287</v>
      </c>
      <c r="I48" s="10" t="s">
        <v>288</v>
      </c>
    </row>
    <row r="49" spans="1:9" x14ac:dyDescent="0.15">
      <c r="A49" s="9">
        <v>48</v>
      </c>
      <c r="B49" s="10" t="s">
        <v>9</v>
      </c>
      <c r="C49" s="10" t="s">
        <v>126</v>
      </c>
      <c r="D49" s="10" t="s">
        <v>127</v>
      </c>
      <c r="E49" s="11" t="str">
        <f>+HYPERLINK("http://trademark.i-assist.jp/data/china/image_1899th/72475212.pdf", "72475212")</f>
        <v>72475212</v>
      </c>
      <c r="F49" s="10" t="s">
        <v>174</v>
      </c>
      <c r="G49" s="10" t="s">
        <v>175</v>
      </c>
      <c r="H49" s="10" t="s">
        <v>289</v>
      </c>
      <c r="I49" s="10" t="s">
        <v>19</v>
      </c>
    </row>
    <row r="50" spans="1:9" x14ac:dyDescent="0.15">
      <c r="A50" s="9">
        <v>49</v>
      </c>
      <c r="B50" s="10" t="s">
        <v>9</v>
      </c>
      <c r="C50" s="10" t="s">
        <v>126</v>
      </c>
      <c r="D50" s="10" t="s">
        <v>127</v>
      </c>
      <c r="E50" s="11" t="str">
        <f>+HYPERLINK("http://trademark.i-assist.jp/data/china/image_1899th/72485088.pdf", "72485088")</f>
        <v>72485088</v>
      </c>
      <c r="F50" s="10" t="s">
        <v>290</v>
      </c>
      <c r="G50" s="10" t="s">
        <v>291</v>
      </c>
      <c r="H50" s="10" t="s">
        <v>292</v>
      </c>
      <c r="I50" s="10" t="s">
        <v>19</v>
      </c>
    </row>
    <row r="51" spans="1:9" x14ac:dyDescent="0.15">
      <c r="A51" s="9">
        <v>50</v>
      </c>
      <c r="B51" s="10" t="s">
        <v>9</v>
      </c>
      <c r="C51" s="10" t="s">
        <v>126</v>
      </c>
      <c r="D51" s="10" t="s">
        <v>127</v>
      </c>
      <c r="E51" s="11" t="str">
        <f>+HYPERLINK("http://trademark.i-assist.jp/data/china/image_1899th/72531231.pdf", "72531231")</f>
        <v>72531231</v>
      </c>
      <c r="F51" s="10" t="s">
        <v>293</v>
      </c>
      <c r="G51" s="10" t="s">
        <v>294</v>
      </c>
      <c r="H51" s="10" t="s">
        <v>295</v>
      </c>
      <c r="I51" s="10" t="s">
        <v>21</v>
      </c>
    </row>
    <row r="52" spans="1:9" x14ac:dyDescent="0.15">
      <c r="A52" s="9">
        <v>51</v>
      </c>
      <c r="B52" s="10" t="s">
        <v>9</v>
      </c>
      <c r="C52" s="10" t="s">
        <v>126</v>
      </c>
      <c r="D52" s="10" t="s">
        <v>127</v>
      </c>
      <c r="E52" s="11" t="str">
        <f>+HYPERLINK("http://trademark.i-assist.jp/data/china/image_1899th/72552086.pdf", "72552086")</f>
        <v>72552086</v>
      </c>
      <c r="F52" s="10" t="s">
        <v>296</v>
      </c>
      <c r="G52" s="10" t="s">
        <v>297</v>
      </c>
      <c r="H52" s="10" t="s">
        <v>298</v>
      </c>
      <c r="I52" s="10" t="s">
        <v>299</v>
      </c>
    </row>
    <row r="53" spans="1:9" x14ac:dyDescent="0.15">
      <c r="A53" s="9">
        <v>52</v>
      </c>
      <c r="B53" s="10" t="s">
        <v>9</v>
      </c>
      <c r="C53" s="10" t="s">
        <v>126</v>
      </c>
      <c r="D53" s="10" t="s">
        <v>127</v>
      </c>
      <c r="E53" s="11" t="str">
        <f>+HYPERLINK("http://trademark.i-assist.jp/data/china/image_1899th/72553265.pdf", "72553265")</f>
        <v>72553265</v>
      </c>
      <c r="F53" s="10" t="s">
        <v>300</v>
      </c>
      <c r="G53" s="10" t="s">
        <v>301</v>
      </c>
      <c r="H53" s="10" t="s">
        <v>302</v>
      </c>
      <c r="I53" s="10" t="s">
        <v>299</v>
      </c>
    </row>
    <row r="54" spans="1:9" x14ac:dyDescent="0.15">
      <c r="A54" s="9">
        <v>53</v>
      </c>
      <c r="B54" s="10" t="s">
        <v>9</v>
      </c>
      <c r="C54" s="10" t="s">
        <v>126</v>
      </c>
      <c r="D54" s="10" t="s">
        <v>127</v>
      </c>
      <c r="E54" s="11" t="str">
        <f>+HYPERLINK("http://trademark.i-assist.jp/data/china/image_1899th/72613414.pdf", "72613414")</f>
        <v>72613414</v>
      </c>
      <c r="F54" s="10" t="s">
        <v>303</v>
      </c>
      <c r="G54" s="10" t="s">
        <v>304</v>
      </c>
      <c r="H54" s="10" t="s">
        <v>305</v>
      </c>
      <c r="I54" s="10" t="s">
        <v>22</v>
      </c>
    </row>
    <row r="55" spans="1:9" x14ac:dyDescent="0.15">
      <c r="A55" s="9">
        <v>54</v>
      </c>
      <c r="B55" s="10" t="s">
        <v>9</v>
      </c>
      <c r="C55" s="10" t="s">
        <v>126</v>
      </c>
      <c r="D55" s="10" t="s">
        <v>127</v>
      </c>
      <c r="E55" s="11" t="str">
        <f>+HYPERLINK("http://trademark.i-assist.jp/data/china/image_1899th/72666956.pdf", "72666956")</f>
        <v>72666956</v>
      </c>
      <c r="F55" s="10" t="s">
        <v>306</v>
      </c>
      <c r="G55" s="10" t="s">
        <v>307</v>
      </c>
      <c r="H55" s="10" t="s">
        <v>308</v>
      </c>
      <c r="I55" s="10" t="s">
        <v>309</v>
      </c>
    </row>
    <row r="56" spans="1:9" x14ac:dyDescent="0.15">
      <c r="A56" s="9">
        <v>55</v>
      </c>
      <c r="B56" s="10" t="s">
        <v>9</v>
      </c>
      <c r="C56" s="10" t="s">
        <v>126</v>
      </c>
      <c r="D56" s="10" t="s">
        <v>127</v>
      </c>
      <c r="E56" s="11" t="str">
        <f>+HYPERLINK("http://trademark.i-assist.jp/data/china/image_1899th/72704033.pdf", "72704033")</f>
        <v>72704033</v>
      </c>
      <c r="F56" s="10" t="s">
        <v>310</v>
      </c>
      <c r="G56" s="10" t="s">
        <v>311</v>
      </c>
      <c r="H56" s="10" t="s">
        <v>312</v>
      </c>
      <c r="I56" s="10" t="s">
        <v>313</v>
      </c>
    </row>
    <row r="57" spans="1:9" x14ac:dyDescent="0.15">
      <c r="A57" s="9">
        <v>56</v>
      </c>
      <c r="B57" s="10" t="s">
        <v>9</v>
      </c>
      <c r="C57" s="10" t="s">
        <v>126</v>
      </c>
      <c r="D57" s="10" t="s">
        <v>127</v>
      </c>
      <c r="E57" s="11" t="str">
        <f>+HYPERLINK("http://trademark.i-assist.jp/data/china/image_1899th/72742076.pdf", "72742076")</f>
        <v>72742076</v>
      </c>
      <c r="F57" s="10" t="s">
        <v>314</v>
      </c>
      <c r="G57" s="10" t="s">
        <v>314</v>
      </c>
      <c r="H57" s="10" t="s">
        <v>315</v>
      </c>
      <c r="I57" s="10" t="s">
        <v>316</v>
      </c>
    </row>
    <row r="58" spans="1:9" x14ac:dyDescent="0.15">
      <c r="A58" s="9">
        <v>57</v>
      </c>
      <c r="B58" s="10" t="s">
        <v>9</v>
      </c>
      <c r="C58" s="10" t="s">
        <v>126</v>
      </c>
      <c r="D58" s="10" t="s">
        <v>127</v>
      </c>
      <c r="E58" s="11" t="str">
        <f>+HYPERLINK("http://trademark.i-assist.jp/data/china/image_1899th/72806543.pdf", "72806543")</f>
        <v>72806543</v>
      </c>
      <c r="F58" s="10" t="s">
        <v>317</v>
      </c>
      <c r="G58" s="10" t="s">
        <v>20</v>
      </c>
      <c r="H58" s="10" t="s">
        <v>318</v>
      </c>
      <c r="I58" s="10" t="s">
        <v>319</v>
      </c>
    </row>
    <row r="59" spans="1:9" x14ac:dyDescent="0.15">
      <c r="A59" s="9">
        <v>58</v>
      </c>
      <c r="B59" s="10" t="s">
        <v>9</v>
      </c>
      <c r="C59" s="10" t="s">
        <v>126</v>
      </c>
      <c r="D59" s="10" t="s">
        <v>127</v>
      </c>
      <c r="E59" s="11" t="str">
        <f>+HYPERLINK("http://trademark.i-assist.jp/data/china/image_1899th/72854090.pdf", "72854090")</f>
        <v>72854090</v>
      </c>
      <c r="F59" s="10" t="s">
        <v>320</v>
      </c>
      <c r="G59" s="10" t="s">
        <v>321</v>
      </c>
      <c r="H59" s="10" t="s">
        <v>322</v>
      </c>
      <c r="I59" s="10" t="s">
        <v>323</v>
      </c>
    </row>
    <row r="60" spans="1:9" x14ac:dyDescent="0.15">
      <c r="A60" s="9">
        <v>59</v>
      </c>
      <c r="B60" s="10" t="s">
        <v>9</v>
      </c>
      <c r="C60" s="10" t="s">
        <v>126</v>
      </c>
      <c r="D60" s="10" t="s">
        <v>127</v>
      </c>
      <c r="E60" s="11" t="str">
        <f>+HYPERLINK("http://trademark.i-assist.jp/data/china/image_1899th/72872291.pdf", "72872291")</f>
        <v>72872291</v>
      </c>
      <c r="F60" s="10" t="s">
        <v>324</v>
      </c>
      <c r="G60" s="10" t="s">
        <v>325</v>
      </c>
      <c r="H60" s="10" t="s">
        <v>326</v>
      </c>
      <c r="I60" s="10" t="s">
        <v>327</v>
      </c>
    </row>
    <row r="61" spans="1:9" x14ac:dyDescent="0.15">
      <c r="A61" s="9">
        <v>60</v>
      </c>
      <c r="B61" s="10" t="s">
        <v>9</v>
      </c>
      <c r="C61" s="10" t="s">
        <v>126</v>
      </c>
      <c r="D61" s="10" t="s">
        <v>127</v>
      </c>
      <c r="E61" s="11" t="str">
        <f>+HYPERLINK("http://trademark.i-assist.jp/data/china/image_1899th/72907803.pdf", "72907803")</f>
        <v>72907803</v>
      </c>
      <c r="F61" s="10" t="s">
        <v>328</v>
      </c>
      <c r="G61" s="10" t="s">
        <v>329</v>
      </c>
      <c r="H61" s="10" t="s">
        <v>330</v>
      </c>
      <c r="I61" s="10" t="s">
        <v>23</v>
      </c>
    </row>
    <row r="62" spans="1:9" x14ac:dyDescent="0.15">
      <c r="A62" s="9">
        <v>61</v>
      </c>
      <c r="B62" s="10" t="s">
        <v>9</v>
      </c>
      <c r="C62" s="10" t="s">
        <v>126</v>
      </c>
      <c r="D62" s="10" t="s">
        <v>127</v>
      </c>
      <c r="E62" s="11" t="str">
        <f>+HYPERLINK("http://trademark.i-assist.jp/data/china/image_1899th/72910797.pdf", "72910797")</f>
        <v>72910797</v>
      </c>
      <c r="F62" s="10" t="s">
        <v>331</v>
      </c>
      <c r="G62" s="10" t="s">
        <v>329</v>
      </c>
      <c r="H62" s="10" t="s">
        <v>332</v>
      </c>
      <c r="I62" s="10" t="s">
        <v>23</v>
      </c>
    </row>
    <row r="63" spans="1:9" x14ac:dyDescent="0.15">
      <c r="A63" s="9">
        <v>62</v>
      </c>
      <c r="B63" s="10" t="s">
        <v>9</v>
      </c>
      <c r="C63" s="10" t="s">
        <v>126</v>
      </c>
      <c r="D63" s="10" t="s">
        <v>127</v>
      </c>
      <c r="E63" s="11" t="str">
        <f>+HYPERLINK("http://trademark.i-assist.jp/data/china/image_1899th/73016811.pdf", "73016811")</f>
        <v>73016811</v>
      </c>
      <c r="F63" s="10" t="s">
        <v>333</v>
      </c>
      <c r="G63" s="10" t="s">
        <v>334</v>
      </c>
      <c r="H63" s="10" t="s">
        <v>335</v>
      </c>
      <c r="I63" s="10" t="s">
        <v>336</v>
      </c>
    </row>
    <row r="64" spans="1:9" x14ac:dyDescent="0.15">
      <c r="A64" s="9">
        <v>63</v>
      </c>
      <c r="B64" s="10" t="s">
        <v>9</v>
      </c>
      <c r="C64" s="10" t="s">
        <v>126</v>
      </c>
      <c r="D64" s="10" t="s">
        <v>127</v>
      </c>
      <c r="E64" s="11" t="str">
        <f>+HYPERLINK("http://trademark.i-assist.jp/data/china/image_1899th/73177839.pdf", "73177839")</f>
        <v>73177839</v>
      </c>
      <c r="F64" s="10" t="s">
        <v>337</v>
      </c>
      <c r="G64" s="10" t="s">
        <v>338</v>
      </c>
      <c r="H64" s="10" t="s">
        <v>339</v>
      </c>
      <c r="I64" s="10" t="s">
        <v>24</v>
      </c>
    </row>
    <row r="65" spans="1:9" x14ac:dyDescent="0.15">
      <c r="A65" s="9">
        <v>64</v>
      </c>
      <c r="B65" s="10" t="s">
        <v>9</v>
      </c>
      <c r="C65" s="10" t="s">
        <v>126</v>
      </c>
      <c r="D65" s="10" t="s">
        <v>127</v>
      </c>
      <c r="E65" s="11" t="str">
        <f>+HYPERLINK("http://trademark.i-assist.jp/data/china/image_1899th/73220571.pdf", "73220571")</f>
        <v>73220571</v>
      </c>
      <c r="F65" s="10" t="s">
        <v>340</v>
      </c>
      <c r="G65" s="10" t="s">
        <v>341</v>
      </c>
      <c r="H65" s="10" t="s">
        <v>342</v>
      </c>
      <c r="I65" s="10" t="s">
        <v>25</v>
      </c>
    </row>
    <row r="66" spans="1:9" x14ac:dyDescent="0.15">
      <c r="A66" s="9">
        <v>65</v>
      </c>
      <c r="B66" s="10" t="s">
        <v>9</v>
      </c>
      <c r="C66" s="10" t="s">
        <v>126</v>
      </c>
      <c r="D66" s="10" t="s">
        <v>127</v>
      </c>
      <c r="E66" s="11" t="str">
        <f>+HYPERLINK("http://trademark.i-assist.jp/data/china/image_1899th/73364876.pdf", "73364876")</f>
        <v>73364876</v>
      </c>
      <c r="F66" s="10" t="s">
        <v>343</v>
      </c>
      <c r="G66" s="10" t="s">
        <v>344</v>
      </c>
      <c r="H66" s="10" t="s">
        <v>345</v>
      </c>
      <c r="I66" s="10" t="s">
        <v>346</v>
      </c>
    </row>
    <row r="67" spans="1:9" x14ac:dyDescent="0.15">
      <c r="A67" s="9">
        <v>66</v>
      </c>
      <c r="B67" s="10" t="s">
        <v>9</v>
      </c>
      <c r="C67" s="10" t="s">
        <v>126</v>
      </c>
      <c r="D67" s="10" t="s">
        <v>127</v>
      </c>
      <c r="E67" s="11" t="str">
        <f>+HYPERLINK("http://trademark.i-assist.jp/data/china/image_1899th/73403921.pdf", "73403921")</f>
        <v>73403921</v>
      </c>
      <c r="F67" s="10" t="s">
        <v>347</v>
      </c>
      <c r="G67" s="10" t="s">
        <v>348</v>
      </c>
      <c r="H67" s="10" t="s">
        <v>349</v>
      </c>
      <c r="I67" s="10" t="s">
        <v>350</v>
      </c>
    </row>
    <row r="68" spans="1:9" x14ac:dyDescent="0.15">
      <c r="A68" s="9">
        <v>67</v>
      </c>
      <c r="B68" s="10" t="s">
        <v>9</v>
      </c>
      <c r="C68" s="10" t="s">
        <v>126</v>
      </c>
      <c r="D68" s="10" t="s">
        <v>127</v>
      </c>
      <c r="E68" s="11" t="str">
        <f>+HYPERLINK("http://trademark.i-assist.jp/data/china/image_1899th/73409525.pdf", "73409525")</f>
        <v>73409525</v>
      </c>
      <c r="F68" s="10" t="s">
        <v>351</v>
      </c>
      <c r="G68" s="10" t="s">
        <v>352</v>
      </c>
      <c r="H68" s="10" t="s">
        <v>353</v>
      </c>
      <c r="I68" s="10" t="s">
        <v>354</v>
      </c>
    </row>
    <row r="69" spans="1:9" x14ac:dyDescent="0.15">
      <c r="A69" s="9">
        <v>68</v>
      </c>
      <c r="B69" s="10" t="s">
        <v>9</v>
      </c>
      <c r="C69" s="10" t="s">
        <v>126</v>
      </c>
      <c r="D69" s="10" t="s">
        <v>127</v>
      </c>
      <c r="E69" s="11" t="str">
        <f>+HYPERLINK("http://trademark.i-assist.jp/data/china/image_1899th/73471151.pdf", "73471151")</f>
        <v>73471151</v>
      </c>
      <c r="F69" s="10" t="s">
        <v>355</v>
      </c>
      <c r="G69" s="10" t="s">
        <v>356</v>
      </c>
      <c r="H69" s="10" t="s">
        <v>357</v>
      </c>
      <c r="I69" s="10" t="s">
        <v>26</v>
      </c>
    </row>
    <row r="70" spans="1:9" x14ac:dyDescent="0.15">
      <c r="A70" s="9">
        <v>69</v>
      </c>
      <c r="B70" s="10" t="s">
        <v>9</v>
      </c>
      <c r="C70" s="10" t="s">
        <v>126</v>
      </c>
      <c r="D70" s="10" t="s">
        <v>127</v>
      </c>
      <c r="E70" s="11" t="str">
        <f>+HYPERLINK("http://trademark.i-assist.jp/data/china/image_1899th/73473001.pdf", "73473001")</f>
        <v>73473001</v>
      </c>
      <c r="F70" s="10" t="s">
        <v>358</v>
      </c>
      <c r="G70" s="10" t="s">
        <v>356</v>
      </c>
      <c r="H70" s="10" t="s">
        <v>359</v>
      </c>
      <c r="I70" s="10" t="s">
        <v>26</v>
      </c>
    </row>
    <row r="71" spans="1:9" x14ac:dyDescent="0.15">
      <c r="A71" s="9">
        <v>70</v>
      </c>
      <c r="B71" s="10" t="s">
        <v>9</v>
      </c>
      <c r="C71" s="10" t="s">
        <v>126</v>
      </c>
      <c r="D71" s="10" t="s">
        <v>127</v>
      </c>
      <c r="E71" s="11" t="str">
        <f>+HYPERLINK("http://trademark.i-assist.jp/data/china/image_1899th/73553613.pdf", "73553613")</f>
        <v>73553613</v>
      </c>
      <c r="F71" s="10" t="s">
        <v>360</v>
      </c>
      <c r="G71" s="10" t="s">
        <v>361</v>
      </c>
      <c r="H71" s="10" t="s">
        <v>362</v>
      </c>
      <c r="I71" s="10" t="s">
        <v>27</v>
      </c>
    </row>
    <row r="72" spans="1:9" x14ac:dyDescent="0.15">
      <c r="A72" s="9">
        <v>71</v>
      </c>
      <c r="B72" s="10" t="s">
        <v>9</v>
      </c>
      <c r="C72" s="10" t="s">
        <v>126</v>
      </c>
      <c r="D72" s="10" t="s">
        <v>127</v>
      </c>
      <c r="E72" s="11" t="str">
        <f>+HYPERLINK("http://trademark.i-assist.jp/data/china/image_1899th/73621464.pdf", "73621464")</f>
        <v>73621464</v>
      </c>
      <c r="F72" s="10" t="s">
        <v>363</v>
      </c>
      <c r="G72" s="10" t="s">
        <v>364</v>
      </c>
      <c r="H72" s="10" t="s">
        <v>365</v>
      </c>
      <c r="I72" s="10" t="s">
        <v>29</v>
      </c>
    </row>
    <row r="73" spans="1:9" x14ac:dyDescent="0.15">
      <c r="A73" s="9">
        <v>72</v>
      </c>
      <c r="B73" s="10" t="s">
        <v>9</v>
      </c>
      <c r="C73" s="10" t="s">
        <v>126</v>
      </c>
      <c r="D73" s="10" t="s">
        <v>127</v>
      </c>
      <c r="E73" s="11" t="str">
        <f>+HYPERLINK("http://trademark.i-assist.jp/data/china/image_1899th/73672063.pdf", "73672063")</f>
        <v>73672063</v>
      </c>
      <c r="F73" s="10" t="s">
        <v>366</v>
      </c>
      <c r="G73" s="10" t="s">
        <v>367</v>
      </c>
      <c r="H73" s="10" t="s">
        <v>368</v>
      </c>
      <c r="I73" s="10" t="s">
        <v>369</v>
      </c>
    </row>
    <row r="74" spans="1:9" x14ac:dyDescent="0.15">
      <c r="A74" s="9">
        <v>73</v>
      </c>
      <c r="B74" s="10" t="s">
        <v>9</v>
      </c>
      <c r="C74" s="10" t="s">
        <v>126</v>
      </c>
      <c r="D74" s="10" t="s">
        <v>127</v>
      </c>
      <c r="E74" s="11" t="str">
        <f>+HYPERLINK("http://trademark.i-assist.jp/data/china/image_1899th/73691256.pdf", "73691256")</f>
        <v>73691256</v>
      </c>
      <c r="F74" s="10" t="s">
        <v>370</v>
      </c>
      <c r="G74" s="10" t="s">
        <v>371</v>
      </c>
      <c r="H74" s="10" t="s">
        <v>372</v>
      </c>
      <c r="I74" s="10" t="s">
        <v>373</v>
      </c>
    </row>
    <row r="75" spans="1:9" x14ac:dyDescent="0.15">
      <c r="A75" s="9">
        <v>74</v>
      </c>
      <c r="B75" s="10" t="s">
        <v>9</v>
      </c>
      <c r="C75" s="10" t="s">
        <v>126</v>
      </c>
      <c r="D75" s="10" t="s">
        <v>127</v>
      </c>
      <c r="E75" s="11" t="str">
        <f>+HYPERLINK("http://trademark.i-assist.jp/data/china/image_1899th/73772405.pdf", "73772405")</f>
        <v>73772405</v>
      </c>
      <c r="F75" s="10" t="s">
        <v>374</v>
      </c>
      <c r="G75" s="10" t="s">
        <v>375</v>
      </c>
      <c r="H75" s="10" t="s">
        <v>376</v>
      </c>
      <c r="I75" s="10" t="s">
        <v>377</v>
      </c>
    </row>
    <row r="76" spans="1:9" x14ac:dyDescent="0.15">
      <c r="A76" s="9">
        <v>75</v>
      </c>
      <c r="B76" s="10" t="s">
        <v>9</v>
      </c>
      <c r="C76" s="10" t="s">
        <v>126</v>
      </c>
      <c r="D76" s="10" t="s">
        <v>127</v>
      </c>
      <c r="E76" s="11" t="str">
        <f>+HYPERLINK("http://trademark.i-assist.jp/data/china/image_1899th/73774983.pdf", "73774983")</f>
        <v>73774983</v>
      </c>
      <c r="F76" s="10" t="s">
        <v>378</v>
      </c>
      <c r="G76" s="10" t="s">
        <v>379</v>
      </c>
      <c r="H76" s="10" t="s">
        <v>380</v>
      </c>
      <c r="I76" s="10" t="s">
        <v>381</v>
      </c>
    </row>
    <row r="77" spans="1:9" x14ac:dyDescent="0.15">
      <c r="A77" s="9">
        <v>76</v>
      </c>
      <c r="B77" s="10" t="s">
        <v>9</v>
      </c>
      <c r="C77" s="10" t="s">
        <v>126</v>
      </c>
      <c r="D77" s="10" t="s">
        <v>127</v>
      </c>
      <c r="E77" s="11" t="str">
        <f>+HYPERLINK("http://trademark.i-assist.jp/data/china/image_1899th/73789771.pdf", "73789771")</f>
        <v>73789771</v>
      </c>
      <c r="F77" s="10" t="s">
        <v>382</v>
      </c>
      <c r="G77" s="10" t="s">
        <v>383</v>
      </c>
      <c r="H77" s="10" t="s">
        <v>384</v>
      </c>
      <c r="I77" s="10" t="s">
        <v>381</v>
      </c>
    </row>
    <row r="78" spans="1:9" x14ac:dyDescent="0.15">
      <c r="A78" s="9">
        <v>77</v>
      </c>
      <c r="B78" s="10" t="s">
        <v>9</v>
      </c>
      <c r="C78" s="10" t="s">
        <v>126</v>
      </c>
      <c r="D78" s="10" t="s">
        <v>127</v>
      </c>
      <c r="E78" s="11" t="str">
        <f>+HYPERLINK("http://trademark.i-assist.jp/data/china/image_1899th/73827566.pdf", "73827566")</f>
        <v>73827566</v>
      </c>
      <c r="F78" s="10" t="s">
        <v>385</v>
      </c>
      <c r="G78" s="10" t="s">
        <v>386</v>
      </c>
      <c r="H78" s="10" t="s">
        <v>387</v>
      </c>
      <c r="I78" s="10" t="s">
        <v>388</v>
      </c>
    </row>
    <row r="79" spans="1:9" x14ac:dyDescent="0.15">
      <c r="A79" s="9">
        <v>78</v>
      </c>
      <c r="B79" s="10" t="s">
        <v>9</v>
      </c>
      <c r="C79" s="10" t="s">
        <v>126</v>
      </c>
      <c r="D79" s="10" t="s">
        <v>127</v>
      </c>
      <c r="E79" s="11" t="str">
        <f>+HYPERLINK("http://trademark.i-assist.jp/data/china/image_1899th/73887519.pdf", "73887519")</f>
        <v>73887519</v>
      </c>
      <c r="F79" s="10" t="s">
        <v>389</v>
      </c>
      <c r="G79" s="10" t="s">
        <v>390</v>
      </c>
      <c r="H79" s="10" t="s">
        <v>391</v>
      </c>
      <c r="I79" s="10" t="s">
        <v>30</v>
      </c>
    </row>
    <row r="80" spans="1:9" x14ac:dyDescent="0.15">
      <c r="A80" s="9">
        <v>79</v>
      </c>
      <c r="B80" s="10" t="s">
        <v>9</v>
      </c>
      <c r="C80" s="10" t="s">
        <v>126</v>
      </c>
      <c r="D80" s="10" t="s">
        <v>127</v>
      </c>
      <c r="E80" s="11" t="str">
        <f>+HYPERLINK("http://trademark.i-assist.jp/data/china/image_1899th/73936804.pdf", "73936804")</f>
        <v>73936804</v>
      </c>
      <c r="F80" s="10" t="s">
        <v>392</v>
      </c>
      <c r="G80" s="10" t="s">
        <v>393</v>
      </c>
      <c r="H80" s="10" t="s">
        <v>394</v>
      </c>
      <c r="I80" s="10" t="s">
        <v>395</v>
      </c>
    </row>
    <row r="81" spans="1:9" x14ac:dyDescent="0.15">
      <c r="A81" s="9">
        <v>80</v>
      </c>
      <c r="B81" s="10" t="s">
        <v>9</v>
      </c>
      <c r="C81" s="10" t="s">
        <v>126</v>
      </c>
      <c r="D81" s="10" t="s">
        <v>127</v>
      </c>
      <c r="E81" s="11" t="str">
        <f>+HYPERLINK("http://trademark.i-assist.jp/data/china/image_1899th/73960059.pdf", "73960059")</f>
        <v>73960059</v>
      </c>
      <c r="F81" s="10" t="s">
        <v>396</v>
      </c>
      <c r="G81" s="10" t="s">
        <v>397</v>
      </c>
      <c r="H81" s="10" t="s">
        <v>398</v>
      </c>
      <c r="I81" s="10" t="s">
        <v>31</v>
      </c>
    </row>
    <row r="82" spans="1:9" x14ac:dyDescent="0.15">
      <c r="A82" s="9">
        <v>81</v>
      </c>
      <c r="B82" s="10" t="s">
        <v>9</v>
      </c>
      <c r="C82" s="10" t="s">
        <v>126</v>
      </c>
      <c r="D82" s="10" t="s">
        <v>127</v>
      </c>
      <c r="E82" s="11" t="str">
        <f>+HYPERLINK("http://trademark.i-assist.jp/data/china/image_1899th/73967595.pdf", "73967595")</f>
        <v>73967595</v>
      </c>
      <c r="F82" s="10" t="s">
        <v>399</v>
      </c>
      <c r="G82" s="10" t="s">
        <v>400</v>
      </c>
      <c r="H82" s="10" t="s">
        <v>401</v>
      </c>
      <c r="I82" s="10" t="s">
        <v>31</v>
      </c>
    </row>
    <row r="83" spans="1:9" x14ac:dyDescent="0.15">
      <c r="A83" s="9">
        <v>82</v>
      </c>
      <c r="B83" s="10" t="s">
        <v>9</v>
      </c>
      <c r="C83" s="10" t="s">
        <v>126</v>
      </c>
      <c r="D83" s="10" t="s">
        <v>127</v>
      </c>
      <c r="E83" s="11" t="str">
        <f>+HYPERLINK("http://trademark.i-assist.jp/data/china/image_1899th/74015417.pdf", "74015417")</f>
        <v>74015417</v>
      </c>
      <c r="F83" s="10" t="s">
        <v>402</v>
      </c>
      <c r="G83" s="10" t="s">
        <v>403</v>
      </c>
      <c r="H83" s="10" t="s">
        <v>404</v>
      </c>
      <c r="I83" s="10" t="s">
        <v>405</v>
      </c>
    </row>
    <row r="84" spans="1:9" x14ac:dyDescent="0.15">
      <c r="A84" s="9">
        <v>83</v>
      </c>
      <c r="B84" s="10" t="s">
        <v>9</v>
      </c>
      <c r="C84" s="10" t="s">
        <v>126</v>
      </c>
      <c r="D84" s="10" t="s">
        <v>127</v>
      </c>
      <c r="E84" s="11" t="str">
        <f>+HYPERLINK("http://trademark.i-assist.jp/data/china/image_1899th/74046977.pdf", "74046977")</f>
        <v>74046977</v>
      </c>
      <c r="F84" s="10" t="s">
        <v>406</v>
      </c>
      <c r="G84" s="10" t="s">
        <v>407</v>
      </c>
      <c r="H84" s="10" t="s">
        <v>408</v>
      </c>
      <c r="I84" s="10" t="s">
        <v>32</v>
      </c>
    </row>
    <row r="85" spans="1:9" x14ac:dyDescent="0.15">
      <c r="A85" s="9">
        <v>84</v>
      </c>
      <c r="B85" s="10" t="s">
        <v>9</v>
      </c>
      <c r="C85" s="10" t="s">
        <v>126</v>
      </c>
      <c r="D85" s="10" t="s">
        <v>127</v>
      </c>
      <c r="E85" s="11" t="str">
        <f>+HYPERLINK("http://trademark.i-assist.jp/data/china/image_1899th/74068862.pdf", "74068862")</f>
        <v>74068862</v>
      </c>
      <c r="F85" s="10" t="s">
        <v>409</v>
      </c>
      <c r="G85" s="10" t="s">
        <v>410</v>
      </c>
      <c r="H85" s="10" t="s">
        <v>411</v>
      </c>
      <c r="I85" s="10" t="s">
        <v>32</v>
      </c>
    </row>
    <row r="86" spans="1:9" x14ac:dyDescent="0.15">
      <c r="A86" s="9">
        <v>85</v>
      </c>
      <c r="B86" s="10" t="s">
        <v>9</v>
      </c>
      <c r="C86" s="10" t="s">
        <v>126</v>
      </c>
      <c r="D86" s="10" t="s">
        <v>127</v>
      </c>
      <c r="E86" s="11" t="str">
        <f>+HYPERLINK("http://trademark.i-assist.jp/data/china/image_1899th/74199725.pdf", "74199725")</f>
        <v>74199725</v>
      </c>
      <c r="F86" s="10" t="s">
        <v>15</v>
      </c>
      <c r="G86" s="10" t="s">
        <v>412</v>
      </c>
      <c r="H86" s="10" t="s">
        <v>413</v>
      </c>
      <c r="I86" s="10" t="s">
        <v>414</v>
      </c>
    </row>
    <row r="87" spans="1:9" x14ac:dyDescent="0.15">
      <c r="A87" s="9">
        <v>86</v>
      </c>
      <c r="B87" s="10" t="s">
        <v>9</v>
      </c>
      <c r="C87" s="10" t="s">
        <v>126</v>
      </c>
      <c r="D87" s="10" t="s">
        <v>127</v>
      </c>
      <c r="E87" s="11" t="str">
        <f>+HYPERLINK("http://trademark.i-assist.jp/data/china/image_1899th/74254499.pdf", "74254499")</f>
        <v>74254499</v>
      </c>
      <c r="F87" s="10" t="s">
        <v>415</v>
      </c>
      <c r="G87" s="10" t="s">
        <v>416</v>
      </c>
      <c r="H87" s="10" t="s">
        <v>417</v>
      </c>
      <c r="I87" s="10" t="s">
        <v>418</v>
      </c>
    </row>
    <row r="88" spans="1:9" x14ac:dyDescent="0.15">
      <c r="A88" s="9">
        <v>87</v>
      </c>
      <c r="B88" s="10" t="s">
        <v>9</v>
      </c>
      <c r="C88" s="10" t="s">
        <v>126</v>
      </c>
      <c r="D88" s="10" t="s">
        <v>127</v>
      </c>
      <c r="E88" s="11" t="str">
        <f>+HYPERLINK("http://trademark.i-assist.jp/data/china/image_1899th/74258612.pdf", "74258612")</f>
        <v>74258612</v>
      </c>
      <c r="F88" s="10" t="s">
        <v>419</v>
      </c>
      <c r="G88" s="10" t="s">
        <v>420</v>
      </c>
      <c r="H88" s="10" t="s">
        <v>421</v>
      </c>
      <c r="I88" s="10" t="s">
        <v>418</v>
      </c>
    </row>
    <row r="89" spans="1:9" x14ac:dyDescent="0.15">
      <c r="A89" s="9">
        <v>88</v>
      </c>
      <c r="B89" s="10" t="s">
        <v>9</v>
      </c>
      <c r="C89" s="10" t="s">
        <v>126</v>
      </c>
      <c r="D89" s="10" t="s">
        <v>127</v>
      </c>
      <c r="E89" s="11" t="str">
        <f>+HYPERLINK("http://trademark.i-assist.jp/data/china/image_1899th/74263106.pdf", "74263106")</f>
        <v>74263106</v>
      </c>
      <c r="F89" s="10" t="s">
        <v>422</v>
      </c>
      <c r="G89" s="10" t="s">
        <v>423</v>
      </c>
      <c r="H89" s="10" t="s">
        <v>424</v>
      </c>
      <c r="I89" s="10" t="s">
        <v>425</v>
      </c>
    </row>
    <row r="90" spans="1:9" x14ac:dyDescent="0.15">
      <c r="A90" s="9">
        <v>89</v>
      </c>
      <c r="B90" s="10" t="s">
        <v>9</v>
      </c>
      <c r="C90" s="10" t="s">
        <v>126</v>
      </c>
      <c r="D90" s="10" t="s">
        <v>127</v>
      </c>
      <c r="E90" s="11" t="str">
        <f>+HYPERLINK("http://trademark.i-assist.jp/data/china/image_1899th/74298503.pdf", "74298503")</f>
        <v>74298503</v>
      </c>
      <c r="F90" s="10" t="s">
        <v>426</v>
      </c>
      <c r="G90" s="10" t="s">
        <v>427</v>
      </c>
      <c r="H90" s="10" t="s">
        <v>428</v>
      </c>
      <c r="I90" s="10" t="s">
        <v>429</v>
      </c>
    </row>
    <row r="91" spans="1:9" x14ac:dyDescent="0.15">
      <c r="A91" s="9">
        <v>90</v>
      </c>
      <c r="B91" s="10" t="s">
        <v>9</v>
      </c>
      <c r="C91" s="10" t="s">
        <v>126</v>
      </c>
      <c r="D91" s="10" t="s">
        <v>127</v>
      </c>
      <c r="E91" s="11" t="str">
        <f>+HYPERLINK("http://trademark.i-assist.jp/data/china/image_1899th/74304724.pdf", "74304724")</f>
        <v>74304724</v>
      </c>
      <c r="F91" s="10" t="s">
        <v>430</v>
      </c>
      <c r="G91" s="10" t="s">
        <v>431</v>
      </c>
      <c r="H91" s="10" t="s">
        <v>432</v>
      </c>
      <c r="I91" s="10" t="s">
        <v>429</v>
      </c>
    </row>
    <row r="92" spans="1:9" x14ac:dyDescent="0.15">
      <c r="A92" s="9">
        <v>91</v>
      </c>
      <c r="B92" s="10" t="s">
        <v>9</v>
      </c>
      <c r="C92" s="10" t="s">
        <v>126</v>
      </c>
      <c r="D92" s="10" t="s">
        <v>127</v>
      </c>
      <c r="E92" s="11" t="str">
        <f>+HYPERLINK("http://trademark.i-assist.jp/data/china/image_1899th/74547533.pdf", "74547533")</f>
        <v>74547533</v>
      </c>
      <c r="F92" s="10" t="s">
        <v>433</v>
      </c>
      <c r="G92" s="10" t="s">
        <v>434</v>
      </c>
      <c r="H92" s="10" t="s">
        <v>435</v>
      </c>
      <c r="I92" s="10" t="s">
        <v>436</v>
      </c>
    </row>
    <row r="93" spans="1:9" x14ac:dyDescent="0.15">
      <c r="A93" s="9">
        <v>92</v>
      </c>
      <c r="B93" s="10" t="s">
        <v>9</v>
      </c>
      <c r="C93" s="10" t="s">
        <v>126</v>
      </c>
      <c r="D93" s="10" t="s">
        <v>127</v>
      </c>
      <c r="E93" s="11" t="str">
        <f>+HYPERLINK("http://trademark.i-assist.jp/data/china/image_1899th/74576473.pdf", "74576473")</f>
        <v>74576473</v>
      </c>
      <c r="F93" s="10" t="s">
        <v>437</v>
      </c>
      <c r="G93" s="10" t="s">
        <v>438</v>
      </c>
      <c r="H93" s="10" t="s">
        <v>439</v>
      </c>
      <c r="I93" s="10" t="s">
        <v>440</v>
      </c>
    </row>
    <row r="94" spans="1:9" x14ac:dyDescent="0.15">
      <c r="A94" s="9">
        <v>93</v>
      </c>
      <c r="B94" s="10" t="s">
        <v>9</v>
      </c>
      <c r="C94" s="10" t="s">
        <v>126</v>
      </c>
      <c r="D94" s="10" t="s">
        <v>127</v>
      </c>
      <c r="E94" s="11" t="str">
        <f>+HYPERLINK("http://trademark.i-assist.jp/data/china/image_1899th/74695683.pdf", "74695683")</f>
        <v>74695683</v>
      </c>
      <c r="F94" s="10" t="s">
        <v>441</v>
      </c>
      <c r="G94" s="10" t="s">
        <v>442</v>
      </c>
      <c r="H94" s="10" t="s">
        <v>443</v>
      </c>
      <c r="I94" s="10" t="s">
        <v>444</v>
      </c>
    </row>
    <row r="95" spans="1:9" x14ac:dyDescent="0.15">
      <c r="A95" s="9">
        <v>94</v>
      </c>
      <c r="B95" s="10" t="s">
        <v>9</v>
      </c>
      <c r="C95" s="10" t="s">
        <v>126</v>
      </c>
      <c r="D95" s="10" t="s">
        <v>127</v>
      </c>
      <c r="E95" s="11" t="str">
        <f>+HYPERLINK("http://trademark.i-assist.jp/data/china/image_1899th/74784852.pdf", "74784852")</f>
        <v>74784852</v>
      </c>
      <c r="F95" s="10" t="s">
        <v>445</v>
      </c>
      <c r="G95" s="10" t="s">
        <v>446</v>
      </c>
      <c r="H95" s="10" t="s">
        <v>447</v>
      </c>
      <c r="I95" s="10" t="s">
        <v>448</v>
      </c>
    </row>
    <row r="96" spans="1:9" x14ac:dyDescent="0.15">
      <c r="A96" s="9">
        <v>95</v>
      </c>
      <c r="B96" s="10" t="s">
        <v>9</v>
      </c>
      <c r="C96" s="10" t="s">
        <v>126</v>
      </c>
      <c r="D96" s="10" t="s">
        <v>127</v>
      </c>
      <c r="E96" s="11" t="str">
        <f>+HYPERLINK("http://trademark.i-assist.jp/data/china/image_1899th/75413903.pdf", "75413903")</f>
        <v>75413903</v>
      </c>
      <c r="F96" s="10" t="s">
        <v>449</v>
      </c>
      <c r="G96" s="10" t="s">
        <v>450</v>
      </c>
      <c r="H96" s="10" t="s">
        <v>451</v>
      </c>
      <c r="I96" s="10" t="s">
        <v>33</v>
      </c>
    </row>
    <row r="97" spans="1:9" x14ac:dyDescent="0.15">
      <c r="A97" s="9">
        <v>96</v>
      </c>
      <c r="B97" s="10" t="s">
        <v>9</v>
      </c>
      <c r="C97" s="10" t="s">
        <v>126</v>
      </c>
      <c r="D97" s="10" t="s">
        <v>127</v>
      </c>
      <c r="E97" s="11" t="str">
        <f>+HYPERLINK("http://trademark.i-assist.jp/data/china/image_1899th/75634777.pdf", "75634777")</f>
        <v>75634777</v>
      </c>
      <c r="F97" s="10" t="s">
        <v>452</v>
      </c>
      <c r="G97" s="10" t="s">
        <v>453</v>
      </c>
      <c r="H97" s="10" t="s">
        <v>454</v>
      </c>
      <c r="I97" s="10" t="s">
        <v>455</v>
      </c>
    </row>
    <row r="98" spans="1:9" x14ac:dyDescent="0.15">
      <c r="A98" s="9">
        <v>97</v>
      </c>
      <c r="B98" s="10" t="s">
        <v>9</v>
      </c>
      <c r="C98" s="10" t="s">
        <v>126</v>
      </c>
      <c r="D98" s="10" t="s">
        <v>127</v>
      </c>
      <c r="E98" s="11" t="str">
        <f>+HYPERLINK("http://trademark.i-assist.jp/data/china/image_1899th/76121324.pdf", "76121324")</f>
        <v>76121324</v>
      </c>
      <c r="F98" s="10" t="s">
        <v>456</v>
      </c>
      <c r="G98" s="10" t="s">
        <v>457</v>
      </c>
      <c r="H98" s="10" t="s">
        <v>458</v>
      </c>
      <c r="I98" s="10" t="s">
        <v>459</v>
      </c>
    </row>
    <row r="99" spans="1:9" x14ac:dyDescent="0.15">
      <c r="A99" s="9">
        <v>98</v>
      </c>
      <c r="B99" s="10" t="s">
        <v>9</v>
      </c>
      <c r="C99" s="10" t="s">
        <v>126</v>
      </c>
      <c r="D99" s="10" t="s">
        <v>127</v>
      </c>
      <c r="E99" s="11" t="str">
        <f>+HYPERLINK("http://trademark.i-assist.jp/data/china/image_1899th/76474250.pdf", "76474250")</f>
        <v>76474250</v>
      </c>
      <c r="F99" s="10" t="s">
        <v>460</v>
      </c>
      <c r="G99" s="10" t="s">
        <v>461</v>
      </c>
      <c r="H99" s="10" t="s">
        <v>462</v>
      </c>
      <c r="I99" s="10" t="s">
        <v>35</v>
      </c>
    </row>
    <row r="100" spans="1:9" x14ac:dyDescent="0.15">
      <c r="A100" s="9">
        <v>99</v>
      </c>
      <c r="B100" s="10" t="s">
        <v>9</v>
      </c>
      <c r="C100" s="10" t="s">
        <v>126</v>
      </c>
      <c r="D100" s="10" t="s">
        <v>127</v>
      </c>
      <c r="E100" s="11" t="str">
        <f>+HYPERLINK("http://trademark.i-assist.jp/data/china/image_1899th/76486066.pdf", "76486066")</f>
        <v>76486066</v>
      </c>
      <c r="F100" s="10" t="s">
        <v>463</v>
      </c>
      <c r="G100" s="10" t="s">
        <v>461</v>
      </c>
      <c r="H100" s="10" t="s">
        <v>464</v>
      </c>
      <c r="I100" s="10" t="s">
        <v>35</v>
      </c>
    </row>
    <row r="101" spans="1:9" x14ac:dyDescent="0.15">
      <c r="A101" s="9">
        <v>100</v>
      </c>
      <c r="B101" s="10" t="s">
        <v>9</v>
      </c>
      <c r="C101" s="10" t="s">
        <v>126</v>
      </c>
      <c r="D101" s="10" t="s">
        <v>127</v>
      </c>
      <c r="E101" s="11" t="str">
        <f>+HYPERLINK("http://trademark.i-assist.jp/data/china/image_1899th/76661354.pdf", "76661354")</f>
        <v>76661354</v>
      </c>
      <c r="F101" s="10" t="s">
        <v>465</v>
      </c>
      <c r="G101" s="10" t="s">
        <v>466</v>
      </c>
      <c r="H101" s="10" t="s">
        <v>467</v>
      </c>
      <c r="I101" s="10" t="s">
        <v>36</v>
      </c>
    </row>
    <row r="102" spans="1:9" x14ac:dyDescent="0.15">
      <c r="A102" s="9">
        <v>101</v>
      </c>
      <c r="B102" s="10" t="s">
        <v>9</v>
      </c>
      <c r="C102" s="10" t="s">
        <v>126</v>
      </c>
      <c r="D102" s="10" t="s">
        <v>127</v>
      </c>
      <c r="E102" s="11" t="str">
        <f>+HYPERLINK("http://trademark.i-assist.jp/data/china/image_1899th/76748146.pdf", "76748146")</f>
        <v>76748146</v>
      </c>
      <c r="F102" s="10" t="s">
        <v>468</v>
      </c>
      <c r="G102" s="10" t="s">
        <v>469</v>
      </c>
      <c r="H102" s="10" t="s">
        <v>470</v>
      </c>
      <c r="I102" s="10" t="s">
        <v>471</v>
      </c>
    </row>
    <row r="103" spans="1:9" x14ac:dyDescent="0.15">
      <c r="A103" s="9">
        <v>102</v>
      </c>
      <c r="B103" s="10" t="s">
        <v>9</v>
      </c>
      <c r="C103" s="10" t="s">
        <v>126</v>
      </c>
      <c r="D103" s="10" t="s">
        <v>127</v>
      </c>
      <c r="E103" s="11" t="str">
        <f>+HYPERLINK("http://trademark.i-assist.jp/data/china/image_1899th/76864292.pdf", "76864292")</f>
        <v>76864292</v>
      </c>
      <c r="F103" s="10" t="s">
        <v>472</v>
      </c>
      <c r="G103" s="10" t="s">
        <v>473</v>
      </c>
      <c r="H103" s="10" t="s">
        <v>474</v>
      </c>
      <c r="I103" s="10" t="s">
        <v>38</v>
      </c>
    </row>
    <row r="104" spans="1:9" x14ac:dyDescent="0.15">
      <c r="A104" s="9">
        <v>103</v>
      </c>
      <c r="B104" s="10" t="s">
        <v>9</v>
      </c>
      <c r="C104" s="10" t="s">
        <v>126</v>
      </c>
      <c r="D104" s="10" t="s">
        <v>127</v>
      </c>
      <c r="E104" s="11" t="str">
        <f>+HYPERLINK("http://trademark.i-assist.jp/data/china/image_1899th/76883049.pdf", "76883049")</f>
        <v>76883049</v>
      </c>
      <c r="F104" s="10" t="s">
        <v>475</v>
      </c>
      <c r="G104" s="10" t="s">
        <v>476</v>
      </c>
      <c r="H104" s="10" t="s">
        <v>477</v>
      </c>
      <c r="I104" s="10" t="s">
        <v>39</v>
      </c>
    </row>
    <row r="105" spans="1:9" x14ac:dyDescent="0.15">
      <c r="A105" s="9">
        <v>104</v>
      </c>
      <c r="B105" s="10" t="s">
        <v>9</v>
      </c>
      <c r="C105" s="10" t="s">
        <v>126</v>
      </c>
      <c r="D105" s="10" t="s">
        <v>127</v>
      </c>
      <c r="E105" s="11" t="str">
        <f>+HYPERLINK("http://trademark.i-assist.jp/data/china/image_1899th/76962888.pdf", "76962888")</f>
        <v>76962888</v>
      </c>
      <c r="F105" s="10" t="s">
        <v>478</v>
      </c>
      <c r="G105" s="10" t="s">
        <v>40</v>
      </c>
      <c r="H105" s="10" t="s">
        <v>479</v>
      </c>
      <c r="I105" s="10" t="s">
        <v>41</v>
      </c>
    </row>
    <row r="106" spans="1:9" x14ac:dyDescent="0.15">
      <c r="A106" s="9">
        <v>105</v>
      </c>
      <c r="B106" s="10" t="s">
        <v>9</v>
      </c>
      <c r="C106" s="10" t="s">
        <v>126</v>
      </c>
      <c r="D106" s="10" t="s">
        <v>127</v>
      </c>
      <c r="E106" s="11" t="str">
        <f>+HYPERLINK("http://trademark.i-assist.jp/data/china/image_1899th/76963280.pdf", "76963280")</f>
        <v>76963280</v>
      </c>
      <c r="F106" s="10" t="s">
        <v>480</v>
      </c>
      <c r="G106" s="10" t="s">
        <v>40</v>
      </c>
      <c r="H106" s="10" t="s">
        <v>481</v>
      </c>
      <c r="I106" s="10" t="s">
        <v>41</v>
      </c>
    </row>
    <row r="107" spans="1:9" x14ac:dyDescent="0.15">
      <c r="A107" s="9">
        <v>106</v>
      </c>
      <c r="B107" s="10" t="s">
        <v>9</v>
      </c>
      <c r="C107" s="10" t="s">
        <v>126</v>
      </c>
      <c r="D107" s="10" t="s">
        <v>127</v>
      </c>
      <c r="E107" s="11" t="str">
        <f>+HYPERLINK("http://trademark.i-assist.jp/data/china/image_1899th/76964782.pdf", "76964782")</f>
        <v>76964782</v>
      </c>
      <c r="F107" s="10" t="s">
        <v>482</v>
      </c>
      <c r="G107" s="10" t="s">
        <v>40</v>
      </c>
      <c r="H107" s="10" t="s">
        <v>483</v>
      </c>
      <c r="I107" s="10" t="s">
        <v>41</v>
      </c>
    </row>
    <row r="108" spans="1:9" x14ac:dyDescent="0.15">
      <c r="A108" s="9">
        <v>107</v>
      </c>
      <c r="B108" s="10" t="s">
        <v>9</v>
      </c>
      <c r="C108" s="10" t="s">
        <v>126</v>
      </c>
      <c r="D108" s="10" t="s">
        <v>127</v>
      </c>
      <c r="E108" s="11" t="str">
        <f>+HYPERLINK("http://trademark.i-assist.jp/data/china/image_1899th/76966366.pdf", "76966366")</f>
        <v>76966366</v>
      </c>
      <c r="F108" s="10" t="s">
        <v>484</v>
      </c>
      <c r="G108" s="10" t="s">
        <v>40</v>
      </c>
      <c r="H108" s="10" t="s">
        <v>485</v>
      </c>
      <c r="I108" s="10" t="s">
        <v>41</v>
      </c>
    </row>
    <row r="109" spans="1:9" x14ac:dyDescent="0.15">
      <c r="A109" s="9">
        <v>108</v>
      </c>
      <c r="B109" s="10" t="s">
        <v>9</v>
      </c>
      <c r="C109" s="10" t="s">
        <v>126</v>
      </c>
      <c r="D109" s="10" t="s">
        <v>127</v>
      </c>
      <c r="E109" s="11" t="str">
        <f>+HYPERLINK("http://trademark.i-assist.jp/data/china/image_1899th/76968337.pdf", "76968337")</f>
        <v>76968337</v>
      </c>
      <c r="F109" s="10" t="s">
        <v>486</v>
      </c>
      <c r="G109" s="10" t="s">
        <v>40</v>
      </c>
      <c r="H109" s="10" t="s">
        <v>487</v>
      </c>
      <c r="I109" s="10" t="s">
        <v>41</v>
      </c>
    </row>
    <row r="110" spans="1:9" x14ac:dyDescent="0.15">
      <c r="A110" s="9">
        <v>109</v>
      </c>
      <c r="B110" s="10" t="s">
        <v>9</v>
      </c>
      <c r="C110" s="10" t="s">
        <v>126</v>
      </c>
      <c r="D110" s="10" t="s">
        <v>127</v>
      </c>
      <c r="E110" s="11" t="str">
        <f>+HYPERLINK("http://trademark.i-assist.jp/data/china/image_1899th/76968351.pdf", "76968351")</f>
        <v>76968351</v>
      </c>
      <c r="F110" s="10" t="s">
        <v>488</v>
      </c>
      <c r="G110" s="10" t="s">
        <v>40</v>
      </c>
      <c r="H110" s="10" t="s">
        <v>489</v>
      </c>
      <c r="I110" s="10" t="s">
        <v>41</v>
      </c>
    </row>
    <row r="111" spans="1:9" x14ac:dyDescent="0.15">
      <c r="A111" s="9">
        <v>110</v>
      </c>
      <c r="B111" s="10" t="s">
        <v>9</v>
      </c>
      <c r="C111" s="10" t="s">
        <v>126</v>
      </c>
      <c r="D111" s="10" t="s">
        <v>127</v>
      </c>
      <c r="E111" s="11" t="str">
        <f>+HYPERLINK("http://trademark.i-assist.jp/data/china/image_1899th/76968957.pdf", "76968957")</f>
        <v>76968957</v>
      </c>
      <c r="F111" s="10" t="s">
        <v>490</v>
      </c>
      <c r="G111" s="10" t="s">
        <v>491</v>
      </c>
      <c r="H111" s="10" t="s">
        <v>492</v>
      </c>
      <c r="I111" s="10" t="s">
        <v>41</v>
      </c>
    </row>
    <row r="112" spans="1:9" x14ac:dyDescent="0.15">
      <c r="A112" s="9">
        <v>111</v>
      </c>
      <c r="B112" s="10" t="s">
        <v>9</v>
      </c>
      <c r="C112" s="10" t="s">
        <v>126</v>
      </c>
      <c r="D112" s="10" t="s">
        <v>127</v>
      </c>
      <c r="E112" s="11" t="str">
        <f>+HYPERLINK("http://trademark.i-assist.jp/data/china/image_1899th/76981434.pdf", "76981434")</f>
        <v>76981434</v>
      </c>
      <c r="F112" s="10" t="s">
        <v>493</v>
      </c>
      <c r="G112" s="10" t="s">
        <v>494</v>
      </c>
      <c r="H112" s="10" t="s">
        <v>495</v>
      </c>
      <c r="I112" s="10" t="s">
        <v>42</v>
      </c>
    </row>
    <row r="113" spans="1:9" x14ac:dyDescent="0.15">
      <c r="A113" s="9">
        <v>112</v>
      </c>
      <c r="B113" s="10" t="s">
        <v>9</v>
      </c>
      <c r="C113" s="10" t="s">
        <v>126</v>
      </c>
      <c r="D113" s="10" t="s">
        <v>127</v>
      </c>
      <c r="E113" s="11" t="str">
        <f>+HYPERLINK("http://trademark.i-assist.jp/data/china/image_1899th/77036768.pdf", "77036768")</f>
        <v>77036768</v>
      </c>
      <c r="F113" s="10" t="s">
        <v>496</v>
      </c>
      <c r="G113" s="10" t="s">
        <v>497</v>
      </c>
      <c r="H113" s="10" t="s">
        <v>498</v>
      </c>
      <c r="I113" s="10" t="s">
        <v>43</v>
      </c>
    </row>
    <row r="114" spans="1:9" x14ac:dyDescent="0.15">
      <c r="A114" s="9">
        <v>113</v>
      </c>
      <c r="B114" s="10" t="s">
        <v>9</v>
      </c>
      <c r="C114" s="10" t="s">
        <v>126</v>
      </c>
      <c r="D114" s="10" t="s">
        <v>127</v>
      </c>
      <c r="E114" s="11" t="str">
        <f>+HYPERLINK("http://trademark.i-assist.jp/data/china/image_1899th/77080971.pdf", "77080971")</f>
        <v>77080971</v>
      </c>
      <c r="F114" s="10" t="s">
        <v>499</v>
      </c>
      <c r="G114" s="10" t="s">
        <v>500</v>
      </c>
      <c r="H114" s="10" t="s">
        <v>501</v>
      </c>
      <c r="I114" s="10" t="s">
        <v>44</v>
      </c>
    </row>
    <row r="115" spans="1:9" x14ac:dyDescent="0.15">
      <c r="A115" s="9">
        <v>114</v>
      </c>
      <c r="B115" s="10" t="s">
        <v>9</v>
      </c>
      <c r="C115" s="10" t="s">
        <v>126</v>
      </c>
      <c r="D115" s="10" t="s">
        <v>127</v>
      </c>
      <c r="E115" s="11" t="str">
        <f>+HYPERLINK("http://trademark.i-assist.jp/data/china/image_1899th/77101407.pdf", "77101407")</f>
        <v>77101407</v>
      </c>
      <c r="F115" s="10" t="s">
        <v>502</v>
      </c>
      <c r="G115" s="10" t="s">
        <v>503</v>
      </c>
      <c r="H115" s="10" t="s">
        <v>504</v>
      </c>
      <c r="I115" s="10" t="s">
        <v>45</v>
      </c>
    </row>
    <row r="116" spans="1:9" x14ac:dyDescent="0.15">
      <c r="A116" s="9">
        <v>115</v>
      </c>
      <c r="B116" s="10" t="s">
        <v>9</v>
      </c>
      <c r="C116" s="10" t="s">
        <v>126</v>
      </c>
      <c r="D116" s="10" t="s">
        <v>127</v>
      </c>
      <c r="E116" s="11" t="str">
        <f>+HYPERLINK("http://trademark.i-assist.jp/data/china/image_1899th/77125308.pdf", "77125308")</f>
        <v>77125308</v>
      </c>
      <c r="F116" s="10" t="s">
        <v>505</v>
      </c>
      <c r="G116" s="10" t="s">
        <v>506</v>
      </c>
      <c r="H116" s="10" t="s">
        <v>507</v>
      </c>
      <c r="I116" s="10" t="s">
        <v>46</v>
      </c>
    </row>
    <row r="117" spans="1:9" x14ac:dyDescent="0.15">
      <c r="A117" s="9">
        <v>116</v>
      </c>
      <c r="B117" s="10" t="s">
        <v>9</v>
      </c>
      <c r="C117" s="10" t="s">
        <v>126</v>
      </c>
      <c r="D117" s="10" t="s">
        <v>127</v>
      </c>
      <c r="E117" s="11" t="str">
        <f>+HYPERLINK("http://trademark.i-assist.jp/data/china/image_1899th/77154116.pdf", "77154116")</f>
        <v>77154116</v>
      </c>
      <c r="F117" s="10" t="s">
        <v>508</v>
      </c>
      <c r="G117" s="10" t="s">
        <v>509</v>
      </c>
      <c r="H117" s="10" t="s">
        <v>510</v>
      </c>
      <c r="I117" s="10" t="s">
        <v>47</v>
      </c>
    </row>
    <row r="118" spans="1:9" x14ac:dyDescent="0.15">
      <c r="A118" s="9">
        <v>117</v>
      </c>
      <c r="B118" s="10" t="s">
        <v>9</v>
      </c>
      <c r="C118" s="10" t="s">
        <v>126</v>
      </c>
      <c r="D118" s="10" t="s">
        <v>127</v>
      </c>
      <c r="E118" s="11" t="str">
        <f>+HYPERLINK("http://trademark.i-assist.jp/data/china/image_1899th/77160436.pdf", "77160436")</f>
        <v>77160436</v>
      </c>
      <c r="F118" s="10" t="s">
        <v>511</v>
      </c>
      <c r="G118" s="10" t="s">
        <v>509</v>
      </c>
      <c r="H118" s="10" t="s">
        <v>512</v>
      </c>
      <c r="I118" s="10" t="s">
        <v>47</v>
      </c>
    </row>
    <row r="119" spans="1:9" x14ac:dyDescent="0.15">
      <c r="A119" s="9">
        <v>118</v>
      </c>
      <c r="B119" s="10" t="s">
        <v>9</v>
      </c>
      <c r="C119" s="10" t="s">
        <v>126</v>
      </c>
      <c r="D119" s="10" t="s">
        <v>127</v>
      </c>
      <c r="E119" s="11" t="str">
        <f>+HYPERLINK("http://trademark.i-assist.jp/data/china/image_1899th/77212259.pdf", "77212259")</f>
        <v>77212259</v>
      </c>
      <c r="F119" s="10" t="s">
        <v>513</v>
      </c>
      <c r="G119" s="10" t="s">
        <v>514</v>
      </c>
      <c r="H119" s="10" t="s">
        <v>515</v>
      </c>
      <c r="I119" s="10" t="s">
        <v>49</v>
      </c>
    </row>
    <row r="120" spans="1:9" x14ac:dyDescent="0.15">
      <c r="A120" s="9">
        <v>119</v>
      </c>
      <c r="B120" s="10" t="s">
        <v>9</v>
      </c>
      <c r="C120" s="10" t="s">
        <v>126</v>
      </c>
      <c r="D120" s="10" t="s">
        <v>127</v>
      </c>
      <c r="E120" s="11" t="str">
        <f>+HYPERLINK("http://trademark.i-assist.jp/data/china/image_1899th/77225599.pdf", "77225599")</f>
        <v>77225599</v>
      </c>
      <c r="F120" s="10" t="s">
        <v>516</v>
      </c>
      <c r="G120" s="10" t="s">
        <v>517</v>
      </c>
      <c r="H120" s="10" t="s">
        <v>518</v>
      </c>
      <c r="I120" s="10" t="s">
        <v>49</v>
      </c>
    </row>
    <row r="121" spans="1:9" x14ac:dyDescent="0.15">
      <c r="A121" s="9">
        <v>120</v>
      </c>
      <c r="B121" s="10" t="s">
        <v>9</v>
      </c>
      <c r="C121" s="10" t="s">
        <v>126</v>
      </c>
      <c r="D121" s="10" t="s">
        <v>127</v>
      </c>
      <c r="E121" s="11" t="str">
        <f>+HYPERLINK("http://trademark.i-assist.jp/data/china/image_1899th/77237224.pdf", "77237224")</f>
        <v>77237224</v>
      </c>
      <c r="F121" s="10" t="s">
        <v>519</v>
      </c>
      <c r="G121" s="10" t="s">
        <v>520</v>
      </c>
      <c r="H121" s="10" t="s">
        <v>521</v>
      </c>
      <c r="I121" s="10" t="s">
        <v>522</v>
      </c>
    </row>
    <row r="122" spans="1:9" x14ac:dyDescent="0.15">
      <c r="A122" s="9">
        <v>121</v>
      </c>
      <c r="B122" s="10" t="s">
        <v>9</v>
      </c>
      <c r="C122" s="10" t="s">
        <v>126</v>
      </c>
      <c r="D122" s="10" t="s">
        <v>127</v>
      </c>
      <c r="E122" s="11" t="str">
        <f>+HYPERLINK("http://trademark.i-assist.jp/data/china/image_1899th/77270841.pdf", "77270841")</f>
        <v>77270841</v>
      </c>
      <c r="F122" s="10" t="s">
        <v>523</v>
      </c>
      <c r="G122" s="10" t="s">
        <v>50</v>
      </c>
      <c r="H122" s="10" t="s">
        <v>524</v>
      </c>
      <c r="I122" s="10" t="s">
        <v>51</v>
      </c>
    </row>
    <row r="123" spans="1:9" x14ac:dyDescent="0.15">
      <c r="A123" s="9">
        <v>122</v>
      </c>
      <c r="B123" s="10" t="s">
        <v>9</v>
      </c>
      <c r="C123" s="10" t="s">
        <v>126</v>
      </c>
      <c r="D123" s="10" t="s">
        <v>127</v>
      </c>
      <c r="E123" s="11" t="str">
        <f>+HYPERLINK("http://trademark.i-assist.jp/data/china/image_1899th/77271555.pdf", "77271555")</f>
        <v>77271555</v>
      </c>
      <c r="F123" s="10" t="s">
        <v>525</v>
      </c>
      <c r="G123" s="10" t="s">
        <v>526</v>
      </c>
      <c r="H123" s="10" t="s">
        <v>527</v>
      </c>
      <c r="I123" s="10" t="s">
        <v>51</v>
      </c>
    </row>
    <row r="124" spans="1:9" x14ac:dyDescent="0.15">
      <c r="A124" s="9">
        <v>123</v>
      </c>
      <c r="B124" s="10" t="s">
        <v>9</v>
      </c>
      <c r="C124" s="10" t="s">
        <v>126</v>
      </c>
      <c r="D124" s="10" t="s">
        <v>127</v>
      </c>
      <c r="E124" s="11" t="str">
        <f>+HYPERLINK("http://trademark.i-assist.jp/data/china/image_1899th/77272511.pdf", "77272511")</f>
        <v>77272511</v>
      </c>
      <c r="F124" s="10" t="s">
        <v>528</v>
      </c>
      <c r="G124" s="10" t="s">
        <v>529</v>
      </c>
      <c r="H124" s="10" t="s">
        <v>530</v>
      </c>
      <c r="I124" s="10" t="s">
        <v>51</v>
      </c>
    </row>
    <row r="125" spans="1:9" x14ac:dyDescent="0.15">
      <c r="A125" s="9">
        <v>124</v>
      </c>
      <c r="B125" s="10" t="s">
        <v>9</v>
      </c>
      <c r="C125" s="10" t="s">
        <v>126</v>
      </c>
      <c r="D125" s="10" t="s">
        <v>127</v>
      </c>
      <c r="E125" s="11" t="str">
        <f>+HYPERLINK("http://trademark.i-assist.jp/data/china/image_1899th/77282197.pdf", "77282197")</f>
        <v>77282197</v>
      </c>
      <c r="F125" s="10" t="s">
        <v>531</v>
      </c>
      <c r="G125" s="10" t="s">
        <v>532</v>
      </c>
      <c r="H125" s="10" t="s">
        <v>533</v>
      </c>
      <c r="I125" s="10" t="s">
        <v>51</v>
      </c>
    </row>
    <row r="126" spans="1:9" x14ac:dyDescent="0.15">
      <c r="A126" s="9">
        <v>125</v>
      </c>
      <c r="B126" s="10" t="s">
        <v>9</v>
      </c>
      <c r="C126" s="10" t="s">
        <v>126</v>
      </c>
      <c r="D126" s="10" t="s">
        <v>127</v>
      </c>
      <c r="E126" s="11" t="str">
        <f>+HYPERLINK("http://trademark.i-assist.jp/data/china/image_1899th/77337755.pdf", "77337755")</f>
        <v>77337755</v>
      </c>
      <c r="F126" s="10" t="s">
        <v>534</v>
      </c>
      <c r="G126" s="10" t="s">
        <v>535</v>
      </c>
      <c r="H126" s="10" t="s">
        <v>536</v>
      </c>
      <c r="I126" s="10" t="s">
        <v>537</v>
      </c>
    </row>
    <row r="127" spans="1:9" x14ac:dyDescent="0.15">
      <c r="A127" s="9">
        <v>126</v>
      </c>
      <c r="B127" s="10" t="s">
        <v>9</v>
      </c>
      <c r="C127" s="10" t="s">
        <v>126</v>
      </c>
      <c r="D127" s="10" t="s">
        <v>127</v>
      </c>
      <c r="E127" s="11" t="str">
        <f>+HYPERLINK("http://trademark.i-assist.jp/data/china/image_1899th/77359654.pdf", "77359654")</f>
        <v>77359654</v>
      </c>
      <c r="F127" s="10" t="s">
        <v>538</v>
      </c>
      <c r="G127" s="10" t="s">
        <v>539</v>
      </c>
      <c r="H127" s="10" t="s">
        <v>540</v>
      </c>
      <c r="I127" s="10" t="s">
        <v>52</v>
      </c>
    </row>
    <row r="128" spans="1:9" x14ac:dyDescent="0.15">
      <c r="A128" s="9">
        <v>127</v>
      </c>
      <c r="B128" s="10" t="s">
        <v>9</v>
      </c>
      <c r="C128" s="10" t="s">
        <v>126</v>
      </c>
      <c r="D128" s="10" t="s">
        <v>127</v>
      </c>
      <c r="E128" s="11" t="str">
        <f>+HYPERLINK("http://trademark.i-assist.jp/data/china/image_1899th/77360344.pdf", "77360344")</f>
        <v>77360344</v>
      </c>
      <c r="F128" s="10" t="s">
        <v>541</v>
      </c>
      <c r="G128" s="10" t="s">
        <v>542</v>
      </c>
      <c r="H128" s="10" t="s">
        <v>543</v>
      </c>
      <c r="I128" s="10" t="s">
        <v>52</v>
      </c>
    </row>
    <row r="129" spans="1:9" x14ac:dyDescent="0.15">
      <c r="A129" s="9">
        <v>128</v>
      </c>
      <c r="B129" s="10" t="s">
        <v>9</v>
      </c>
      <c r="C129" s="10" t="s">
        <v>126</v>
      </c>
      <c r="D129" s="10" t="s">
        <v>127</v>
      </c>
      <c r="E129" s="11" t="str">
        <f>+HYPERLINK("http://trademark.i-assist.jp/data/china/image_1899th/77402280.pdf", "77402280")</f>
        <v>77402280</v>
      </c>
      <c r="F129" s="10" t="s">
        <v>544</v>
      </c>
      <c r="G129" s="10" t="s">
        <v>545</v>
      </c>
      <c r="H129" s="10" t="s">
        <v>546</v>
      </c>
      <c r="I129" s="10" t="s">
        <v>547</v>
      </c>
    </row>
    <row r="130" spans="1:9" x14ac:dyDescent="0.15">
      <c r="A130" s="9">
        <v>129</v>
      </c>
      <c r="B130" s="10" t="s">
        <v>9</v>
      </c>
      <c r="C130" s="10" t="s">
        <v>126</v>
      </c>
      <c r="D130" s="10" t="s">
        <v>127</v>
      </c>
      <c r="E130" s="11" t="str">
        <f>+HYPERLINK("http://trademark.i-assist.jp/data/china/image_1899th/77413461.pdf", "77413461")</f>
        <v>77413461</v>
      </c>
      <c r="F130" s="10" t="s">
        <v>548</v>
      </c>
      <c r="G130" s="10" t="s">
        <v>549</v>
      </c>
      <c r="H130" s="10" t="s">
        <v>550</v>
      </c>
      <c r="I130" s="10" t="s">
        <v>547</v>
      </c>
    </row>
    <row r="131" spans="1:9" x14ac:dyDescent="0.15">
      <c r="A131" s="9">
        <v>130</v>
      </c>
      <c r="B131" s="10" t="s">
        <v>9</v>
      </c>
      <c r="C131" s="10" t="s">
        <v>126</v>
      </c>
      <c r="D131" s="10" t="s">
        <v>127</v>
      </c>
      <c r="E131" s="11" t="str">
        <f>+HYPERLINK("http://trademark.i-assist.jp/data/china/image_1899th/77421950.pdf", "77421950")</f>
        <v>77421950</v>
      </c>
      <c r="F131" s="10" t="s">
        <v>551</v>
      </c>
      <c r="G131" s="10" t="s">
        <v>552</v>
      </c>
      <c r="H131" s="10" t="s">
        <v>553</v>
      </c>
      <c r="I131" s="10" t="s">
        <v>554</v>
      </c>
    </row>
    <row r="132" spans="1:9" x14ac:dyDescent="0.15">
      <c r="A132" s="9">
        <v>131</v>
      </c>
      <c r="B132" s="10" t="s">
        <v>9</v>
      </c>
      <c r="C132" s="10" t="s">
        <v>126</v>
      </c>
      <c r="D132" s="10" t="s">
        <v>127</v>
      </c>
      <c r="E132" s="11" t="str">
        <f>+HYPERLINK("http://trademark.i-assist.jp/data/china/image_1899th/77429573.pdf", "77429573")</f>
        <v>77429573</v>
      </c>
      <c r="F132" s="10" t="s">
        <v>555</v>
      </c>
      <c r="G132" s="10" t="s">
        <v>556</v>
      </c>
      <c r="H132" s="10" t="s">
        <v>557</v>
      </c>
      <c r="I132" s="10" t="s">
        <v>554</v>
      </c>
    </row>
    <row r="133" spans="1:9" x14ac:dyDescent="0.15">
      <c r="A133" s="9">
        <v>132</v>
      </c>
      <c r="B133" s="10" t="s">
        <v>9</v>
      </c>
      <c r="C133" s="10" t="s">
        <v>126</v>
      </c>
      <c r="D133" s="10" t="s">
        <v>127</v>
      </c>
      <c r="E133" s="11" t="str">
        <f>+HYPERLINK("http://trademark.i-assist.jp/data/china/image_1899th/77447701.pdf", "77447701")</f>
        <v>77447701</v>
      </c>
      <c r="F133" s="10" t="s">
        <v>558</v>
      </c>
      <c r="G133" s="10" t="s">
        <v>559</v>
      </c>
      <c r="H133" s="10" t="s">
        <v>560</v>
      </c>
      <c r="I133" s="10" t="s">
        <v>53</v>
      </c>
    </row>
    <row r="134" spans="1:9" x14ac:dyDescent="0.15">
      <c r="A134" s="9">
        <v>133</v>
      </c>
      <c r="B134" s="10" t="s">
        <v>9</v>
      </c>
      <c r="C134" s="10" t="s">
        <v>126</v>
      </c>
      <c r="D134" s="10" t="s">
        <v>127</v>
      </c>
      <c r="E134" s="11" t="str">
        <f>+HYPERLINK("http://trademark.i-assist.jp/data/china/image_1899th/77596389.pdf", "77596389")</f>
        <v>77596389</v>
      </c>
      <c r="F134" s="10" t="s">
        <v>561</v>
      </c>
      <c r="G134" s="10" t="s">
        <v>562</v>
      </c>
      <c r="H134" s="10" t="s">
        <v>563</v>
      </c>
      <c r="I134" s="10" t="s">
        <v>54</v>
      </c>
    </row>
    <row r="135" spans="1:9" x14ac:dyDescent="0.15">
      <c r="A135" s="9">
        <v>134</v>
      </c>
      <c r="B135" s="10" t="s">
        <v>9</v>
      </c>
      <c r="C135" s="10" t="s">
        <v>126</v>
      </c>
      <c r="D135" s="10" t="s">
        <v>127</v>
      </c>
      <c r="E135" s="11" t="str">
        <f>+HYPERLINK("http://trademark.i-assist.jp/data/china/image_1899th/77626297.pdf", "77626297")</f>
        <v>77626297</v>
      </c>
      <c r="F135" s="10" t="s">
        <v>564</v>
      </c>
      <c r="G135" s="10" t="s">
        <v>565</v>
      </c>
      <c r="H135" s="10" t="s">
        <v>566</v>
      </c>
      <c r="I135" s="10" t="s">
        <v>55</v>
      </c>
    </row>
    <row r="136" spans="1:9" x14ac:dyDescent="0.15">
      <c r="A136" s="9">
        <v>135</v>
      </c>
      <c r="B136" s="10" t="s">
        <v>9</v>
      </c>
      <c r="C136" s="10" t="s">
        <v>126</v>
      </c>
      <c r="D136" s="10" t="s">
        <v>127</v>
      </c>
      <c r="E136" s="11" t="str">
        <f>+HYPERLINK("http://trademark.i-assist.jp/data/china/image_1899th/77637149.pdf", "77637149")</f>
        <v>77637149</v>
      </c>
      <c r="F136" s="10" t="s">
        <v>567</v>
      </c>
      <c r="G136" s="10" t="s">
        <v>568</v>
      </c>
      <c r="H136" s="10" t="s">
        <v>569</v>
      </c>
      <c r="I136" s="10" t="s">
        <v>56</v>
      </c>
    </row>
    <row r="137" spans="1:9" x14ac:dyDescent="0.15">
      <c r="A137" s="9">
        <v>136</v>
      </c>
      <c r="B137" s="10" t="s">
        <v>9</v>
      </c>
      <c r="C137" s="10" t="s">
        <v>126</v>
      </c>
      <c r="D137" s="10" t="s">
        <v>127</v>
      </c>
      <c r="E137" s="11" t="str">
        <f>+HYPERLINK("http://trademark.i-assist.jp/data/china/image_1899th/77641369.pdf", "77641369")</f>
        <v>77641369</v>
      </c>
      <c r="F137" s="10" t="s">
        <v>570</v>
      </c>
      <c r="G137" s="10" t="s">
        <v>571</v>
      </c>
      <c r="H137" s="10" t="s">
        <v>572</v>
      </c>
      <c r="I137" s="10" t="s">
        <v>56</v>
      </c>
    </row>
    <row r="138" spans="1:9" x14ac:dyDescent="0.15">
      <c r="A138" s="9">
        <v>137</v>
      </c>
      <c r="B138" s="10" t="s">
        <v>9</v>
      </c>
      <c r="C138" s="10" t="s">
        <v>126</v>
      </c>
      <c r="D138" s="10" t="s">
        <v>127</v>
      </c>
      <c r="E138" s="11" t="str">
        <f>+HYPERLINK("http://trademark.i-assist.jp/data/china/image_1899th/77656549.pdf", "77656549")</f>
        <v>77656549</v>
      </c>
      <c r="F138" s="10" t="s">
        <v>573</v>
      </c>
      <c r="G138" s="10" t="s">
        <v>574</v>
      </c>
      <c r="H138" s="10" t="s">
        <v>575</v>
      </c>
      <c r="I138" s="10" t="s">
        <v>56</v>
      </c>
    </row>
    <row r="139" spans="1:9" x14ac:dyDescent="0.15">
      <c r="A139" s="9">
        <v>138</v>
      </c>
      <c r="B139" s="10" t="s">
        <v>9</v>
      </c>
      <c r="C139" s="10" t="s">
        <v>126</v>
      </c>
      <c r="D139" s="10" t="s">
        <v>127</v>
      </c>
      <c r="E139" s="11" t="str">
        <f>+HYPERLINK("http://trademark.i-assist.jp/data/china/image_1899th/77657615.pdf", "77657615")</f>
        <v>77657615</v>
      </c>
      <c r="F139" s="10" t="s">
        <v>576</v>
      </c>
      <c r="G139" s="10" t="s">
        <v>577</v>
      </c>
      <c r="H139" s="10" t="s">
        <v>578</v>
      </c>
      <c r="I139" s="10" t="s">
        <v>56</v>
      </c>
    </row>
    <row r="140" spans="1:9" x14ac:dyDescent="0.15">
      <c r="A140" s="9">
        <v>139</v>
      </c>
      <c r="B140" s="10" t="s">
        <v>9</v>
      </c>
      <c r="C140" s="10" t="s">
        <v>126</v>
      </c>
      <c r="D140" s="10" t="s">
        <v>127</v>
      </c>
      <c r="E140" s="11" t="str">
        <f>+HYPERLINK("http://trademark.i-assist.jp/data/china/image_1899th/77669006.pdf", "77669006")</f>
        <v>77669006</v>
      </c>
      <c r="F140" s="10" t="s">
        <v>579</v>
      </c>
      <c r="G140" s="10" t="s">
        <v>580</v>
      </c>
      <c r="H140" s="10" t="s">
        <v>581</v>
      </c>
      <c r="I140" s="10" t="s">
        <v>582</v>
      </c>
    </row>
    <row r="141" spans="1:9" x14ac:dyDescent="0.15">
      <c r="A141" s="9">
        <v>140</v>
      </c>
      <c r="B141" s="10" t="s">
        <v>9</v>
      </c>
      <c r="C141" s="10" t="s">
        <v>126</v>
      </c>
      <c r="D141" s="10" t="s">
        <v>127</v>
      </c>
      <c r="E141" s="11" t="str">
        <f>+HYPERLINK("http://trademark.i-assist.jp/data/china/image_1899th/77693371.pdf", "77693371")</f>
        <v>77693371</v>
      </c>
      <c r="F141" s="10" t="s">
        <v>583</v>
      </c>
      <c r="G141" s="10" t="s">
        <v>584</v>
      </c>
      <c r="H141" s="10" t="s">
        <v>585</v>
      </c>
      <c r="I141" s="10" t="s">
        <v>57</v>
      </c>
    </row>
    <row r="142" spans="1:9" x14ac:dyDescent="0.15">
      <c r="A142" s="9">
        <v>141</v>
      </c>
      <c r="B142" s="10" t="s">
        <v>9</v>
      </c>
      <c r="C142" s="10" t="s">
        <v>126</v>
      </c>
      <c r="D142" s="10" t="s">
        <v>127</v>
      </c>
      <c r="E142" s="11" t="str">
        <f>+HYPERLINK("http://trademark.i-assist.jp/data/china/image_1899th/77714881.pdf", "77714881")</f>
        <v>77714881</v>
      </c>
      <c r="F142" s="10" t="s">
        <v>586</v>
      </c>
      <c r="G142" s="10" t="s">
        <v>587</v>
      </c>
      <c r="H142" s="10" t="s">
        <v>588</v>
      </c>
      <c r="I142" s="10" t="s">
        <v>58</v>
      </c>
    </row>
    <row r="143" spans="1:9" x14ac:dyDescent="0.15">
      <c r="A143" s="9">
        <v>142</v>
      </c>
      <c r="B143" s="10" t="s">
        <v>9</v>
      </c>
      <c r="C143" s="10" t="s">
        <v>126</v>
      </c>
      <c r="D143" s="10" t="s">
        <v>127</v>
      </c>
      <c r="E143" s="11" t="str">
        <f>+HYPERLINK("http://trademark.i-assist.jp/data/china/image_1899th/77758154.pdf", "77758154")</f>
        <v>77758154</v>
      </c>
      <c r="F143" s="10" t="s">
        <v>589</v>
      </c>
      <c r="G143" s="10" t="s">
        <v>590</v>
      </c>
      <c r="H143" s="10" t="s">
        <v>591</v>
      </c>
      <c r="I143" s="10" t="s">
        <v>59</v>
      </c>
    </row>
    <row r="144" spans="1:9" x14ac:dyDescent="0.15">
      <c r="A144" s="9">
        <v>143</v>
      </c>
      <c r="B144" s="10" t="s">
        <v>9</v>
      </c>
      <c r="C144" s="10" t="s">
        <v>126</v>
      </c>
      <c r="D144" s="10" t="s">
        <v>127</v>
      </c>
      <c r="E144" s="11" t="str">
        <f>+HYPERLINK("http://trademark.i-assist.jp/data/china/image_1899th/77759173.pdf", "77759173")</f>
        <v>77759173</v>
      </c>
      <c r="F144" s="10" t="s">
        <v>592</v>
      </c>
      <c r="G144" s="10" t="s">
        <v>593</v>
      </c>
      <c r="H144" s="10" t="s">
        <v>594</v>
      </c>
      <c r="I144" s="10" t="s">
        <v>59</v>
      </c>
    </row>
    <row r="145" spans="1:9" x14ac:dyDescent="0.15">
      <c r="A145" s="9">
        <v>144</v>
      </c>
      <c r="B145" s="10" t="s">
        <v>9</v>
      </c>
      <c r="C145" s="10" t="s">
        <v>126</v>
      </c>
      <c r="D145" s="10" t="s">
        <v>127</v>
      </c>
      <c r="E145" s="11" t="str">
        <f>+HYPERLINK("http://trademark.i-assist.jp/data/china/image_1899th/77772451.pdf", "77772451")</f>
        <v>77772451</v>
      </c>
      <c r="F145" s="10" t="s">
        <v>595</v>
      </c>
      <c r="G145" s="10" t="s">
        <v>596</v>
      </c>
      <c r="H145" s="10" t="s">
        <v>597</v>
      </c>
      <c r="I145" s="10" t="s">
        <v>60</v>
      </c>
    </row>
    <row r="146" spans="1:9" x14ac:dyDescent="0.15">
      <c r="A146" s="9">
        <v>145</v>
      </c>
      <c r="B146" s="10" t="s">
        <v>9</v>
      </c>
      <c r="C146" s="10" t="s">
        <v>126</v>
      </c>
      <c r="D146" s="10" t="s">
        <v>127</v>
      </c>
      <c r="E146" s="11" t="str">
        <f>+HYPERLINK("http://trademark.i-assist.jp/data/china/image_1899th/77781285.pdf", "77781285")</f>
        <v>77781285</v>
      </c>
      <c r="F146" s="10" t="s">
        <v>15</v>
      </c>
      <c r="G146" s="10" t="s">
        <v>598</v>
      </c>
      <c r="H146" s="10" t="s">
        <v>599</v>
      </c>
      <c r="I146" s="10" t="s">
        <v>61</v>
      </c>
    </row>
    <row r="147" spans="1:9" x14ac:dyDescent="0.15">
      <c r="A147" s="9">
        <v>146</v>
      </c>
      <c r="B147" s="10" t="s">
        <v>9</v>
      </c>
      <c r="C147" s="10" t="s">
        <v>126</v>
      </c>
      <c r="D147" s="10" t="s">
        <v>127</v>
      </c>
      <c r="E147" s="11" t="str">
        <f>+HYPERLINK("http://trademark.i-assist.jp/data/china/image_1899th/77786281.pdf", "77786281")</f>
        <v>77786281</v>
      </c>
      <c r="F147" s="10" t="s">
        <v>600</v>
      </c>
      <c r="G147" s="10" t="s">
        <v>601</v>
      </c>
      <c r="H147" s="10" t="s">
        <v>602</v>
      </c>
      <c r="I147" s="10" t="s">
        <v>61</v>
      </c>
    </row>
    <row r="148" spans="1:9" x14ac:dyDescent="0.15">
      <c r="A148" s="9">
        <v>147</v>
      </c>
      <c r="B148" s="10" t="s">
        <v>9</v>
      </c>
      <c r="C148" s="10" t="s">
        <v>126</v>
      </c>
      <c r="D148" s="10" t="s">
        <v>127</v>
      </c>
      <c r="E148" s="11" t="str">
        <f>+HYPERLINK("http://trademark.i-assist.jp/data/china/image_1899th/77796305.pdf", "77796305")</f>
        <v>77796305</v>
      </c>
      <c r="F148" s="10" t="s">
        <v>603</v>
      </c>
      <c r="G148" s="10" t="s">
        <v>604</v>
      </c>
      <c r="H148" s="10" t="s">
        <v>605</v>
      </c>
      <c r="I148" s="10" t="s">
        <v>61</v>
      </c>
    </row>
    <row r="149" spans="1:9" x14ac:dyDescent="0.15">
      <c r="A149" s="9">
        <v>148</v>
      </c>
      <c r="B149" s="10" t="s">
        <v>9</v>
      </c>
      <c r="C149" s="10" t="s">
        <v>126</v>
      </c>
      <c r="D149" s="10" t="s">
        <v>127</v>
      </c>
      <c r="E149" s="11" t="str">
        <f>+HYPERLINK("http://trademark.i-assist.jp/data/china/image_1899th/77801534.pdf", "77801534")</f>
        <v>77801534</v>
      </c>
      <c r="F149" s="10" t="s">
        <v>606</v>
      </c>
      <c r="G149" s="10" t="s">
        <v>607</v>
      </c>
      <c r="H149" s="10" t="s">
        <v>608</v>
      </c>
      <c r="I149" s="10" t="s">
        <v>62</v>
      </c>
    </row>
    <row r="150" spans="1:9" x14ac:dyDescent="0.15">
      <c r="A150" s="9">
        <v>149</v>
      </c>
      <c r="B150" s="10" t="s">
        <v>9</v>
      </c>
      <c r="C150" s="10" t="s">
        <v>126</v>
      </c>
      <c r="D150" s="10" t="s">
        <v>127</v>
      </c>
      <c r="E150" s="11" t="str">
        <f>+HYPERLINK("http://trademark.i-assist.jp/data/china/image_1899th/77807965.pdf", "77807965")</f>
        <v>77807965</v>
      </c>
      <c r="F150" s="10" t="s">
        <v>609</v>
      </c>
      <c r="G150" s="10" t="s">
        <v>610</v>
      </c>
      <c r="H150" s="10" t="s">
        <v>611</v>
      </c>
      <c r="I150" s="10" t="s">
        <v>62</v>
      </c>
    </row>
    <row r="151" spans="1:9" x14ac:dyDescent="0.15">
      <c r="A151" s="9">
        <v>150</v>
      </c>
      <c r="B151" s="10" t="s">
        <v>9</v>
      </c>
      <c r="C151" s="10" t="s">
        <v>126</v>
      </c>
      <c r="D151" s="10" t="s">
        <v>127</v>
      </c>
      <c r="E151" s="11" t="str">
        <f>+HYPERLINK("http://trademark.i-assist.jp/data/china/image_1899th/77832025.pdf", "77832025")</f>
        <v>77832025</v>
      </c>
      <c r="F151" s="10" t="s">
        <v>15</v>
      </c>
      <c r="G151" s="10" t="s">
        <v>612</v>
      </c>
      <c r="H151" s="10" t="s">
        <v>613</v>
      </c>
      <c r="I151" s="10" t="s">
        <v>63</v>
      </c>
    </row>
    <row r="152" spans="1:9" x14ac:dyDescent="0.15">
      <c r="A152" s="9">
        <v>151</v>
      </c>
      <c r="B152" s="10" t="s">
        <v>9</v>
      </c>
      <c r="C152" s="10" t="s">
        <v>126</v>
      </c>
      <c r="D152" s="10" t="s">
        <v>127</v>
      </c>
      <c r="E152" s="11" t="str">
        <f>+HYPERLINK("http://trademark.i-assist.jp/data/china/image_1899th/77848708.pdf", "77848708")</f>
        <v>77848708</v>
      </c>
      <c r="F152" s="10" t="s">
        <v>614</v>
      </c>
      <c r="G152" s="10" t="s">
        <v>615</v>
      </c>
      <c r="H152" s="10" t="s">
        <v>616</v>
      </c>
      <c r="I152" s="10" t="s">
        <v>63</v>
      </c>
    </row>
    <row r="153" spans="1:9" x14ac:dyDescent="0.15">
      <c r="A153" s="9">
        <v>152</v>
      </c>
      <c r="B153" s="10" t="s">
        <v>9</v>
      </c>
      <c r="C153" s="10" t="s">
        <v>126</v>
      </c>
      <c r="D153" s="10" t="s">
        <v>127</v>
      </c>
      <c r="E153" s="11" t="str">
        <f>+HYPERLINK("http://trademark.i-assist.jp/data/china/image_1899th/77860868.pdf", "77860868")</f>
        <v>77860868</v>
      </c>
      <c r="F153" s="10" t="s">
        <v>617</v>
      </c>
      <c r="G153" s="10" t="s">
        <v>618</v>
      </c>
      <c r="H153" s="10" t="s">
        <v>619</v>
      </c>
      <c r="I153" s="10" t="s">
        <v>63</v>
      </c>
    </row>
    <row r="154" spans="1:9" x14ac:dyDescent="0.15">
      <c r="A154" s="9">
        <v>153</v>
      </c>
      <c r="B154" s="10" t="s">
        <v>9</v>
      </c>
      <c r="C154" s="10" t="s">
        <v>126</v>
      </c>
      <c r="D154" s="10" t="s">
        <v>127</v>
      </c>
      <c r="E154" s="11" t="str">
        <f>+HYPERLINK("http://trademark.i-assist.jp/data/china/image_1899th/77880814.pdf", "77880814")</f>
        <v>77880814</v>
      </c>
      <c r="F154" s="10" t="s">
        <v>620</v>
      </c>
      <c r="G154" s="10" t="s">
        <v>621</v>
      </c>
      <c r="H154" s="10" t="s">
        <v>622</v>
      </c>
      <c r="I154" s="10" t="s">
        <v>64</v>
      </c>
    </row>
    <row r="155" spans="1:9" x14ac:dyDescent="0.15">
      <c r="A155" s="9">
        <v>154</v>
      </c>
      <c r="B155" s="10" t="s">
        <v>9</v>
      </c>
      <c r="C155" s="10" t="s">
        <v>126</v>
      </c>
      <c r="D155" s="10" t="s">
        <v>127</v>
      </c>
      <c r="E155" s="11" t="str">
        <f>+HYPERLINK("http://trademark.i-assist.jp/data/china/image_1899th/77893248.pdf", "77893248")</f>
        <v>77893248</v>
      </c>
      <c r="F155" s="10" t="s">
        <v>623</v>
      </c>
      <c r="G155" s="10" t="s">
        <v>624</v>
      </c>
      <c r="H155" s="10" t="s">
        <v>625</v>
      </c>
      <c r="I155" s="10" t="s">
        <v>65</v>
      </c>
    </row>
    <row r="156" spans="1:9" x14ac:dyDescent="0.15">
      <c r="A156" s="9">
        <v>155</v>
      </c>
      <c r="B156" s="10" t="s">
        <v>9</v>
      </c>
      <c r="C156" s="10" t="s">
        <v>126</v>
      </c>
      <c r="D156" s="10" t="s">
        <v>127</v>
      </c>
      <c r="E156" s="11" t="str">
        <f>+HYPERLINK("http://trademark.i-assist.jp/data/china/image_1899th/77952368.pdf", "77952368")</f>
        <v>77952368</v>
      </c>
      <c r="F156" s="10" t="s">
        <v>626</v>
      </c>
      <c r="G156" s="10" t="s">
        <v>627</v>
      </c>
      <c r="H156" s="10" t="s">
        <v>628</v>
      </c>
      <c r="I156" s="10" t="s">
        <v>66</v>
      </c>
    </row>
    <row r="157" spans="1:9" x14ac:dyDescent="0.15">
      <c r="A157" s="9">
        <v>156</v>
      </c>
      <c r="B157" s="10" t="s">
        <v>9</v>
      </c>
      <c r="C157" s="10" t="s">
        <v>126</v>
      </c>
      <c r="D157" s="10" t="s">
        <v>127</v>
      </c>
      <c r="E157" s="11" t="str">
        <f>+HYPERLINK("http://trademark.i-assist.jp/data/china/image_1899th/77960780.pdf", "77960780")</f>
        <v>77960780</v>
      </c>
      <c r="F157" s="10" t="s">
        <v>629</v>
      </c>
      <c r="G157" s="10" t="s">
        <v>630</v>
      </c>
      <c r="H157" s="10" t="s">
        <v>631</v>
      </c>
      <c r="I157" s="10" t="s">
        <v>67</v>
      </c>
    </row>
    <row r="158" spans="1:9" x14ac:dyDescent="0.15">
      <c r="A158" s="9">
        <v>157</v>
      </c>
      <c r="B158" s="10" t="s">
        <v>9</v>
      </c>
      <c r="C158" s="10" t="s">
        <v>126</v>
      </c>
      <c r="D158" s="10" t="s">
        <v>127</v>
      </c>
      <c r="E158" s="11" t="str">
        <f>+HYPERLINK("http://trademark.i-assist.jp/data/china/image_1899th/77960796.pdf", "77960796")</f>
        <v>77960796</v>
      </c>
      <c r="F158" s="10" t="s">
        <v>632</v>
      </c>
      <c r="G158" s="10" t="s">
        <v>633</v>
      </c>
      <c r="H158" s="10" t="s">
        <v>634</v>
      </c>
      <c r="I158" s="10" t="s">
        <v>67</v>
      </c>
    </row>
    <row r="159" spans="1:9" x14ac:dyDescent="0.15">
      <c r="A159" s="9">
        <v>158</v>
      </c>
      <c r="B159" s="10" t="s">
        <v>9</v>
      </c>
      <c r="C159" s="10" t="s">
        <v>126</v>
      </c>
      <c r="D159" s="10" t="s">
        <v>127</v>
      </c>
      <c r="E159" s="11" t="str">
        <f>+HYPERLINK("http://trademark.i-assist.jp/data/china/image_1899th/77973637.pdf", "77973637")</f>
        <v>77973637</v>
      </c>
      <c r="F159" s="10" t="s">
        <v>635</v>
      </c>
      <c r="G159" s="10" t="s">
        <v>636</v>
      </c>
      <c r="H159" s="10" t="s">
        <v>637</v>
      </c>
      <c r="I159" s="10" t="s">
        <v>67</v>
      </c>
    </row>
    <row r="160" spans="1:9" x14ac:dyDescent="0.15">
      <c r="A160" s="9">
        <v>159</v>
      </c>
      <c r="B160" s="10" t="s">
        <v>9</v>
      </c>
      <c r="C160" s="10" t="s">
        <v>126</v>
      </c>
      <c r="D160" s="10" t="s">
        <v>127</v>
      </c>
      <c r="E160" s="11" t="str">
        <f>+HYPERLINK("http://trademark.i-assist.jp/data/china/image_1899th/77995776.pdf", "77995776")</f>
        <v>77995776</v>
      </c>
      <c r="F160" s="10" t="s">
        <v>638</v>
      </c>
      <c r="G160" s="10" t="s">
        <v>639</v>
      </c>
      <c r="H160" s="10" t="s">
        <v>640</v>
      </c>
      <c r="I160" s="10" t="s">
        <v>68</v>
      </c>
    </row>
    <row r="161" spans="1:9" x14ac:dyDescent="0.15">
      <c r="A161" s="9">
        <v>160</v>
      </c>
      <c r="B161" s="10" t="s">
        <v>9</v>
      </c>
      <c r="C161" s="10" t="s">
        <v>126</v>
      </c>
      <c r="D161" s="10" t="s">
        <v>127</v>
      </c>
      <c r="E161" s="11" t="str">
        <f>+HYPERLINK("http://trademark.i-assist.jp/data/china/image_1899th/77996948.pdf", "77996948")</f>
        <v>77996948</v>
      </c>
      <c r="F161" s="10" t="s">
        <v>641</v>
      </c>
      <c r="G161" s="10" t="s">
        <v>642</v>
      </c>
      <c r="H161" s="10" t="s">
        <v>643</v>
      </c>
      <c r="I161" s="10" t="s">
        <v>68</v>
      </c>
    </row>
    <row r="162" spans="1:9" x14ac:dyDescent="0.15">
      <c r="A162" s="9">
        <v>161</v>
      </c>
      <c r="B162" s="10" t="s">
        <v>9</v>
      </c>
      <c r="C162" s="10" t="s">
        <v>126</v>
      </c>
      <c r="D162" s="10" t="s">
        <v>127</v>
      </c>
      <c r="E162" s="11" t="str">
        <f>+HYPERLINK("http://trademark.i-assist.jp/data/china/image_1899th/78025146.pdf", "78025146")</f>
        <v>78025146</v>
      </c>
      <c r="F162" s="10" t="s">
        <v>644</v>
      </c>
      <c r="G162" s="10" t="s">
        <v>645</v>
      </c>
      <c r="H162" s="10" t="s">
        <v>646</v>
      </c>
      <c r="I162" s="10" t="s">
        <v>69</v>
      </c>
    </row>
    <row r="163" spans="1:9" x14ac:dyDescent="0.15">
      <c r="A163" s="9">
        <v>162</v>
      </c>
      <c r="B163" s="10" t="s">
        <v>9</v>
      </c>
      <c r="C163" s="10" t="s">
        <v>126</v>
      </c>
      <c r="D163" s="10" t="s">
        <v>127</v>
      </c>
      <c r="E163" s="11" t="str">
        <f>+HYPERLINK("http://trademark.i-assist.jp/data/china/image_1899th/78050407.pdf", "78050407")</f>
        <v>78050407</v>
      </c>
      <c r="F163" s="10" t="s">
        <v>647</v>
      </c>
      <c r="G163" s="10" t="s">
        <v>648</v>
      </c>
      <c r="H163" s="10" t="s">
        <v>649</v>
      </c>
      <c r="I163" s="10" t="s">
        <v>70</v>
      </c>
    </row>
    <row r="164" spans="1:9" x14ac:dyDescent="0.15">
      <c r="A164" s="9">
        <v>163</v>
      </c>
      <c r="B164" s="10" t="s">
        <v>9</v>
      </c>
      <c r="C164" s="10" t="s">
        <v>126</v>
      </c>
      <c r="D164" s="10" t="s">
        <v>127</v>
      </c>
      <c r="E164" s="11" t="str">
        <f>+HYPERLINK("http://trademark.i-assist.jp/data/china/image_1899th/78057859.pdf", "78057859")</f>
        <v>78057859</v>
      </c>
      <c r="F164" s="10" t="s">
        <v>650</v>
      </c>
      <c r="G164" s="10" t="s">
        <v>651</v>
      </c>
      <c r="H164" s="10" t="s">
        <v>652</v>
      </c>
      <c r="I164" s="10" t="s">
        <v>70</v>
      </c>
    </row>
    <row r="165" spans="1:9" x14ac:dyDescent="0.15">
      <c r="A165" s="9">
        <v>164</v>
      </c>
      <c r="B165" s="10" t="s">
        <v>9</v>
      </c>
      <c r="C165" s="10" t="s">
        <v>126</v>
      </c>
      <c r="D165" s="10" t="s">
        <v>127</v>
      </c>
      <c r="E165" s="11" t="str">
        <f>+HYPERLINK("http://trademark.i-assist.jp/data/china/image_1899th/78060607.pdf", "78060607")</f>
        <v>78060607</v>
      </c>
      <c r="F165" s="10" t="s">
        <v>653</v>
      </c>
      <c r="G165" s="10" t="s">
        <v>654</v>
      </c>
      <c r="H165" s="10" t="s">
        <v>655</v>
      </c>
      <c r="I165" s="10" t="s">
        <v>70</v>
      </c>
    </row>
    <row r="166" spans="1:9" x14ac:dyDescent="0.15">
      <c r="A166" s="9">
        <v>165</v>
      </c>
      <c r="B166" s="10" t="s">
        <v>9</v>
      </c>
      <c r="C166" s="10" t="s">
        <v>126</v>
      </c>
      <c r="D166" s="10" t="s">
        <v>127</v>
      </c>
      <c r="E166" s="11" t="str">
        <f>+HYPERLINK("http://trademark.i-assist.jp/data/china/image_1899th/78063406.pdf", "78063406")</f>
        <v>78063406</v>
      </c>
      <c r="F166" s="10" t="s">
        <v>656</v>
      </c>
      <c r="G166" s="10" t="s">
        <v>657</v>
      </c>
      <c r="H166" s="10" t="s">
        <v>658</v>
      </c>
      <c r="I166" s="10" t="s">
        <v>70</v>
      </c>
    </row>
    <row r="167" spans="1:9" x14ac:dyDescent="0.15">
      <c r="A167" s="9">
        <v>166</v>
      </c>
      <c r="B167" s="10" t="s">
        <v>9</v>
      </c>
      <c r="C167" s="10" t="s">
        <v>126</v>
      </c>
      <c r="D167" s="10" t="s">
        <v>127</v>
      </c>
      <c r="E167" s="11" t="str">
        <f>+HYPERLINK("http://trademark.i-assist.jp/data/china/image_1899th/78069123.pdf", "78069123")</f>
        <v>78069123</v>
      </c>
      <c r="F167" s="10" t="s">
        <v>659</v>
      </c>
      <c r="G167" s="10" t="s">
        <v>660</v>
      </c>
      <c r="H167" s="10" t="s">
        <v>661</v>
      </c>
      <c r="I167" s="10" t="s">
        <v>70</v>
      </c>
    </row>
    <row r="168" spans="1:9" x14ac:dyDescent="0.15">
      <c r="A168" s="9">
        <v>167</v>
      </c>
      <c r="B168" s="10" t="s">
        <v>9</v>
      </c>
      <c r="C168" s="10" t="s">
        <v>126</v>
      </c>
      <c r="D168" s="10" t="s">
        <v>127</v>
      </c>
      <c r="E168" s="11" t="str">
        <f>+HYPERLINK("http://trademark.i-assist.jp/data/china/image_1899th/78146272.pdf", "78146272")</f>
        <v>78146272</v>
      </c>
      <c r="F168" s="10" t="s">
        <v>662</v>
      </c>
      <c r="G168" s="10" t="s">
        <v>97</v>
      </c>
      <c r="H168" s="10" t="s">
        <v>663</v>
      </c>
      <c r="I168" s="10" t="s">
        <v>71</v>
      </c>
    </row>
    <row r="169" spans="1:9" x14ac:dyDescent="0.15">
      <c r="A169" s="9">
        <v>168</v>
      </c>
      <c r="B169" s="10" t="s">
        <v>9</v>
      </c>
      <c r="C169" s="10" t="s">
        <v>126</v>
      </c>
      <c r="D169" s="10" t="s">
        <v>127</v>
      </c>
      <c r="E169" s="11" t="str">
        <f>+HYPERLINK("http://trademark.i-assist.jp/data/china/image_1899th/78148780.pdf", "78148780")</f>
        <v>78148780</v>
      </c>
      <c r="F169" s="10" t="s">
        <v>664</v>
      </c>
      <c r="G169" s="10" t="s">
        <v>92</v>
      </c>
      <c r="H169" s="10" t="s">
        <v>665</v>
      </c>
      <c r="I169" s="10" t="s">
        <v>71</v>
      </c>
    </row>
    <row r="170" spans="1:9" x14ac:dyDescent="0.15">
      <c r="A170" s="9">
        <v>169</v>
      </c>
      <c r="B170" s="10" t="s">
        <v>9</v>
      </c>
      <c r="C170" s="10" t="s">
        <v>126</v>
      </c>
      <c r="D170" s="10" t="s">
        <v>127</v>
      </c>
      <c r="E170" s="11" t="str">
        <f>+HYPERLINK("http://trademark.i-assist.jp/data/china/image_1899th/78154121.pdf", "78154121")</f>
        <v>78154121</v>
      </c>
      <c r="F170" s="10" t="s">
        <v>666</v>
      </c>
      <c r="G170" s="10" t="s">
        <v>667</v>
      </c>
      <c r="H170" s="10" t="s">
        <v>668</v>
      </c>
      <c r="I170" s="10" t="s">
        <v>72</v>
      </c>
    </row>
    <row r="171" spans="1:9" x14ac:dyDescent="0.15">
      <c r="A171" s="9">
        <v>170</v>
      </c>
      <c r="B171" s="10" t="s">
        <v>9</v>
      </c>
      <c r="C171" s="10" t="s">
        <v>126</v>
      </c>
      <c r="D171" s="10" t="s">
        <v>127</v>
      </c>
      <c r="E171" s="11" t="str">
        <f>+HYPERLINK("http://trademark.i-assist.jp/data/china/image_1899th/78154927.pdf", "78154927")</f>
        <v>78154927</v>
      </c>
      <c r="F171" s="10" t="s">
        <v>669</v>
      </c>
      <c r="G171" s="10" t="s">
        <v>670</v>
      </c>
      <c r="H171" s="10" t="s">
        <v>671</v>
      </c>
      <c r="I171" s="10" t="s">
        <v>72</v>
      </c>
    </row>
    <row r="172" spans="1:9" x14ac:dyDescent="0.15">
      <c r="A172" s="9">
        <v>171</v>
      </c>
      <c r="B172" s="10" t="s">
        <v>9</v>
      </c>
      <c r="C172" s="10" t="s">
        <v>126</v>
      </c>
      <c r="D172" s="10" t="s">
        <v>127</v>
      </c>
      <c r="E172" s="11" t="str">
        <f>+HYPERLINK("http://trademark.i-assist.jp/data/china/image_1899th/78164602.pdf", "78164602")</f>
        <v>78164602</v>
      </c>
      <c r="F172" s="10" t="s">
        <v>672</v>
      </c>
      <c r="G172" s="10" t="s">
        <v>670</v>
      </c>
      <c r="H172" s="10" t="s">
        <v>673</v>
      </c>
      <c r="I172" s="10" t="s">
        <v>72</v>
      </c>
    </row>
    <row r="173" spans="1:9" x14ac:dyDescent="0.15">
      <c r="A173" s="9">
        <v>172</v>
      </c>
      <c r="B173" s="10" t="s">
        <v>9</v>
      </c>
      <c r="C173" s="10" t="s">
        <v>126</v>
      </c>
      <c r="D173" s="10" t="s">
        <v>127</v>
      </c>
      <c r="E173" s="11" t="str">
        <f>+HYPERLINK("http://trademark.i-assist.jp/data/china/image_1899th/78169954.pdf", "78169954")</f>
        <v>78169954</v>
      </c>
      <c r="F173" s="10" t="s">
        <v>674</v>
      </c>
      <c r="G173" s="10" t="s">
        <v>667</v>
      </c>
      <c r="H173" s="10" t="s">
        <v>675</v>
      </c>
      <c r="I173" s="10" t="s">
        <v>72</v>
      </c>
    </row>
    <row r="174" spans="1:9" x14ac:dyDescent="0.15">
      <c r="A174" s="9">
        <v>173</v>
      </c>
      <c r="B174" s="10" t="s">
        <v>9</v>
      </c>
      <c r="C174" s="10" t="s">
        <v>126</v>
      </c>
      <c r="D174" s="10" t="s">
        <v>127</v>
      </c>
      <c r="E174" s="11" t="str">
        <f>+HYPERLINK("http://trademark.i-assist.jp/data/china/image_1899th/78178916.pdf", "78178916")</f>
        <v>78178916</v>
      </c>
      <c r="F174" s="10" t="s">
        <v>676</v>
      </c>
      <c r="G174" s="10" t="s">
        <v>677</v>
      </c>
      <c r="H174" s="10" t="s">
        <v>678</v>
      </c>
      <c r="I174" s="10" t="s">
        <v>73</v>
      </c>
    </row>
    <row r="175" spans="1:9" x14ac:dyDescent="0.15">
      <c r="A175" s="9">
        <v>174</v>
      </c>
      <c r="B175" s="10" t="s">
        <v>9</v>
      </c>
      <c r="C175" s="10" t="s">
        <v>126</v>
      </c>
      <c r="D175" s="10" t="s">
        <v>127</v>
      </c>
      <c r="E175" s="11" t="str">
        <f>+HYPERLINK("http://trademark.i-assist.jp/data/china/image_1899th/78179355.pdf", "78179355")</f>
        <v>78179355</v>
      </c>
      <c r="F175" s="10" t="s">
        <v>679</v>
      </c>
      <c r="G175" s="10" t="s">
        <v>680</v>
      </c>
      <c r="H175" s="10" t="s">
        <v>681</v>
      </c>
      <c r="I175" s="10" t="s">
        <v>72</v>
      </c>
    </row>
    <row r="176" spans="1:9" x14ac:dyDescent="0.15">
      <c r="A176" s="9">
        <v>175</v>
      </c>
      <c r="B176" s="10" t="s">
        <v>9</v>
      </c>
      <c r="C176" s="10" t="s">
        <v>126</v>
      </c>
      <c r="D176" s="10" t="s">
        <v>127</v>
      </c>
      <c r="E176" s="11" t="str">
        <f>+HYPERLINK("http://trademark.i-assist.jp/data/china/image_1899th/78186994.pdf", "78186994")</f>
        <v>78186994</v>
      </c>
      <c r="F176" s="10" t="s">
        <v>682</v>
      </c>
      <c r="G176" s="10" t="s">
        <v>683</v>
      </c>
      <c r="H176" s="10" t="s">
        <v>684</v>
      </c>
      <c r="I176" s="10" t="s">
        <v>73</v>
      </c>
    </row>
    <row r="177" spans="1:9" x14ac:dyDescent="0.15">
      <c r="A177" s="9">
        <v>176</v>
      </c>
      <c r="B177" s="10" t="s">
        <v>9</v>
      </c>
      <c r="C177" s="10" t="s">
        <v>126</v>
      </c>
      <c r="D177" s="10" t="s">
        <v>127</v>
      </c>
      <c r="E177" s="11" t="str">
        <f>+HYPERLINK("http://trademark.i-assist.jp/data/china/image_1899th/78189349.pdf", "78189349")</f>
        <v>78189349</v>
      </c>
      <c r="F177" s="10" t="s">
        <v>685</v>
      </c>
      <c r="G177" s="10" t="s">
        <v>686</v>
      </c>
      <c r="H177" s="10" t="s">
        <v>687</v>
      </c>
      <c r="I177" s="10" t="s">
        <v>73</v>
      </c>
    </row>
    <row r="178" spans="1:9" x14ac:dyDescent="0.15">
      <c r="A178" s="9">
        <v>177</v>
      </c>
      <c r="B178" s="10" t="s">
        <v>9</v>
      </c>
      <c r="C178" s="10" t="s">
        <v>126</v>
      </c>
      <c r="D178" s="10" t="s">
        <v>127</v>
      </c>
      <c r="E178" s="11" t="str">
        <f>+HYPERLINK("http://trademark.i-assist.jp/data/china/image_1899th/78197004.pdf", "78197004")</f>
        <v>78197004</v>
      </c>
      <c r="F178" s="10" t="s">
        <v>688</v>
      </c>
      <c r="G178" s="10" t="s">
        <v>689</v>
      </c>
      <c r="H178" s="10" t="s">
        <v>690</v>
      </c>
      <c r="I178" s="10" t="s">
        <v>73</v>
      </c>
    </row>
    <row r="179" spans="1:9" x14ac:dyDescent="0.15">
      <c r="A179" s="9">
        <v>178</v>
      </c>
      <c r="B179" s="10" t="s">
        <v>9</v>
      </c>
      <c r="C179" s="10" t="s">
        <v>126</v>
      </c>
      <c r="D179" s="10" t="s">
        <v>127</v>
      </c>
      <c r="E179" s="11" t="str">
        <f>+HYPERLINK("http://trademark.i-assist.jp/data/china/image_1899th/78202980.pdf", "78202980")</f>
        <v>78202980</v>
      </c>
      <c r="F179" s="10" t="s">
        <v>691</v>
      </c>
      <c r="G179" s="10" t="s">
        <v>93</v>
      </c>
      <c r="H179" s="10" t="s">
        <v>28</v>
      </c>
      <c r="I179" s="10" t="s">
        <v>73</v>
      </c>
    </row>
    <row r="180" spans="1:9" x14ac:dyDescent="0.15">
      <c r="A180" s="9">
        <v>179</v>
      </c>
      <c r="B180" s="10" t="s">
        <v>9</v>
      </c>
      <c r="C180" s="10" t="s">
        <v>126</v>
      </c>
      <c r="D180" s="10" t="s">
        <v>127</v>
      </c>
      <c r="E180" s="11" t="str">
        <f>+HYPERLINK("http://trademark.i-assist.jp/data/china/image_1899th/78205113.pdf", "78205113")</f>
        <v>78205113</v>
      </c>
      <c r="F180" s="10" t="s">
        <v>692</v>
      </c>
      <c r="G180" s="10" t="s">
        <v>693</v>
      </c>
      <c r="H180" s="10" t="s">
        <v>694</v>
      </c>
      <c r="I180" s="10" t="s">
        <v>73</v>
      </c>
    </row>
    <row r="181" spans="1:9" x14ac:dyDescent="0.15">
      <c r="A181" s="9">
        <v>180</v>
      </c>
      <c r="B181" s="10" t="s">
        <v>9</v>
      </c>
      <c r="C181" s="10" t="s">
        <v>126</v>
      </c>
      <c r="D181" s="10" t="s">
        <v>127</v>
      </c>
      <c r="E181" s="11" t="str">
        <f>+HYPERLINK("http://trademark.i-assist.jp/data/china/image_1899th/78213203.pdf", "78213203")</f>
        <v>78213203</v>
      </c>
      <c r="F181" s="10" t="s">
        <v>682</v>
      </c>
      <c r="G181" s="10" t="s">
        <v>683</v>
      </c>
      <c r="H181" s="10" t="s">
        <v>695</v>
      </c>
      <c r="I181" s="10" t="s">
        <v>73</v>
      </c>
    </row>
    <row r="182" spans="1:9" x14ac:dyDescent="0.15">
      <c r="A182" s="9">
        <v>181</v>
      </c>
      <c r="B182" s="10" t="s">
        <v>9</v>
      </c>
      <c r="C182" s="10" t="s">
        <v>126</v>
      </c>
      <c r="D182" s="10" t="s">
        <v>127</v>
      </c>
      <c r="E182" s="11" t="str">
        <f>+HYPERLINK("http://trademark.i-assist.jp/data/china/image_1899th/78219888.pdf", "78219888")</f>
        <v>78219888</v>
      </c>
      <c r="F182" s="10" t="s">
        <v>696</v>
      </c>
      <c r="G182" s="10" t="s">
        <v>697</v>
      </c>
      <c r="H182" s="10" t="s">
        <v>698</v>
      </c>
      <c r="I182" s="10" t="s">
        <v>74</v>
      </c>
    </row>
    <row r="183" spans="1:9" x14ac:dyDescent="0.15">
      <c r="A183" s="9">
        <v>182</v>
      </c>
      <c r="B183" s="10" t="s">
        <v>9</v>
      </c>
      <c r="C183" s="10" t="s">
        <v>126</v>
      </c>
      <c r="D183" s="10" t="s">
        <v>127</v>
      </c>
      <c r="E183" s="11" t="str">
        <f>+HYPERLINK("http://trademark.i-assist.jp/data/china/image_1899th/78222903.pdf", "78222903")</f>
        <v>78222903</v>
      </c>
      <c r="F183" s="10" t="s">
        <v>699</v>
      </c>
      <c r="G183" s="10" t="s">
        <v>700</v>
      </c>
      <c r="H183" s="10" t="s">
        <v>701</v>
      </c>
      <c r="I183" s="10" t="s">
        <v>74</v>
      </c>
    </row>
    <row r="184" spans="1:9" x14ac:dyDescent="0.15">
      <c r="A184" s="9">
        <v>183</v>
      </c>
      <c r="B184" s="10" t="s">
        <v>9</v>
      </c>
      <c r="C184" s="10" t="s">
        <v>126</v>
      </c>
      <c r="D184" s="10" t="s">
        <v>127</v>
      </c>
      <c r="E184" s="11" t="str">
        <f>+HYPERLINK("http://trademark.i-assist.jp/data/china/image_1899th/78230369.pdf", "78230369")</f>
        <v>78230369</v>
      </c>
      <c r="F184" s="10" t="s">
        <v>15</v>
      </c>
      <c r="G184" s="10" t="s">
        <v>702</v>
      </c>
      <c r="H184" s="10" t="s">
        <v>703</v>
      </c>
      <c r="I184" s="10" t="s">
        <v>74</v>
      </c>
    </row>
    <row r="185" spans="1:9" x14ac:dyDescent="0.15">
      <c r="A185" s="9">
        <v>184</v>
      </c>
      <c r="B185" s="10" t="s">
        <v>9</v>
      </c>
      <c r="C185" s="10" t="s">
        <v>126</v>
      </c>
      <c r="D185" s="10" t="s">
        <v>127</v>
      </c>
      <c r="E185" s="11" t="str">
        <f>+HYPERLINK("http://trademark.i-assist.jp/data/china/image_1899th/78231896.pdf", "78231896")</f>
        <v>78231896</v>
      </c>
      <c r="F185" s="10" t="s">
        <v>15</v>
      </c>
      <c r="G185" s="10" t="s">
        <v>704</v>
      </c>
      <c r="H185" s="10" t="s">
        <v>705</v>
      </c>
      <c r="I185" s="10" t="s">
        <v>74</v>
      </c>
    </row>
    <row r="186" spans="1:9" x14ac:dyDescent="0.15">
      <c r="A186" s="9">
        <v>185</v>
      </c>
      <c r="B186" s="10" t="s">
        <v>9</v>
      </c>
      <c r="C186" s="10" t="s">
        <v>126</v>
      </c>
      <c r="D186" s="10" t="s">
        <v>127</v>
      </c>
      <c r="E186" s="11" t="str">
        <f>+HYPERLINK("http://trademark.i-assist.jp/data/china/image_1899th/78234175.pdf", "78234175")</f>
        <v>78234175</v>
      </c>
      <c r="F186" s="10" t="s">
        <v>706</v>
      </c>
      <c r="G186" s="10" t="s">
        <v>707</v>
      </c>
      <c r="H186" s="10" t="s">
        <v>708</v>
      </c>
      <c r="I186" s="10" t="s">
        <v>74</v>
      </c>
    </row>
    <row r="187" spans="1:9" x14ac:dyDescent="0.15">
      <c r="A187" s="9">
        <v>186</v>
      </c>
      <c r="B187" s="10" t="s">
        <v>9</v>
      </c>
      <c r="C187" s="10" t="s">
        <v>126</v>
      </c>
      <c r="D187" s="10" t="s">
        <v>127</v>
      </c>
      <c r="E187" s="11" t="str">
        <f>+HYPERLINK("http://trademark.i-assist.jp/data/china/image_1899th/78241239.pdf", "78241239")</f>
        <v>78241239</v>
      </c>
      <c r="F187" s="10" t="s">
        <v>709</v>
      </c>
      <c r="G187" s="10" t="s">
        <v>697</v>
      </c>
      <c r="H187" s="10" t="s">
        <v>710</v>
      </c>
      <c r="I187" s="10" t="s">
        <v>74</v>
      </c>
    </row>
    <row r="188" spans="1:9" x14ac:dyDescent="0.15">
      <c r="A188" s="9">
        <v>187</v>
      </c>
      <c r="B188" s="10" t="s">
        <v>9</v>
      </c>
      <c r="C188" s="10" t="s">
        <v>126</v>
      </c>
      <c r="D188" s="10" t="s">
        <v>127</v>
      </c>
      <c r="E188" s="11" t="str">
        <f>+HYPERLINK("http://trademark.i-assist.jp/data/china/image_1899th/78242820.pdf", "78242820")</f>
        <v>78242820</v>
      </c>
      <c r="F188" s="10" t="s">
        <v>15</v>
      </c>
      <c r="G188" s="10" t="s">
        <v>711</v>
      </c>
      <c r="H188" s="10" t="s">
        <v>712</v>
      </c>
      <c r="I188" s="10" t="s">
        <v>74</v>
      </c>
    </row>
    <row r="189" spans="1:9" x14ac:dyDescent="0.15">
      <c r="A189" s="9">
        <v>188</v>
      </c>
      <c r="B189" s="10" t="s">
        <v>9</v>
      </c>
      <c r="C189" s="10" t="s">
        <v>126</v>
      </c>
      <c r="D189" s="10" t="s">
        <v>127</v>
      </c>
      <c r="E189" s="11" t="str">
        <f>+HYPERLINK("http://trademark.i-assist.jp/data/china/image_1899th/78250798.pdf", "78250798")</f>
        <v>78250798</v>
      </c>
      <c r="F189" s="10" t="s">
        <v>713</v>
      </c>
      <c r="G189" s="10" t="s">
        <v>94</v>
      </c>
      <c r="H189" s="10" t="s">
        <v>714</v>
      </c>
      <c r="I189" s="10" t="s">
        <v>76</v>
      </c>
    </row>
    <row r="190" spans="1:9" x14ac:dyDescent="0.15">
      <c r="A190" s="9">
        <v>189</v>
      </c>
      <c r="B190" s="10" t="s">
        <v>9</v>
      </c>
      <c r="C190" s="10" t="s">
        <v>126</v>
      </c>
      <c r="D190" s="10" t="s">
        <v>127</v>
      </c>
      <c r="E190" s="11" t="str">
        <f>+HYPERLINK("http://trademark.i-assist.jp/data/china/image_1899th/78251359.pdf", "78251359")</f>
        <v>78251359</v>
      </c>
      <c r="F190" s="10" t="s">
        <v>715</v>
      </c>
      <c r="G190" s="10" t="s">
        <v>716</v>
      </c>
      <c r="H190" s="10" t="s">
        <v>717</v>
      </c>
      <c r="I190" s="10" t="s">
        <v>76</v>
      </c>
    </row>
    <row r="191" spans="1:9" x14ac:dyDescent="0.15">
      <c r="A191" s="9">
        <v>190</v>
      </c>
      <c r="B191" s="10" t="s">
        <v>9</v>
      </c>
      <c r="C191" s="10" t="s">
        <v>126</v>
      </c>
      <c r="D191" s="10" t="s">
        <v>127</v>
      </c>
      <c r="E191" s="11" t="str">
        <f>+HYPERLINK("http://trademark.i-assist.jp/data/china/image_1899th/78256937.pdf", "78256937")</f>
        <v>78256937</v>
      </c>
      <c r="F191" s="10" t="s">
        <v>718</v>
      </c>
      <c r="G191" s="10" t="s">
        <v>94</v>
      </c>
      <c r="H191" s="10" t="s">
        <v>719</v>
      </c>
      <c r="I191" s="10" t="s">
        <v>76</v>
      </c>
    </row>
    <row r="192" spans="1:9" x14ac:dyDescent="0.15">
      <c r="A192" s="9">
        <v>191</v>
      </c>
      <c r="B192" s="10" t="s">
        <v>9</v>
      </c>
      <c r="C192" s="10" t="s">
        <v>126</v>
      </c>
      <c r="D192" s="10" t="s">
        <v>127</v>
      </c>
      <c r="E192" s="11" t="str">
        <f>+HYPERLINK("http://trademark.i-assist.jp/data/china/image_1899th/78256994.pdf", "78256994")</f>
        <v>78256994</v>
      </c>
      <c r="F192" s="10" t="s">
        <v>720</v>
      </c>
      <c r="G192" s="10" t="s">
        <v>721</v>
      </c>
      <c r="H192" s="10" t="s">
        <v>722</v>
      </c>
      <c r="I192" s="10" t="s">
        <v>76</v>
      </c>
    </row>
    <row r="193" spans="1:9" x14ac:dyDescent="0.15">
      <c r="A193" s="9">
        <v>192</v>
      </c>
      <c r="B193" s="10" t="s">
        <v>9</v>
      </c>
      <c r="C193" s="10" t="s">
        <v>126</v>
      </c>
      <c r="D193" s="10" t="s">
        <v>127</v>
      </c>
      <c r="E193" s="11" t="str">
        <f>+HYPERLINK("http://trademark.i-assist.jp/data/china/image_1899th/78257645.pdf", "78257645")</f>
        <v>78257645</v>
      </c>
      <c r="F193" s="10" t="s">
        <v>723</v>
      </c>
      <c r="G193" s="10" t="s">
        <v>94</v>
      </c>
      <c r="H193" s="10" t="s">
        <v>724</v>
      </c>
      <c r="I193" s="10" t="s">
        <v>76</v>
      </c>
    </row>
    <row r="194" spans="1:9" x14ac:dyDescent="0.15">
      <c r="A194" s="9">
        <v>193</v>
      </c>
      <c r="B194" s="10" t="s">
        <v>9</v>
      </c>
      <c r="C194" s="10" t="s">
        <v>126</v>
      </c>
      <c r="D194" s="10" t="s">
        <v>127</v>
      </c>
      <c r="E194" s="11" t="str">
        <f>+HYPERLINK("http://trademark.i-assist.jp/data/china/image_1899th/78257886.pdf", "78257886")</f>
        <v>78257886</v>
      </c>
      <c r="F194" s="10" t="s">
        <v>725</v>
      </c>
      <c r="G194" s="10" t="s">
        <v>726</v>
      </c>
      <c r="H194" s="10" t="s">
        <v>727</v>
      </c>
      <c r="I194" s="10" t="s">
        <v>76</v>
      </c>
    </row>
    <row r="195" spans="1:9" x14ac:dyDescent="0.15">
      <c r="A195" s="9">
        <v>194</v>
      </c>
      <c r="B195" s="10" t="s">
        <v>9</v>
      </c>
      <c r="C195" s="10" t="s">
        <v>126</v>
      </c>
      <c r="D195" s="10" t="s">
        <v>127</v>
      </c>
      <c r="E195" s="11" t="str">
        <f>+HYPERLINK("http://trademark.i-assist.jp/data/china/image_1899th/78259014.pdf", "78259014")</f>
        <v>78259014</v>
      </c>
      <c r="F195" s="10" t="s">
        <v>728</v>
      </c>
      <c r="G195" s="10" t="s">
        <v>94</v>
      </c>
      <c r="H195" s="10" t="s">
        <v>729</v>
      </c>
      <c r="I195" s="10" t="s">
        <v>76</v>
      </c>
    </row>
    <row r="196" spans="1:9" x14ac:dyDescent="0.15">
      <c r="A196" s="9">
        <v>195</v>
      </c>
      <c r="B196" s="10" t="s">
        <v>9</v>
      </c>
      <c r="C196" s="10" t="s">
        <v>126</v>
      </c>
      <c r="D196" s="10" t="s">
        <v>127</v>
      </c>
      <c r="E196" s="11" t="str">
        <f>+HYPERLINK("http://trademark.i-assist.jp/data/china/image_1899th/78261951.pdf", "78261951")</f>
        <v>78261951</v>
      </c>
      <c r="F196" s="10" t="s">
        <v>730</v>
      </c>
      <c r="G196" s="10" t="s">
        <v>94</v>
      </c>
      <c r="H196" s="10" t="s">
        <v>731</v>
      </c>
      <c r="I196" s="10" t="s">
        <v>76</v>
      </c>
    </row>
    <row r="197" spans="1:9" x14ac:dyDescent="0.15">
      <c r="A197" s="9">
        <v>196</v>
      </c>
      <c r="B197" s="10" t="s">
        <v>9</v>
      </c>
      <c r="C197" s="10" t="s">
        <v>126</v>
      </c>
      <c r="D197" s="10" t="s">
        <v>127</v>
      </c>
      <c r="E197" s="11" t="str">
        <f>+HYPERLINK("http://trademark.i-assist.jp/data/china/image_1899th/78262022.pdf", "78262022")</f>
        <v>78262022</v>
      </c>
      <c r="F197" s="10" t="s">
        <v>732</v>
      </c>
      <c r="G197" s="10" t="s">
        <v>94</v>
      </c>
      <c r="H197" s="10" t="s">
        <v>733</v>
      </c>
      <c r="I197" s="10" t="s">
        <v>76</v>
      </c>
    </row>
    <row r="198" spans="1:9" x14ac:dyDescent="0.15">
      <c r="A198" s="9">
        <v>197</v>
      </c>
      <c r="B198" s="10" t="s">
        <v>9</v>
      </c>
      <c r="C198" s="10" t="s">
        <v>126</v>
      </c>
      <c r="D198" s="10" t="s">
        <v>127</v>
      </c>
      <c r="E198" s="11" t="str">
        <f>+HYPERLINK("http://trademark.i-assist.jp/data/china/image_1899th/78268033.pdf", "78268033")</f>
        <v>78268033</v>
      </c>
      <c r="F198" s="10" t="s">
        <v>734</v>
      </c>
      <c r="G198" s="10" t="s">
        <v>94</v>
      </c>
      <c r="H198" s="10" t="s">
        <v>735</v>
      </c>
      <c r="I198" s="10" t="s">
        <v>76</v>
      </c>
    </row>
    <row r="199" spans="1:9" x14ac:dyDescent="0.15">
      <c r="A199" s="9">
        <v>198</v>
      </c>
      <c r="B199" s="10" t="s">
        <v>9</v>
      </c>
      <c r="C199" s="10" t="s">
        <v>126</v>
      </c>
      <c r="D199" s="10" t="s">
        <v>127</v>
      </c>
      <c r="E199" s="11" t="str">
        <f>+HYPERLINK("http://trademark.i-assist.jp/data/china/image_1899th/78271083.pdf", "78271083")</f>
        <v>78271083</v>
      </c>
      <c r="F199" s="10" t="s">
        <v>15</v>
      </c>
      <c r="G199" s="10" t="s">
        <v>736</v>
      </c>
      <c r="H199" s="10" t="s">
        <v>737</v>
      </c>
      <c r="I199" s="10" t="s">
        <v>76</v>
      </c>
    </row>
    <row r="200" spans="1:9" x14ac:dyDescent="0.15">
      <c r="A200" s="9">
        <v>199</v>
      </c>
      <c r="B200" s="10" t="s">
        <v>9</v>
      </c>
      <c r="C200" s="10" t="s">
        <v>126</v>
      </c>
      <c r="D200" s="10" t="s">
        <v>127</v>
      </c>
      <c r="E200" s="11" t="str">
        <f>+HYPERLINK("http://trademark.i-assist.jp/data/china/image_1899th/78271585.pdf", "78271585")</f>
        <v>78271585</v>
      </c>
      <c r="F200" s="10" t="s">
        <v>738</v>
      </c>
      <c r="G200" s="10" t="s">
        <v>94</v>
      </c>
      <c r="H200" s="10" t="s">
        <v>739</v>
      </c>
      <c r="I200" s="10" t="s">
        <v>76</v>
      </c>
    </row>
    <row r="201" spans="1:9" x14ac:dyDescent="0.15">
      <c r="A201" s="9">
        <v>200</v>
      </c>
      <c r="B201" s="10" t="s">
        <v>9</v>
      </c>
      <c r="C201" s="10" t="s">
        <v>126</v>
      </c>
      <c r="D201" s="10" t="s">
        <v>127</v>
      </c>
      <c r="E201" s="11" t="str">
        <f>+HYPERLINK("http://trademark.i-assist.jp/data/china/image_1899th/78272860.pdf", "78272860")</f>
        <v>78272860</v>
      </c>
      <c r="F201" s="10" t="s">
        <v>740</v>
      </c>
      <c r="G201" s="10" t="s">
        <v>741</v>
      </c>
      <c r="H201" s="10" t="s">
        <v>742</v>
      </c>
      <c r="I201" s="10" t="s">
        <v>76</v>
      </c>
    </row>
    <row r="202" spans="1:9" x14ac:dyDescent="0.15">
      <c r="A202" s="9">
        <v>201</v>
      </c>
      <c r="B202" s="10" t="s">
        <v>9</v>
      </c>
      <c r="C202" s="10" t="s">
        <v>126</v>
      </c>
      <c r="D202" s="10" t="s">
        <v>127</v>
      </c>
      <c r="E202" s="11" t="str">
        <f>+HYPERLINK("http://trademark.i-assist.jp/data/china/image_1899th/78275412.pdf", "78275412")</f>
        <v>78275412</v>
      </c>
      <c r="F202" s="10" t="s">
        <v>743</v>
      </c>
      <c r="G202" s="10" t="s">
        <v>744</v>
      </c>
      <c r="H202" s="10" t="s">
        <v>745</v>
      </c>
      <c r="I202" s="10" t="s">
        <v>77</v>
      </c>
    </row>
    <row r="203" spans="1:9" x14ac:dyDescent="0.15">
      <c r="A203" s="9">
        <v>202</v>
      </c>
      <c r="B203" s="10" t="s">
        <v>9</v>
      </c>
      <c r="C203" s="10" t="s">
        <v>126</v>
      </c>
      <c r="D203" s="10" t="s">
        <v>127</v>
      </c>
      <c r="E203" s="11" t="str">
        <f>+HYPERLINK("http://trademark.i-assist.jp/data/china/image_1899th/78278441.pdf", "78278441")</f>
        <v>78278441</v>
      </c>
      <c r="F203" s="10" t="s">
        <v>15</v>
      </c>
      <c r="G203" s="10" t="s">
        <v>746</v>
      </c>
      <c r="H203" s="10" t="s">
        <v>747</v>
      </c>
      <c r="I203" s="10" t="s">
        <v>77</v>
      </c>
    </row>
    <row r="204" spans="1:9" x14ac:dyDescent="0.15">
      <c r="A204" s="9">
        <v>203</v>
      </c>
      <c r="B204" s="10" t="s">
        <v>9</v>
      </c>
      <c r="C204" s="10" t="s">
        <v>126</v>
      </c>
      <c r="D204" s="10" t="s">
        <v>127</v>
      </c>
      <c r="E204" s="11" t="str">
        <f>+HYPERLINK("http://trademark.i-assist.jp/data/china/image_1899th/78280237.pdf", "78280237")</f>
        <v>78280237</v>
      </c>
      <c r="F204" s="10" t="s">
        <v>15</v>
      </c>
      <c r="G204" s="10" t="s">
        <v>748</v>
      </c>
      <c r="H204" s="10" t="s">
        <v>749</v>
      </c>
      <c r="I204" s="10" t="s">
        <v>76</v>
      </c>
    </row>
    <row r="205" spans="1:9" x14ac:dyDescent="0.15">
      <c r="A205" s="9">
        <v>204</v>
      </c>
      <c r="B205" s="10" t="s">
        <v>9</v>
      </c>
      <c r="C205" s="10" t="s">
        <v>126</v>
      </c>
      <c r="D205" s="10" t="s">
        <v>127</v>
      </c>
      <c r="E205" s="11" t="str">
        <f>+HYPERLINK("http://trademark.i-assist.jp/data/china/image_1899th/78281007.pdf", "78281007")</f>
        <v>78281007</v>
      </c>
      <c r="F205" s="10" t="s">
        <v>750</v>
      </c>
      <c r="G205" s="10" t="s">
        <v>751</v>
      </c>
      <c r="H205" s="10" t="s">
        <v>752</v>
      </c>
      <c r="I205" s="10" t="s">
        <v>81</v>
      </c>
    </row>
    <row r="206" spans="1:9" x14ac:dyDescent="0.15">
      <c r="A206" s="9">
        <v>205</v>
      </c>
      <c r="B206" s="10" t="s">
        <v>9</v>
      </c>
      <c r="C206" s="10" t="s">
        <v>126</v>
      </c>
      <c r="D206" s="10" t="s">
        <v>127</v>
      </c>
      <c r="E206" s="11" t="str">
        <f>+HYPERLINK("http://trademark.i-assist.jp/data/china/image_1899th/78282391.pdf", "78282391")</f>
        <v>78282391</v>
      </c>
      <c r="F206" s="10" t="s">
        <v>753</v>
      </c>
      <c r="G206" s="10" t="s">
        <v>80</v>
      </c>
      <c r="H206" s="10" t="s">
        <v>754</v>
      </c>
      <c r="I206" s="10" t="s">
        <v>81</v>
      </c>
    </row>
    <row r="207" spans="1:9" x14ac:dyDescent="0.15">
      <c r="A207" s="9">
        <v>206</v>
      </c>
      <c r="B207" s="10" t="s">
        <v>9</v>
      </c>
      <c r="C207" s="10" t="s">
        <v>126</v>
      </c>
      <c r="D207" s="10" t="s">
        <v>127</v>
      </c>
      <c r="E207" s="11" t="str">
        <f>+HYPERLINK("http://trademark.i-assist.jp/data/china/image_1899th/78283877.pdf", "78283877")</f>
        <v>78283877</v>
      </c>
      <c r="F207" s="10" t="s">
        <v>755</v>
      </c>
      <c r="G207" s="10" t="s">
        <v>756</v>
      </c>
      <c r="H207" s="10" t="s">
        <v>757</v>
      </c>
      <c r="I207" s="10" t="s">
        <v>81</v>
      </c>
    </row>
    <row r="208" spans="1:9" x14ac:dyDescent="0.15">
      <c r="A208" s="9">
        <v>207</v>
      </c>
      <c r="B208" s="10" t="s">
        <v>9</v>
      </c>
      <c r="C208" s="10" t="s">
        <v>126</v>
      </c>
      <c r="D208" s="10" t="s">
        <v>127</v>
      </c>
      <c r="E208" s="11" t="str">
        <f>+HYPERLINK("http://trademark.i-assist.jp/data/china/image_1899th/78290433.pdf", "78290433")</f>
        <v>78290433</v>
      </c>
      <c r="F208" s="10" t="s">
        <v>758</v>
      </c>
      <c r="G208" s="10" t="s">
        <v>759</v>
      </c>
      <c r="H208" s="10" t="s">
        <v>760</v>
      </c>
      <c r="I208" s="10" t="s">
        <v>81</v>
      </c>
    </row>
    <row r="209" spans="1:9" x14ac:dyDescent="0.15">
      <c r="A209" s="9">
        <v>208</v>
      </c>
      <c r="B209" s="10" t="s">
        <v>9</v>
      </c>
      <c r="C209" s="10" t="s">
        <v>126</v>
      </c>
      <c r="D209" s="10" t="s">
        <v>127</v>
      </c>
      <c r="E209" s="11" t="str">
        <f>+HYPERLINK("http://trademark.i-assist.jp/data/china/image_1899th/78292088.pdf", "78292088")</f>
        <v>78292088</v>
      </c>
      <c r="F209" s="10" t="s">
        <v>761</v>
      </c>
      <c r="G209" s="10" t="s">
        <v>80</v>
      </c>
      <c r="H209" s="10" t="s">
        <v>762</v>
      </c>
      <c r="I209" s="10" t="s">
        <v>81</v>
      </c>
    </row>
    <row r="210" spans="1:9" x14ac:dyDescent="0.15">
      <c r="A210" s="9">
        <v>209</v>
      </c>
      <c r="B210" s="10" t="s">
        <v>9</v>
      </c>
      <c r="C210" s="10" t="s">
        <v>126</v>
      </c>
      <c r="D210" s="10" t="s">
        <v>127</v>
      </c>
      <c r="E210" s="11" t="str">
        <f>+HYPERLINK("http://trademark.i-assist.jp/data/china/image_1899th/78299208.pdf", "78299208")</f>
        <v>78299208</v>
      </c>
      <c r="F210" s="10" t="s">
        <v>15</v>
      </c>
      <c r="G210" s="10" t="s">
        <v>763</v>
      </c>
      <c r="H210" s="10" t="s">
        <v>764</v>
      </c>
      <c r="I210" s="10" t="s">
        <v>81</v>
      </c>
    </row>
    <row r="211" spans="1:9" x14ac:dyDescent="0.15">
      <c r="A211" s="9">
        <v>210</v>
      </c>
      <c r="B211" s="10" t="s">
        <v>9</v>
      </c>
      <c r="C211" s="10" t="s">
        <v>126</v>
      </c>
      <c r="D211" s="10" t="s">
        <v>127</v>
      </c>
      <c r="E211" s="11" t="str">
        <f>+HYPERLINK("http://trademark.i-assist.jp/data/china/image_1899th/78302273.pdf", "78302273")</f>
        <v>78302273</v>
      </c>
      <c r="F211" s="10" t="s">
        <v>765</v>
      </c>
      <c r="G211" s="10" t="s">
        <v>766</v>
      </c>
      <c r="H211" s="10" t="s">
        <v>767</v>
      </c>
      <c r="I211" s="10" t="s">
        <v>81</v>
      </c>
    </row>
    <row r="212" spans="1:9" x14ac:dyDescent="0.15">
      <c r="A212" s="9">
        <v>211</v>
      </c>
      <c r="B212" s="10" t="s">
        <v>9</v>
      </c>
      <c r="C212" s="10" t="s">
        <v>126</v>
      </c>
      <c r="D212" s="10" t="s">
        <v>127</v>
      </c>
      <c r="E212" s="11" t="str">
        <f>+HYPERLINK("http://trademark.i-assist.jp/data/china/image_1899th/78304377.pdf", "78304377")</f>
        <v>78304377</v>
      </c>
      <c r="F212" s="10" t="s">
        <v>768</v>
      </c>
      <c r="G212" s="10" t="s">
        <v>91</v>
      </c>
      <c r="H212" s="10" t="s">
        <v>769</v>
      </c>
      <c r="I212" s="10" t="s">
        <v>81</v>
      </c>
    </row>
    <row r="213" spans="1:9" x14ac:dyDescent="0.15">
      <c r="A213" s="9">
        <v>212</v>
      </c>
      <c r="B213" s="10" t="s">
        <v>9</v>
      </c>
      <c r="C213" s="10" t="s">
        <v>126</v>
      </c>
      <c r="D213" s="10" t="s">
        <v>127</v>
      </c>
      <c r="E213" s="11" t="str">
        <f>+HYPERLINK("http://trademark.i-assist.jp/data/china/image_1899th/78307291.pdf", "78307291")</f>
        <v>78307291</v>
      </c>
      <c r="F213" s="10" t="s">
        <v>15</v>
      </c>
      <c r="G213" s="10" t="s">
        <v>770</v>
      </c>
      <c r="H213" s="10" t="s">
        <v>771</v>
      </c>
      <c r="I213" s="10" t="s">
        <v>81</v>
      </c>
    </row>
    <row r="214" spans="1:9" x14ac:dyDescent="0.15">
      <c r="A214" s="9">
        <v>213</v>
      </c>
      <c r="B214" s="10" t="s">
        <v>9</v>
      </c>
      <c r="C214" s="10" t="s">
        <v>126</v>
      </c>
      <c r="D214" s="10" t="s">
        <v>127</v>
      </c>
      <c r="E214" s="11" t="str">
        <f>+HYPERLINK("http://trademark.i-assist.jp/data/china/image_1899th/78312256.pdf", "78312256")</f>
        <v>78312256</v>
      </c>
      <c r="F214" s="10" t="s">
        <v>772</v>
      </c>
      <c r="G214" s="10" t="s">
        <v>120</v>
      </c>
      <c r="H214" s="10" t="s">
        <v>773</v>
      </c>
      <c r="I214" s="10" t="s">
        <v>84</v>
      </c>
    </row>
    <row r="215" spans="1:9" x14ac:dyDescent="0.15">
      <c r="A215" s="9">
        <v>214</v>
      </c>
      <c r="B215" s="10" t="s">
        <v>9</v>
      </c>
      <c r="C215" s="10" t="s">
        <v>126</v>
      </c>
      <c r="D215" s="10" t="s">
        <v>127</v>
      </c>
      <c r="E215" s="11" t="str">
        <f>+HYPERLINK("http://trademark.i-assist.jp/data/china/image_1899th/78312546.pdf", "78312546")</f>
        <v>78312546</v>
      </c>
      <c r="F215" s="10" t="s">
        <v>774</v>
      </c>
      <c r="G215" s="10" t="s">
        <v>775</v>
      </c>
      <c r="H215" s="10" t="s">
        <v>776</v>
      </c>
      <c r="I215" s="10" t="s">
        <v>84</v>
      </c>
    </row>
    <row r="216" spans="1:9" x14ac:dyDescent="0.15">
      <c r="A216" s="9">
        <v>215</v>
      </c>
      <c r="B216" s="10" t="s">
        <v>9</v>
      </c>
      <c r="C216" s="10" t="s">
        <v>126</v>
      </c>
      <c r="D216" s="10" t="s">
        <v>127</v>
      </c>
      <c r="E216" s="11" t="str">
        <f>+HYPERLINK("http://trademark.i-assist.jp/data/china/image_1899th/78313509.pdf", "78313509")</f>
        <v>78313509</v>
      </c>
      <c r="F216" s="10" t="s">
        <v>777</v>
      </c>
      <c r="G216" s="10" t="s">
        <v>778</v>
      </c>
      <c r="H216" s="10" t="s">
        <v>779</v>
      </c>
      <c r="I216" s="10" t="s">
        <v>84</v>
      </c>
    </row>
    <row r="217" spans="1:9" x14ac:dyDescent="0.15">
      <c r="A217" s="9">
        <v>216</v>
      </c>
      <c r="B217" s="10" t="s">
        <v>9</v>
      </c>
      <c r="C217" s="10" t="s">
        <v>126</v>
      </c>
      <c r="D217" s="10" t="s">
        <v>127</v>
      </c>
      <c r="E217" s="11" t="str">
        <f>+HYPERLINK("http://trademark.i-assist.jp/data/china/image_1899th/78314025.pdf", "78314025")</f>
        <v>78314025</v>
      </c>
      <c r="F217" s="10" t="s">
        <v>780</v>
      </c>
      <c r="G217" s="10" t="s">
        <v>781</v>
      </c>
      <c r="H217" s="10" t="s">
        <v>782</v>
      </c>
      <c r="I217" s="10" t="s">
        <v>84</v>
      </c>
    </row>
    <row r="218" spans="1:9" x14ac:dyDescent="0.15">
      <c r="A218" s="9">
        <v>217</v>
      </c>
      <c r="B218" s="10" t="s">
        <v>9</v>
      </c>
      <c r="C218" s="10" t="s">
        <v>126</v>
      </c>
      <c r="D218" s="10" t="s">
        <v>127</v>
      </c>
      <c r="E218" s="11" t="str">
        <f>+HYPERLINK("http://trademark.i-assist.jp/data/china/image_1899th/78314724.pdf", "78314724")</f>
        <v>78314724</v>
      </c>
      <c r="F218" s="10" t="s">
        <v>783</v>
      </c>
      <c r="G218" s="10" t="s">
        <v>784</v>
      </c>
      <c r="H218" s="10" t="s">
        <v>785</v>
      </c>
      <c r="I218" s="10" t="s">
        <v>84</v>
      </c>
    </row>
    <row r="219" spans="1:9" x14ac:dyDescent="0.15">
      <c r="A219" s="9">
        <v>218</v>
      </c>
      <c r="B219" s="10" t="s">
        <v>9</v>
      </c>
      <c r="C219" s="10" t="s">
        <v>126</v>
      </c>
      <c r="D219" s="10" t="s">
        <v>127</v>
      </c>
      <c r="E219" s="11" t="str">
        <f>+HYPERLINK("http://trademark.i-assist.jp/data/china/image_1899th/78315308.pdf", "78315308")</f>
        <v>78315308</v>
      </c>
      <c r="F219" s="10" t="s">
        <v>786</v>
      </c>
      <c r="G219" s="10" t="s">
        <v>787</v>
      </c>
      <c r="H219" s="10" t="s">
        <v>788</v>
      </c>
      <c r="I219" s="10" t="s">
        <v>84</v>
      </c>
    </row>
    <row r="220" spans="1:9" x14ac:dyDescent="0.15">
      <c r="A220" s="9">
        <v>219</v>
      </c>
      <c r="B220" s="10" t="s">
        <v>9</v>
      </c>
      <c r="C220" s="10" t="s">
        <v>126</v>
      </c>
      <c r="D220" s="10" t="s">
        <v>127</v>
      </c>
      <c r="E220" s="11" t="str">
        <f>+HYPERLINK("http://trademark.i-assist.jp/data/china/image_1899th/78315440.pdf", "78315440")</f>
        <v>78315440</v>
      </c>
      <c r="F220" s="10" t="s">
        <v>789</v>
      </c>
      <c r="G220" s="10" t="s">
        <v>790</v>
      </c>
      <c r="H220" s="10" t="s">
        <v>791</v>
      </c>
      <c r="I220" s="10" t="s">
        <v>84</v>
      </c>
    </row>
    <row r="221" spans="1:9" x14ac:dyDescent="0.15">
      <c r="A221" s="9">
        <v>220</v>
      </c>
      <c r="B221" s="10" t="s">
        <v>9</v>
      </c>
      <c r="C221" s="10" t="s">
        <v>126</v>
      </c>
      <c r="D221" s="10" t="s">
        <v>127</v>
      </c>
      <c r="E221" s="11" t="str">
        <f>+HYPERLINK("http://trademark.i-assist.jp/data/china/image_1899th/78315514.pdf", "78315514")</f>
        <v>78315514</v>
      </c>
      <c r="F221" s="10" t="s">
        <v>792</v>
      </c>
      <c r="G221" s="10" t="s">
        <v>85</v>
      </c>
      <c r="H221" s="10" t="s">
        <v>793</v>
      </c>
      <c r="I221" s="10" t="s">
        <v>84</v>
      </c>
    </row>
    <row r="222" spans="1:9" x14ac:dyDescent="0.15">
      <c r="A222" s="9">
        <v>221</v>
      </c>
      <c r="B222" s="10" t="s">
        <v>9</v>
      </c>
      <c r="C222" s="10" t="s">
        <v>126</v>
      </c>
      <c r="D222" s="10" t="s">
        <v>127</v>
      </c>
      <c r="E222" s="11" t="str">
        <f>+HYPERLINK("http://trademark.i-assist.jp/data/china/image_1899th/78315742.pdf", "78315742")</f>
        <v>78315742</v>
      </c>
      <c r="F222" s="10" t="s">
        <v>794</v>
      </c>
      <c r="G222" s="10" t="s">
        <v>795</v>
      </c>
      <c r="H222" s="10" t="s">
        <v>796</v>
      </c>
      <c r="I222" s="10" t="s">
        <v>84</v>
      </c>
    </row>
    <row r="223" spans="1:9" x14ac:dyDescent="0.15">
      <c r="A223" s="9">
        <v>222</v>
      </c>
      <c r="B223" s="10" t="s">
        <v>9</v>
      </c>
      <c r="C223" s="10" t="s">
        <v>126</v>
      </c>
      <c r="D223" s="10" t="s">
        <v>127</v>
      </c>
      <c r="E223" s="11" t="str">
        <f>+HYPERLINK("http://trademark.i-assist.jp/data/china/image_1899th/78316833.pdf", "78316833")</f>
        <v>78316833</v>
      </c>
      <c r="F223" s="10" t="s">
        <v>797</v>
      </c>
      <c r="G223" s="10" t="s">
        <v>798</v>
      </c>
      <c r="H223" s="10" t="s">
        <v>799</v>
      </c>
      <c r="I223" s="10" t="s">
        <v>84</v>
      </c>
    </row>
    <row r="224" spans="1:9" x14ac:dyDescent="0.15">
      <c r="A224" s="9">
        <v>223</v>
      </c>
      <c r="B224" s="10" t="s">
        <v>9</v>
      </c>
      <c r="C224" s="10" t="s">
        <v>126</v>
      </c>
      <c r="D224" s="10" t="s">
        <v>127</v>
      </c>
      <c r="E224" s="11" t="str">
        <f>+HYPERLINK("http://trademark.i-assist.jp/data/china/image_1899th/78317296.pdf", "78317296")</f>
        <v>78317296</v>
      </c>
      <c r="F224" s="10" t="s">
        <v>15</v>
      </c>
      <c r="G224" s="10" t="s">
        <v>800</v>
      </c>
      <c r="H224" s="10" t="s">
        <v>801</v>
      </c>
      <c r="I224" s="10" t="s">
        <v>84</v>
      </c>
    </row>
    <row r="225" spans="1:9" x14ac:dyDescent="0.15">
      <c r="A225" s="9">
        <v>224</v>
      </c>
      <c r="B225" s="10" t="s">
        <v>9</v>
      </c>
      <c r="C225" s="10" t="s">
        <v>126</v>
      </c>
      <c r="D225" s="10" t="s">
        <v>127</v>
      </c>
      <c r="E225" s="11" t="str">
        <f>+HYPERLINK("http://trademark.i-assist.jp/data/china/image_1899th/78318213.pdf", "78318213")</f>
        <v>78318213</v>
      </c>
      <c r="F225" s="10" t="s">
        <v>802</v>
      </c>
      <c r="G225" s="10" t="s">
        <v>120</v>
      </c>
      <c r="H225" s="10" t="s">
        <v>803</v>
      </c>
      <c r="I225" s="10" t="s">
        <v>84</v>
      </c>
    </row>
    <row r="226" spans="1:9" x14ac:dyDescent="0.15">
      <c r="A226" s="9">
        <v>225</v>
      </c>
      <c r="B226" s="10" t="s">
        <v>9</v>
      </c>
      <c r="C226" s="10" t="s">
        <v>126</v>
      </c>
      <c r="D226" s="10" t="s">
        <v>127</v>
      </c>
      <c r="E226" s="11" t="str">
        <f>+HYPERLINK("http://trademark.i-assist.jp/data/china/image_1899th/78319320.pdf", "78319320")</f>
        <v>78319320</v>
      </c>
      <c r="F226" s="10" t="s">
        <v>804</v>
      </c>
      <c r="G226" s="10" t="s">
        <v>805</v>
      </c>
      <c r="H226" s="10" t="s">
        <v>806</v>
      </c>
      <c r="I226" s="10" t="s">
        <v>84</v>
      </c>
    </row>
    <row r="227" spans="1:9" x14ac:dyDescent="0.15">
      <c r="A227" s="9">
        <v>226</v>
      </c>
      <c r="B227" s="10" t="s">
        <v>9</v>
      </c>
      <c r="C227" s="10" t="s">
        <v>126</v>
      </c>
      <c r="D227" s="10" t="s">
        <v>127</v>
      </c>
      <c r="E227" s="11" t="str">
        <f>+HYPERLINK("http://trademark.i-assist.jp/data/china/image_1899th/78319420.pdf", "78319420")</f>
        <v>78319420</v>
      </c>
      <c r="F227" s="10" t="s">
        <v>807</v>
      </c>
      <c r="G227" s="10" t="s">
        <v>808</v>
      </c>
      <c r="H227" s="10" t="s">
        <v>809</v>
      </c>
      <c r="I227" s="10" t="s">
        <v>84</v>
      </c>
    </row>
    <row r="228" spans="1:9" x14ac:dyDescent="0.15">
      <c r="A228" s="9">
        <v>227</v>
      </c>
      <c r="B228" s="10" t="s">
        <v>9</v>
      </c>
      <c r="C228" s="10" t="s">
        <v>126</v>
      </c>
      <c r="D228" s="10" t="s">
        <v>127</v>
      </c>
      <c r="E228" s="11" t="str">
        <f>+HYPERLINK("http://trademark.i-assist.jp/data/china/image_1899th/78323245.pdf", "78323245")</f>
        <v>78323245</v>
      </c>
      <c r="F228" s="10" t="s">
        <v>15</v>
      </c>
      <c r="G228" s="10" t="s">
        <v>810</v>
      </c>
      <c r="H228" s="10" t="s">
        <v>811</v>
      </c>
      <c r="I228" s="10" t="s">
        <v>84</v>
      </c>
    </row>
    <row r="229" spans="1:9" x14ac:dyDescent="0.15">
      <c r="A229" s="9">
        <v>228</v>
      </c>
      <c r="B229" s="10" t="s">
        <v>9</v>
      </c>
      <c r="C229" s="10" t="s">
        <v>126</v>
      </c>
      <c r="D229" s="10" t="s">
        <v>127</v>
      </c>
      <c r="E229" s="11" t="str">
        <f>+HYPERLINK("http://trademark.i-assist.jp/data/china/image_1899th/78323435.pdf", "78323435")</f>
        <v>78323435</v>
      </c>
      <c r="F229" s="10" t="s">
        <v>812</v>
      </c>
      <c r="G229" s="10" t="s">
        <v>120</v>
      </c>
      <c r="H229" s="10" t="s">
        <v>813</v>
      </c>
      <c r="I229" s="10" t="s">
        <v>84</v>
      </c>
    </row>
    <row r="230" spans="1:9" x14ac:dyDescent="0.15">
      <c r="A230" s="9">
        <v>229</v>
      </c>
      <c r="B230" s="10" t="s">
        <v>9</v>
      </c>
      <c r="C230" s="10" t="s">
        <v>126</v>
      </c>
      <c r="D230" s="10" t="s">
        <v>127</v>
      </c>
      <c r="E230" s="11" t="str">
        <f>+HYPERLINK("http://trademark.i-assist.jp/data/china/image_1899th/78326835.pdf", "78326835")</f>
        <v>78326835</v>
      </c>
      <c r="F230" s="10" t="s">
        <v>814</v>
      </c>
      <c r="G230" s="10" t="s">
        <v>815</v>
      </c>
      <c r="H230" s="10" t="s">
        <v>816</v>
      </c>
      <c r="I230" s="10" t="s">
        <v>84</v>
      </c>
    </row>
    <row r="231" spans="1:9" x14ac:dyDescent="0.15">
      <c r="A231" s="9">
        <v>230</v>
      </c>
      <c r="B231" s="10" t="s">
        <v>9</v>
      </c>
      <c r="C231" s="10" t="s">
        <v>126</v>
      </c>
      <c r="D231" s="10" t="s">
        <v>127</v>
      </c>
      <c r="E231" s="11" t="str">
        <f>+HYPERLINK("http://trademark.i-assist.jp/data/china/image_1899th/78326882.pdf", "78326882")</f>
        <v>78326882</v>
      </c>
      <c r="F231" s="10" t="s">
        <v>817</v>
      </c>
      <c r="G231" s="10" t="s">
        <v>818</v>
      </c>
      <c r="H231" s="10" t="s">
        <v>819</v>
      </c>
      <c r="I231" s="10" t="s">
        <v>84</v>
      </c>
    </row>
    <row r="232" spans="1:9" x14ac:dyDescent="0.15">
      <c r="A232" s="9">
        <v>231</v>
      </c>
      <c r="B232" s="10" t="s">
        <v>9</v>
      </c>
      <c r="C232" s="10" t="s">
        <v>126</v>
      </c>
      <c r="D232" s="10" t="s">
        <v>127</v>
      </c>
      <c r="E232" s="11" t="str">
        <f>+HYPERLINK("http://trademark.i-assist.jp/data/china/image_1899th/78328783.pdf", "78328783")</f>
        <v>78328783</v>
      </c>
      <c r="F232" s="10" t="s">
        <v>820</v>
      </c>
      <c r="G232" s="10" t="s">
        <v>815</v>
      </c>
      <c r="H232" s="10" t="s">
        <v>821</v>
      </c>
      <c r="I232" s="10" t="s">
        <v>84</v>
      </c>
    </row>
    <row r="233" spans="1:9" x14ac:dyDescent="0.15">
      <c r="A233" s="9">
        <v>232</v>
      </c>
      <c r="B233" s="10" t="s">
        <v>9</v>
      </c>
      <c r="C233" s="10" t="s">
        <v>126</v>
      </c>
      <c r="D233" s="10" t="s">
        <v>127</v>
      </c>
      <c r="E233" s="11" t="str">
        <f>+HYPERLINK("http://trademark.i-assist.jp/data/china/image_1899th/78329411.pdf", "78329411")</f>
        <v>78329411</v>
      </c>
      <c r="F233" s="10" t="s">
        <v>822</v>
      </c>
      <c r="G233" s="10" t="s">
        <v>120</v>
      </c>
      <c r="H233" s="10" t="s">
        <v>823</v>
      </c>
      <c r="I233" s="10" t="s">
        <v>84</v>
      </c>
    </row>
    <row r="234" spans="1:9" x14ac:dyDescent="0.15">
      <c r="A234" s="9">
        <v>233</v>
      </c>
      <c r="B234" s="10" t="s">
        <v>9</v>
      </c>
      <c r="C234" s="10" t="s">
        <v>126</v>
      </c>
      <c r="D234" s="10" t="s">
        <v>127</v>
      </c>
      <c r="E234" s="11" t="str">
        <f>+HYPERLINK("http://trademark.i-assist.jp/data/china/image_1899th/78330472.pdf", "78330472")</f>
        <v>78330472</v>
      </c>
      <c r="F234" s="10" t="s">
        <v>824</v>
      </c>
      <c r="G234" s="10" t="s">
        <v>825</v>
      </c>
      <c r="H234" s="10" t="s">
        <v>826</v>
      </c>
      <c r="I234" s="10" t="s">
        <v>84</v>
      </c>
    </row>
    <row r="235" spans="1:9" x14ac:dyDescent="0.15">
      <c r="A235" s="9">
        <v>234</v>
      </c>
      <c r="B235" s="10" t="s">
        <v>9</v>
      </c>
      <c r="C235" s="10" t="s">
        <v>126</v>
      </c>
      <c r="D235" s="10" t="s">
        <v>127</v>
      </c>
      <c r="E235" s="11" t="str">
        <f>+HYPERLINK("http://trademark.i-assist.jp/data/china/image_1899th/78330826.pdf", "78330826")</f>
        <v>78330826</v>
      </c>
      <c r="F235" s="10" t="s">
        <v>827</v>
      </c>
      <c r="G235" s="10" t="s">
        <v>828</v>
      </c>
      <c r="H235" s="10" t="s">
        <v>829</v>
      </c>
      <c r="I235" s="10" t="s">
        <v>84</v>
      </c>
    </row>
    <row r="236" spans="1:9" x14ac:dyDescent="0.15">
      <c r="A236" s="9">
        <v>235</v>
      </c>
      <c r="B236" s="10" t="s">
        <v>9</v>
      </c>
      <c r="C236" s="10" t="s">
        <v>126</v>
      </c>
      <c r="D236" s="10" t="s">
        <v>127</v>
      </c>
      <c r="E236" s="11" t="str">
        <f>+HYPERLINK("http://trademark.i-assist.jp/data/china/image_1899th/78331703.pdf", "78331703")</f>
        <v>78331703</v>
      </c>
      <c r="F236" s="10" t="s">
        <v>830</v>
      </c>
      <c r="G236" s="10" t="s">
        <v>831</v>
      </c>
      <c r="H236" s="10" t="s">
        <v>832</v>
      </c>
      <c r="I236" s="10" t="s">
        <v>84</v>
      </c>
    </row>
    <row r="237" spans="1:9" x14ac:dyDescent="0.15">
      <c r="A237" s="9">
        <v>236</v>
      </c>
      <c r="B237" s="10" t="s">
        <v>9</v>
      </c>
      <c r="C237" s="10" t="s">
        <v>126</v>
      </c>
      <c r="D237" s="10" t="s">
        <v>127</v>
      </c>
      <c r="E237" s="11" t="str">
        <f>+HYPERLINK("http://trademark.i-assist.jp/data/china/image_1899th/78332397.pdf", "78332397")</f>
        <v>78332397</v>
      </c>
      <c r="F237" s="10" t="s">
        <v>833</v>
      </c>
      <c r="G237" s="10" t="s">
        <v>834</v>
      </c>
      <c r="H237" s="10" t="s">
        <v>835</v>
      </c>
      <c r="I237" s="10" t="s">
        <v>84</v>
      </c>
    </row>
    <row r="238" spans="1:9" x14ac:dyDescent="0.15">
      <c r="A238" s="9">
        <v>237</v>
      </c>
      <c r="B238" s="10" t="s">
        <v>9</v>
      </c>
      <c r="C238" s="10" t="s">
        <v>126</v>
      </c>
      <c r="D238" s="10" t="s">
        <v>127</v>
      </c>
      <c r="E238" s="11" t="str">
        <f>+HYPERLINK("http://trademark.i-assist.jp/data/china/image_1899th/78334115.pdf", "78334115")</f>
        <v>78334115</v>
      </c>
      <c r="F238" s="10" t="s">
        <v>836</v>
      </c>
      <c r="G238" s="10" t="s">
        <v>837</v>
      </c>
      <c r="H238" s="10" t="s">
        <v>838</v>
      </c>
      <c r="I238" s="10" t="s">
        <v>84</v>
      </c>
    </row>
    <row r="239" spans="1:9" x14ac:dyDescent="0.15">
      <c r="A239" s="9">
        <v>238</v>
      </c>
      <c r="B239" s="10" t="s">
        <v>9</v>
      </c>
      <c r="C239" s="10" t="s">
        <v>126</v>
      </c>
      <c r="D239" s="10" t="s">
        <v>127</v>
      </c>
      <c r="E239" s="11" t="str">
        <f>+HYPERLINK("http://trademark.i-assist.jp/data/china/image_1899th/78336248.pdf", "78336248")</f>
        <v>78336248</v>
      </c>
      <c r="F239" s="10" t="s">
        <v>839</v>
      </c>
      <c r="G239" s="10" t="s">
        <v>840</v>
      </c>
      <c r="H239" s="10" t="s">
        <v>841</v>
      </c>
      <c r="I239" s="10" t="s">
        <v>84</v>
      </c>
    </row>
    <row r="240" spans="1:9" x14ac:dyDescent="0.15">
      <c r="A240" s="9">
        <v>239</v>
      </c>
      <c r="B240" s="10" t="s">
        <v>9</v>
      </c>
      <c r="C240" s="10" t="s">
        <v>126</v>
      </c>
      <c r="D240" s="10" t="s">
        <v>127</v>
      </c>
      <c r="E240" s="11" t="str">
        <f>+HYPERLINK("http://trademark.i-assist.jp/data/china/image_1899th/78336435.pdf", "78336435")</f>
        <v>78336435</v>
      </c>
      <c r="F240" s="10" t="s">
        <v>842</v>
      </c>
      <c r="G240" s="10" t="s">
        <v>120</v>
      </c>
      <c r="H240" s="10" t="s">
        <v>843</v>
      </c>
      <c r="I240" s="10" t="s">
        <v>84</v>
      </c>
    </row>
    <row r="241" spans="1:9" x14ac:dyDescent="0.15">
      <c r="A241" s="9">
        <v>240</v>
      </c>
      <c r="B241" s="10" t="s">
        <v>9</v>
      </c>
      <c r="C241" s="10" t="s">
        <v>126</v>
      </c>
      <c r="D241" s="10" t="s">
        <v>127</v>
      </c>
      <c r="E241" s="11" t="str">
        <f>+HYPERLINK("http://trademark.i-assist.jp/data/china/image_1899th/78336671.pdf", "78336671")</f>
        <v>78336671</v>
      </c>
      <c r="F241" s="10" t="s">
        <v>15</v>
      </c>
      <c r="G241" s="10" t="s">
        <v>844</v>
      </c>
      <c r="H241" s="10" t="s">
        <v>845</v>
      </c>
      <c r="I241" s="10" t="s">
        <v>84</v>
      </c>
    </row>
    <row r="242" spans="1:9" x14ac:dyDescent="0.15">
      <c r="A242" s="9">
        <v>241</v>
      </c>
      <c r="B242" s="10" t="s">
        <v>9</v>
      </c>
      <c r="C242" s="10" t="s">
        <v>126</v>
      </c>
      <c r="D242" s="10" t="s">
        <v>127</v>
      </c>
      <c r="E242" s="11" t="str">
        <f>+HYPERLINK("http://trademark.i-assist.jp/data/china/image_1899th/78337174.pdf", "78337174")</f>
        <v>78337174</v>
      </c>
      <c r="F242" s="10" t="s">
        <v>846</v>
      </c>
      <c r="G242" s="10" t="s">
        <v>847</v>
      </c>
      <c r="H242" s="10" t="s">
        <v>848</v>
      </c>
      <c r="I242" s="10" t="s">
        <v>84</v>
      </c>
    </row>
    <row r="243" spans="1:9" x14ac:dyDescent="0.15">
      <c r="A243" s="9">
        <v>242</v>
      </c>
      <c r="B243" s="10" t="s">
        <v>9</v>
      </c>
      <c r="C243" s="10" t="s">
        <v>126</v>
      </c>
      <c r="D243" s="10" t="s">
        <v>127</v>
      </c>
      <c r="E243" s="11" t="str">
        <f>+HYPERLINK("http://trademark.i-assist.jp/data/china/image_1899th/78337648.pdf", "78337648")</f>
        <v>78337648</v>
      </c>
      <c r="F243" s="10" t="s">
        <v>849</v>
      </c>
      <c r="G243" s="10" t="s">
        <v>850</v>
      </c>
      <c r="H243" s="10" t="s">
        <v>851</v>
      </c>
      <c r="I243" s="10" t="s">
        <v>84</v>
      </c>
    </row>
    <row r="244" spans="1:9" x14ac:dyDescent="0.15">
      <c r="A244" s="9">
        <v>243</v>
      </c>
      <c r="B244" s="10" t="s">
        <v>9</v>
      </c>
      <c r="C244" s="10" t="s">
        <v>126</v>
      </c>
      <c r="D244" s="10" t="s">
        <v>127</v>
      </c>
      <c r="E244" s="11" t="str">
        <f>+HYPERLINK("http://trademark.i-assist.jp/data/china/image_1899th/78337781.pdf", "78337781")</f>
        <v>78337781</v>
      </c>
      <c r="F244" s="10" t="s">
        <v>852</v>
      </c>
      <c r="G244" s="10" t="s">
        <v>853</v>
      </c>
      <c r="H244" s="10" t="s">
        <v>854</v>
      </c>
      <c r="I244" s="10" t="s">
        <v>84</v>
      </c>
    </row>
    <row r="245" spans="1:9" x14ac:dyDescent="0.15">
      <c r="A245" s="9">
        <v>244</v>
      </c>
      <c r="B245" s="10" t="s">
        <v>9</v>
      </c>
      <c r="C245" s="10" t="s">
        <v>126</v>
      </c>
      <c r="D245" s="10" t="s">
        <v>127</v>
      </c>
      <c r="E245" s="11" t="str">
        <f>+HYPERLINK("http://trademark.i-assist.jp/data/china/image_1899th/78338501.pdf", "78338501")</f>
        <v>78338501</v>
      </c>
      <c r="F245" s="10" t="s">
        <v>855</v>
      </c>
      <c r="G245" s="10" t="s">
        <v>856</v>
      </c>
      <c r="H245" s="10" t="s">
        <v>857</v>
      </c>
      <c r="I245" s="10" t="s">
        <v>84</v>
      </c>
    </row>
    <row r="246" spans="1:9" x14ac:dyDescent="0.15">
      <c r="A246" s="9">
        <v>245</v>
      </c>
      <c r="B246" s="10" t="s">
        <v>9</v>
      </c>
      <c r="C246" s="10" t="s">
        <v>126</v>
      </c>
      <c r="D246" s="10" t="s">
        <v>127</v>
      </c>
      <c r="E246" s="11" t="str">
        <f>+HYPERLINK("http://trademark.i-assist.jp/data/china/image_1899th/78339772.pdf", "78339772")</f>
        <v>78339772</v>
      </c>
      <c r="F246" s="10" t="s">
        <v>858</v>
      </c>
      <c r="G246" s="10" t="s">
        <v>859</v>
      </c>
      <c r="H246" s="10" t="s">
        <v>860</v>
      </c>
      <c r="I246" s="10" t="s">
        <v>84</v>
      </c>
    </row>
    <row r="247" spans="1:9" x14ac:dyDescent="0.15">
      <c r="A247" s="9">
        <v>246</v>
      </c>
      <c r="B247" s="10" t="s">
        <v>9</v>
      </c>
      <c r="C247" s="10" t="s">
        <v>126</v>
      </c>
      <c r="D247" s="10" t="s">
        <v>127</v>
      </c>
      <c r="E247" s="11" t="str">
        <f>+HYPERLINK("http://trademark.i-assist.jp/data/china/image_1899th/78340296.pdf", "78340296")</f>
        <v>78340296</v>
      </c>
      <c r="F247" s="10" t="s">
        <v>861</v>
      </c>
      <c r="G247" s="10" t="s">
        <v>862</v>
      </c>
      <c r="H247" s="10" t="s">
        <v>863</v>
      </c>
      <c r="I247" s="10" t="s">
        <v>84</v>
      </c>
    </row>
    <row r="248" spans="1:9" x14ac:dyDescent="0.15">
      <c r="A248" s="9">
        <v>247</v>
      </c>
      <c r="B248" s="10" t="s">
        <v>9</v>
      </c>
      <c r="C248" s="10" t="s">
        <v>126</v>
      </c>
      <c r="D248" s="10" t="s">
        <v>127</v>
      </c>
      <c r="E248" s="11" t="str">
        <f>+HYPERLINK("http://trademark.i-assist.jp/data/china/image_1899th/78340389.pdf", "78340389")</f>
        <v>78340389</v>
      </c>
      <c r="F248" s="10" t="s">
        <v>864</v>
      </c>
      <c r="G248" s="10" t="s">
        <v>865</v>
      </c>
      <c r="H248" s="10" t="s">
        <v>866</v>
      </c>
      <c r="I248" s="10" t="s">
        <v>84</v>
      </c>
    </row>
    <row r="249" spans="1:9" x14ac:dyDescent="0.15">
      <c r="A249" s="9">
        <v>248</v>
      </c>
      <c r="B249" s="10" t="s">
        <v>9</v>
      </c>
      <c r="C249" s="10" t="s">
        <v>126</v>
      </c>
      <c r="D249" s="10" t="s">
        <v>127</v>
      </c>
      <c r="E249" s="11" t="str">
        <f>+HYPERLINK("http://trademark.i-assist.jp/data/china/image_1899th/78340450.pdf", "78340450")</f>
        <v>78340450</v>
      </c>
      <c r="F249" s="10" t="s">
        <v>867</v>
      </c>
      <c r="G249" s="10" t="s">
        <v>868</v>
      </c>
      <c r="H249" s="10" t="s">
        <v>869</v>
      </c>
      <c r="I249" s="10" t="s">
        <v>84</v>
      </c>
    </row>
    <row r="250" spans="1:9" x14ac:dyDescent="0.15">
      <c r="A250" s="9">
        <v>249</v>
      </c>
      <c r="B250" s="10" t="s">
        <v>9</v>
      </c>
      <c r="C250" s="10" t="s">
        <v>126</v>
      </c>
      <c r="D250" s="10" t="s">
        <v>127</v>
      </c>
      <c r="E250" s="11" t="str">
        <f>+HYPERLINK("http://trademark.i-assist.jp/data/china/image_1899th/78342405.pdf", "78342405")</f>
        <v>78342405</v>
      </c>
      <c r="F250" s="10" t="s">
        <v>870</v>
      </c>
      <c r="G250" s="10" t="s">
        <v>871</v>
      </c>
      <c r="H250" s="10" t="s">
        <v>872</v>
      </c>
      <c r="I250" s="10" t="s">
        <v>84</v>
      </c>
    </row>
    <row r="251" spans="1:9" x14ac:dyDescent="0.15">
      <c r="A251" s="9">
        <v>250</v>
      </c>
      <c r="B251" s="10" t="s">
        <v>9</v>
      </c>
      <c r="C251" s="10" t="s">
        <v>126</v>
      </c>
      <c r="D251" s="10" t="s">
        <v>127</v>
      </c>
      <c r="E251" s="11" t="str">
        <f>+HYPERLINK("http://trademark.i-assist.jp/data/china/image_1899th/78342771.pdf", "78342771")</f>
        <v>78342771</v>
      </c>
      <c r="F251" s="10" t="s">
        <v>873</v>
      </c>
      <c r="G251" s="10" t="s">
        <v>874</v>
      </c>
      <c r="H251" s="10" t="s">
        <v>875</v>
      </c>
      <c r="I251" s="10" t="s">
        <v>84</v>
      </c>
    </row>
    <row r="252" spans="1:9" x14ac:dyDescent="0.15">
      <c r="A252" s="9">
        <v>251</v>
      </c>
      <c r="B252" s="10" t="s">
        <v>9</v>
      </c>
      <c r="C252" s="10" t="s">
        <v>126</v>
      </c>
      <c r="D252" s="10" t="s">
        <v>127</v>
      </c>
      <c r="E252" s="11" t="str">
        <f>+HYPERLINK("http://trademark.i-assist.jp/data/china/image_1899th/78345303.pdf", "78345303")</f>
        <v>78345303</v>
      </c>
      <c r="F252" s="10" t="s">
        <v>876</v>
      </c>
      <c r="G252" s="10" t="s">
        <v>805</v>
      </c>
      <c r="H252" s="10" t="s">
        <v>877</v>
      </c>
      <c r="I252" s="10" t="s">
        <v>84</v>
      </c>
    </row>
    <row r="253" spans="1:9" x14ac:dyDescent="0.15">
      <c r="A253" s="9">
        <v>252</v>
      </c>
      <c r="B253" s="10" t="s">
        <v>9</v>
      </c>
      <c r="C253" s="10" t="s">
        <v>126</v>
      </c>
      <c r="D253" s="10" t="s">
        <v>127</v>
      </c>
      <c r="E253" s="11" t="str">
        <f>+HYPERLINK("http://trademark.i-assist.jp/data/china/image_1899th/78345799.pdf", "78345799")</f>
        <v>78345799</v>
      </c>
      <c r="F253" s="10" t="s">
        <v>878</v>
      </c>
      <c r="G253" s="10" t="s">
        <v>879</v>
      </c>
      <c r="H253" s="10" t="s">
        <v>880</v>
      </c>
      <c r="I253" s="10" t="s">
        <v>84</v>
      </c>
    </row>
    <row r="254" spans="1:9" x14ac:dyDescent="0.15">
      <c r="A254" s="9">
        <v>253</v>
      </c>
      <c r="B254" s="10" t="s">
        <v>9</v>
      </c>
      <c r="C254" s="10" t="s">
        <v>126</v>
      </c>
      <c r="D254" s="10" t="s">
        <v>127</v>
      </c>
      <c r="E254" s="11" t="str">
        <f>+HYPERLINK("http://trademark.i-assist.jp/data/china/image_1899th/78346081.pdf", "78346081")</f>
        <v>78346081</v>
      </c>
      <c r="F254" s="10" t="s">
        <v>881</v>
      </c>
      <c r="G254" s="10" t="s">
        <v>882</v>
      </c>
      <c r="H254" s="10" t="s">
        <v>883</v>
      </c>
      <c r="I254" s="10" t="s">
        <v>84</v>
      </c>
    </row>
    <row r="255" spans="1:9" x14ac:dyDescent="0.15">
      <c r="A255" s="9">
        <v>254</v>
      </c>
      <c r="B255" s="10" t="s">
        <v>9</v>
      </c>
      <c r="C255" s="10" t="s">
        <v>126</v>
      </c>
      <c r="D255" s="10" t="s">
        <v>127</v>
      </c>
      <c r="E255" s="11" t="str">
        <f>+HYPERLINK("http://trademark.i-assist.jp/data/china/image_1899th/78346231.pdf", "78346231")</f>
        <v>78346231</v>
      </c>
      <c r="F255" s="10" t="s">
        <v>884</v>
      </c>
      <c r="G255" s="10" t="s">
        <v>885</v>
      </c>
      <c r="H255" s="10" t="s">
        <v>886</v>
      </c>
      <c r="I255" s="10" t="s">
        <v>84</v>
      </c>
    </row>
    <row r="256" spans="1:9" x14ac:dyDescent="0.15">
      <c r="A256" s="9">
        <v>255</v>
      </c>
      <c r="B256" s="10" t="s">
        <v>9</v>
      </c>
      <c r="C256" s="10" t="s">
        <v>126</v>
      </c>
      <c r="D256" s="10" t="s">
        <v>127</v>
      </c>
      <c r="E256" s="11" t="str">
        <f>+HYPERLINK("http://trademark.i-assist.jp/data/china/image_1899th/78348951.pdf", "78348951")</f>
        <v>78348951</v>
      </c>
      <c r="F256" s="10" t="s">
        <v>887</v>
      </c>
      <c r="G256" s="10" t="s">
        <v>888</v>
      </c>
      <c r="H256" s="10" t="s">
        <v>889</v>
      </c>
      <c r="I256" s="10" t="s">
        <v>84</v>
      </c>
    </row>
    <row r="257" spans="1:9" x14ac:dyDescent="0.15">
      <c r="A257" s="9">
        <v>256</v>
      </c>
      <c r="B257" s="10" t="s">
        <v>9</v>
      </c>
      <c r="C257" s="10" t="s">
        <v>126</v>
      </c>
      <c r="D257" s="10" t="s">
        <v>127</v>
      </c>
      <c r="E257" s="11" t="str">
        <f>+HYPERLINK("http://trademark.i-assist.jp/data/china/image_1899th/78351795A.pdf", "78351795A")</f>
        <v>78351795A</v>
      </c>
      <c r="F257" s="10" t="s">
        <v>890</v>
      </c>
      <c r="G257" s="10" t="s">
        <v>891</v>
      </c>
      <c r="H257" s="10" t="s">
        <v>892</v>
      </c>
      <c r="I257" s="10" t="s">
        <v>86</v>
      </c>
    </row>
    <row r="258" spans="1:9" x14ac:dyDescent="0.15">
      <c r="A258" s="9">
        <v>257</v>
      </c>
      <c r="B258" s="10" t="s">
        <v>9</v>
      </c>
      <c r="C258" s="10" t="s">
        <v>126</v>
      </c>
      <c r="D258" s="10" t="s">
        <v>127</v>
      </c>
      <c r="E258" s="11" t="str">
        <f>+HYPERLINK("http://trademark.i-assist.jp/data/china/image_1899th/78353209.pdf", "78353209")</f>
        <v>78353209</v>
      </c>
      <c r="F258" s="10" t="s">
        <v>893</v>
      </c>
      <c r="G258" s="10" t="s">
        <v>894</v>
      </c>
      <c r="H258" s="10" t="s">
        <v>895</v>
      </c>
      <c r="I258" s="10" t="s">
        <v>87</v>
      </c>
    </row>
    <row r="259" spans="1:9" x14ac:dyDescent="0.15">
      <c r="A259" s="9">
        <v>258</v>
      </c>
      <c r="B259" s="10" t="s">
        <v>9</v>
      </c>
      <c r="C259" s="10" t="s">
        <v>126</v>
      </c>
      <c r="D259" s="10" t="s">
        <v>127</v>
      </c>
      <c r="E259" s="11" t="str">
        <f>+HYPERLINK("http://trademark.i-assist.jp/data/china/image_1899th/78353780.pdf", "78353780")</f>
        <v>78353780</v>
      </c>
      <c r="F259" s="10" t="s">
        <v>896</v>
      </c>
      <c r="G259" s="10" t="s">
        <v>897</v>
      </c>
      <c r="H259" s="10" t="s">
        <v>898</v>
      </c>
      <c r="I259" s="10" t="s">
        <v>87</v>
      </c>
    </row>
    <row r="260" spans="1:9" x14ac:dyDescent="0.15">
      <c r="A260" s="9">
        <v>259</v>
      </c>
      <c r="B260" s="10" t="s">
        <v>9</v>
      </c>
      <c r="C260" s="10" t="s">
        <v>126</v>
      </c>
      <c r="D260" s="10" t="s">
        <v>127</v>
      </c>
      <c r="E260" s="11" t="str">
        <f>+HYPERLINK("http://trademark.i-assist.jp/data/china/image_1899th/78355125.pdf", "78355125")</f>
        <v>78355125</v>
      </c>
      <c r="F260" s="10" t="s">
        <v>899</v>
      </c>
      <c r="G260" s="10" t="s">
        <v>900</v>
      </c>
      <c r="H260" s="10" t="s">
        <v>901</v>
      </c>
      <c r="I260" s="10" t="s">
        <v>86</v>
      </c>
    </row>
    <row r="261" spans="1:9" x14ac:dyDescent="0.15">
      <c r="A261" s="9">
        <v>260</v>
      </c>
      <c r="B261" s="10" t="s">
        <v>9</v>
      </c>
      <c r="C261" s="10" t="s">
        <v>126</v>
      </c>
      <c r="D261" s="10" t="s">
        <v>127</v>
      </c>
      <c r="E261" s="11" t="str">
        <f>+HYPERLINK("http://trademark.i-assist.jp/data/china/image_1899th/78355581.pdf", "78355581")</f>
        <v>78355581</v>
      </c>
      <c r="F261" s="10" t="s">
        <v>902</v>
      </c>
      <c r="G261" s="10" t="s">
        <v>903</v>
      </c>
      <c r="H261" s="10" t="s">
        <v>904</v>
      </c>
      <c r="I261" s="10" t="s">
        <v>86</v>
      </c>
    </row>
    <row r="262" spans="1:9" x14ac:dyDescent="0.15">
      <c r="A262" s="9">
        <v>261</v>
      </c>
      <c r="B262" s="10" t="s">
        <v>9</v>
      </c>
      <c r="C262" s="10" t="s">
        <v>126</v>
      </c>
      <c r="D262" s="10" t="s">
        <v>127</v>
      </c>
      <c r="E262" s="11" t="str">
        <f>+HYPERLINK("http://trademark.i-assist.jp/data/china/image_1899th/78356688.pdf", "78356688")</f>
        <v>78356688</v>
      </c>
      <c r="F262" s="10" t="s">
        <v>905</v>
      </c>
      <c r="G262" s="10" t="s">
        <v>906</v>
      </c>
      <c r="H262" s="10" t="s">
        <v>907</v>
      </c>
      <c r="I262" s="10" t="s">
        <v>86</v>
      </c>
    </row>
    <row r="263" spans="1:9" x14ac:dyDescent="0.15">
      <c r="A263" s="9">
        <v>262</v>
      </c>
      <c r="B263" s="10" t="s">
        <v>9</v>
      </c>
      <c r="C263" s="10" t="s">
        <v>126</v>
      </c>
      <c r="D263" s="10" t="s">
        <v>127</v>
      </c>
      <c r="E263" s="11" t="str">
        <f>+HYPERLINK("http://trademark.i-assist.jp/data/china/image_1899th/78360627.pdf", "78360627")</f>
        <v>78360627</v>
      </c>
      <c r="F263" s="10" t="s">
        <v>908</v>
      </c>
      <c r="G263" s="10" t="s">
        <v>909</v>
      </c>
      <c r="H263" s="10" t="s">
        <v>910</v>
      </c>
      <c r="I263" s="10" t="s">
        <v>86</v>
      </c>
    </row>
    <row r="264" spans="1:9" x14ac:dyDescent="0.15">
      <c r="A264" s="9">
        <v>263</v>
      </c>
      <c r="B264" s="10" t="s">
        <v>9</v>
      </c>
      <c r="C264" s="10" t="s">
        <v>126</v>
      </c>
      <c r="D264" s="10" t="s">
        <v>127</v>
      </c>
      <c r="E264" s="11" t="str">
        <f>+HYPERLINK("http://trademark.i-assist.jp/data/china/image_1899th/78362370.pdf", "78362370")</f>
        <v>78362370</v>
      </c>
      <c r="F264" s="10" t="s">
        <v>911</v>
      </c>
      <c r="G264" s="10" t="s">
        <v>912</v>
      </c>
      <c r="H264" s="10" t="s">
        <v>913</v>
      </c>
      <c r="I264" s="10" t="s">
        <v>86</v>
      </c>
    </row>
    <row r="265" spans="1:9" x14ac:dyDescent="0.15">
      <c r="A265" s="9">
        <v>264</v>
      </c>
      <c r="B265" s="10" t="s">
        <v>9</v>
      </c>
      <c r="C265" s="10" t="s">
        <v>126</v>
      </c>
      <c r="D265" s="10" t="s">
        <v>127</v>
      </c>
      <c r="E265" s="11" t="str">
        <f>+HYPERLINK("http://trademark.i-assist.jp/data/china/image_1899th/78366976A.pdf", "78366976A")</f>
        <v>78366976A</v>
      </c>
      <c r="F265" s="10" t="s">
        <v>914</v>
      </c>
      <c r="G265" s="10" t="s">
        <v>915</v>
      </c>
      <c r="H265" s="10" t="s">
        <v>34</v>
      </c>
      <c r="I265" s="10" t="s">
        <v>86</v>
      </c>
    </row>
    <row r="266" spans="1:9" x14ac:dyDescent="0.15">
      <c r="A266" s="9">
        <v>265</v>
      </c>
      <c r="B266" s="10" t="s">
        <v>9</v>
      </c>
      <c r="C266" s="10" t="s">
        <v>126</v>
      </c>
      <c r="D266" s="10" t="s">
        <v>127</v>
      </c>
      <c r="E266" s="11" t="str">
        <f>+HYPERLINK("http://trademark.i-assist.jp/data/china/image_1899th/78370086.pdf", "78370086")</f>
        <v>78370086</v>
      </c>
      <c r="F266" s="10" t="s">
        <v>916</v>
      </c>
      <c r="G266" s="10" t="s">
        <v>917</v>
      </c>
      <c r="H266" s="10" t="s">
        <v>918</v>
      </c>
      <c r="I266" s="10" t="s">
        <v>87</v>
      </c>
    </row>
    <row r="267" spans="1:9" x14ac:dyDescent="0.15">
      <c r="A267" s="9">
        <v>266</v>
      </c>
      <c r="B267" s="10" t="s">
        <v>9</v>
      </c>
      <c r="C267" s="10" t="s">
        <v>126</v>
      </c>
      <c r="D267" s="10" t="s">
        <v>127</v>
      </c>
      <c r="E267" s="11" t="str">
        <f>+HYPERLINK("http://trademark.i-assist.jp/data/china/image_1899th/78370500.pdf", "78370500")</f>
        <v>78370500</v>
      </c>
      <c r="F267" s="10" t="s">
        <v>919</v>
      </c>
      <c r="G267" s="10" t="s">
        <v>920</v>
      </c>
      <c r="H267" s="10" t="s">
        <v>921</v>
      </c>
      <c r="I267" s="10" t="s">
        <v>86</v>
      </c>
    </row>
    <row r="268" spans="1:9" x14ac:dyDescent="0.15">
      <c r="A268" s="9">
        <v>267</v>
      </c>
      <c r="B268" s="10" t="s">
        <v>9</v>
      </c>
      <c r="C268" s="10" t="s">
        <v>126</v>
      </c>
      <c r="D268" s="10" t="s">
        <v>127</v>
      </c>
      <c r="E268" s="11" t="str">
        <f>+HYPERLINK("http://trademark.i-assist.jp/data/china/image_1899th/78371955.pdf", "78371955")</f>
        <v>78371955</v>
      </c>
      <c r="F268" s="10" t="s">
        <v>922</v>
      </c>
      <c r="G268" s="10" t="s">
        <v>923</v>
      </c>
      <c r="H268" s="10" t="s">
        <v>924</v>
      </c>
      <c r="I268" s="10" t="s">
        <v>86</v>
      </c>
    </row>
    <row r="269" spans="1:9" x14ac:dyDescent="0.15">
      <c r="A269" s="9">
        <v>268</v>
      </c>
      <c r="B269" s="10" t="s">
        <v>9</v>
      </c>
      <c r="C269" s="10" t="s">
        <v>126</v>
      </c>
      <c r="D269" s="10" t="s">
        <v>127</v>
      </c>
      <c r="E269" s="11" t="str">
        <f>+HYPERLINK("http://trademark.i-assist.jp/data/china/image_1899th/78373793.pdf", "78373793")</f>
        <v>78373793</v>
      </c>
      <c r="F269" s="10" t="s">
        <v>925</v>
      </c>
      <c r="G269" s="10" t="s">
        <v>909</v>
      </c>
      <c r="H269" s="10" t="s">
        <v>926</v>
      </c>
      <c r="I269" s="10" t="s">
        <v>86</v>
      </c>
    </row>
    <row r="270" spans="1:9" x14ac:dyDescent="0.15">
      <c r="A270" s="9">
        <v>269</v>
      </c>
      <c r="B270" s="10" t="s">
        <v>9</v>
      </c>
      <c r="C270" s="10" t="s">
        <v>126</v>
      </c>
      <c r="D270" s="10" t="s">
        <v>127</v>
      </c>
      <c r="E270" s="11" t="str">
        <f>+HYPERLINK("http://trademark.i-assist.jp/data/china/image_1899th/78375208.pdf", "78375208")</f>
        <v>78375208</v>
      </c>
      <c r="F270" s="10" t="s">
        <v>15</v>
      </c>
      <c r="G270" s="10" t="s">
        <v>88</v>
      </c>
      <c r="H270" s="10" t="s">
        <v>927</v>
      </c>
      <c r="I270" s="10" t="s">
        <v>86</v>
      </c>
    </row>
    <row r="271" spans="1:9" x14ac:dyDescent="0.15">
      <c r="A271" s="9">
        <v>270</v>
      </c>
      <c r="B271" s="10" t="s">
        <v>9</v>
      </c>
      <c r="C271" s="10" t="s">
        <v>126</v>
      </c>
      <c r="D271" s="10" t="s">
        <v>127</v>
      </c>
      <c r="E271" s="11" t="str">
        <f>+HYPERLINK("http://trademark.i-assist.jp/data/china/image_1899th/78376221.pdf", "78376221")</f>
        <v>78376221</v>
      </c>
      <c r="F271" s="10" t="s">
        <v>928</v>
      </c>
      <c r="G271" s="10" t="s">
        <v>929</v>
      </c>
      <c r="H271" s="10" t="s">
        <v>930</v>
      </c>
      <c r="I271" s="10" t="s">
        <v>86</v>
      </c>
    </row>
    <row r="272" spans="1:9" x14ac:dyDescent="0.15">
      <c r="A272" s="9">
        <v>271</v>
      </c>
      <c r="B272" s="10" t="s">
        <v>9</v>
      </c>
      <c r="C272" s="10" t="s">
        <v>126</v>
      </c>
      <c r="D272" s="10" t="s">
        <v>127</v>
      </c>
      <c r="E272" s="11" t="str">
        <f>+HYPERLINK("http://trademark.i-assist.jp/data/china/image_1899th/78380626.pdf", "78380626")</f>
        <v>78380626</v>
      </c>
      <c r="F272" s="10" t="s">
        <v>931</v>
      </c>
      <c r="G272" s="10" t="s">
        <v>98</v>
      </c>
      <c r="H272" s="10" t="s">
        <v>932</v>
      </c>
      <c r="I272" s="10" t="s">
        <v>86</v>
      </c>
    </row>
    <row r="273" spans="1:9" x14ac:dyDescent="0.15">
      <c r="A273" s="9">
        <v>272</v>
      </c>
      <c r="B273" s="10" t="s">
        <v>9</v>
      </c>
      <c r="C273" s="10" t="s">
        <v>126</v>
      </c>
      <c r="D273" s="10" t="s">
        <v>127</v>
      </c>
      <c r="E273" s="11" t="str">
        <f>+HYPERLINK("http://trademark.i-assist.jp/data/china/image_1899th/78385653.pdf", "78385653")</f>
        <v>78385653</v>
      </c>
      <c r="F273" s="10" t="s">
        <v>933</v>
      </c>
      <c r="G273" s="10" t="s">
        <v>917</v>
      </c>
      <c r="H273" s="10" t="s">
        <v>934</v>
      </c>
      <c r="I273" s="10" t="s">
        <v>87</v>
      </c>
    </row>
    <row r="274" spans="1:9" x14ac:dyDescent="0.15">
      <c r="A274" s="9">
        <v>273</v>
      </c>
      <c r="B274" s="10" t="s">
        <v>9</v>
      </c>
      <c r="C274" s="10" t="s">
        <v>126</v>
      </c>
      <c r="D274" s="10" t="s">
        <v>127</v>
      </c>
      <c r="E274" s="11" t="str">
        <f>+HYPERLINK("http://trademark.i-assist.jp/data/china/image_1899th/78385688.pdf", "78385688")</f>
        <v>78385688</v>
      </c>
      <c r="F274" s="10" t="s">
        <v>935</v>
      </c>
      <c r="G274" s="10" t="s">
        <v>917</v>
      </c>
      <c r="H274" s="10" t="s">
        <v>936</v>
      </c>
      <c r="I274" s="10" t="s">
        <v>87</v>
      </c>
    </row>
    <row r="275" spans="1:9" x14ac:dyDescent="0.15">
      <c r="A275" s="9">
        <v>274</v>
      </c>
      <c r="B275" s="10" t="s">
        <v>9</v>
      </c>
      <c r="C275" s="10" t="s">
        <v>126</v>
      </c>
      <c r="D275" s="10" t="s">
        <v>127</v>
      </c>
      <c r="E275" s="11" t="str">
        <f>+HYPERLINK("http://trademark.i-assist.jp/data/china/image_1899th/78385789.pdf", "78385789")</f>
        <v>78385789</v>
      </c>
      <c r="F275" s="10" t="s">
        <v>937</v>
      </c>
      <c r="G275" s="10" t="s">
        <v>917</v>
      </c>
      <c r="H275" s="10" t="s">
        <v>938</v>
      </c>
      <c r="I275" s="10" t="s">
        <v>87</v>
      </c>
    </row>
    <row r="276" spans="1:9" x14ac:dyDescent="0.15">
      <c r="A276" s="9">
        <v>275</v>
      </c>
      <c r="B276" s="10" t="s">
        <v>9</v>
      </c>
      <c r="C276" s="10" t="s">
        <v>126</v>
      </c>
      <c r="D276" s="10" t="s">
        <v>127</v>
      </c>
      <c r="E276" s="11" t="str">
        <f>+HYPERLINK("http://trademark.i-assist.jp/data/china/image_1899th/78386077.pdf", "78386077")</f>
        <v>78386077</v>
      </c>
      <c r="F276" s="10" t="s">
        <v>939</v>
      </c>
      <c r="G276" s="10" t="s">
        <v>917</v>
      </c>
      <c r="H276" s="10" t="s">
        <v>940</v>
      </c>
      <c r="I276" s="10" t="s">
        <v>87</v>
      </c>
    </row>
    <row r="277" spans="1:9" x14ac:dyDescent="0.15">
      <c r="A277" s="9">
        <v>276</v>
      </c>
      <c r="B277" s="10" t="s">
        <v>9</v>
      </c>
      <c r="C277" s="10" t="s">
        <v>126</v>
      </c>
      <c r="D277" s="10" t="s">
        <v>127</v>
      </c>
      <c r="E277" s="11" t="str">
        <f>+HYPERLINK("http://trademark.i-assist.jp/data/china/image_1899th/78390408.pdf", "78390408")</f>
        <v>78390408</v>
      </c>
      <c r="F277" s="10" t="s">
        <v>941</v>
      </c>
      <c r="G277" s="10" t="s">
        <v>917</v>
      </c>
      <c r="H277" s="10" t="s">
        <v>942</v>
      </c>
      <c r="I277" s="10" t="s">
        <v>87</v>
      </c>
    </row>
    <row r="278" spans="1:9" x14ac:dyDescent="0.15">
      <c r="A278" s="9">
        <v>277</v>
      </c>
      <c r="B278" s="10" t="s">
        <v>9</v>
      </c>
      <c r="C278" s="10" t="s">
        <v>126</v>
      </c>
      <c r="D278" s="10" t="s">
        <v>127</v>
      </c>
      <c r="E278" s="11" t="str">
        <f>+HYPERLINK("http://trademark.i-assist.jp/data/china/image_1899th/78390558.pdf", "78390558")</f>
        <v>78390558</v>
      </c>
      <c r="F278" s="10" t="s">
        <v>943</v>
      </c>
      <c r="G278" s="10" t="s">
        <v>944</v>
      </c>
      <c r="H278" s="10" t="s">
        <v>945</v>
      </c>
      <c r="I278" s="10" t="s">
        <v>87</v>
      </c>
    </row>
    <row r="279" spans="1:9" x14ac:dyDescent="0.15">
      <c r="A279" s="9">
        <v>278</v>
      </c>
      <c r="B279" s="10" t="s">
        <v>9</v>
      </c>
      <c r="C279" s="10" t="s">
        <v>126</v>
      </c>
      <c r="D279" s="10" t="s">
        <v>127</v>
      </c>
      <c r="E279" s="11" t="str">
        <f>+HYPERLINK("http://trademark.i-assist.jp/data/china/image_1899th/78391879.pdf", "78391879")</f>
        <v>78391879</v>
      </c>
      <c r="F279" s="10" t="s">
        <v>946</v>
      </c>
      <c r="G279" s="10" t="s">
        <v>917</v>
      </c>
      <c r="H279" s="10" t="s">
        <v>947</v>
      </c>
      <c r="I279" s="10" t="s">
        <v>87</v>
      </c>
    </row>
    <row r="280" spans="1:9" x14ac:dyDescent="0.15">
      <c r="A280" s="9">
        <v>279</v>
      </c>
      <c r="B280" s="10" t="s">
        <v>9</v>
      </c>
      <c r="C280" s="10" t="s">
        <v>126</v>
      </c>
      <c r="D280" s="10" t="s">
        <v>127</v>
      </c>
      <c r="E280" s="11" t="str">
        <f>+HYPERLINK("http://trademark.i-assist.jp/data/china/image_1899th/78392043.pdf", "78392043")</f>
        <v>78392043</v>
      </c>
      <c r="F280" s="10" t="s">
        <v>948</v>
      </c>
      <c r="G280" s="10" t="s">
        <v>949</v>
      </c>
      <c r="H280" s="10" t="s">
        <v>950</v>
      </c>
      <c r="I280" s="10" t="s">
        <v>87</v>
      </c>
    </row>
    <row r="281" spans="1:9" x14ac:dyDescent="0.15">
      <c r="A281" s="9">
        <v>280</v>
      </c>
      <c r="B281" s="10" t="s">
        <v>9</v>
      </c>
      <c r="C281" s="10" t="s">
        <v>126</v>
      </c>
      <c r="D281" s="10" t="s">
        <v>127</v>
      </c>
      <c r="E281" s="11" t="str">
        <f>+HYPERLINK("http://trademark.i-assist.jp/data/china/image_1899th/78392291.pdf", "78392291")</f>
        <v>78392291</v>
      </c>
      <c r="F281" s="10" t="s">
        <v>951</v>
      </c>
      <c r="G281" s="10" t="s">
        <v>917</v>
      </c>
      <c r="H281" s="10" t="s">
        <v>952</v>
      </c>
      <c r="I281" s="10" t="s">
        <v>87</v>
      </c>
    </row>
    <row r="282" spans="1:9" x14ac:dyDescent="0.15">
      <c r="A282" s="9">
        <v>281</v>
      </c>
      <c r="B282" s="10" t="s">
        <v>9</v>
      </c>
      <c r="C282" s="10" t="s">
        <v>126</v>
      </c>
      <c r="D282" s="10" t="s">
        <v>127</v>
      </c>
      <c r="E282" s="11" t="str">
        <f>+HYPERLINK("http://trademark.i-assist.jp/data/china/image_1899th/78392347.pdf", "78392347")</f>
        <v>78392347</v>
      </c>
      <c r="F282" s="10" t="s">
        <v>953</v>
      </c>
      <c r="G282" s="10" t="s">
        <v>917</v>
      </c>
      <c r="H282" s="10" t="s">
        <v>954</v>
      </c>
      <c r="I282" s="10" t="s">
        <v>87</v>
      </c>
    </row>
    <row r="283" spans="1:9" x14ac:dyDescent="0.15">
      <c r="A283" s="9">
        <v>282</v>
      </c>
      <c r="B283" s="10" t="s">
        <v>9</v>
      </c>
      <c r="C283" s="10" t="s">
        <v>126</v>
      </c>
      <c r="D283" s="10" t="s">
        <v>127</v>
      </c>
      <c r="E283" s="11" t="str">
        <f>+HYPERLINK("http://trademark.i-assist.jp/data/china/image_1899th/78392405.pdf", "78392405")</f>
        <v>78392405</v>
      </c>
      <c r="F283" s="10" t="s">
        <v>955</v>
      </c>
      <c r="G283" s="10" t="s">
        <v>917</v>
      </c>
      <c r="H283" s="10" t="s">
        <v>956</v>
      </c>
      <c r="I283" s="10" t="s">
        <v>87</v>
      </c>
    </row>
    <row r="284" spans="1:9" x14ac:dyDescent="0.15">
      <c r="A284" s="9">
        <v>283</v>
      </c>
      <c r="B284" s="10" t="s">
        <v>9</v>
      </c>
      <c r="C284" s="10" t="s">
        <v>126</v>
      </c>
      <c r="D284" s="10" t="s">
        <v>127</v>
      </c>
      <c r="E284" s="11" t="str">
        <f>+HYPERLINK("http://trademark.i-assist.jp/data/china/image_1899th/78392868.pdf", "78392868")</f>
        <v>78392868</v>
      </c>
      <c r="F284" s="10" t="s">
        <v>957</v>
      </c>
      <c r="G284" s="10" t="s">
        <v>917</v>
      </c>
      <c r="H284" s="10" t="s">
        <v>958</v>
      </c>
      <c r="I284" s="10" t="s">
        <v>87</v>
      </c>
    </row>
    <row r="285" spans="1:9" x14ac:dyDescent="0.15">
      <c r="A285" s="9">
        <v>284</v>
      </c>
      <c r="B285" s="10" t="s">
        <v>9</v>
      </c>
      <c r="C285" s="10" t="s">
        <v>126</v>
      </c>
      <c r="D285" s="10" t="s">
        <v>127</v>
      </c>
      <c r="E285" s="11" t="str">
        <f>+HYPERLINK("http://trademark.i-assist.jp/data/china/image_1899th/78393176.pdf", "78393176")</f>
        <v>78393176</v>
      </c>
      <c r="F285" s="10" t="s">
        <v>959</v>
      </c>
      <c r="G285" s="10" t="s">
        <v>917</v>
      </c>
      <c r="H285" s="10" t="s">
        <v>960</v>
      </c>
      <c r="I285" s="10" t="s">
        <v>87</v>
      </c>
    </row>
    <row r="286" spans="1:9" x14ac:dyDescent="0.15">
      <c r="A286" s="9">
        <v>285</v>
      </c>
      <c r="B286" s="10" t="s">
        <v>9</v>
      </c>
      <c r="C286" s="10" t="s">
        <v>126</v>
      </c>
      <c r="D286" s="10" t="s">
        <v>127</v>
      </c>
      <c r="E286" s="11" t="str">
        <f>+HYPERLINK("http://trademark.i-assist.jp/data/china/image_1899th/78393868.pdf", "78393868")</f>
        <v>78393868</v>
      </c>
      <c r="F286" s="10" t="s">
        <v>961</v>
      </c>
      <c r="G286" s="10" t="s">
        <v>917</v>
      </c>
      <c r="H286" s="10" t="s">
        <v>962</v>
      </c>
      <c r="I286" s="10" t="s">
        <v>87</v>
      </c>
    </row>
    <row r="287" spans="1:9" x14ac:dyDescent="0.15">
      <c r="A287" s="9">
        <v>286</v>
      </c>
      <c r="B287" s="10" t="s">
        <v>9</v>
      </c>
      <c r="C287" s="10" t="s">
        <v>126</v>
      </c>
      <c r="D287" s="10" t="s">
        <v>127</v>
      </c>
      <c r="E287" s="11" t="str">
        <f>+HYPERLINK("http://trademark.i-assist.jp/data/china/image_1899th/78393881.pdf", "78393881")</f>
        <v>78393881</v>
      </c>
      <c r="F287" s="10" t="s">
        <v>963</v>
      </c>
      <c r="G287" s="10" t="s">
        <v>917</v>
      </c>
      <c r="H287" s="10" t="s">
        <v>964</v>
      </c>
      <c r="I287" s="10" t="s">
        <v>87</v>
      </c>
    </row>
    <row r="288" spans="1:9" x14ac:dyDescent="0.15">
      <c r="A288" s="9">
        <v>287</v>
      </c>
      <c r="B288" s="10" t="s">
        <v>9</v>
      </c>
      <c r="C288" s="10" t="s">
        <v>126</v>
      </c>
      <c r="D288" s="10" t="s">
        <v>127</v>
      </c>
      <c r="E288" s="11" t="str">
        <f>+HYPERLINK("http://trademark.i-assist.jp/data/china/image_1899th/78394589.pdf", "78394589")</f>
        <v>78394589</v>
      </c>
      <c r="F288" s="10" t="s">
        <v>965</v>
      </c>
      <c r="G288" s="10" t="s">
        <v>917</v>
      </c>
      <c r="H288" s="10" t="s">
        <v>966</v>
      </c>
      <c r="I288" s="10" t="s">
        <v>87</v>
      </c>
    </row>
    <row r="289" spans="1:9" x14ac:dyDescent="0.15">
      <c r="A289" s="9">
        <v>288</v>
      </c>
      <c r="B289" s="10" t="s">
        <v>9</v>
      </c>
      <c r="C289" s="10" t="s">
        <v>126</v>
      </c>
      <c r="D289" s="10" t="s">
        <v>127</v>
      </c>
      <c r="E289" s="11" t="str">
        <f>+HYPERLINK("http://trademark.i-assist.jp/data/china/image_1899th/78394598.pdf", "78394598")</f>
        <v>78394598</v>
      </c>
      <c r="F289" s="10" t="s">
        <v>967</v>
      </c>
      <c r="G289" s="10" t="s">
        <v>917</v>
      </c>
      <c r="H289" s="10" t="s">
        <v>968</v>
      </c>
      <c r="I289" s="10" t="s">
        <v>87</v>
      </c>
    </row>
    <row r="290" spans="1:9" x14ac:dyDescent="0.15">
      <c r="A290" s="9">
        <v>289</v>
      </c>
      <c r="B290" s="10" t="s">
        <v>9</v>
      </c>
      <c r="C290" s="10" t="s">
        <v>126</v>
      </c>
      <c r="D290" s="10" t="s">
        <v>127</v>
      </c>
      <c r="E290" s="11" t="str">
        <f>+HYPERLINK("http://trademark.i-assist.jp/data/china/image_1899th/78395494.pdf", "78395494")</f>
        <v>78395494</v>
      </c>
      <c r="F290" s="10" t="s">
        <v>969</v>
      </c>
      <c r="G290" s="10" t="s">
        <v>917</v>
      </c>
      <c r="H290" s="10" t="s">
        <v>970</v>
      </c>
      <c r="I290" s="10" t="s">
        <v>87</v>
      </c>
    </row>
    <row r="291" spans="1:9" x14ac:dyDescent="0.15">
      <c r="A291" s="9">
        <v>290</v>
      </c>
      <c r="B291" s="10" t="s">
        <v>9</v>
      </c>
      <c r="C291" s="10" t="s">
        <v>126</v>
      </c>
      <c r="D291" s="10" t="s">
        <v>127</v>
      </c>
      <c r="E291" s="11" t="str">
        <f>+HYPERLINK("http://trademark.i-assist.jp/data/china/image_1899th/78395795.pdf", "78395795")</f>
        <v>78395795</v>
      </c>
      <c r="F291" s="10" t="s">
        <v>971</v>
      </c>
      <c r="G291" s="10" t="s">
        <v>917</v>
      </c>
      <c r="H291" s="10" t="s">
        <v>972</v>
      </c>
      <c r="I291" s="10" t="s">
        <v>87</v>
      </c>
    </row>
    <row r="292" spans="1:9" x14ac:dyDescent="0.15">
      <c r="A292" s="9">
        <v>291</v>
      </c>
      <c r="B292" s="10" t="s">
        <v>9</v>
      </c>
      <c r="C292" s="10" t="s">
        <v>126</v>
      </c>
      <c r="D292" s="10" t="s">
        <v>127</v>
      </c>
      <c r="E292" s="11" t="str">
        <f>+HYPERLINK("http://trademark.i-assist.jp/data/china/image_1899th/78396158.pdf", "78396158")</f>
        <v>78396158</v>
      </c>
      <c r="F292" s="10" t="s">
        <v>973</v>
      </c>
      <c r="G292" s="10" t="s">
        <v>917</v>
      </c>
      <c r="H292" s="10" t="s">
        <v>974</v>
      </c>
      <c r="I292" s="10" t="s">
        <v>87</v>
      </c>
    </row>
    <row r="293" spans="1:9" x14ac:dyDescent="0.15">
      <c r="A293" s="9">
        <v>292</v>
      </c>
      <c r="B293" s="10" t="s">
        <v>9</v>
      </c>
      <c r="C293" s="10" t="s">
        <v>126</v>
      </c>
      <c r="D293" s="10" t="s">
        <v>127</v>
      </c>
      <c r="E293" s="11" t="str">
        <f>+HYPERLINK("http://trademark.i-assist.jp/data/china/image_1899th/78396990.pdf", "78396990")</f>
        <v>78396990</v>
      </c>
      <c r="F293" s="10" t="s">
        <v>975</v>
      </c>
      <c r="G293" s="10" t="s">
        <v>917</v>
      </c>
      <c r="H293" s="10" t="s">
        <v>976</v>
      </c>
      <c r="I293" s="10" t="s">
        <v>87</v>
      </c>
    </row>
    <row r="294" spans="1:9" x14ac:dyDescent="0.15">
      <c r="A294" s="9">
        <v>293</v>
      </c>
      <c r="B294" s="10" t="s">
        <v>9</v>
      </c>
      <c r="C294" s="10" t="s">
        <v>126</v>
      </c>
      <c r="D294" s="10" t="s">
        <v>127</v>
      </c>
      <c r="E294" s="11" t="str">
        <f>+HYPERLINK("http://trademark.i-assist.jp/data/china/image_1899th/78399529.pdf", "78399529")</f>
        <v>78399529</v>
      </c>
      <c r="F294" s="10" t="s">
        <v>977</v>
      </c>
      <c r="G294" s="10" t="s">
        <v>917</v>
      </c>
      <c r="H294" s="10" t="s">
        <v>978</v>
      </c>
      <c r="I294" s="10" t="s">
        <v>87</v>
      </c>
    </row>
    <row r="295" spans="1:9" x14ac:dyDescent="0.15">
      <c r="A295" s="9">
        <v>294</v>
      </c>
      <c r="B295" s="10" t="s">
        <v>9</v>
      </c>
      <c r="C295" s="10" t="s">
        <v>126</v>
      </c>
      <c r="D295" s="10" t="s">
        <v>127</v>
      </c>
      <c r="E295" s="11" t="str">
        <f>+HYPERLINK("http://trademark.i-assist.jp/data/china/image_1899th/78400524.pdf", "78400524")</f>
        <v>78400524</v>
      </c>
      <c r="F295" s="10" t="s">
        <v>979</v>
      </c>
      <c r="G295" s="10" t="s">
        <v>917</v>
      </c>
      <c r="H295" s="10" t="s">
        <v>980</v>
      </c>
      <c r="I295" s="10" t="s">
        <v>87</v>
      </c>
    </row>
    <row r="296" spans="1:9" x14ac:dyDescent="0.15">
      <c r="A296" s="9">
        <v>295</v>
      </c>
      <c r="B296" s="10" t="s">
        <v>9</v>
      </c>
      <c r="C296" s="10" t="s">
        <v>126</v>
      </c>
      <c r="D296" s="10" t="s">
        <v>127</v>
      </c>
      <c r="E296" s="11" t="str">
        <f>+HYPERLINK("http://trademark.i-assist.jp/data/china/image_1899th/78400593.pdf", "78400593")</f>
        <v>78400593</v>
      </c>
      <c r="F296" s="10" t="s">
        <v>981</v>
      </c>
      <c r="G296" s="10" t="s">
        <v>917</v>
      </c>
      <c r="H296" s="10" t="s">
        <v>982</v>
      </c>
      <c r="I296" s="10" t="s">
        <v>87</v>
      </c>
    </row>
    <row r="297" spans="1:9" x14ac:dyDescent="0.15">
      <c r="A297" s="9">
        <v>296</v>
      </c>
      <c r="B297" s="10" t="s">
        <v>9</v>
      </c>
      <c r="C297" s="10" t="s">
        <v>126</v>
      </c>
      <c r="D297" s="10" t="s">
        <v>127</v>
      </c>
      <c r="E297" s="11" t="str">
        <f>+HYPERLINK("http://trademark.i-assist.jp/data/china/image_1899th/78400716.pdf", "78400716")</f>
        <v>78400716</v>
      </c>
      <c r="F297" s="10" t="s">
        <v>983</v>
      </c>
      <c r="G297" s="10" t="s">
        <v>917</v>
      </c>
      <c r="H297" s="10" t="s">
        <v>984</v>
      </c>
      <c r="I297" s="10" t="s">
        <v>87</v>
      </c>
    </row>
    <row r="298" spans="1:9" x14ac:dyDescent="0.15">
      <c r="A298" s="9">
        <v>297</v>
      </c>
      <c r="B298" s="10" t="s">
        <v>9</v>
      </c>
      <c r="C298" s="10" t="s">
        <v>126</v>
      </c>
      <c r="D298" s="10" t="s">
        <v>127</v>
      </c>
      <c r="E298" s="11" t="str">
        <f>+HYPERLINK("http://trademark.i-assist.jp/data/china/image_1899th/78400764.pdf", "78400764")</f>
        <v>78400764</v>
      </c>
      <c r="F298" s="10" t="s">
        <v>985</v>
      </c>
      <c r="G298" s="10" t="s">
        <v>917</v>
      </c>
      <c r="H298" s="10" t="s">
        <v>986</v>
      </c>
      <c r="I298" s="10" t="s">
        <v>87</v>
      </c>
    </row>
    <row r="299" spans="1:9" x14ac:dyDescent="0.15">
      <c r="A299" s="9">
        <v>298</v>
      </c>
      <c r="B299" s="10" t="s">
        <v>9</v>
      </c>
      <c r="C299" s="10" t="s">
        <v>126</v>
      </c>
      <c r="D299" s="10" t="s">
        <v>127</v>
      </c>
      <c r="E299" s="11" t="str">
        <f>+HYPERLINK("http://trademark.i-assist.jp/data/china/image_1899th/78402794.pdf", "78402794")</f>
        <v>78402794</v>
      </c>
      <c r="F299" s="10" t="s">
        <v>987</v>
      </c>
      <c r="G299" s="10" t="s">
        <v>917</v>
      </c>
      <c r="H299" s="10" t="s">
        <v>988</v>
      </c>
      <c r="I299" s="10" t="s">
        <v>87</v>
      </c>
    </row>
    <row r="300" spans="1:9" x14ac:dyDescent="0.15">
      <c r="A300" s="9">
        <v>299</v>
      </c>
      <c r="B300" s="10" t="s">
        <v>9</v>
      </c>
      <c r="C300" s="10" t="s">
        <v>126</v>
      </c>
      <c r="D300" s="10" t="s">
        <v>127</v>
      </c>
      <c r="E300" s="11" t="str">
        <f>+HYPERLINK("http://trademark.i-assist.jp/data/china/image_1899th/78402813.pdf", "78402813")</f>
        <v>78402813</v>
      </c>
      <c r="F300" s="10" t="s">
        <v>989</v>
      </c>
      <c r="G300" s="10" t="s">
        <v>917</v>
      </c>
      <c r="H300" s="10" t="s">
        <v>990</v>
      </c>
      <c r="I300" s="10" t="s">
        <v>87</v>
      </c>
    </row>
    <row r="301" spans="1:9" x14ac:dyDescent="0.15">
      <c r="A301" s="9">
        <v>300</v>
      </c>
      <c r="B301" s="10" t="s">
        <v>9</v>
      </c>
      <c r="C301" s="10" t="s">
        <v>126</v>
      </c>
      <c r="D301" s="10" t="s">
        <v>127</v>
      </c>
      <c r="E301" s="11" t="str">
        <f>+HYPERLINK("http://trademark.i-assist.jp/data/china/image_1899th/78402898.pdf", "78402898")</f>
        <v>78402898</v>
      </c>
      <c r="F301" s="10" t="s">
        <v>991</v>
      </c>
      <c r="G301" s="10" t="s">
        <v>917</v>
      </c>
      <c r="H301" s="10" t="s">
        <v>992</v>
      </c>
      <c r="I301" s="10" t="s">
        <v>87</v>
      </c>
    </row>
    <row r="302" spans="1:9" x14ac:dyDescent="0.15">
      <c r="A302" s="9">
        <v>301</v>
      </c>
      <c r="B302" s="10" t="s">
        <v>9</v>
      </c>
      <c r="C302" s="10" t="s">
        <v>126</v>
      </c>
      <c r="D302" s="10" t="s">
        <v>127</v>
      </c>
      <c r="E302" s="11" t="str">
        <f>+HYPERLINK("http://trademark.i-assist.jp/data/china/image_1899th/78403122.pdf", "78403122")</f>
        <v>78403122</v>
      </c>
      <c r="F302" s="10" t="s">
        <v>993</v>
      </c>
      <c r="G302" s="10" t="s">
        <v>95</v>
      </c>
      <c r="H302" s="10" t="s">
        <v>994</v>
      </c>
      <c r="I302" s="10" t="s">
        <v>87</v>
      </c>
    </row>
    <row r="303" spans="1:9" x14ac:dyDescent="0.15">
      <c r="A303" s="9">
        <v>302</v>
      </c>
      <c r="B303" s="10" t="s">
        <v>9</v>
      </c>
      <c r="C303" s="10" t="s">
        <v>126</v>
      </c>
      <c r="D303" s="10" t="s">
        <v>127</v>
      </c>
      <c r="E303" s="11" t="str">
        <f>+HYPERLINK("http://trademark.i-assist.jp/data/china/image_1899th/78403286.pdf", "78403286")</f>
        <v>78403286</v>
      </c>
      <c r="F303" s="10" t="s">
        <v>995</v>
      </c>
      <c r="G303" s="10" t="s">
        <v>917</v>
      </c>
      <c r="H303" s="10" t="s">
        <v>996</v>
      </c>
      <c r="I303" s="10" t="s">
        <v>87</v>
      </c>
    </row>
    <row r="304" spans="1:9" x14ac:dyDescent="0.15">
      <c r="A304" s="9">
        <v>303</v>
      </c>
      <c r="B304" s="10" t="s">
        <v>9</v>
      </c>
      <c r="C304" s="10" t="s">
        <v>126</v>
      </c>
      <c r="D304" s="10" t="s">
        <v>127</v>
      </c>
      <c r="E304" s="11" t="str">
        <f>+HYPERLINK("http://trademark.i-assist.jp/data/china/image_1899th/78403327.pdf", "78403327")</f>
        <v>78403327</v>
      </c>
      <c r="F304" s="10" t="s">
        <v>997</v>
      </c>
      <c r="G304" s="10" t="s">
        <v>917</v>
      </c>
      <c r="H304" s="10" t="s">
        <v>998</v>
      </c>
      <c r="I304" s="10" t="s">
        <v>87</v>
      </c>
    </row>
    <row r="305" spans="1:9" x14ac:dyDescent="0.15">
      <c r="A305" s="9">
        <v>304</v>
      </c>
      <c r="B305" s="10" t="s">
        <v>9</v>
      </c>
      <c r="C305" s="10" t="s">
        <v>126</v>
      </c>
      <c r="D305" s="10" t="s">
        <v>127</v>
      </c>
      <c r="E305" s="11" t="str">
        <f>+HYPERLINK("http://trademark.i-assist.jp/data/china/image_1899th/78403373.pdf", "78403373")</f>
        <v>78403373</v>
      </c>
      <c r="F305" s="10" t="s">
        <v>999</v>
      </c>
      <c r="G305" s="10" t="s">
        <v>1000</v>
      </c>
      <c r="H305" s="10" t="s">
        <v>1001</v>
      </c>
      <c r="I305" s="10" t="s">
        <v>87</v>
      </c>
    </row>
    <row r="306" spans="1:9" x14ac:dyDescent="0.15">
      <c r="A306" s="9">
        <v>305</v>
      </c>
      <c r="B306" s="10" t="s">
        <v>9</v>
      </c>
      <c r="C306" s="10" t="s">
        <v>126</v>
      </c>
      <c r="D306" s="10" t="s">
        <v>127</v>
      </c>
      <c r="E306" s="11" t="str">
        <f>+HYPERLINK("http://trademark.i-assist.jp/data/china/image_1899th/78403836.pdf", "78403836")</f>
        <v>78403836</v>
      </c>
      <c r="F306" s="10" t="s">
        <v>15</v>
      </c>
      <c r="G306" s="10" t="s">
        <v>1002</v>
      </c>
      <c r="H306" s="10" t="s">
        <v>1003</v>
      </c>
      <c r="I306" s="10" t="s">
        <v>87</v>
      </c>
    </row>
    <row r="307" spans="1:9" x14ac:dyDescent="0.15">
      <c r="A307" s="9">
        <v>306</v>
      </c>
      <c r="B307" s="10" t="s">
        <v>9</v>
      </c>
      <c r="C307" s="10" t="s">
        <v>126</v>
      </c>
      <c r="D307" s="10" t="s">
        <v>127</v>
      </c>
      <c r="E307" s="11" t="str">
        <f>+HYPERLINK("http://trademark.i-assist.jp/data/china/image_1899th/78403910.pdf", "78403910")</f>
        <v>78403910</v>
      </c>
      <c r="F307" s="10" t="s">
        <v>1004</v>
      </c>
      <c r="G307" s="10" t="s">
        <v>917</v>
      </c>
      <c r="H307" s="10" t="s">
        <v>1005</v>
      </c>
      <c r="I307" s="10" t="s">
        <v>87</v>
      </c>
    </row>
    <row r="308" spans="1:9" x14ac:dyDescent="0.15">
      <c r="A308" s="9">
        <v>307</v>
      </c>
      <c r="B308" s="10" t="s">
        <v>9</v>
      </c>
      <c r="C308" s="10" t="s">
        <v>126</v>
      </c>
      <c r="D308" s="10" t="s">
        <v>127</v>
      </c>
      <c r="E308" s="11" t="str">
        <f>+HYPERLINK("http://trademark.i-assist.jp/data/china/image_1899th/78404163.pdf", "78404163")</f>
        <v>78404163</v>
      </c>
      <c r="F308" s="10" t="s">
        <v>1006</v>
      </c>
      <c r="G308" s="10" t="s">
        <v>917</v>
      </c>
      <c r="H308" s="10" t="s">
        <v>1007</v>
      </c>
      <c r="I308" s="10" t="s">
        <v>87</v>
      </c>
    </row>
    <row r="309" spans="1:9" x14ac:dyDescent="0.15">
      <c r="A309" s="9">
        <v>308</v>
      </c>
      <c r="B309" s="10" t="s">
        <v>9</v>
      </c>
      <c r="C309" s="10" t="s">
        <v>126</v>
      </c>
      <c r="D309" s="10" t="s">
        <v>127</v>
      </c>
      <c r="E309" s="11" t="str">
        <f>+HYPERLINK("http://trademark.i-assist.jp/data/china/image_1899th/78404222.pdf", "78404222")</f>
        <v>78404222</v>
      </c>
      <c r="F309" s="10" t="s">
        <v>1008</v>
      </c>
      <c r="G309" s="10" t="s">
        <v>917</v>
      </c>
      <c r="H309" s="10" t="s">
        <v>1009</v>
      </c>
      <c r="I309" s="10" t="s">
        <v>87</v>
      </c>
    </row>
    <row r="310" spans="1:9" x14ac:dyDescent="0.15">
      <c r="A310" s="9">
        <v>309</v>
      </c>
      <c r="B310" s="10" t="s">
        <v>9</v>
      </c>
      <c r="C310" s="10" t="s">
        <v>126</v>
      </c>
      <c r="D310" s="10" t="s">
        <v>127</v>
      </c>
      <c r="E310" s="11" t="str">
        <f>+HYPERLINK("http://trademark.i-assist.jp/data/china/image_1899th/78404758.pdf", "78404758")</f>
        <v>78404758</v>
      </c>
      <c r="F310" s="10" t="s">
        <v>1010</v>
      </c>
      <c r="G310" s="10" t="s">
        <v>917</v>
      </c>
      <c r="H310" s="10" t="s">
        <v>1011</v>
      </c>
      <c r="I310" s="10" t="s">
        <v>87</v>
      </c>
    </row>
    <row r="311" spans="1:9" x14ac:dyDescent="0.15">
      <c r="A311" s="9">
        <v>310</v>
      </c>
      <c r="B311" s="10" t="s">
        <v>9</v>
      </c>
      <c r="C311" s="10" t="s">
        <v>126</v>
      </c>
      <c r="D311" s="10" t="s">
        <v>127</v>
      </c>
      <c r="E311" s="11" t="str">
        <f>+HYPERLINK("http://trademark.i-assist.jp/data/china/image_1899th/78404849.pdf", "78404849")</f>
        <v>78404849</v>
      </c>
      <c r="F311" s="10" t="s">
        <v>1012</v>
      </c>
      <c r="G311" s="10" t="s">
        <v>917</v>
      </c>
      <c r="H311" s="10" t="s">
        <v>1013</v>
      </c>
      <c r="I311" s="10" t="s">
        <v>87</v>
      </c>
    </row>
    <row r="312" spans="1:9" x14ac:dyDescent="0.15">
      <c r="A312" s="9">
        <v>311</v>
      </c>
      <c r="B312" s="10" t="s">
        <v>9</v>
      </c>
      <c r="C312" s="10" t="s">
        <v>126</v>
      </c>
      <c r="D312" s="10" t="s">
        <v>127</v>
      </c>
      <c r="E312" s="11" t="str">
        <f>+HYPERLINK("http://trademark.i-assist.jp/data/china/image_1899th/78404988.pdf", "78404988")</f>
        <v>78404988</v>
      </c>
      <c r="F312" s="10" t="s">
        <v>1014</v>
      </c>
      <c r="G312" s="10" t="s">
        <v>917</v>
      </c>
      <c r="H312" s="10" t="s">
        <v>1015</v>
      </c>
      <c r="I312" s="10" t="s">
        <v>87</v>
      </c>
    </row>
    <row r="313" spans="1:9" x14ac:dyDescent="0.15">
      <c r="A313" s="9">
        <v>312</v>
      </c>
      <c r="B313" s="10" t="s">
        <v>9</v>
      </c>
      <c r="C313" s="10" t="s">
        <v>126</v>
      </c>
      <c r="D313" s="10" t="s">
        <v>127</v>
      </c>
      <c r="E313" s="11" t="str">
        <f>+HYPERLINK("http://trademark.i-assist.jp/data/china/image_1899th/78405554.pdf", "78405554")</f>
        <v>78405554</v>
      </c>
      <c r="F313" s="10" t="s">
        <v>1016</v>
      </c>
      <c r="G313" s="10" t="s">
        <v>917</v>
      </c>
      <c r="H313" s="10" t="s">
        <v>1017</v>
      </c>
      <c r="I313" s="10" t="s">
        <v>87</v>
      </c>
    </row>
    <row r="314" spans="1:9" x14ac:dyDescent="0.15">
      <c r="A314" s="9">
        <v>313</v>
      </c>
      <c r="B314" s="10" t="s">
        <v>9</v>
      </c>
      <c r="C314" s="10" t="s">
        <v>126</v>
      </c>
      <c r="D314" s="10" t="s">
        <v>127</v>
      </c>
      <c r="E314" s="11" t="str">
        <f>+HYPERLINK("http://trademark.i-assist.jp/data/china/image_1899th/78405622.pdf", "78405622")</f>
        <v>78405622</v>
      </c>
      <c r="F314" s="10" t="s">
        <v>1018</v>
      </c>
      <c r="G314" s="10" t="s">
        <v>917</v>
      </c>
      <c r="H314" s="10" t="s">
        <v>1019</v>
      </c>
      <c r="I314" s="10" t="s">
        <v>87</v>
      </c>
    </row>
    <row r="315" spans="1:9" x14ac:dyDescent="0.15">
      <c r="A315" s="9">
        <v>314</v>
      </c>
      <c r="B315" s="10" t="s">
        <v>9</v>
      </c>
      <c r="C315" s="10" t="s">
        <v>126</v>
      </c>
      <c r="D315" s="10" t="s">
        <v>127</v>
      </c>
      <c r="E315" s="11" t="str">
        <f>+HYPERLINK("http://trademark.i-assist.jp/data/china/image_1899th/78406716.pdf", "78406716")</f>
        <v>78406716</v>
      </c>
      <c r="F315" s="10" t="s">
        <v>1020</v>
      </c>
      <c r="G315" s="10" t="s">
        <v>1021</v>
      </c>
      <c r="H315" s="10" t="s">
        <v>1022</v>
      </c>
      <c r="I315" s="10" t="s">
        <v>87</v>
      </c>
    </row>
    <row r="316" spans="1:9" x14ac:dyDescent="0.15">
      <c r="A316" s="9">
        <v>315</v>
      </c>
      <c r="B316" s="10" t="s">
        <v>9</v>
      </c>
      <c r="C316" s="10" t="s">
        <v>126</v>
      </c>
      <c r="D316" s="10" t="s">
        <v>127</v>
      </c>
      <c r="E316" s="11" t="str">
        <f>+HYPERLINK("http://trademark.i-assist.jp/data/china/image_1899th/78407063.pdf", "78407063")</f>
        <v>78407063</v>
      </c>
      <c r="F316" s="10" t="s">
        <v>1023</v>
      </c>
      <c r="G316" s="10" t="s">
        <v>917</v>
      </c>
      <c r="H316" s="10" t="s">
        <v>1024</v>
      </c>
      <c r="I316" s="10" t="s">
        <v>87</v>
      </c>
    </row>
    <row r="317" spans="1:9" x14ac:dyDescent="0.15">
      <c r="A317" s="9">
        <v>316</v>
      </c>
      <c r="B317" s="10" t="s">
        <v>9</v>
      </c>
      <c r="C317" s="10" t="s">
        <v>126</v>
      </c>
      <c r="D317" s="10" t="s">
        <v>127</v>
      </c>
      <c r="E317" s="11" t="str">
        <f>+HYPERLINK("http://trademark.i-assist.jp/data/china/image_1899th/78407548.pdf", "78407548")</f>
        <v>78407548</v>
      </c>
      <c r="F317" s="10" t="s">
        <v>1025</v>
      </c>
      <c r="G317" s="10" t="s">
        <v>917</v>
      </c>
      <c r="H317" s="10" t="s">
        <v>1026</v>
      </c>
      <c r="I317" s="10" t="s">
        <v>87</v>
      </c>
    </row>
    <row r="318" spans="1:9" x14ac:dyDescent="0.15">
      <c r="A318" s="9">
        <v>317</v>
      </c>
      <c r="B318" s="10" t="s">
        <v>9</v>
      </c>
      <c r="C318" s="10" t="s">
        <v>126</v>
      </c>
      <c r="D318" s="10" t="s">
        <v>127</v>
      </c>
      <c r="E318" s="11" t="str">
        <f>+HYPERLINK("http://trademark.i-assist.jp/data/china/image_1899th/78407862.pdf", "78407862")</f>
        <v>78407862</v>
      </c>
      <c r="F318" s="10" t="s">
        <v>1027</v>
      </c>
      <c r="G318" s="10" t="s">
        <v>917</v>
      </c>
      <c r="H318" s="10" t="s">
        <v>1028</v>
      </c>
      <c r="I318" s="10" t="s">
        <v>87</v>
      </c>
    </row>
    <row r="319" spans="1:9" x14ac:dyDescent="0.15">
      <c r="A319" s="9">
        <v>318</v>
      </c>
      <c r="B319" s="10" t="s">
        <v>9</v>
      </c>
      <c r="C319" s="10" t="s">
        <v>126</v>
      </c>
      <c r="D319" s="10" t="s">
        <v>127</v>
      </c>
      <c r="E319" s="11" t="str">
        <f>+HYPERLINK("http://trademark.i-assist.jp/data/china/image_1899th/78408202.pdf", "78408202")</f>
        <v>78408202</v>
      </c>
      <c r="F319" s="10" t="s">
        <v>1029</v>
      </c>
      <c r="G319" s="10" t="s">
        <v>917</v>
      </c>
      <c r="H319" s="10" t="s">
        <v>1030</v>
      </c>
      <c r="I319" s="10" t="s">
        <v>87</v>
      </c>
    </row>
    <row r="320" spans="1:9" x14ac:dyDescent="0.15">
      <c r="A320" s="9">
        <v>319</v>
      </c>
      <c r="B320" s="10" t="s">
        <v>9</v>
      </c>
      <c r="C320" s="10" t="s">
        <v>126</v>
      </c>
      <c r="D320" s="10" t="s">
        <v>127</v>
      </c>
      <c r="E320" s="11" t="str">
        <f>+HYPERLINK("http://trademark.i-assist.jp/data/china/image_1899th/78409316.pdf", "78409316")</f>
        <v>78409316</v>
      </c>
      <c r="F320" s="10" t="s">
        <v>1031</v>
      </c>
      <c r="G320" s="10" t="s">
        <v>917</v>
      </c>
      <c r="H320" s="10" t="s">
        <v>1032</v>
      </c>
      <c r="I320" s="10" t="s">
        <v>87</v>
      </c>
    </row>
    <row r="321" spans="1:9" x14ac:dyDescent="0.15">
      <c r="A321" s="9">
        <v>320</v>
      </c>
      <c r="B321" s="10" t="s">
        <v>9</v>
      </c>
      <c r="C321" s="10" t="s">
        <v>126</v>
      </c>
      <c r="D321" s="10" t="s">
        <v>127</v>
      </c>
      <c r="E321" s="11" t="str">
        <f>+HYPERLINK("http://trademark.i-assist.jp/data/china/image_1899th/78409695.pdf", "78409695")</f>
        <v>78409695</v>
      </c>
      <c r="F321" s="10" t="s">
        <v>1033</v>
      </c>
      <c r="G321" s="10" t="s">
        <v>917</v>
      </c>
      <c r="H321" s="10" t="s">
        <v>1034</v>
      </c>
      <c r="I321" s="10" t="s">
        <v>87</v>
      </c>
    </row>
    <row r="322" spans="1:9" x14ac:dyDescent="0.15">
      <c r="A322" s="9">
        <v>321</v>
      </c>
      <c r="B322" s="10" t="s">
        <v>9</v>
      </c>
      <c r="C322" s="10" t="s">
        <v>126</v>
      </c>
      <c r="D322" s="10" t="s">
        <v>127</v>
      </c>
      <c r="E322" s="11" t="str">
        <f>+HYPERLINK("http://trademark.i-assist.jp/data/china/image_1899th/78410026.pdf", "78410026")</f>
        <v>78410026</v>
      </c>
      <c r="F322" s="10" t="s">
        <v>1035</v>
      </c>
      <c r="G322" s="10" t="s">
        <v>917</v>
      </c>
      <c r="H322" s="10" t="s">
        <v>1036</v>
      </c>
      <c r="I322" s="10" t="s">
        <v>87</v>
      </c>
    </row>
    <row r="323" spans="1:9" x14ac:dyDescent="0.15">
      <c r="A323" s="9">
        <v>322</v>
      </c>
      <c r="B323" s="10" t="s">
        <v>9</v>
      </c>
      <c r="C323" s="10" t="s">
        <v>126</v>
      </c>
      <c r="D323" s="10" t="s">
        <v>127</v>
      </c>
      <c r="E323" s="11" t="str">
        <f>+HYPERLINK("http://trademark.i-assist.jp/data/china/image_1899th/78410357.pdf", "78410357")</f>
        <v>78410357</v>
      </c>
      <c r="F323" s="10" t="s">
        <v>1037</v>
      </c>
      <c r="G323" s="10" t="s">
        <v>917</v>
      </c>
      <c r="H323" s="10" t="s">
        <v>1038</v>
      </c>
      <c r="I323" s="10" t="s">
        <v>87</v>
      </c>
    </row>
    <row r="324" spans="1:9" x14ac:dyDescent="0.15">
      <c r="A324" s="9">
        <v>323</v>
      </c>
      <c r="B324" s="10" t="s">
        <v>9</v>
      </c>
      <c r="C324" s="10" t="s">
        <v>126</v>
      </c>
      <c r="D324" s="10" t="s">
        <v>127</v>
      </c>
      <c r="E324" s="11" t="str">
        <f>+HYPERLINK("http://trademark.i-assist.jp/data/china/image_1899th/78411182.pdf", "78411182")</f>
        <v>78411182</v>
      </c>
      <c r="F324" s="10" t="s">
        <v>1039</v>
      </c>
      <c r="G324" s="10" t="s">
        <v>917</v>
      </c>
      <c r="H324" s="10" t="s">
        <v>1040</v>
      </c>
      <c r="I324" s="10" t="s">
        <v>87</v>
      </c>
    </row>
    <row r="325" spans="1:9" x14ac:dyDescent="0.15">
      <c r="A325" s="9">
        <v>324</v>
      </c>
      <c r="B325" s="10" t="s">
        <v>9</v>
      </c>
      <c r="C325" s="10" t="s">
        <v>126</v>
      </c>
      <c r="D325" s="10" t="s">
        <v>127</v>
      </c>
      <c r="E325" s="11" t="str">
        <f>+HYPERLINK("http://trademark.i-assist.jp/data/china/image_1899th/78412063.pdf", "78412063")</f>
        <v>78412063</v>
      </c>
      <c r="F325" s="10" t="s">
        <v>1041</v>
      </c>
      <c r="G325" s="10" t="s">
        <v>917</v>
      </c>
      <c r="H325" s="10" t="s">
        <v>1042</v>
      </c>
      <c r="I325" s="10" t="s">
        <v>87</v>
      </c>
    </row>
    <row r="326" spans="1:9" x14ac:dyDescent="0.15">
      <c r="A326" s="9">
        <v>325</v>
      </c>
      <c r="B326" s="10" t="s">
        <v>9</v>
      </c>
      <c r="C326" s="10" t="s">
        <v>126</v>
      </c>
      <c r="D326" s="10" t="s">
        <v>127</v>
      </c>
      <c r="E326" s="11" t="str">
        <f>+HYPERLINK("http://trademark.i-assist.jp/data/china/image_1899th/78412551.pdf", "78412551")</f>
        <v>78412551</v>
      </c>
      <c r="F326" s="10" t="s">
        <v>1043</v>
      </c>
      <c r="G326" s="10" t="s">
        <v>917</v>
      </c>
      <c r="H326" s="10" t="s">
        <v>1044</v>
      </c>
      <c r="I326" s="10" t="s">
        <v>87</v>
      </c>
    </row>
    <row r="327" spans="1:9" x14ac:dyDescent="0.15">
      <c r="A327" s="9">
        <v>326</v>
      </c>
      <c r="B327" s="10" t="s">
        <v>9</v>
      </c>
      <c r="C327" s="10" t="s">
        <v>126</v>
      </c>
      <c r="D327" s="10" t="s">
        <v>127</v>
      </c>
      <c r="E327" s="11" t="str">
        <f>+HYPERLINK("http://trademark.i-assist.jp/data/china/image_1899th/78412598.pdf", "78412598")</f>
        <v>78412598</v>
      </c>
      <c r="F327" s="10" t="s">
        <v>1045</v>
      </c>
      <c r="G327" s="10" t="s">
        <v>917</v>
      </c>
      <c r="H327" s="10" t="s">
        <v>1046</v>
      </c>
      <c r="I327" s="10" t="s">
        <v>87</v>
      </c>
    </row>
    <row r="328" spans="1:9" x14ac:dyDescent="0.15">
      <c r="A328" s="9">
        <v>327</v>
      </c>
      <c r="B328" s="10" t="s">
        <v>9</v>
      </c>
      <c r="C328" s="10" t="s">
        <v>126</v>
      </c>
      <c r="D328" s="10" t="s">
        <v>127</v>
      </c>
      <c r="E328" s="11" t="str">
        <f>+HYPERLINK("http://trademark.i-assist.jp/data/china/image_1899th/78412779.pdf", "78412779")</f>
        <v>78412779</v>
      </c>
      <c r="F328" s="10" t="s">
        <v>1047</v>
      </c>
      <c r="G328" s="10" t="s">
        <v>917</v>
      </c>
      <c r="H328" s="10" t="s">
        <v>1048</v>
      </c>
      <c r="I328" s="10" t="s">
        <v>87</v>
      </c>
    </row>
    <row r="329" spans="1:9" x14ac:dyDescent="0.15">
      <c r="A329" s="9">
        <v>328</v>
      </c>
      <c r="B329" s="10" t="s">
        <v>9</v>
      </c>
      <c r="C329" s="10" t="s">
        <v>126</v>
      </c>
      <c r="D329" s="10" t="s">
        <v>127</v>
      </c>
      <c r="E329" s="11" t="str">
        <f>+HYPERLINK("http://trademark.i-assist.jp/data/china/image_1899th/78413494.pdf", "78413494")</f>
        <v>78413494</v>
      </c>
      <c r="F329" s="10" t="s">
        <v>1049</v>
      </c>
      <c r="G329" s="10" t="s">
        <v>917</v>
      </c>
      <c r="H329" s="10" t="s">
        <v>1050</v>
      </c>
      <c r="I329" s="10" t="s">
        <v>87</v>
      </c>
    </row>
    <row r="330" spans="1:9" x14ac:dyDescent="0.15">
      <c r="A330" s="9">
        <v>329</v>
      </c>
      <c r="B330" s="10" t="s">
        <v>9</v>
      </c>
      <c r="C330" s="10" t="s">
        <v>126</v>
      </c>
      <c r="D330" s="10" t="s">
        <v>127</v>
      </c>
      <c r="E330" s="11" t="str">
        <f>+HYPERLINK("http://trademark.i-assist.jp/data/china/image_1899th/78415239.pdf", "78415239")</f>
        <v>78415239</v>
      </c>
      <c r="F330" s="10" t="s">
        <v>1051</v>
      </c>
      <c r="G330" s="10" t="s">
        <v>917</v>
      </c>
      <c r="H330" s="10" t="s">
        <v>1052</v>
      </c>
      <c r="I330" s="10" t="s">
        <v>87</v>
      </c>
    </row>
    <row r="331" spans="1:9" x14ac:dyDescent="0.15">
      <c r="A331" s="9">
        <v>330</v>
      </c>
      <c r="B331" s="10" t="s">
        <v>9</v>
      </c>
      <c r="C331" s="10" t="s">
        <v>126</v>
      </c>
      <c r="D331" s="10" t="s">
        <v>127</v>
      </c>
      <c r="E331" s="11" t="str">
        <f>+HYPERLINK("http://trademark.i-assist.jp/data/china/image_1899th/78415506.pdf", "78415506")</f>
        <v>78415506</v>
      </c>
      <c r="F331" s="10" t="s">
        <v>1053</v>
      </c>
      <c r="G331" s="10" t="s">
        <v>917</v>
      </c>
      <c r="H331" s="10" t="s">
        <v>1054</v>
      </c>
      <c r="I331" s="10" t="s">
        <v>87</v>
      </c>
    </row>
    <row r="332" spans="1:9" x14ac:dyDescent="0.15">
      <c r="A332" s="9">
        <v>331</v>
      </c>
      <c r="B332" s="10" t="s">
        <v>9</v>
      </c>
      <c r="C332" s="10" t="s">
        <v>126</v>
      </c>
      <c r="D332" s="10" t="s">
        <v>127</v>
      </c>
      <c r="E332" s="11" t="str">
        <f>+HYPERLINK("http://trademark.i-assist.jp/data/china/image_1899th/78415579.pdf", "78415579")</f>
        <v>78415579</v>
      </c>
      <c r="F332" s="10" t="s">
        <v>1055</v>
      </c>
      <c r="G332" s="10" t="s">
        <v>917</v>
      </c>
      <c r="H332" s="10" t="s">
        <v>1056</v>
      </c>
      <c r="I332" s="10" t="s">
        <v>87</v>
      </c>
    </row>
    <row r="333" spans="1:9" x14ac:dyDescent="0.15">
      <c r="A333" s="9">
        <v>332</v>
      </c>
      <c r="B333" s="10" t="s">
        <v>9</v>
      </c>
      <c r="C333" s="10" t="s">
        <v>126</v>
      </c>
      <c r="D333" s="10" t="s">
        <v>127</v>
      </c>
      <c r="E333" s="11" t="str">
        <f>+HYPERLINK("http://trademark.i-assist.jp/data/china/image_1899th/78415615.pdf", "78415615")</f>
        <v>78415615</v>
      </c>
      <c r="F333" s="10" t="s">
        <v>1057</v>
      </c>
      <c r="G333" s="10" t="s">
        <v>917</v>
      </c>
      <c r="H333" s="10" t="s">
        <v>1058</v>
      </c>
      <c r="I333" s="10" t="s">
        <v>87</v>
      </c>
    </row>
    <row r="334" spans="1:9" x14ac:dyDescent="0.15">
      <c r="A334" s="9">
        <v>333</v>
      </c>
      <c r="B334" s="10" t="s">
        <v>9</v>
      </c>
      <c r="C334" s="10" t="s">
        <v>126</v>
      </c>
      <c r="D334" s="10" t="s">
        <v>127</v>
      </c>
      <c r="E334" s="11" t="str">
        <f>+HYPERLINK("http://trademark.i-assist.jp/data/china/image_1899th/78415660.pdf", "78415660")</f>
        <v>78415660</v>
      </c>
      <c r="F334" s="10" t="s">
        <v>1059</v>
      </c>
      <c r="G334" s="10" t="s">
        <v>917</v>
      </c>
      <c r="H334" s="10" t="s">
        <v>1060</v>
      </c>
      <c r="I334" s="10" t="s">
        <v>87</v>
      </c>
    </row>
    <row r="335" spans="1:9" x14ac:dyDescent="0.15">
      <c r="A335" s="9">
        <v>334</v>
      </c>
      <c r="B335" s="10" t="s">
        <v>9</v>
      </c>
      <c r="C335" s="10" t="s">
        <v>126</v>
      </c>
      <c r="D335" s="10" t="s">
        <v>127</v>
      </c>
      <c r="E335" s="11" t="str">
        <f>+HYPERLINK("http://trademark.i-assist.jp/data/china/image_1899th/78416069.pdf", "78416069")</f>
        <v>78416069</v>
      </c>
      <c r="F335" s="10" t="s">
        <v>1061</v>
      </c>
      <c r="G335" s="10" t="s">
        <v>917</v>
      </c>
      <c r="H335" s="10" t="s">
        <v>1062</v>
      </c>
      <c r="I335" s="10" t="s">
        <v>87</v>
      </c>
    </row>
    <row r="336" spans="1:9" x14ac:dyDescent="0.15">
      <c r="A336" s="9">
        <v>335</v>
      </c>
      <c r="B336" s="10" t="s">
        <v>9</v>
      </c>
      <c r="C336" s="10" t="s">
        <v>126</v>
      </c>
      <c r="D336" s="10" t="s">
        <v>127</v>
      </c>
      <c r="E336" s="11" t="str">
        <f>+HYPERLINK("http://trademark.i-assist.jp/data/china/image_1899th/78416102.pdf", "78416102")</f>
        <v>78416102</v>
      </c>
      <c r="F336" s="10" t="s">
        <v>1063</v>
      </c>
      <c r="G336" s="10" t="s">
        <v>917</v>
      </c>
      <c r="H336" s="10" t="s">
        <v>1064</v>
      </c>
      <c r="I336" s="10" t="s">
        <v>87</v>
      </c>
    </row>
    <row r="337" spans="1:9" x14ac:dyDescent="0.15">
      <c r="A337" s="9">
        <v>336</v>
      </c>
      <c r="B337" s="10" t="s">
        <v>9</v>
      </c>
      <c r="C337" s="10" t="s">
        <v>126</v>
      </c>
      <c r="D337" s="10" t="s">
        <v>127</v>
      </c>
      <c r="E337" s="11" t="str">
        <f>+HYPERLINK("http://trademark.i-assist.jp/data/china/image_1899th/78416765.pdf", "78416765")</f>
        <v>78416765</v>
      </c>
      <c r="F337" s="10" t="s">
        <v>1065</v>
      </c>
      <c r="G337" s="10" t="s">
        <v>917</v>
      </c>
      <c r="H337" s="10" t="s">
        <v>1066</v>
      </c>
      <c r="I337" s="10" t="s">
        <v>87</v>
      </c>
    </row>
    <row r="338" spans="1:9" x14ac:dyDescent="0.15">
      <c r="A338" s="9">
        <v>337</v>
      </c>
      <c r="B338" s="10" t="s">
        <v>9</v>
      </c>
      <c r="C338" s="10" t="s">
        <v>126</v>
      </c>
      <c r="D338" s="10" t="s">
        <v>127</v>
      </c>
      <c r="E338" s="11" t="str">
        <f>+HYPERLINK("http://trademark.i-assist.jp/data/china/image_1899th/78418408.pdf", "78418408")</f>
        <v>78418408</v>
      </c>
      <c r="F338" s="10" t="s">
        <v>1067</v>
      </c>
      <c r="G338" s="10" t="s">
        <v>1068</v>
      </c>
      <c r="H338" s="10" t="s">
        <v>1069</v>
      </c>
      <c r="I338" s="10" t="s">
        <v>100</v>
      </c>
    </row>
    <row r="339" spans="1:9" x14ac:dyDescent="0.15">
      <c r="A339" s="9">
        <v>338</v>
      </c>
      <c r="B339" s="10" t="s">
        <v>9</v>
      </c>
      <c r="C339" s="10" t="s">
        <v>126</v>
      </c>
      <c r="D339" s="10" t="s">
        <v>127</v>
      </c>
      <c r="E339" s="11" t="str">
        <f>+HYPERLINK("http://trademark.i-assist.jp/data/china/image_1899th/78420630.pdf", "78420630")</f>
        <v>78420630</v>
      </c>
      <c r="F339" s="10" t="s">
        <v>1070</v>
      </c>
      <c r="G339" s="10" t="s">
        <v>1071</v>
      </c>
      <c r="H339" s="10" t="s">
        <v>1072</v>
      </c>
      <c r="I339" s="10" t="s">
        <v>100</v>
      </c>
    </row>
    <row r="340" spans="1:9" x14ac:dyDescent="0.15">
      <c r="A340" s="9">
        <v>339</v>
      </c>
      <c r="B340" s="10" t="s">
        <v>9</v>
      </c>
      <c r="C340" s="10" t="s">
        <v>126</v>
      </c>
      <c r="D340" s="10" t="s">
        <v>127</v>
      </c>
      <c r="E340" s="11" t="str">
        <f>+HYPERLINK("http://trademark.i-assist.jp/data/china/image_1899th/78424416.pdf", "78424416")</f>
        <v>78424416</v>
      </c>
      <c r="F340" s="10" t="s">
        <v>15</v>
      </c>
      <c r="G340" s="10" t="s">
        <v>1073</v>
      </c>
      <c r="H340" s="10" t="s">
        <v>1074</v>
      </c>
      <c r="I340" s="10" t="s">
        <v>100</v>
      </c>
    </row>
    <row r="341" spans="1:9" x14ac:dyDescent="0.15">
      <c r="A341" s="9">
        <v>340</v>
      </c>
      <c r="B341" s="10" t="s">
        <v>9</v>
      </c>
      <c r="C341" s="10" t="s">
        <v>126</v>
      </c>
      <c r="D341" s="10" t="s">
        <v>127</v>
      </c>
      <c r="E341" s="11" t="str">
        <f>+HYPERLINK("http://trademark.i-assist.jp/data/china/image_1899th/78438748.pdf", "78438748")</f>
        <v>78438748</v>
      </c>
      <c r="F341" s="10" t="s">
        <v>1075</v>
      </c>
      <c r="G341" s="10" t="s">
        <v>1076</v>
      </c>
      <c r="H341" s="10" t="s">
        <v>1077</v>
      </c>
      <c r="I341" s="10" t="s">
        <v>100</v>
      </c>
    </row>
    <row r="342" spans="1:9" x14ac:dyDescent="0.15">
      <c r="A342" s="9">
        <v>341</v>
      </c>
      <c r="B342" s="10" t="s">
        <v>9</v>
      </c>
      <c r="C342" s="10" t="s">
        <v>126</v>
      </c>
      <c r="D342" s="10" t="s">
        <v>127</v>
      </c>
      <c r="E342" s="11" t="str">
        <f>+HYPERLINK("http://trademark.i-assist.jp/data/china/image_1899th/78441847.pdf", "78441847")</f>
        <v>78441847</v>
      </c>
      <c r="F342" s="10" t="s">
        <v>1078</v>
      </c>
      <c r="G342" s="10" t="s">
        <v>1079</v>
      </c>
      <c r="H342" s="10" t="s">
        <v>1080</v>
      </c>
      <c r="I342" s="10" t="s">
        <v>100</v>
      </c>
    </row>
    <row r="343" spans="1:9" x14ac:dyDescent="0.15">
      <c r="A343" s="9">
        <v>342</v>
      </c>
      <c r="B343" s="10" t="s">
        <v>9</v>
      </c>
      <c r="C343" s="10" t="s">
        <v>126</v>
      </c>
      <c r="D343" s="10" t="s">
        <v>127</v>
      </c>
      <c r="E343" s="11" t="str">
        <f>+HYPERLINK("http://trademark.i-assist.jp/data/china/image_1899th/78442816.pdf", "78442816")</f>
        <v>78442816</v>
      </c>
      <c r="F343" s="10" t="s">
        <v>1081</v>
      </c>
      <c r="G343" s="10" t="s">
        <v>104</v>
      </c>
      <c r="H343" s="10" t="s">
        <v>1082</v>
      </c>
      <c r="I343" s="10" t="s">
        <v>100</v>
      </c>
    </row>
    <row r="344" spans="1:9" x14ac:dyDescent="0.15">
      <c r="A344" s="9">
        <v>343</v>
      </c>
      <c r="B344" s="10" t="s">
        <v>9</v>
      </c>
      <c r="C344" s="10" t="s">
        <v>126</v>
      </c>
      <c r="D344" s="10" t="s">
        <v>127</v>
      </c>
      <c r="E344" s="11" t="str">
        <f>+HYPERLINK("http://trademark.i-assist.jp/data/china/image_1899th/78447210.pdf", "78447210")</f>
        <v>78447210</v>
      </c>
      <c r="F344" s="10" t="s">
        <v>1083</v>
      </c>
      <c r="G344" s="10" t="s">
        <v>1084</v>
      </c>
      <c r="H344" s="10" t="s">
        <v>37</v>
      </c>
      <c r="I344" s="10" t="s">
        <v>86</v>
      </c>
    </row>
    <row r="345" spans="1:9" x14ac:dyDescent="0.15">
      <c r="A345" s="9">
        <v>344</v>
      </c>
      <c r="B345" s="10" t="s">
        <v>9</v>
      </c>
      <c r="C345" s="10" t="s">
        <v>126</v>
      </c>
      <c r="D345" s="10" t="s">
        <v>127</v>
      </c>
      <c r="E345" s="11" t="str">
        <f>+HYPERLINK("http://trademark.i-assist.jp/data/china/image_1899th/78448928.pdf", "78448928")</f>
        <v>78448928</v>
      </c>
      <c r="F345" s="10" t="s">
        <v>1085</v>
      </c>
      <c r="G345" s="10" t="s">
        <v>1086</v>
      </c>
      <c r="H345" s="10" t="s">
        <v>1087</v>
      </c>
      <c r="I345" s="10" t="s">
        <v>86</v>
      </c>
    </row>
    <row r="346" spans="1:9" x14ac:dyDescent="0.15">
      <c r="A346" s="9">
        <v>345</v>
      </c>
      <c r="B346" s="10" t="s">
        <v>9</v>
      </c>
      <c r="C346" s="10" t="s">
        <v>126</v>
      </c>
      <c r="D346" s="10" t="s">
        <v>127</v>
      </c>
      <c r="E346" s="11" t="str">
        <f>+HYPERLINK("http://trademark.i-assist.jp/data/china/image_1899th/78449812.pdf", "78449812")</f>
        <v>78449812</v>
      </c>
      <c r="F346" s="10" t="s">
        <v>1088</v>
      </c>
      <c r="G346" s="10" t="s">
        <v>89</v>
      </c>
      <c r="H346" s="10" t="s">
        <v>1089</v>
      </c>
      <c r="I346" s="10" t="s">
        <v>86</v>
      </c>
    </row>
    <row r="347" spans="1:9" x14ac:dyDescent="0.15">
      <c r="A347" s="9">
        <v>346</v>
      </c>
      <c r="B347" s="10" t="s">
        <v>9</v>
      </c>
      <c r="C347" s="10" t="s">
        <v>126</v>
      </c>
      <c r="D347" s="10" t="s">
        <v>127</v>
      </c>
      <c r="E347" s="11" t="str">
        <f>+HYPERLINK("http://trademark.i-assist.jp/data/china/image_1899th/78454230.pdf", "78454230")</f>
        <v>78454230</v>
      </c>
      <c r="F347" s="10" t="s">
        <v>1090</v>
      </c>
      <c r="G347" s="10" t="s">
        <v>1091</v>
      </c>
      <c r="H347" s="10" t="s">
        <v>1092</v>
      </c>
      <c r="I347" s="10" t="s">
        <v>86</v>
      </c>
    </row>
    <row r="348" spans="1:9" x14ac:dyDescent="0.15">
      <c r="A348" s="9">
        <v>347</v>
      </c>
      <c r="B348" s="10" t="s">
        <v>9</v>
      </c>
      <c r="C348" s="10" t="s">
        <v>126</v>
      </c>
      <c r="D348" s="10" t="s">
        <v>127</v>
      </c>
      <c r="E348" s="11" t="str">
        <f>+HYPERLINK("http://trademark.i-assist.jp/data/china/image_1899th/78457301.pdf", "78457301")</f>
        <v>78457301</v>
      </c>
      <c r="F348" s="10" t="s">
        <v>1093</v>
      </c>
      <c r="G348" s="10" t="s">
        <v>90</v>
      </c>
      <c r="H348" s="10" t="s">
        <v>1094</v>
      </c>
      <c r="I348" s="10" t="s">
        <v>107</v>
      </c>
    </row>
    <row r="349" spans="1:9" x14ac:dyDescent="0.15">
      <c r="A349" s="9">
        <v>348</v>
      </c>
      <c r="B349" s="10" t="s">
        <v>9</v>
      </c>
      <c r="C349" s="10" t="s">
        <v>126</v>
      </c>
      <c r="D349" s="10" t="s">
        <v>127</v>
      </c>
      <c r="E349" s="11" t="str">
        <f>+HYPERLINK("http://trademark.i-assist.jp/data/china/image_1899th/78457508.pdf", "78457508")</f>
        <v>78457508</v>
      </c>
      <c r="F349" s="10" t="s">
        <v>1095</v>
      </c>
      <c r="G349" s="10" t="s">
        <v>1096</v>
      </c>
      <c r="H349" s="10" t="s">
        <v>1097</v>
      </c>
      <c r="I349" s="10" t="s">
        <v>107</v>
      </c>
    </row>
    <row r="350" spans="1:9" x14ac:dyDescent="0.15">
      <c r="A350" s="9">
        <v>349</v>
      </c>
      <c r="B350" s="10" t="s">
        <v>9</v>
      </c>
      <c r="C350" s="10" t="s">
        <v>126</v>
      </c>
      <c r="D350" s="10" t="s">
        <v>127</v>
      </c>
      <c r="E350" s="11" t="str">
        <f>+HYPERLINK("http://trademark.i-assist.jp/data/china/image_1899th/78458150.pdf", "78458150")</f>
        <v>78458150</v>
      </c>
      <c r="F350" s="10" t="s">
        <v>1098</v>
      </c>
      <c r="G350" s="10" t="s">
        <v>1099</v>
      </c>
      <c r="H350" s="10" t="s">
        <v>1100</v>
      </c>
      <c r="I350" s="10" t="s">
        <v>107</v>
      </c>
    </row>
    <row r="351" spans="1:9" x14ac:dyDescent="0.15">
      <c r="A351" s="9">
        <v>350</v>
      </c>
      <c r="B351" s="10" t="s">
        <v>9</v>
      </c>
      <c r="C351" s="10" t="s">
        <v>126</v>
      </c>
      <c r="D351" s="10" t="s">
        <v>127</v>
      </c>
      <c r="E351" s="11" t="str">
        <f>+HYPERLINK("http://trademark.i-assist.jp/data/china/image_1899th/78460560.pdf", "78460560")</f>
        <v>78460560</v>
      </c>
      <c r="F351" s="10" t="s">
        <v>1101</v>
      </c>
      <c r="G351" s="10" t="s">
        <v>1102</v>
      </c>
      <c r="H351" s="10" t="s">
        <v>1103</v>
      </c>
      <c r="I351" s="10" t="s">
        <v>107</v>
      </c>
    </row>
    <row r="352" spans="1:9" x14ac:dyDescent="0.15">
      <c r="A352" s="9">
        <v>351</v>
      </c>
      <c r="B352" s="10" t="s">
        <v>9</v>
      </c>
      <c r="C352" s="10" t="s">
        <v>126</v>
      </c>
      <c r="D352" s="10" t="s">
        <v>127</v>
      </c>
      <c r="E352" s="11" t="str">
        <f>+HYPERLINK("http://trademark.i-assist.jp/data/china/image_1899th/78462022.pdf", "78462022")</f>
        <v>78462022</v>
      </c>
      <c r="F352" s="10" t="s">
        <v>1104</v>
      </c>
      <c r="G352" s="10" t="s">
        <v>1105</v>
      </c>
      <c r="H352" s="10" t="s">
        <v>1106</v>
      </c>
      <c r="I352" s="10" t="s">
        <v>107</v>
      </c>
    </row>
    <row r="353" spans="1:9" x14ac:dyDescent="0.15">
      <c r="A353" s="9">
        <v>352</v>
      </c>
      <c r="B353" s="10" t="s">
        <v>9</v>
      </c>
      <c r="C353" s="10" t="s">
        <v>126</v>
      </c>
      <c r="D353" s="10" t="s">
        <v>127</v>
      </c>
      <c r="E353" s="11" t="str">
        <f>+HYPERLINK("http://trademark.i-assist.jp/data/china/image_1899th/78466056.pdf", "78466056")</f>
        <v>78466056</v>
      </c>
      <c r="F353" s="10" t="s">
        <v>1107</v>
      </c>
      <c r="G353" s="10" t="s">
        <v>1108</v>
      </c>
      <c r="H353" s="10" t="s">
        <v>1109</v>
      </c>
      <c r="I353" s="10" t="s">
        <v>107</v>
      </c>
    </row>
    <row r="354" spans="1:9" x14ac:dyDescent="0.15">
      <c r="A354" s="9">
        <v>353</v>
      </c>
      <c r="B354" s="10" t="s">
        <v>9</v>
      </c>
      <c r="C354" s="10" t="s">
        <v>126</v>
      </c>
      <c r="D354" s="10" t="s">
        <v>127</v>
      </c>
      <c r="E354" s="11" t="str">
        <f>+HYPERLINK("http://trademark.i-assist.jp/data/china/image_1899th/78468165.pdf", "78468165")</f>
        <v>78468165</v>
      </c>
      <c r="F354" s="10" t="s">
        <v>15</v>
      </c>
      <c r="G354" s="10" t="s">
        <v>1110</v>
      </c>
      <c r="H354" s="10" t="s">
        <v>1111</v>
      </c>
      <c r="I354" s="10" t="s">
        <v>107</v>
      </c>
    </row>
    <row r="355" spans="1:9" x14ac:dyDescent="0.15">
      <c r="A355" s="9">
        <v>354</v>
      </c>
      <c r="B355" s="10" t="s">
        <v>9</v>
      </c>
      <c r="C355" s="10" t="s">
        <v>126</v>
      </c>
      <c r="D355" s="10" t="s">
        <v>127</v>
      </c>
      <c r="E355" s="11" t="str">
        <f>+HYPERLINK("http://trademark.i-assist.jp/data/china/image_1899th/78470188.pdf", "78470188")</f>
        <v>78470188</v>
      </c>
      <c r="F355" s="10" t="s">
        <v>1112</v>
      </c>
      <c r="G355" s="10" t="s">
        <v>108</v>
      </c>
      <c r="H355" s="10" t="s">
        <v>1113</v>
      </c>
      <c r="I355" s="10" t="s">
        <v>107</v>
      </c>
    </row>
    <row r="356" spans="1:9" x14ac:dyDescent="0.15">
      <c r="A356" s="9">
        <v>355</v>
      </c>
      <c r="B356" s="10" t="s">
        <v>9</v>
      </c>
      <c r="C356" s="10" t="s">
        <v>126</v>
      </c>
      <c r="D356" s="10" t="s">
        <v>127</v>
      </c>
      <c r="E356" s="11" t="str">
        <f>+HYPERLINK("http://trademark.i-assist.jp/data/china/image_1899th/78470929.pdf", "78470929")</f>
        <v>78470929</v>
      </c>
      <c r="F356" s="10" t="s">
        <v>1114</v>
      </c>
      <c r="G356" s="10" t="s">
        <v>1115</v>
      </c>
      <c r="H356" s="10" t="s">
        <v>1116</v>
      </c>
      <c r="I356" s="10" t="s">
        <v>107</v>
      </c>
    </row>
    <row r="357" spans="1:9" x14ac:dyDescent="0.15">
      <c r="A357" s="9">
        <v>356</v>
      </c>
      <c r="B357" s="10" t="s">
        <v>9</v>
      </c>
      <c r="C357" s="10" t="s">
        <v>126</v>
      </c>
      <c r="D357" s="10" t="s">
        <v>127</v>
      </c>
      <c r="E357" s="11" t="str">
        <f>+HYPERLINK("http://trademark.i-assist.jp/data/china/image_1899th/78471525.pdf", "78471525")</f>
        <v>78471525</v>
      </c>
      <c r="F357" s="10" t="s">
        <v>1117</v>
      </c>
      <c r="G357" s="10" t="s">
        <v>1118</v>
      </c>
      <c r="H357" s="10" t="s">
        <v>1119</v>
      </c>
      <c r="I357" s="10" t="s">
        <v>107</v>
      </c>
    </row>
    <row r="358" spans="1:9" x14ac:dyDescent="0.15">
      <c r="A358" s="9">
        <v>357</v>
      </c>
      <c r="B358" s="10" t="s">
        <v>9</v>
      </c>
      <c r="C358" s="10" t="s">
        <v>126</v>
      </c>
      <c r="D358" s="10" t="s">
        <v>127</v>
      </c>
      <c r="E358" s="11" t="str">
        <f>+HYPERLINK("http://trademark.i-assist.jp/data/china/image_1899th/78472119.pdf", "78472119")</f>
        <v>78472119</v>
      </c>
      <c r="F358" s="10" t="s">
        <v>1120</v>
      </c>
      <c r="G358" s="10" t="s">
        <v>1121</v>
      </c>
      <c r="H358" s="10" t="s">
        <v>1122</v>
      </c>
      <c r="I358" s="10" t="s">
        <v>107</v>
      </c>
    </row>
    <row r="359" spans="1:9" x14ac:dyDescent="0.15">
      <c r="A359" s="9">
        <v>358</v>
      </c>
      <c r="B359" s="10" t="s">
        <v>9</v>
      </c>
      <c r="C359" s="10" t="s">
        <v>126</v>
      </c>
      <c r="D359" s="10" t="s">
        <v>127</v>
      </c>
      <c r="E359" s="11" t="str">
        <f>+HYPERLINK("http://trademark.i-assist.jp/data/china/image_1899th/78472307.pdf", "78472307")</f>
        <v>78472307</v>
      </c>
      <c r="F359" s="10" t="s">
        <v>1123</v>
      </c>
      <c r="G359" s="10" t="s">
        <v>1124</v>
      </c>
      <c r="H359" s="10" t="s">
        <v>1125</v>
      </c>
      <c r="I359" s="10" t="s">
        <v>107</v>
      </c>
    </row>
    <row r="360" spans="1:9" x14ac:dyDescent="0.15">
      <c r="A360" s="9">
        <v>359</v>
      </c>
      <c r="B360" s="10" t="s">
        <v>9</v>
      </c>
      <c r="C360" s="10" t="s">
        <v>126</v>
      </c>
      <c r="D360" s="10" t="s">
        <v>127</v>
      </c>
      <c r="E360" s="11" t="str">
        <f>+HYPERLINK("http://trademark.i-assist.jp/data/china/image_1899th/78472352.pdf", "78472352")</f>
        <v>78472352</v>
      </c>
      <c r="F360" s="10" t="s">
        <v>1126</v>
      </c>
      <c r="G360" s="10" t="s">
        <v>1127</v>
      </c>
      <c r="H360" s="10" t="s">
        <v>1128</v>
      </c>
      <c r="I360" s="10" t="s">
        <v>107</v>
      </c>
    </row>
    <row r="361" spans="1:9" x14ac:dyDescent="0.15">
      <c r="A361" s="9">
        <v>360</v>
      </c>
      <c r="B361" s="10" t="s">
        <v>9</v>
      </c>
      <c r="C361" s="10" t="s">
        <v>126</v>
      </c>
      <c r="D361" s="10" t="s">
        <v>127</v>
      </c>
      <c r="E361" s="11" t="str">
        <f>+HYPERLINK("http://trademark.i-assist.jp/data/china/image_1899th/78473277.pdf", "78473277")</f>
        <v>78473277</v>
      </c>
      <c r="F361" s="10" t="s">
        <v>1129</v>
      </c>
      <c r="G361" s="10" t="s">
        <v>1130</v>
      </c>
      <c r="H361" s="10" t="s">
        <v>1131</v>
      </c>
      <c r="I361" s="10" t="s">
        <v>107</v>
      </c>
    </row>
    <row r="362" spans="1:9" x14ac:dyDescent="0.15">
      <c r="A362" s="9">
        <v>361</v>
      </c>
      <c r="B362" s="10" t="s">
        <v>9</v>
      </c>
      <c r="C362" s="10" t="s">
        <v>126</v>
      </c>
      <c r="D362" s="10" t="s">
        <v>127</v>
      </c>
      <c r="E362" s="11" t="str">
        <f>+HYPERLINK("http://trademark.i-assist.jp/data/china/image_1899th/78473328.pdf", "78473328")</f>
        <v>78473328</v>
      </c>
      <c r="F362" s="10" t="s">
        <v>1132</v>
      </c>
      <c r="G362" s="10" t="s">
        <v>103</v>
      </c>
      <c r="H362" s="10" t="s">
        <v>1133</v>
      </c>
      <c r="I362" s="10" t="s">
        <v>107</v>
      </c>
    </row>
    <row r="363" spans="1:9" x14ac:dyDescent="0.15">
      <c r="A363" s="9">
        <v>362</v>
      </c>
      <c r="B363" s="10" t="s">
        <v>9</v>
      </c>
      <c r="C363" s="10" t="s">
        <v>126</v>
      </c>
      <c r="D363" s="10" t="s">
        <v>127</v>
      </c>
      <c r="E363" s="11" t="str">
        <f>+HYPERLINK("http://trademark.i-assist.jp/data/china/image_1899th/78473543.pdf", "78473543")</f>
        <v>78473543</v>
      </c>
      <c r="F363" s="10" t="s">
        <v>1134</v>
      </c>
      <c r="G363" s="10" t="s">
        <v>1135</v>
      </c>
      <c r="H363" s="10" t="s">
        <v>1136</v>
      </c>
      <c r="I363" s="10" t="s">
        <v>107</v>
      </c>
    </row>
    <row r="364" spans="1:9" x14ac:dyDescent="0.15">
      <c r="A364" s="9">
        <v>363</v>
      </c>
      <c r="B364" s="10" t="s">
        <v>9</v>
      </c>
      <c r="C364" s="10" t="s">
        <v>126</v>
      </c>
      <c r="D364" s="10" t="s">
        <v>127</v>
      </c>
      <c r="E364" s="11" t="str">
        <f>+HYPERLINK("http://trademark.i-assist.jp/data/china/image_1899th/78474990.pdf", "78474990")</f>
        <v>78474990</v>
      </c>
      <c r="F364" s="10" t="s">
        <v>1137</v>
      </c>
      <c r="G364" s="10" t="s">
        <v>1127</v>
      </c>
      <c r="H364" s="10" t="s">
        <v>1138</v>
      </c>
      <c r="I364" s="10" t="s">
        <v>107</v>
      </c>
    </row>
    <row r="365" spans="1:9" x14ac:dyDescent="0.15">
      <c r="A365" s="9">
        <v>364</v>
      </c>
      <c r="B365" s="10" t="s">
        <v>9</v>
      </c>
      <c r="C365" s="10" t="s">
        <v>126</v>
      </c>
      <c r="D365" s="10" t="s">
        <v>127</v>
      </c>
      <c r="E365" s="11" t="str">
        <f>+HYPERLINK("http://trademark.i-assist.jp/data/china/image_1899th/78479619.pdf", "78479619")</f>
        <v>78479619</v>
      </c>
      <c r="F365" s="10" t="s">
        <v>1139</v>
      </c>
      <c r="G365" s="10" t="s">
        <v>1140</v>
      </c>
      <c r="H365" s="10" t="s">
        <v>1141</v>
      </c>
      <c r="I365" s="10" t="s">
        <v>107</v>
      </c>
    </row>
    <row r="366" spans="1:9" x14ac:dyDescent="0.15">
      <c r="A366" s="9">
        <v>365</v>
      </c>
      <c r="B366" s="10" t="s">
        <v>9</v>
      </c>
      <c r="C366" s="10" t="s">
        <v>126</v>
      </c>
      <c r="D366" s="10" t="s">
        <v>127</v>
      </c>
      <c r="E366" s="11" t="str">
        <f>+HYPERLINK("http://trademark.i-assist.jp/data/china/image_1899th/78483692.pdf", "78483692")</f>
        <v>78483692</v>
      </c>
      <c r="F366" s="10" t="s">
        <v>1142</v>
      </c>
      <c r="G366" s="10" t="s">
        <v>108</v>
      </c>
      <c r="H366" s="10" t="s">
        <v>1143</v>
      </c>
      <c r="I366" s="10" t="s">
        <v>107</v>
      </c>
    </row>
    <row r="367" spans="1:9" x14ac:dyDescent="0.15">
      <c r="A367" s="9">
        <v>366</v>
      </c>
      <c r="B367" s="10" t="s">
        <v>9</v>
      </c>
      <c r="C367" s="10" t="s">
        <v>126</v>
      </c>
      <c r="D367" s="10" t="s">
        <v>127</v>
      </c>
      <c r="E367" s="11" t="str">
        <f>+HYPERLINK("http://trademark.i-assist.jp/data/china/image_1899th/78485678.pdf", "78485678")</f>
        <v>78485678</v>
      </c>
      <c r="F367" s="10" t="s">
        <v>1144</v>
      </c>
      <c r="G367" s="10" t="s">
        <v>1145</v>
      </c>
      <c r="H367" s="10" t="s">
        <v>1146</v>
      </c>
      <c r="I367" s="10" t="s">
        <v>110</v>
      </c>
    </row>
    <row r="368" spans="1:9" x14ac:dyDescent="0.15">
      <c r="A368" s="9">
        <v>367</v>
      </c>
      <c r="B368" s="10" t="s">
        <v>9</v>
      </c>
      <c r="C368" s="10" t="s">
        <v>126</v>
      </c>
      <c r="D368" s="10" t="s">
        <v>127</v>
      </c>
      <c r="E368" s="11" t="str">
        <f>+HYPERLINK("http://trademark.i-assist.jp/data/china/image_1899th/78485828.pdf", "78485828")</f>
        <v>78485828</v>
      </c>
      <c r="F368" s="10" t="s">
        <v>1147</v>
      </c>
      <c r="G368" s="10" t="s">
        <v>1148</v>
      </c>
      <c r="H368" s="10" t="s">
        <v>1149</v>
      </c>
      <c r="I368" s="10" t="s">
        <v>110</v>
      </c>
    </row>
    <row r="369" spans="1:9" x14ac:dyDescent="0.15">
      <c r="A369" s="9">
        <v>368</v>
      </c>
      <c r="B369" s="10" t="s">
        <v>9</v>
      </c>
      <c r="C369" s="10" t="s">
        <v>126</v>
      </c>
      <c r="D369" s="10" t="s">
        <v>127</v>
      </c>
      <c r="E369" s="11" t="str">
        <f>+HYPERLINK("http://trademark.i-assist.jp/data/china/image_1899th/78486256.pdf", "78486256")</f>
        <v>78486256</v>
      </c>
      <c r="F369" s="10" t="s">
        <v>1150</v>
      </c>
      <c r="G369" s="10" t="s">
        <v>1151</v>
      </c>
      <c r="H369" s="10" t="s">
        <v>1152</v>
      </c>
      <c r="I369" s="10" t="s">
        <v>110</v>
      </c>
    </row>
    <row r="370" spans="1:9" x14ac:dyDescent="0.15">
      <c r="A370" s="9">
        <v>369</v>
      </c>
      <c r="B370" s="10" t="s">
        <v>9</v>
      </c>
      <c r="C370" s="10" t="s">
        <v>126</v>
      </c>
      <c r="D370" s="10" t="s">
        <v>127</v>
      </c>
      <c r="E370" s="11" t="str">
        <f>+HYPERLINK("http://trademark.i-assist.jp/data/china/image_1899th/78486544.pdf", "78486544")</f>
        <v>78486544</v>
      </c>
      <c r="F370" s="10" t="s">
        <v>1153</v>
      </c>
      <c r="G370" s="10" t="s">
        <v>1154</v>
      </c>
      <c r="H370" s="10" t="s">
        <v>1155</v>
      </c>
      <c r="I370" s="10" t="s">
        <v>110</v>
      </c>
    </row>
    <row r="371" spans="1:9" x14ac:dyDescent="0.15">
      <c r="A371" s="9">
        <v>370</v>
      </c>
      <c r="B371" s="10" t="s">
        <v>9</v>
      </c>
      <c r="C371" s="10" t="s">
        <v>126</v>
      </c>
      <c r="D371" s="10" t="s">
        <v>127</v>
      </c>
      <c r="E371" s="11" t="str">
        <f>+HYPERLINK("http://trademark.i-assist.jp/data/china/image_1899th/78490855.pdf", "78490855")</f>
        <v>78490855</v>
      </c>
      <c r="F371" s="10" t="s">
        <v>1156</v>
      </c>
      <c r="G371" s="10" t="s">
        <v>1157</v>
      </c>
      <c r="H371" s="10" t="s">
        <v>1158</v>
      </c>
      <c r="I371" s="10" t="s">
        <v>110</v>
      </c>
    </row>
    <row r="372" spans="1:9" x14ac:dyDescent="0.15">
      <c r="A372" s="9">
        <v>371</v>
      </c>
      <c r="B372" s="10" t="s">
        <v>9</v>
      </c>
      <c r="C372" s="10" t="s">
        <v>126</v>
      </c>
      <c r="D372" s="10" t="s">
        <v>127</v>
      </c>
      <c r="E372" s="11" t="str">
        <f>+HYPERLINK("http://trademark.i-assist.jp/data/china/image_1899th/78493595.pdf", "78493595")</f>
        <v>78493595</v>
      </c>
      <c r="F372" s="10" t="s">
        <v>1159</v>
      </c>
      <c r="G372" s="10" t="s">
        <v>113</v>
      </c>
      <c r="H372" s="10" t="s">
        <v>1160</v>
      </c>
      <c r="I372" s="10" t="s">
        <v>110</v>
      </c>
    </row>
    <row r="373" spans="1:9" x14ac:dyDescent="0.15">
      <c r="A373" s="9">
        <v>372</v>
      </c>
      <c r="B373" s="10" t="s">
        <v>9</v>
      </c>
      <c r="C373" s="10" t="s">
        <v>126</v>
      </c>
      <c r="D373" s="10" t="s">
        <v>127</v>
      </c>
      <c r="E373" s="11" t="str">
        <f>+HYPERLINK("http://trademark.i-assist.jp/data/china/image_1899th/78506986.pdf", "78506986")</f>
        <v>78506986</v>
      </c>
      <c r="F373" s="10" t="s">
        <v>1161</v>
      </c>
      <c r="G373" s="10" t="s">
        <v>1162</v>
      </c>
      <c r="H373" s="10" t="s">
        <v>1163</v>
      </c>
      <c r="I373" s="10" t="s">
        <v>110</v>
      </c>
    </row>
    <row r="374" spans="1:9" x14ac:dyDescent="0.15">
      <c r="A374" s="9">
        <v>373</v>
      </c>
      <c r="B374" s="10" t="s">
        <v>9</v>
      </c>
      <c r="C374" s="10" t="s">
        <v>126</v>
      </c>
      <c r="D374" s="10" t="s">
        <v>127</v>
      </c>
      <c r="E374" s="11" t="str">
        <f>+HYPERLINK("http://trademark.i-assist.jp/data/china/image_1899th/78511135.pdf", "78511135")</f>
        <v>78511135</v>
      </c>
      <c r="F374" s="10" t="s">
        <v>1164</v>
      </c>
      <c r="G374" s="10" t="s">
        <v>1165</v>
      </c>
      <c r="H374" s="10" t="s">
        <v>1166</v>
      </c>
      <c r="I374" s="10" t="s">
        <v>110</v>
      </c>
    </row>
    <row r="375" spans="1:9" x14ac:dyDescent="0.15">
      <c r="A375" s="9">
        <v>374</v>
      </c>
      <c r="B375" s="10" t="s">
        <v>9</v>
      </c>
      <c r="C375" s="10" t="s">
        <v>126</v>
      </c>
      <c r="D375" s="10" t="s">
        <v>127</v>
      </c>
      <c r="E375" s="11" t="str">
        <f>+HYPERLINK("http://trademark.i-assist.jp/data/china/image_1899th/78518599.pdf", "78518599")</f>
        <v>78518599</v>
      </c>
      <c r="F375" s="10" t="s">
        <v>15</v>
      </c>
      <c r="G375" s="10" t="s">
        <v>1167</v>
      </c>
      <c r="H375" s="10" t="s">
        <v>1168</v>
      </c>
      <c r="I375" s="10" t="s">
        <v>114</v>
      </c>
    </row>
    <row r="376" spans="1:9" x14ac:dyDescent="0.15">
      <c r="A376" s="9">
        <v>375</v>
      </c>
      <c r="B376" s="10" t="s">
        <v>9</v>
      </c>
      <c r="C376" s="10" t="s">
        <v>126</v>
      </c>
      <c r="D376" s="10" t="s">
        <v>127</v>
      </c>
      <c r="E376" s="11" t="str">
        <f>+HYPERLINK("http://trademark.i-assist.jp/data/china/image_1899th/78523612.pdf", "78523612")</f>
        <v>78523612</v>
      </c>
      <c r="F376" s="10" t="s">
        <v>1169</v>
      </c>
      <c r="G376" s="10" t="s">
        <v>1170</v>
      </c>
      <c r="H376" s="10" t="s">
        <v>1171</v>
      </c>
      <c r="I376" s="10" t="s">
        <v>114</v>
      </c>
    </row>
    <row r="377" spans="1:9" x14ac:dyDescent="0.15">
      <c r="A377" s="9">
        <v>376</v>
      </c>
      <c r="B377" s="10" t="s">
        <v>9</v>
      </c>
      <c r="C377" s="10" t="s">
        <v>126</v>
      </c>
      <c r="D377" s="10" t="s">
        <v>127</v>
      </c>
      <c r="E377" s="11" t="str">
        <f>+HYPERLINK("http://trademark.i-assist.jp/data/china/image_1899th/78524151.pdf", "78524151")</f>
        <v>78524151</v>
      </c>
      <c r="F377" s="10" t="s">
        <v>1172</v>
      </c>
      <c r="G377" s="10" t="s">
        <v>1173</v>
      </c>
      <c r="H377" s="10" t="s">
        <v>37</v>
      </c>
      <c r="I377" s="10" t="s">
        <v>114</v>
      </c>
    </row>
    <row r="378" spans="1:9" x14ac:dyDescent="0.15">
      <c r="A378" s="9">
        <v>377</v>
      </c>
      <c r="B378" s="10" t="s">
        <v>9</v>
      </c>
      <c r="C378" s="10" t="s">
        <v>126</v>
      </c>
      <c r="D378" s="10" t="s">
        <v>127</v>
      </c>
      <c r="E378" s="11" t="str">
        <f>+HYPERLINK("http://trademark.i-assist.jp/data/china/image_1899th/78526939.pdf", "78526939")</f>
        <v>78526939</v>
      </c>
      <c r="F378" s="10" t="s">
        <v>1174</v>
      </c>
      <c r="G378" s="10" t="s">
        <v>1175</v>
      </c>
      <c r="H378" s="10" t="s">
        <v>1176</v>
      </c>
      <c r="I378" s="10" t="s">
        <v>114</v>
      </c>
    </row>
    <row r="379" spans="1:9" x14ac:dyDescent="0.15">
      <c r="A379" s="9">
        <v>378</v>
      </c>
      <c r="B379" s="10" t="s">
        <v>9</v>
      </c>
      <c r="C379" s="10" t="s">
        <v>126</v>
      </c>
      <c r="D379" s="10" t="s">
        <v>127</v>
      </c>
      <c r="E379" s="11" t="str">
        <f>+HYPERLINK("http://trademark.i-assist.jp/data/china/image_1899th/78527480.pdf", "78527480")</f>
        <v>78527480</v>
      </c>
      <c r="F379" s="10" t="s">
        <v>1177</v>
      </c>
      <c r="G379" s="10" t="s">
        <v>119</v>
      </c>
      <c r="H379" s="10" t="s">
        <v>1178</v>
      </c>
      <c r="I379" s="10" t="s">
        <v>114</v>
      </c>
    </row>
    <row r="380" spans="1:9" x14ac:dyDescent="0.15">
      <c r="A380" s="9">
        <v>379</v>
      </c>
      <c r="B380" s="10" t="s">
        <v>9</v>
      </c>
      <c r="C380" s="10" t="s">
        <v>126</v>
      </c>
      <c r="D380" s="10" t="s">
        <v>127</v>
      </c>
      <c r="E380" s="11" t="str">
        <f>+HYPERLINK("http://trademark.i-assist.jp/data/china/image_1899th/78530128.pdf", "78530128")</f>
        <v>78530128</v>
      </c>
      <c r="F380" s="10" t="s">
        <v>1179</v>
      </c>
      <c r="G380" s="10" t="s">
        <v>1170</v>
      </c>
      <c r="H380" s="10" t="s">
        <v>1180</v>
      </c>
      <c r="I380" s="10" t="s">
        <v>114</v>
      </c>
    </row>
    <row r="381" spans="1:9" x14ac:dyDescent="0.15">
      <c r="A381" s="9">
        <v>380</v>
      </c>
      <c r="B381" s="10" t="s">
        <v>9</v>
      </c>
      <c r="C381" s="10" t="s">
        <v>126</v>
      </c>
      <c r="D381" s="10" t="s">
        <v>127</v>
      </c>
      <c r="E381" s="11" t="str">
        <f>+HYPERLINK("http://trademark.i-assist.jp/data/china/image_1899th/78532487.pdf", "78532487")</f>
        <v>78532487</v>
      </c>
      <c r="F381" s="10" t="s">
        <v>1181</v>
      </c>
      <c r="G381" s="10" t="s">
        <v>1182</v>
      </c>
      <c r="H381" s="10" t="s">
        <v>1183</v>
      </c>
      <c r="I381" s="10" t="s">
        <v>114</v>
      </c>
    </row>
    <row r="382" spans="1:9" x14ac:dyDescent="0.15">
      <c r="A382" s="9">
        <v>381</v>
      </c>
      <c r="B382" s="10" t="s">
        <v>9</v>
      </c>
      <c r="C382" s="10" t="s">
        <v>126</v>
      </c>
      <c r="D382" s="10" t="s">
        <v>127</v>
      </c>
      <c r="E382" s="11" t="str">
        <f>+HYPERLINK("http://trademark.i-assist.jp/data/china/image_1899th/78533425.pdf", "78533425")</f>
        <v>78533425</v>
      </c>
      <c r="F382" s="10" t="s">
        <v>1184</v>
      </c>
      <c r="G382" s="10" t="s">
        <v>1185</v>
      </c>
      <c r="H382" s="10" t="s">
        <v>1186</v>
      </c>
      <c r="I382" s="10" t="s">
        <v>114</v>
      </c>
    </row>
    <row r="383" spans="1:9" x14ac:dyDescent="0.15">
      <c r="A383" s="9">
        <v>382</v>
      </c>
      <c r="B383" s="10" t="s">
        <v>9</v>
      </c>
      <c r="C383" s="10" t="s">
        <v>126</v>
      </c>
      <c r="D383" s="10" t="s">
        <v>127</v>
      </c>
      <c r="E383" s="11" t="str">
        <f>+HYPERLINK("http://trademark.i-assist.jp/data/china/image_1899th/78535414.pdf", "78535414")</f>
        <v>78535414</v>
      </c>
      <c r="F383" s="10" t="s">
        <v>1187</v>
      </c>
      <c r="G383" s="10" t="s">
        <v>82</v>
      </c>
      <c r="H383" s="10" t="s">
        <v>1188</v>
      </c>
      <c r="I383" s="10" t="s">
        <v>114</v>
      </c>
    </row>
    <row r="384" spans="1:9" x14ac:dyDescent="0.15">
      <c r="A384" s="9">
        <v>383</v>
      </c>
      <c r="B384" s="10" t="s">
        <v>9</v>
      </c>
      <c r="C384" s="10" t="s">
        <v>126</v>
      </c>
      <c r="D384" s="10" t="s">
        <v>127</v>
      </c>
      <c r="E384" s="11" t="str">
        <f>+HYPERLINK("http://trademark.i-assist.jp/data/china/image_1899th/78535863.pdf", "78535863")</f>
        <v>78535863</v>
      </c>
      <c r="F384" s="10" t="s">
        <v>1189</v>
      </c>
      <c r="G384" s="10" t="s">
        <v>1190</v>
      </c>
      <c r="H384" s="10" t="s">
        <v>1191</v>
      </c>
      <c r="I384" s="10" t="s">
        <v>114</v>
      </c>
    </row>
    <row r="385" spans="1:9" x14ac:dyDescent="0.15">
      <c r="A385" s="9">
        <v>384</v>
      </c>
      <c r="B385" s="10" t="s">
        <v>9</v>
      </c>
      <c r="C385" s="10" t="s">
        <v>126</v>
      </c>
      <c r="D385" s="10" t="s">
        <v>127</v>
      </c>
      <c r="E385" s="11" t="str">
        <f>+HYPERLINK("http://trademark.i-assist.jp/data/china/image_1899th/78535913.pdf", "78535913")</f>
        <v>78535913</v>
      </c>
      <c r="F385" s="10" t="s">
        <v>1192</v>
      </c>
      <c r="G385" s="10" t="s">
        <v>1193</v>
      </c>
      <c r="H385" s="10" t="s">
        <v>1194</v>
      </c>
      <c r="I385" s="10" t="s">
        <v>114</v>
      </c>
    </row>
    <row r="386" spans="1:9" x14ac:dyDescent="0.15">
      <c r="A386" s="9">
        <v>385</v>
      </c>
      <c r="B386" s="10" t="s">
        <v>9</v>
      </c>
      <c r="C386" s="10" t="s">
        <v>126</v>
      </c>
      <c r="D386" s="10" t="s">
        <v>127</v>
      </c>
      <c r="E386" s="11" t="str">
        <f>+HYPERLINK("http://trademark.i-assist.jp/data/china/image_1899th/78536044.pdf", "78536044")</f>
        <v>78536044</v>
      </c>
      <c r="F386" s="10" t="s">
        <v>1195</v>
      </c>
      <c r="G386" s="10" t="s">
        <v>1196</v>
      </c>
      <c r="H386" s="10" t="s">
        <v>1197</v>
      </c>
      <c r="I386" s="10" t="s">
        <v>114</v>
      </c>
    </row>
    <row r="387" spans="1:9" x14ac:dyDescent="0.15">
      <c r="A387" s="9">
        <v>386</v>
      </c>
      <c r="B387" s="10" t="s">
        <v>9</v>
      </c>
      <c r="C387" s="10" t="s">
        <v>126</v>
      </c>
      <c r="D387" s="10" t="s">
        <v>127</v>
      </c>
      <c r="E387" s="11" t="str">
        <f>+HYPERLINK("http://trademark.i-assist.jp/data/china/image_1899th/78536728.pdf", "78536728")</f>
        <v>78536728</v>
      </c>
      <c r="F387" s="10" t="s">
        <v>15</v>
      </c>
      <c r="G387" s="10" t="s">
        <v>1198</v>
      </c>
      <c r="H387" s="10" t="s">
        <v>1199</v>
      </c>
      <c r="I387" s="10" t="s">
        <v>114</v>
      </c>
    </row>
    <row r="388" spans="1:9" x14ac:dyDescent="0.15">
      <c r="A388" s="9">
        <v>387</v>
      </c>
      <c r="B388" s="10" t="s">
        <v>9</v>
      </c>
      <c r="C388" s="10" t="s">
        <v>126</v>
      </c>
      <c r="D388" s="10" t="s">
        <v>127</v>
      </c>
      <c r="E388" s="11" t="str">
        <f>+HYPERLINK("http://trademark.i-assist.jp/data/china/image_1899th/78539579.pdf", "78539579")</f>
        <v>78539579</v>
      </c>
      <c r="F388" s="10" t="s">
        <v>1200</v>
      </c>
      <c r="G388" s="10" t="s">
        <v>1201</v>
      </c>
      <c r="H388" s="10" t="s">
        <v>1202</v>
      </c>
      <c r="I388" s="10" t="s">
        <v>117</v>
      </c>
    </row>
    <row r="389" spans="1:9" x14ac:dyDescent="0.15">
      <c r="A389" s="9">
        <v>388</v>
      </c>
      <c r="B389" s="10" t="s">
        <v>9</v>
      </c>
      <c r="C389" s="10" t="s">
        <v>126</v>
      </c>
      <c r="D389" s="10" t="s">
        <v>127</v>
      </c>
      <c r="E389" s="11" t="str">
        <f>+HYPERLINK("http://trademark.i-assist.jp/data/china/image_1899th/78542028.pdf", "78542028")</f>
        <v>78542028</v>
      </c>
      <c r="F389" s="10" t="s">
        <v>1203</v>
      </c>
      <c r="G389" s="10" t="s">
        <v>1204</v>
      </c>
      <c r="H389" s="10" t="s">
        <v>1205</v>
      </c>
      <c r="I389" s="10" t="s">
        <v>118</v>
      </c>
    </row>
    <row r="390" spans="1:9" x14ac:dyDescent="0.15">
      <c r="A390" s="9">
        <v>389</v>
      </c>
      <c r="B390" s="10" t="s">
        <v>9</v>
      </c>
      <c r="C390" s="10" t="s">
        <v>126</v>
      </c>
      <c r="D390" s="10" t="s">
        <v>127</v>
      </c>
      <c r="E390" s="11" t="str">
        <f>+HYPERLINK("http://trademark.i-assist.jp/data/china/image_1899th/78542653.pdf", "78542653")</f>
        <v>78542653</v>
      </c>
      <c r="F390" s="10" t="s">
        <v>15</v>
      </c>
      <c r="G390" s="10" t="s">
        <v>115</v>
      </c>
      <c r="H390" s="10" t="s">
        <v>1206</v>
      </c>
      <c r="I390" s="10" t="s">
        <v>118</v>
      </c>
    </row>
    <row r="391" spans="1:9" x14ac:dyDescent="0.15">
      <c r="A391" s="9">
        <v>390</v>
      </c>
      <c r="B391" s="10" t="s">
        <v>9</v>
      </c>
      <c r="C391" s="10" t="s">
        <v>126</v>
      </c>
      <c r="D391" s="10" t="s">
        <v>127</v>
      </c>
      <c r="E391" s="11" t="str">
        <f>+HYPERLINK("http://trademark.i-assist.jp/data/china/image_1899th/78543071.pdf", "78543071")</f>
        <v>78543071</v>
      </c>
      <c r="F391" s="10" t="s">
        <v>1207</v>
      </c>
      <c r="G391" s="10" t="s">
        <v>1208</v>
      </c>
      <c r="H391" s="10" t="s">
        <v>1209</v>
      </c>
      <c r="I391" s="10" t="s">
        <v>118</v>
      </c>
    </row>
    <row r="392" spans="1:9" x14ac:dyDescent="0.15">
      <c r="A392" s="9">
        <v>391</v>
      </c>
      <c r="B392" s="10" t="s">
        <v>9</v>
      </c>
      <c r="C392" s="10" t="s">
        <v>126</v>
      </c>
      <c r="D392" s="10" t="s">
        <v>127</v>
      </c>
      <c r="E392" s="11" t="str">
        <f>+HYPERLINK("http://trademark.i-assist.jp/data/china/image_1899th/78544896.pdf", "78544896")</f>
        <v>78544896</v>
      </c>
      <c r="F392" s="10" t="s">
        <v>1210</v>
      </c>
      <c r="G392" s="10" t="s">
        <v>1211</v>
      </c>
      <c r="H392" s="10" t="s">
        <v>1212</v>
      </c>
      <c r="I392" s="10" t="s">
        <v>118</v>
      </c>
    </row>
    <row r="393" spans="1:9" x14ac:dyDescent="0.15">
      <c r="A393" s="9">
        <v>392</v>
      </c>
      <c r="B393" s="10" t="s">
        <v>9</v>
      </c>
      <c r="C393" s="10" t="s">
        <v>126</v>
      </c>
      <c r="D393" s="10" t="s">
        <v>127</v>
      </c>
      <c r="E393" s="11" t="str">
        <f>+HYPERLINK("http://trademark.i-assist.jp/data/china/image_1899th/78548178.pdf", "78548178")</f>
        <v>78548178</v>
      </c>
      <c r="F393" s="10" t="s">
        <v>1213</v>
      </c>
      <c r="G393" s="10" t="s">
        <v>1214</v>
      </c>
      <c r="H393" s="10" t="s">
        <v>1215</v>
      </c>
      <c r="I393" s="10" t="s">
        <v>118</v>
      </c>
    </row>
    <row r="394" spans="1:9" x14ac:dyDescent="0.15">
      <c r="A394" s="9">
        <v>393</v>
      </c>
      <c r="B394" s="10" t="s">
        <v>9</v>
      </c>
      <c r="C394" s="10" t="s">
        <v>126</v>
      </c>
      <c r="D394" s="10" t="s">
        <v>127</v>
      </c>
      <c r="E394" s="11" t="str">
        <f>+HYPERLINK("http://trademark.i-assist.jp/data/china/image_1899th/78549065.pdf", "78549065")</f>
        <v>78549065</v>
      </c>
      <c r="F394" s="10" t="s">
        <v>1216</v>
      </c>
      <c r="G394" s="10" t="s">
        <v>1217</v>
      </c>
      <c r="H394" s="10" t="s">
        <v>1218</v>
      </c>
      <c r="I394" s="10" t="s">
        <v>118</v>
      </c>
    </row>
    <row r="395" spans="1:9" x14ac:dyDescent="0.15">
      <c r="A395" s="9">
        <v>394</v>
      </c>
      <c r="B395" s="10" t="s">
        <v>9</v>
      </c>
      <c r="C395" s="10" t="s">
        <v>126</v>
      </c>
      <c r="D395" s="10" t="s">
        <v>127</v>
      </c>
      <c r="E395" s="11" t="str">
        <f>+HYPERLINK("http://trademark.i-assist.jp/data/china/image_1899th/78551413.pdf", "78551413")</f>
        <v>78551413</v>
      </c>
      <c r="F395" s="10" t="s">
        <v>1219</v>
      </c>
      <c r="G395" s="10" t="s">
        <v>1220</v>
      </c>
      <c r="H395" s="10" t="s">
        <v>1221</v>
      </c>
      <c r="I395" s="10" t="s">
        <v>118</v>
      </c>
    </row>
    <row r="396" spans="1:9" x14ac:dyDescent="0.15">
      <c r="A396" s="9">
        <v>395</v>
      </c>
      <c r="B396" s="10" t="s">
        <v>9</v>
      </c>
      <c r="C396" s="10" t="s">
        <v>126</v>
      </c>
      <c r="D396" s="10" t="s">
        <v>127</v>
      </c>
      <c r="E396" s="11" t="str">
        <f>+HYPERLINK("http://trademark.i-assist.jp/data/china/image_1899th/78551818.pdf", "78551818")</f>
        <v>78551818</v>
      </c>
      <c r="F396" s="10" t="s">
        <v>1222</v>
      </c>
      <c r="G396" s="10" t="s">
        <v>1223</v>
      </c>
      <c r="H396" s="10" t="s">
        <v>1224</v>
      </c>
      <c r="I396" s="10" t="s">
        <v>118</v>
      </c>
    </row>
    <row r="397" spans="1:9" x14ac:dyDescent="0.15">
      <c r="A397" s="9">
        <v>396</v>
      </c>
      <c r="B397" s="10" t="s">
        <v>9</v>
      </c>
      <c r="C397" s="10" t="s">
        <v>126</v>
      </c>
      <c r="D397" s="10" t="s">
        <v>127</v>
      </c>
      <c r="E397" s="11" t="str">
        <f>+HYPERLINK("http://trademark.i-assist.jp/data/china/image_1899th/78551968.pdf", "78551968")</f>
        <v>78551968</v>
      </c>
      <c r="F397" s="10" t="s">
        <v>1225</v>
      </c>
      <c r="G397" s="10" t="s">
        <v>1226</v>
      </c>
      <c r="H397" s="10" t="s">
        <v>1227</v>
      </c>
      <c r="I397" s="10" t="s">
        <v>118</v>
      </c>
    </row>
    <row r="398" spans="1:9" x14ac:dyDescent="0.15">
      <c r="A398" s="9">
        <v>397</v>
      </c>
      <c r="B398" s="10" t="s">
        <v>9</v>
      </c>
      <c r="C398" s="10" t="s">
        <v>126</v>
      </c>
      <c r="D398" s="10" t="s">
        <v>127</v>
      </c>
      <c r="E398" s="11" t="str">
        <f>+HYPERLINK("http://trademark.i-assist.jp/data/china/image_1899th/78552262.pdf", "78552262")</f>
        <v>78552262</v>
      </c>
      <c r="F398" s="10" t="s">
        <v>1228</v>
      </c>
      <c r="G398" s="10" t="s">
        <v>1229</v>
      </c>
      <c r="H398" s="10" t="s">
        <v>1230</v>
      </c>
      <c r="I398" s="10" t="s">
        <v>118</v>
      </c>
    </row>
    <row r="399" spans="1:9" x14ac:dyDescent="0.15">
      <c r="A399" s="9">
        <v>398</v>
      </c>
      <c r="B399" s="10" t="s">
        <v>9</v>
      </c>
      <c r="C399" s="10" t="s">
        <v>126</v>
      </c>
      <c r="D399" s="10" t="s">
        <v>127</v>
      </c>
      <c r="E399" s="11" t="str">
        <f>+HYPERLINK("http://trademark.i-assist.jp/data/china/image_1899th/78554038.pdf", "78554038")</f>
        <v>78554038</v>
      </c>
      <c r="F399" s="10" t="s">
        <v>1231</v>
      </c>
      <c r="G399" s="10" t="s">
        <v>1232</v>
      </c>
      <c r="H399" s="10" t="s">
        <v>1233</v>
      </c>
      <c r="I399" s="10" t="s">
        <v>118</v>
      </c>
    </row>
    <row r="400" spans="1:9" x14ac:dyDescent="0.15">
      <c r="A400" s="9">
        <v>399</v>
      </c>
      <c r="B400" s="10" t="s">
        <v>9</v>
      </c>
      <c r="C400" s="10" t="s">
        <v>126</v>
      </c>
      <c r="D400" s="10" t="s">
        <v>127</v>
      </c>
      <c r="E400" s="11" t="str">
        <f>+HYPERLINK("http://trademark.i-assist.jp/data/china/image_1899th/78555655.pdf", "78555655")</f>
        <v>78555655</v>
      </c>
      <c r="F400" s="10" t="s">
        <v>1234</v>
      </c>
      <c r="G400" s="10" t="s">
        <v>1235</v>
      </c>
      <c r="H400" s="10" t="s">
        <v>1236</v>
      </c>
      <c r="I400" s="10" t="s">
        <v>118</v>
      </c>
    </row>
    <row r="401" spans="1:9" x14ac:dyDescent="0.15">
      <c r="A401" s="9">
        <v>400</v>
      </c>
      <c r="B401" s="10" t="s">
        <v>9</v>
      </c>
      <c r="C401" s="10" t="s">
        <v>126</v>
      </c>
      <c r="D401" s="10" t="s">
        <v>127</v>
      </c>
      <c r="E401" s="11" t="str">
        <f>+HYPERLINK("http://trademark.i-assist.jp/data/china/image_1899th/78556180.pdf", "78556180")</f>
        <v>78556180</v>
      </c>
      <c r="F401" s="10" t="s">
        <v>1237</v>
      </c>
      <c r="G401" s="10" t="s">
        <v>1238</v>
      </c>
      <c r="H401" s="10" t="s">
        <v>1239</v>
      </c>
      <c r="I401" s="10" t="s">
        <v>118</v>
      </c>
    </row>
    <row r="402" spans="1:9" x14ac:dyDescent="0.15">
      <c r="A402" s="9">
        <v>401</v>
      </c>
      <c r="B402" s="10" t="s">
        <v>9</v>
      </c>
      <c r="C402" s="10" t="s">
        <v>126</v>
      </c>
      <c r="D402" s="10" t="s">
        <v>127</v>
      </c>
      <c r="E402" s="11" t="str">
        <f>+HYPERLINK("http://trademark.i-assist.jp/data/china/image_1899th/78561364.pdf", "78561364")</f>
        <v>78561364</v>
      </c>
      <c r="F402" s="10" t="s">
        <v>15</v>
      </c>
      <c r="G402" s="10" t="s">
        <v>121</v>
      </c>
      <c r="H402" s="10" t="s">
        <v>1240</v>
      </c>
      <c r="I402" s="10" t="s">
        <v>118</v>
      </c>
    </row>
    <row r="403" spans="1:9" x14ac:dyDescent="0.15">
      <c r="A403" s="9">
        <v>402</v>
      </c>
      <c r="B403" s="10" t="s">
        <v>9</v>
      </c>
      <c r="C403" s="10" t="s">
        <v>126</v>
      </c>
      <c r="D403" s="10" t="s">
        <v>127</v>
      </c>
      <c r="E403" s="11" t="str">
        <f>+HYPERLINK("http://trademark.i-assist.jp/data/china/image_1899th/78562484.pdf", "78562484")</f>
        <v>78562484</v>
      </c>
      <c r="F403" s="10" t="s">
        <v>1241</v>
      </c>
      <c r="G403" s="10" t="s">
        <v>1242</v>
      </c>
      <c r="H403" s="10" t="s">
        <v>1243</v>
      </c>
      <c r="I403" s="10" t="s">
        <v>118</v>
      </c>
    </row>
    <row r="404" spans="1:9" x14ac:dyDescent="0.15">
      <c r="A404" s="9">
        <v>403</v>
      </c>
      <c r="B404" s="10" t="s">
        <v>9</v>
      </c>
      <c r="C404" s="10" t="s">
        <v>126</v>
      </c>
      <c r="D404" s="10" t="s">
        <v>127</v>
      </c>
      <c r="E404" s="11" t="str">
        <f>+HYPERLINK("http://trademark.i-assist.jp/data/china/image_1899th/78562780.pdf", "78562780")</f>
        <v>78562780</v>
      </c>
      <c r="F404" s="10" t="s">
        <v>1244</v>
      </c>
      <c r="G404" s="10" t="s">
        <v>1245</v>
      </c>
      <c r="H404" s="10" t="s">
        <v>1246</v>
      </c>
      <c r="I404" s="10" t="s">
        <v>118</v>
      </c>
    </row>
    <row r="405" spans="1:9" x14ac:dyDescent="0.15">
      <c r="A405" s="9">
        <v>404</v>
      </c>
      <c r="B405" s="10" t="s">
        <v>9</v>
      </c>
      <c r="C405" s="10" t="s">
        <v>126</v>
      </c>
      <c r="D405" s="10" t="s">
        <v>127</v>
      </c>
      <c r="E405" s="11" t="str">
        <f>+HYPERLINK("http://trademark.i-assist.jp/data/china/image_1899th/78562866.pdf", "78562866")</f>
        <v>78562866</v>
      </c>
      <c r="F405" s="10" t="s">
        <v>1247</v>
      </c>
      <c r="G405" s="10" t="s">
        <v>1242</v>
      </c>
      <c r="H405" s="10" t="s">
        <v>1248</v>
      </c>
      <c r="I405" s="10" t="s">
        <v>118</v>
      </c>
    </row>
    <row r="406" spans="1:9" x14ac:dyDescent="0.15">
      <c r="A406" s="9">
        <v>405</v>
      </c>
      <c r="B406" s="10" t="s">
        <v>9</v>
      </c>
      <c r="C406" s="10" t="s">
        <v>126</v>
      </c>
      <c r="D406" s="10" t="s">
        <v>127</v>
      </c>
      <c r="E406" s="11" t="str">
        <f>+HYPERLINK("http://trademark.i-assist.jp/data/china/image_1899th/78563043.pdf", "78563043")</f>
        <v>78563043</v>
      </c>
      <c r="F406" s="10" t="s">
        <v>1249</v>
      </c>
      <c r="G406" s="10" t="s">
        <v>1250</v>
      </c>
      <c r="H406" s="10" t="s">
        <v>1251</v>
      </c>
      <c r="I406" s="10" t="s">
        <v>118</v>
      </c>
    </row>
    <row r="407" spans="1:9" x14ac:dyDescent="0.15">
      <c r="A407" s="9">
        <v>406</v>
      </c>
      <c r="B407" s="10" t="s">
        <v>9</v>
      </c>
      <c r="C407" s="10" t="s">
        <v>126</v>
      </c>
      <c r="D407" s="10" t="s">
        <v>127</v>
      </c>
      <c r="E407" s="11" t="str">
        <f>+HYPERLINK("http://trademark.i-assist.jp/data/china/image_1899th/78563060.pdf", "78563060")</f>
        <v>78563060</v>
      </c>
      <c r="F407" s="10" t="s">
        <v>1252</v>
      </c>
      <c r="G407" s="10" t="s">
        <v>1250</v>
      </c>
      <c r="H407" s="10" t="s">
        <v>1253</v>
      </c>
      <c r="I407" s="10" t="s">
        <v>118</v>
      </c>
    </row>
    <row r="408" spans="1:9" x14ac:dyDescent="0.15">
      <c r="A408" s="9">
        <v>407</v>
      </c>
      <c r="B408" s="10" t="s">
        <v>9</v>
      </c>
      <c r="C408" s="10" t="s">
        <v>126</v>
      </c>
      <c r="D408" s="10" t="s">
        <v>127</v>
      </c>
      <c r="E408" s="11" t="str">
        <f>+HYPERLINK("http://trademark.i-assist.jp/data/china/image_1899th/78563830.pdf", "78563830")</f>
        <v>78563830</v>
      </c>
      <c r="F408" s="10" t="s">
        <v>15</v>
      </c>
      <c r="G408" s="10" t="s">
        <v>1254</v>
      </c>
      <c r="H408" s="10" t="s">
        <v>1255</v>
      </c>
      <c r="I408" s="10" t="s">
        <v>118</v>
      </c>
    </row>
    <row r="409" spans="1:9" x14ac:dyDescent="0.15">
      <c r="A409" s="9">
        <v>408</v>
      </c>
      <c r="B409" s="10" t="s">
        <v>9</v>
      </c>
      <c r="C409" s="10" t="s">
        <v>126</v>
      </c>
      <c r="D409" s="10" t="s">
        <v>127</v>
      </c>
      <c r="E409" s="11" t="str">
        <f>+HYPERLINK("http://trademark.i-assist.jp/data/china/image_1899th/78564158.pdf", "78564158")</f>
        <v>78564158</v>
      </c>
      <c r="F409" s="10" t="s">
        <v>1256</v>
      </c>
      <c r="G409" s="10" t="s">
        <v>1257</v>
      </c>
      <c r="H409" s="10" t="s">
        <v>1258</v>
      </c>
      <c r="I409" s="10" t="s">
        <v>118</v>
      </c>
    </row>
    <row r="410" spans="1:9" x14ac:dyDescent="0.15">
      <c r="A410" s="9">
        <v>409</v>
      </c>
      <c r="B410" s="10" t="s">
        <v>9</v>
      </c>
      <c r="C410" s="10" t="s">
        <v>126</v>
      </c>
      <c r="D410" s="10" t="s">
        <v>127</v>
      </c>
      <c r="E410" s="11" t="str">
        <f>+HYPERLINK("http://trademark.i-assist.jp/data/china/image_1899th/78565263.pdf", "78565263")</f>
        <v>78565263</v>
      </c>
      <c r="F410" s="10" t="s">
        <v>1259</v>
      </c>
      <c r="G410" s="10" t="s">
        <v>1226</v>
      </c>
      <c r="H410" s="10" t="s">
        <v>1260</v>
      </c>
      <c r="I410" s="10" t="s">
        <v>118</v>
      </c>
    </row>
    <row r="411" spans="1:9" x14ac:dyDescent="0.15">
      <c r="A411" s="9">
        <v>410</v>
      </c>
      <c r="B411" s="10" t="s">
        <v>9</v>
      </c>
      <c r="C411" s="10" t="s">
        <v>126</v>
      </c>
      <c r="D411" s="10" t="s">
        <v>127</v>
      </c>
      <c r="E411" s="11" t="str">
        <f>+HYPERLINK("http://trademark.i-assist.jp/data/china/image_1899th/78566015.pdf", "78566015")</f>
        <v>78566015</v>
      </c>
      <c r="F411" s="10" t="s">
        <v>1261</v>
      </c>
      <c r="G411" s="10" t="s">
        <v>1262</v>
      </c>
      <c r="H411" s="10" t="s">
        <v>1263</v>
      </c>
      <c r="I411" s="10" t="s">
        <v>118</v>
      </c>
    </row>
    <row r="412" spans="1:9" x14ac:dyDescent="0.15">
      <c r="A412" s="9">
        <v>411</v>
      </c>
      <c r="B412" s="10" t="s">
        <v>9</v>
      </c>
      <c r="C412" s="10" t="s">
        <v>126</v>
      </c>
      <c r="D412" s="10" t="s">
        <v>127</v>
      </c>
      <c r="E412" s="11" t="str">
        <f>+HYPERLINK("http://trademark.i-assist.jp/data/china/image_1899th/78566358.pdf", "78566358")</f>
        <v>78566358</v>
      </c>
      <c r="F412" s="10" t="s">
        <v>1264</v>
      </c>
      <c r="G412" s="10" t="s">
        <v>1265</v>
      </c>
      <c r="H412" s="10" t="s">
        <v>1266</v>
      </c>
      <c r="I412" s="10" t="s">
        <v>118</v>
      </c>
    </row>
    <row r="413" spans="1:9" x14ac:dyDescent="0.15">
      <c r="A413" s="9">
        <v>412</v>
      </c>
      <c r="B413" s="10" t="s">
        <v>9</v>
      </c>
      <c r="C413" s="10" t="s">
        <v>126</v>
      </c>
      <c r="D413" s="10" t="s">
        <v>127</v>
      </c>
      <c r="E413" s="11" t="str">
        <f>+HYPERLINK("http://trademark.i-assist.jp/data/china/image_1899th/78567016.pdf", "78567016")</f>
        <v>78567016</v>
      </c>
      <c r="F413" s="10" t="s">
        <v>1267</v>
      </c>
      <c r="G413" s="10" t="s">
        <v>1268</v>
      </c>
      <c r="H413" s="10" t="s">
        <v>1269</v>
      </c>
      <c r="I413" s="10" t="s">
        <v>118</v>
      </c>
    </row>
    <row r="414" spans="1:9" x14ac:dyDescent="0.15">
      <c r="A414" s="9">
        <v>413</v>
      </c>
      <c r="B414" s="10" t="s">
        <v>9</v>
      </c>
      <c r="C414" s="10" t="s">
        <v>126</v>
      </c>
      <c r="D414" s="10" t="s">
        <v>127</v>
      </c>
      <c r="E414" s="11" t="str">
        <f>+HYPERLINK("http://trademark.i-assist.jp/data/china/image_1899th/78567029.pdf", "78567029")</f>
        <v>78567029</v>
      </c>
      <c r="F414" s="10" t="s">
        <v>1270</v>
      </c>
      <c r="G414" s="10" t="s">
        <v>1226</v>
      </c>
      <c r="H414" s="10" t="s">
        <v>1271</v>
      </c>
      <c r="I414" s="10" t="s">
        <v>118</v>
      </c>
    </row>
    <row r="415" spans="1:9" x14ac:dyDescent="0.15">
      <c r="A415" s="9">
        <v>414</v>
      </c>
      <c r="B415" s="10" t="s">
        <v>9</v>
      </c>
      <c r="C415" s="10" t="s">
        <v>126</v>
      </c>
      <c r="D415" s="10" t="s">
        <v>127</v>
      </c>
      <c r="E415" s="11" t="str">
        <f>+HYPERLINK("http://trademark.i-assist.jp/data/china/image_1899th/78568829.pdf", "78568829")</f>
        <v>78568829</v>
      </c>
      <c r="F415" s="10" t="s">
        <v>1272</v>
      </c>
      <c r="G415" s="10" t="s">
        <v>1273</v>
      </c>
      <c r="H415" s="10" t="s">
        <v>1274</v>
      </c>
      <c r="I415" s="10" t="s">
        <v>122</v>
      </c>
    </row>
    <row r="416" spans="1:9" x14ac:dyDescent="0.15">
      <c r="A416" s="9">
        <v>415</v>
      </c>
      <c r="B416" s="10" t="s">
        <v>9</v>
      </c>
      <c r="C416" s="10" t="s">
        <v>126</v>
      </c>
      <c r="D416" s="10" t="s">
        <v>127</v>
      </c>
      <c r="E416" s="11" t="str">
        <f>+HYPERLINK("http://trademark.i-assist.jp/data/china/image_1899th/78569111.pdf", "78569111")</f>
        <v>78569111</v>
      </c>
      <c r="F416" s="10" t="s">
        <v>1275</v>
      </c>
      <c r="G416" s="10" t="s">
        <v>1276</v>
      </c>
      <c r="H416" s="10" t="s">
        <v>1277</v>
      </c>
      <c r="I416" s="10" t="s">
        <v>122</v>
      </c>
    </row>
    <row r="417" spans="1:9" x14ac:dyDescent="0.15">
      <c r="A417" s="9">
        <v>416</v>
      </c>
      <c r="B417" s="10" t="s">
        <v>9</v>
      </c>
      <c r="C417" s="10" t="s">
        <v>126</v>
      </c>
      <c r="D417" s="10" t="s">
        <v>127</v>
      </c>
      <c r="E417" s="11" t="str">
        <f>+HYPERLINK("http://trademark.i-assist.jp/data/china/image_1899th/78570811.pdf", "78570811")</f>
        <v>78570811</v>
      </c>
      <c r="F417" s="10" t="s">
        <v>1278</v>
      </c>
      <c r="G417" s="10" t="s">
        <v>1279</v>
      </c>
      <c r="H417" s="10" t="s">
        <v>1280</v>
      </c>
      <c r="I417" s="10" t="s">
        <v>122</v>
      </c>
    </row>
    <row r="418" spans="1:9" x14ac:dyDescent="0.15">
      <c r="A418" s="9">
        <v>417</v>
      </c>
      <c r="B418" s="10" t="s">
        <v>9</v>
      </c>
      <c r="C418" s="10" t="s">
        <v>126</v>
      </c>
      <c r="D418" s="10" t="s">
        <v>127</v>
      </c>
      <c r="E418" s="11" t="str">
        <f>+HYPERLINK("http://trademark.i-assist.jp/data/china/image_1899th/78579800.pdf", "78579800")</f>
        <v>78579800</v>
      </c>
      <c r="F418" s="10" t="s">
        <v>15</v>
      </c>
      <c r="G418" s="10" t="s">
        <v>1281</v>
      </c>
      <c r="H418" s="10" t="s">
        <v>1282</v>
      </c>
      <c r="I418" s="10" t="s">
        <v>122</v>
      </c>
    </row>
    <row r="419" spans="1:9" x14ac:dyDescent="0.15">
      <c r="A419" s="9">
        <v>418</v>
      </c>
      <c r="B419" s="10" t="s">
        <v>9</v>
      </c>
      <c r="C419" s="10" t="s">
        <v>126</v>
      </c>
      <c r="D419" s="10" t="s">
        <v>127</v>
      </c>
      <c r="E419" s="11" t="str">
        <f>+HYPERLINK("http://trademark.i-assist.jp/data/china/image_1899th/78582563.pdf", "78582563")</f>
        <v>78582563</v>
      </c>
      <c r="F419" s="10" t="s">
        <v>1283</v>
      </c>
      <c r="G419" s="10" t="s">
        <v>1284</v>
      </c>
      <c r="H419" s="10" t="s">
        <v>1285</v>
      </c>
      <c r="I419" s="10" t="s">
        <v>122</v>
      </c>
    </row>
    <row r="420" spans="1:9" x14ac:dyDescent="0.15">
      <c r="A420" s="9">
        <v>419</v>
      </c>
      <c r="B420" s="10" t="s">
        <v>9</v>
      </c>
      <c r="C420" s="10" t="s">
        <v>126</v>
      </c>
      <c r="D420" s="10" t="s">
        <v>127</v>
      </c>
      <c r="E420" s="11" t="str">
        <f>+HYPERLINK("http://trademark.i-assist.jp/data/china/image_1899th/78583458.pdf", "78583458")</f>
        <v>78583458</v>
      </c>
      <c r="F420" s="10" t="s">
        <v>1286</v>
      </c>
      <c r="G420" s="10" t="s">
        <v>1287</v>
      </c>
      <c r="H420" s="10" t="s">
        <v>1288</v>
      </c>
      <c r="I420" s="10" t="s">
        <v>122</v>
      </c>
    </row>
    <row r="421" spans="1:9" x14ac:dyDescent="0.15">
      <c r="A421" s="9">
        <v>420</v>
      </c>
      <c r="B421" s="10" t="s">
        <v>9</v>
      </c>
      <c r="C421" s="10" t="s">
        <v>126</v>
      </c>
      <c r="D421" s="10" t="s">
        <v>127</v>
      </c>
      <c r="E421" s="11" t="str">
        <f>+HYPERLINK("http://trademark.i-assist.jp/data/china/image_1899th/78585791.pdf", "78585791")</f>
        <v>78585791</v>
      </c>
      <c r="F421" s="10" t="s">
        <v>15</v>
      </c>
      <c r="G421" s="10" t="s">
        <v>1289</v>
      </c>
      <c r="H421" s="10" t="s">
        <v>1290</v>
      </c>
      <c r="I421" s="10" t="s">
        <v>122</v>
      </c>
    </row>
    <row r="422" spans="1:9" x14ac:dyDescent="0.15">
      <c r="A422" s="9">
        <v>421</v>
      </c>
      <c r="B422" s="10" t="s">
        <v>9</v>
      </c>
      <c r="C422" s="10" t="s">
        <v>126</v>
      </c>
      <c r="D422" s="10" t="s">
        <v>127</v>
      </c>
      <c r="E422" s="11" t="str">
        <f>+HYPERLINK("http://trademark.i-assist.jp/data/china/image_1899th/78586523.pdf", "78586523")</f>
        <v>78586523</v>
      </c>
      <c r="F422" s="10" t="s">
        <v>15</v>
      </c>
      <c r="G422" s="10" t="s">
        <v>1291</v>
      </c>
      <c r="H422" s="10" t="s">
        <v>1292</v>
      </c>
      <c r="I422" s="10" t="s">
        <v>122</v>
      </c>
    </row>
    <row r="423" spans="1:9" x14ac:dyDescent="0.15">
      <c r="A423" s="9">
        <v>422</v>
      </c>
      <c r="B423" s="10" t="s">
        <v>9</v>
      </c>
      <c r="C423" s="10" t="s">
        <v>126</v>
      </c>
      <c r="D423" s="10" t="s">
        <v>127</v>
      </c>
      <c r="E423" s="11" t="str">
        <f>+HYPERLINK("http://trademark.i-assist.jp/data/china/image_1899th/78590122.pdf", "78590122")</f>
        <v>78590122</v>
      </c>
      <c r="F423" s="10" t="s">
        <v>1293</v>
      </c>
      <c r="G423" s="10" t="s">
        <v>1294</v>
      </c>
      <c r="H423" s="10" t="s">
        <v>1295</v>
      </c>
      <c r="I423" s="10" t="s">
        <v>122</v>
      </c>
    </row>
    <row r="424" spans="1:9" x14ac:dyDescent="0.15">
      <c r="A424" s="9">
        <v>423</v>
      </c>
      <c r="B424" s="10" t="s">
        <v>9</v>
      </c>
      <c r="C424" s="10" t="s">
        <v>126</v>
      </c>
      <c r="D424" s="10" t="s">
        <v>127</v>
      </c>
      <c r="E424" s="11" t="str">
        <f>+HYPERLINK("http://trademark.i-assist.jp/data/china/image_1899th/78591793.pdf", "78591793")</f>
        <v>78591793</v>
      </c>
      <c r="F424" s="10" t="s">
        <v>1296</v>
      </c>
      <c r="G424" s="10" t="s">
        <v>1297</v>
      </c>
      <c r="H424" s="10" t="s">
        <v>1298</v>
      </c>
      <c r="I424" s="10" t="s">
        <v>122</v>
      </c>
    </row>
    <row r="425" spans="1:9" x14ac:dyDescent="0.15">
      <c r="A425" s="9">
        <v>424</v>
      </c>
      <c r="B425" s="10" t="s">
        <v>9</v>
      </c>
      <c r="C425" s="10" t="s">
        <v>126</v>
      </c>
      <c r="D425" s="10" t="s">
        <v>127</v>
      </c>
      <c r="E425" s="11" t="str">
        <f>+HYPERLINK("http://trademark.i-assist.jp/data/china/image_1899th/78593381.pdf", "78593381")</f>
        <v>78593381</v>
      </c>
      <c r="F425" s="10" t="s">
        <v>15</v>
      </c>
      <c r="G425" s="10" t="s">
        <v>1299</v>
      </c>
      <c r="H425" s="10" t="s">
        <v>1300</v>
      </c>
      <c r="I425" s="10" t="s">
        <v>122</v>
      </c>
    </row>
    <row r="426" spans="1:9" x14ac:dyDescent="0.15">
      <c r="A426" s="9">
        <v>425</v>
      </c>
      <c r="B426" s="10" t="s">
        <v>9</v>
      </c>
      <c r="C426" s="10" t="s">
        <v>126</v>
      </c>
      <c r="D426" s="10" t="s">
        <v>127</v>
      </c>
      <c r="E426" s="11" t="str">
        <f>+HYPERLINK("http://trademark.i-assist.jp/data/china/image_1899th/78593522.pdf", "78593522")</f>
        <v>78593522</v>
      </c>
      <c r="F426" s="10" t="s">
        <v>15</v>
      </c>
      <c r="G426" s="10" t="s">
        <v>1301</v>
      </c>
      <c r="H426" s="10" t="s">
        <v>1302</v>
      </c>
      <c r="I426" s="10" t="s">
        <v>122</v>
      </c>
    </row>
    <row r="427" spans="1:9" x14ac:dyDescent="0.15">
      <c r="A427" s="9">
        <v>426</v>
      </c>
      <c r="B427" s="10" t="s">
        <v>9</v>
      </c>
      <c r="C427" s="10" t="s">
        <v>126</v>
      </c>
      <c r="D427" s="10" t="s">
        <v>127</v>
      </c>
      <c r="E427" s="11" t="str">
        <f>+HYPERLINK("http://trademark.i-assist.jp/data/china/image_1899th/78595166.pdf", "78595166")</f>
        <v>78595166</v>
      </c>
      <c r="F427" s="10" t="s">
        <v>15</v>
      </c>
      <c r="G427" s="10" t="s">
        <v>1303</v>
      </c>
      <c r="H427" s="10" t="s">
        <v>1304</v>
      </c>
      <c r="I427" s="10" t="s">
        <v>122</v>
      </c>
    </row>
    <row r="428" spans="1:9" x14ac:dyDescent="0.15">
      <c r="A428" s="9">
        <v>427</v>
      </c>
      <c r="B428" s="10" t="s">
        <v>9</v>
      </c>
      <c r="C428" s="10" t="s">
        <v>126</v>
      </c>
      <c r="D428" s="10" t="s">
        <v>127</v>
      </c>
      <c r="E428" s="11" t="str">
        <f>+HYPERLINK("http://trademark.i-assist.jp/data/china/image_1899th/78596529.pdf", "78596529")</f>
        <v>78596529</v>
      </c>
      <c r="F428" s="10" t="s">
        <v>1305</v>
      </c>
      <c r="G428" s="10" t="s">
        <v>1306</v>
      </c>
      <c r="H428" s="10" t="s">
        <v>1307</v>
      </c>
      <c r="I428" s="10" t="s">
        <v>123</v>
      </c>
    </row>
    <row r="429" spans="1:9" x14ac:dyDescent="0.15">
      <c r="A429" s="9">
        <v>428</v>
      </c>
      <c r="B429" s="10" t="s">
        <v>9</v>
      </c>
      <c r="C429" s="10" t="s">
        <v>126</v>
      </c>
      <c r="D429" s="10" t="s">
        <v>127</v>
      </c>
      <c r="E429" s="11" t="str">
        <f>+HYPERLINK("http://trademark.i-assist.jp/data/china/image_1899th/78596800.pdf", "78596800")</f>
        <v>78596800</v>
      </c>
      <c r="F429" s="10" t="s">
        <v>1308</v>
      </c>
      <c r="G429" s="10" t="s">
        <v>1309</v>
      </c>
      <c r="H429" s="10" t="s">
        <v>1310</v>
      </c>
      <c r="I429" s="10" t="s">
        <v>123</v>
      </c>
    </row>
    <row r="430" spans="1:9" x14ac:dyDescent="0.15">
      <c r="A430" s="9">
        <v>429</v>
      </c>
      <c r="B430" s="10" t="s">
        <v>9</v>
      </c>
      <c r="C430" s="10" t="s">
        <v>126</v>
      </c>
      <c r="D430" s="10" t="s">
        <v>127</v>
      </c>
      <c r="E430" s="11" t="str">
        <f>+HYPERLINK("http://trademark.i-assist.jp/data/china/image_1899th/78596823.pdf", "78596823")</f>
        <v>78596823</v>
      </c>
      <c r="F430" s="10" t="s">
        <v>1311</v>
      </c>
      <c r="G430" s="10" t="s">
        <v>1309</v>
      </c>
      <c r="H430" s="10" t="s">
        <v>1312</v>
      </c>
      <c r="I430" s="10" t="s">
        <v>123</v>
      </c>
    </row>
    <row r="431" spans="1:9" x14ac:dyDescent="0.15">
      <c r="A431" s="9">
        <v>430</v>
      </c>
      <c r="B431" s="10" t="s">
        <v>9</v>
      </c>
      <c r="C431" s="10" t="s">
        <v>126</v>
      </c>
      <c r="D431" s="10" t="s">
        <v>127</v>
      </c>
      <c r="E431" s="11" t="str">
        <f>+HYPERLINK("http://trademark.i-assist.jp/data/china/image_1899th/78597917.pdf", "78597917")</f>
        <v>78597917</v>
      </c>
      <c r="F431" s="10" t="s">
        <v>1313</v>
      </c>
      <c r="G431" s="10" t="s">
        <v>1314</v>
      </c>
      <c r="H431" s="10" t="s">
        <v>1310</v>
      </c>
      <c r="I431" s="10" t="s">
        <v>123</v>
      </c>
    </row>
    <row r="432" spans="1:9" x14ac:dyDescent="0.15">
      <c r="A432" s="9">
        <v>431</v>
      </c>
      <c r="B432" s="10" t="s">
        <v>9</v>
      </c>
      <c r="C432" s="10" t="s">
        <v>126</v>
      </c>
      <c r="D432" s="10" t="s">
        <v>127</v>
      </c>
      <c r="E432" s="11" t="str">
        <f>+HYPERLINK("http://trademark.i-assist.jp/data/china/image_1899th/78598477.pdf", "78598477")</f>
        <v>78598477</v>
      </c>
      <c r="F432" s="10" t="s">
        <v>1315</v>
      </c>
      <c r="G432" s="10" t="s">
        <v>1316</v>
      </c>
      <c r="H432" s="10" t="s">
        <v>1317</v>
      </c>
      <c r="I432" s="10" t="s">
        <v>123</v>
      </c>
    </row>
    <row r="433" spans="1:9" x14ac:dyDescent="0.15">
      <c r="A433" s="9">
        <v>432</v>
      </c>
      <c r="B433" s="10" t="s">
        <v>9</v>
      </c>
      <c r="C433" s="10" t="s">
        <v>126</v>
      </c>
      <c r="D433" s="10" t="s">
        <v>127</v>
      </c>
      <c r="E433" s="11" t="str">
        <f>+HYPERLINK("http://trademark.i-assist.jp/data/china/image_1899th/78598859.pdf", "78598859")</f>
        <v>78598859</v>
      </c>
      <c r="F433" s="10" t="s">
        <v>1318</v>
      </c>
      <c r="G433" s="10" t="s">
        <v>1319</v>
      </c>
      <c r="H433" s="10" t="s">
        <v>1320</v>
      </c>
      <c r="I433" s="10" t="s">
        <v>123</v>
      </c>
    </row>
    <row r="434" spans="1:9" x14ac:dyDescent="0.15">
      <c r="A434" s="9">
        <v>433</v>
      </c>
      <c r="B434" s="10" t="s">
        <v>9</v>
      </c>
      <c r="C434" s="10" t="s">
        <v>126</v>
      </c>
      <c r="D434" s="10" t="s">
        <v>127</v>
      </c>
      <c r="E434" s="11" t="str">
        <f>+HYPERLINK("http://trademark.i-assist.jp/data/china/image_1899th/78598939.pdf", "78598939")</f>
        <v>78598939</v>
      </c>
      <c r="F434" s="10" t="s">
        <v>1321</v>
      </c>
      <c r="G434" s="10" t="s">
        <v>1322</v>
      </c>
      <c r="H434" s="10" t="s">
        <v>1323</v>
      </c>
      <c r="I434" s="10" t="s">
        <v>123</v>
      </c>
    </row>
    <row r="435" spans="1:9" x14ac:dyDescent="0.15">
      <c r="A435" s="9">
        <v>434</v>
      </c>
      <c r="B435" s="10" t="s">
        <v>9</v>
      </c>
      <c r="C435" s="10" t="s">
        <v>126</v>
      </c>
      <c r="D435" s="10" t="s">
        <v>127</v>
      </c>
      <c r="E435" s="11" t="str">
        <f>+HYPERLINK("http://trademark.i-assist.jp/data/china/image_1899th/78599137.pdf", "78599137")</f>
        <v>78599137</v>
      </c>
      <c r="F435" s="10" t="s">
        <v>1324</v>
      </c>
      <c r="G435" s="10" t="s">
        <v>1325</v>
      </c>
      <c r="H435" s="10" t="s">
        <v>1326</v>
      </c>
      <c r="I435" s="10" t="s">
        <v>123</v>
      </c>
    </row>
    <row r="436" spans="1:9" x14ac:dyDescent="0.15">
      <c r="A436" s="9">
        <v>435</v>
      </c>
      <c r="B436" s="10" t="s">
        <v>9</v>
      </c>
      <c r="C436" s="10" t="s">
        <v>126</v>
      </c>
      <c r="D436" s="10" t="s">
        <v>127</v>
      </c>
      <c r="E436" s="11" t="str">
        <f>+HYPERLINK("http://trademark.i-assist.jp/data/china/image_1899th/78599216.pdf", "78599216")</f>
        <v>78599216</v>
      </c>
      <c r="F436" s="10" t="s">
        <v>1327</v>
      </c>
      <c r="G436" s="10" t="s">
        <v>1328</v>
      </c>
      <c r="H436" s="10" t="s">
        <v>1329</v>
      </c>
      <c r="I436" s="10" t="s">
        <v>123</v>
      </c>
    </row>
    <row r="437" spans="1:9" x14ac:dyDescent="0.15">
      <c r="A437" s="9">
        <v>436</v>
      </c>
      <c r="B437" s="10" t="s">
        <v>9</v>
      </c>
      <c r="C437" s="10" t="s">
        <v>126</v>
      </c>
      <c r="D437" s="10" t="s">
        <v>127</v>
      </c>
      <c r="E437" s="11" t="str">
        <f>+HYPERLINK("http://trademark.i-assist.jp/data/china/image_1899th/78602044.pdf", "78602044")</f>
        <v>78602044</v>
      </c>
      <c r="F437" s="10" t="s">
        <v>1330</v>
      </c>
      <c r="G437" s="10" t="s">
        <v>1309</v>
      </c>
      <c r="H437" s="10" t="s">
        <v>1331</v>
      </c>
      <c r="I437" s="10" t="s">
        <v>123</v>
      </c>
    </row>
    <row r="438" spans="1:9" x14ac:dyDescent="0.15">
      <c r="A438" s="9">
        <v>437</v>
      </c>
      <c r="B438" s="10" t="s">
        <v>9</v>
      </c>
      <c r="C438" s="10" t="s">
        <v>126</v>
      </c>
      <c r="D438" s="10" t="s">
        <v>127</v>
      </c>
      <c r="E438" s="11" t="str">
        <f>+HYPERLINK("http://trademark.i-assist.jp/data/china/image_1899th/78603870.pdf", "78603870")</f>
        <v>78603870</v>
      </c>
      <c r="F438" s="10" t="s">
        <v>1332</v>
      </c>
      <c r="G438" s="10" t="s">
        <v>1333</v>
      </c>
      <c r="H438" s="10" t="s">
        <v>1334</v>
      </c>
      <c r="I438" s="10" t="s">
        <v>123</v>
      </c>
    </row>
    <row r="439" spans="1:9" x14ac:dyDescent="0.15">
      <c r="A439" s="9">
        <v>438</v>
      </c>
      <c r="B439" s="10" t="s">
        <v>9</v>
      </c>
      <c r="C439" s="10" t="s">
        <v>126</v>
      </c>
      <c r="D439" s="10" t="s">
        <v>127</v>
      </c>
      <c r="E439" s="11" t="str">
        <f>+HYPERLINK("http://trademark.i-assist.jp/data/china/image_1899th/78606314.pdf", "78606314")</f>
        <v>78606314</v>
      </c>
      <c r="F439" s="10" t="s">
        <v>1335</v>
      </c>
      <c r="G439" s="10" t="s">
        <v>1336</v>
      </c>
      <c r="H439" s="10" t="s">
        <v>1337</v>
      </c>
      <c r="I439" s="10" t="s">
        <v>123</v>
      </c>
    </row>
    <row r="440" spans="1:9" x14ac:dyDescent="0.15">
      <c r="A440" s="9">
        <v>439</v>
      </c>
      <c r="B440" s="10" t="s">
        <v>9</v>
      </c>
      <c r="C440" s="10" t="s">
        <v>126</v>
      </c>
      <c r="D440" s="10" t="s">
        <v>127</v>
      </c>
      <c r="E440" s="11" t="str">
        <f>+HYPERLINK("http://trademark.i-assist.jp/data/china/image_1899th/78607279.pdf", "78607279")</f>
        <v>78607279</v>
      </c>
      <c r="F440" s="10" t="s">
        <v>1338</v>
      </c>
      <c r="G440" s="10" t="s">
        <v>1339</v>
      </c>
      <c r="H440" s="10" t="s">
        <v>1340</v>
      </c>
      <c r="I440" s="10" t="s">
        <v>123</v>
      </c>
    </row>
    <row r="441" spans="1:9" x14ac:dyDescent="0.15">
      <c r="A441" s="9">
        <v>440</v>
      </c>
      <c r="B441" s="10" t="s">
        <v>9</v>
      </c>
      <c r="C441" s="10" t="s">
        <v>126</v>
      </c>
      <c r="D441" s="10" t="s">
        <v>127</v>
      </c>
      <c r="E441" s="11" t="str">
        <f>+HYPERLINK("http://trademark.i-assist.jp/data/china/image_1899th/78608680.pdf", "78608680")</f>
        <v>78608680</v>
      </c>
      <c r="F441" s="10" t="s">
        <v>1341</v>
      </c>
      <c r="G441" s="10" t="s">
        <v>1309</v>
      </c>
      <c r="H441" s="10" t="s">
        <v>1342</v>
      </c>
      <c r="I441" s="10" t="s">
        <v>123</v>
      </c>
    </row>
    <row r="442" spans="1:9" x14ac:dyDescent="0.15">
      <c r="A442" s="9">
        <v>441</v>
      </c>
      <c r="B442" s="10" t="s">
        <v>9</v>
      </c>
      <c r="C442" s="10" t="s">
        <v>126</v>
      </c>
      <c r="D442" s="10" t="s">
        <v>127</v>
      </c>
      <c r="E442" s="11" t="str">
        <f>+HYPERLINK("http://trademark.i-assist.jp/data/china/image_1899th/78611356.pdf", "78611356")</f>
        <v>78611356</v>
      </c>
      <c r="F442" s="10" t="s">
        <v>15</v>
      </c>
      <c r="G442" s="10" t="s">
        <v>1343</v>
      </c>
      <c r="H442" s="10" t="s">
        <v>1344</v>
      </c>
      <c r="I442" s="10" t="s">
        <v>123</v>
      </c>
    </row>
    <row r="443" spans="1:9" x14ac:dyDescent="0.15">
      <c r="A443" s="9">
        <v>442</v>
      </c>
      <c r="B443" s="10" t="s">
        <v>9</v>
      </c>
      <c r="C443" s="10" t="s">
        <v>126</v>
      </c>
      <c r="D443" s="10" t="s">
        <v>127</v>
      </c>
      <c r="E443" s="11" t="str">
        <f>+HYPERLINK("http://trademark.i-assist.jp/data/china/image_1899th/78612171.pdf", "78612171")</f>
        <v>78612171</v>
      </c>
      <c r="F443" s="10" t="s">
        <v>1345</v>
      </c>
      <c r="G443" s="10" t="s">
        <v>1346</v>
      </c>
      <c r="H443" s="10" t="s">
        <v>1347</v>
      </c>
      <c r="I443" s="10" t="s">
        <v>123</v>
      </c>
    </row>
    <row r="444" spans="1:9" x14ac:dyDescent="0.15">
      <c r="A444" s="9">
        <v>443</v>
      </c>
      <c r="B444" s="10" t="s">
        <v>9</v>
      </c>
      <c r="C444" s="10" t="s">
        <v>126</v>
      </c>
      <c r="D444" s="10" t="s">
        <v>127</v>
      </c>
      <c r="E444" s="11" t="str">
        <f>+HYPERLINK("http://trademark.i-assist.jp/data/china/image_1899th/78612673.pdf", "78612673")</f>
        <v>78612673</v>
      </c>
      <c r="F444" s="10" t="s">
        <v>1348</v>
      </c>
      <c r="G444" s="10" t="s">
        <v>1349</v>
      </c>
      <c r="H444" s="10" t="s">
        <v>1350</v>
      </c>
      <c r="I444" s="10" t="s">
        <v>123</v>
      </c>
    </row>
    <row r="445" spans="1:9" x14ac:dyDescent="0.15">
      <c r="A445" s="9">
        <v>444</v>
      </c>
      <c r="B445" s="10" t="s">
        <v>9</v>
      </c>
      <c r="C445" s="10" t="s">
        <v>126</v>
      </c>
      <c r="D445" s="10" t="s">
        <v>127</v>
      </c>
      <c r="E445" s="11" t="str">
        <f>+HYPERLINK("http://trademark.i-assist.jp/data/china/image_1899th/78612767.pdf", "78612767")</f>
        <v>78612767</v>
      </c>
      <c r="F445" s="10" t="s">
        <v>1351</v>
      </c>
      <c r="G445" s="10" t="s">
        <v>1352</v>
      </c>
      <c r="H445" s="10" t="s">
        <v>1353</v>
      </c>
      <c r="I445" s="10" t="s">
        <v>123</v>
      </c>
    </row>
    <row r="446" spans="1:9" x14ac:dyDescent="0.15">
      <c r="A446" s="9">
        <v>445</v>
      </c>
      <c r="B446" s="10" t="s">
        <v>9</v>
      </c>
      <c r="C446" s="10" t="s">
        <v>126</v>
      </c>
      <c r="D446" s="10" t="s">
        <v>127</v>
      </c>
      <c r="E446" s="11" t="str">
        <f>+HYPERLINK("http://trademark.i-assist.jp/data/china/image_1899th/78613811.pdf", "78613811")</f>
        <v>78613811</v>
      </c>
      <c r="F446" s="10" t="s">
        <v>1354</v>
      </c>
      <c r="G446" s="10" t="s">
        <v>1355</v>
      </c>
      <c r="H446" s="10" t="s">
        <v>1356</v>
      </c>
      <c r="I446" s="10" t="s">
        <v>123</v>
      </c>
    </row>
    <row r="447" spans="1:9" x14ac:dyDescent="0.15">
      <c r="A447" s="9">
        <v>446</v>
      </c>
      <c r="B447" s="10" t="s">
        <v>9</v>
      </c>
      <c r="C447" s="10" t="s">
        <v>126</v>
      </c>
      <c r="D447" s="10" t="s">
        <v>127</v>
      </c>
      <c r="E447" s="11" t="str">
        <f>+HYPERLINK("http://trademark.i-assist.jp/data/china/image_1899th/78616303.pdf", "78616303")</f>
        <v>78616303</v>
      </c>
      <c r="F447" s="10" t="s">
        <v>1357</v>
      </c>
      <c r="G447" s="10" t="s">
        <v>1358</v>
      </c>
      <c r="H447" s="10" t="s">
        <v>1359</v>
      </c>
      <c r="I447" s="10" t="s">
        <v>123</v>
      </c>
    </row>
    <row r="448" spans="1:9" x14ac:dyDescent="0.15">
      <c r="A448" s="9">
        <v>447</v>
      </c>
      <c r="B448" s="10" t="s">
        <v>9</v>
      </c>
      <c r="C448" s="10" t="s">
        <v>126</v>
      </c>
      <c r="D448" s="10" t="s">
        <v>127</v>
      </c>
      <c r="E448" s="11" t="str">
        <f>+HYPERLINK("http://trademark.i-assist.jp/data/china/image_1899th/78616690.pdf", "78616690")</f>
        <v>78616690</v>
      </c>
      <c r="F448" s="10" t="s">
        <v>1360</v>
      </c>
      <c r="G448" s="10" t="s">
        <v>1361</v>
      </c>
      <c r="H448" s="10" t="s">
        <v>1362</v>
      </c>
      <c r="I448" s="10" t="s">
        <v>123</v>
      </c>
    </row>
    <row r="449" spans="1:9" x14ac:dyDescent="0.15">
      <c r="A449" s="9">
        <v>448</v>
      </c>
      <c r="B449" s="10" t="s">
        <v>9</v>
      </c>
      <c r="C449" s="10" t="s">
        <v>126</v>
      </c>
      <c r="D449" s="10" t="s">
        <v>127</v>
      </c>
      <c r="E449" s="11" t="str">
        <f>+HYPERLINK("http://trademark.i-assist.jp/data/china/image_1899th/78617474.pdf", "78617474")</f>
        <v>78617474</v>
      </c>
      <c r="F449" s="10" t="s">
        <v>1363</v>
      </c>
      <c r="G449" s="10" t="s">
        <v>1364</v>
      </c>
      <c r="H449" s="10" t="s">
        <v>1365</v>
      </c>
      <c r="I449" s="10" t="s">
        <v>123</v>
      </c>
    </row>
    <row r="450" spans="1:9" x14ac:dyDescent="0.15">
      <c r="A450" s="9">
        <v>449</v>
      </c>
      <c r="B450" s="10" t="s">
        <v>9</v>
      </c>
      <c r="C450" s="10" t="s">
        <v>126</v>
      </c>
      <c r="D450" s="10" t="s">
        <v>127</v>
      </c>
      <c r="E450" s="11" t="str">
        <f>+HYPERLINK("http://trademark.i-assist.jp/data/china/image_1899th/78618722.pdf", "78618722")</f>
        <v>78618722</v>
      </c>
      <c r="F450" s="10" t="s">
        <v>1366</v>
      </c>
      <c r="G450" s="10" t="s">
        <v>1367</v>
      </c>
      <c r="H450" s="10" t="s">
        <v>1368</v>
      </c>
      <c r="I450" s="10" t="s">
        <v>123</v>
      </c>
    </row>
    <row r="451" spans="1:9" x14ac:dyDescent="0.15">
      <c r="A451" s="9">
        <v>450</v>
      </c>
      <c r="B451" s="10" t="s">
        <v>9</v>
      </c>
      <c r="C451" s="10" t="s">
        <v>126</v>
      </c>
      <c r="D451" s="10" t="s">
        <v>127</v>
      </c>
      <c r="E451" s="11" t="str">
        <f>+HYPERLINK("http://trademark.i-assist.jp/data/china/image_1899th/78618923.pdf", "78618923")</f>
        <v>78618923</v>
      </c>
      <c r="F451" s="10" t="s">
        <v>1369</v>
      </c>
      <c r="G451" s="10" t="s">
        <v>1370</v>
      </c>
      <c r="H451" s="10" t="s">
        <v>1371</v>
      </c>
      <c r="I451" s="10" t="s">
        <v>123</v>
      </c>
    </row>
    <row r="452" spans="1:9" x14ac:dyDescent="0.15">
      <c r="A452" s="9">
        <v>451</v>
      </c>
      <c r="B452" s="10" t="s">
        <v>9</v>
      </c>
      <c r="C452" s="10" t="s">
        <v>126</v>
      </c>
      <c r="D452" s="10" t="s">
        <v>127</v>
      </c>
      <c r="E452" s="11" t="str">
        <f>+HYPERLINK("http://trademark.i-assist.jp/data/china/image_1899th/78619007.pdf", "78619007")</f>
        <v>78619007</v>
      </c>
      <c r="F452" s="10" t="s">
        <v>1372</v>
      </c>
      <c r="G452" s="10" t="s">
        <v>1373</v>
      </c>
      <c r="H452" s="10" t="s">
        <v>1374</v>
      </c>
      <c r="I452" s="10" t="s">
        <v>123</v>
      </c>
    </row>
    <row r="453" spans="1:9" x14ac:dyDescent="0.15">
      <c r="A453" s="9">
        <v>452</v>
      </c>
      <c r="B453" s="10" t="s">
        <v>9</v>
      </c>
      <c r="C453" s="10" t="s">
        <v>126</v>
      </c>
      <c r="D453" s="10" t="s">
        <v>127</v>
      </c>
      <c r="E453" s="11" t="str">
        <f>+HYPERLINK("http://trademark.i-assist.jp/data/china/image_1899th/78620001.pdf", "78620001")</f>
        <v>78620001</v>
      </c>
      <c r="F453" s="10" t="s">
        <v>1375</v>
      </c>
      <c r="G453" s="10" t="s">
        <v>1376</v>
      </c>
      <c r="H453" s="10" t="s">
        <v>1377</v>
      </c>
      <c r="I453" s="10" t="s">
        <v>123</v>
      </c>
    </row>
    <row r="454" spans="1:9" x14ac:dyDescent="0.15">
      <c r="A454" s="9">
        <v>453</v>
      </c>
      <c r="B454" s="10" t="s">
        <v>9</v>
      </c>
      <c r="C454" s="10" t="s">
        <v>126</v>
      </c>
      <c r="D454" s="10" t="s">
        <v>127</v>
      </c>
      <c r="E454" s="11" t="str">
        <f>+HYPERLINK("http://trademark.i-assist.jp/data/china/image_1899th/78620389.pdf", "78620389")</f>
        <v>78620389</v>
      </c>
      <c r="F454" s="10" t="s">
        <v>1378</v>
      </c>
      <c r="G454" s="10" t="s">
        <v>1379</v>
      </c>
      <c r="H454" s="10" t="s">
        <v>1380</v>
      </c>
      <c r="I454" s="10" t="s">
        <v>123</v>
      </c>
    </row>
    <row r="455" spans="1:9" x14ac:dyDescent="0.15">
      <c r="A455" s="9">
        <v>454</v>
      </c>
      <c r="B455" s="10" t="s">
        <v>9</v>
      </c>
      <c r="C455" s="10" t="s">
        <v>126</v>
      </c>
      <c r="D455" s="10" t="s">
        <v>127</v>
      </c>
      <c r="E455" s="11" t="str">
        <f>+HYPERLINK("http://trademark.i-assist.jp/data/china/image_1899th/78620950.pdf", "78620950")</f>
        <v>78620950</v>
      </c>
      <c r="F455" s="10" t="s">
        <v>1381</v>
      </c>
      <c r="G455" s="10" t="s">
        <v>1382</v>
      </c>
      <c r="H455" s="10" t="s">
        <v>1383</v>
      </c>
      <c r="I455" s="10" t="s">
        <v>123</v>
      </c>
    </row>
    <row r="456" spans="1:9" x14ac:dyDescent="0.15">
      <c r="A456" s="9">
        <v>455</v>
      </c>
      <c r="B456" s="10" t="s">
        <v>9</v>
      </c>
      <c r="C456" s="10" t="s">
        <v>126</v>
      </c>
      <c r="D456" s="10" t="s">
        <v>127</v>
      </c>
      <c r="E456" s="11" t="str">
        <f>+HYPERLINK("http://trademark.i-assist.jp/data/china/image_1899th/78621657.pdf", "78621657")</f>
        <v>78621657</v>
      </c>
      <c r="F456" s="10" t="s">
        <v>1384</v>
      </c>
      <c r="G456" s="10" t="s">
        <v>1385</v>
      </c>
      <c r="H456" s="10" t="s">
        <v>1386</v>
      </c>
      <c r="I456" s="10" t="s">
        <v>123</v>
      </c>
    </row>
    <row r="457" spans="1:9" x14ac:dyDescent="0.15">
      <c r="A457" s="9">
        <v>456</v>
      </c>
      <c r="B457" s="10" t="s">
        <v>9</v>
      </c>
      <c r="C457" s="10" t="s">
        <v>126</v>
      </c>
      <c r="D457" s="10" t="s">
        <v>127</v>
      </c>
      <c r="E457" s="11" t="str">
        <f>+HYPERLINK("http://trademark.i-assist.jp/data/china/image_1899th/78622090.pdf", "78622090")</f>
        <v>78622090</v>
      </c>
      <c r="F457" s="10" t="s">
        <v>1387</v>
      </c>
      <c r="G457" s="10" t="s">
        <v>124</v>
      </c>
      <c r="H457" s="10" t="s">
        <v>1388</v>
      </c>
      <c r="I457" s="10" t="s">
        <v>123</v>
      </c>
    </row>
    <row r="458" spans="1:9" x14ac:dyDescent="0.15">
      <c r="A458" s="9">
        <v>457</v>
      </c>
      <c r="B458" s="10" t="s">
        <v>9</v>
      </c>
      <c r="C458" s="10" t="s">
        <v>126</v>
      </c>
      <c r="D458" s="10" t="s">
        <v>127</v>
      </c>
      <c r="E458" s="11" t="str">
        <f>+HYPERLINK("http://trademark.i-assist.jp/data/china/image_1899th/78622543.pdf", "78622543")</f>
        <v>78622543</v>
      </c>
      <c r="F458" s="10" t="s">
        <v>1389</v>
      </c>
      <c r="G458" s="10" t="s">
        <v>1390</v>
      </c>
      <c r="H458" s="10" t="s">
        <v>1391</v>
      </c>
      <c r="I458" s="10" t="s">
        <v>123</v>
      </c>
    </row>
    <row r="459" spans="1:9" x14ac:dyDescent="0.15">
      <c r="A459" s="9">
        <v>458</v>
      </c>
      <c r="B459" s="10" t="s">
        <v>9</v>
      </c>
      <c r="C459" s="10" t="s">
        <v>126</v>
      </c>
      <c r="D459" s="10" t="s">
        <v>127</v>
      </c>
      <c r="E459" s="11" t="str">
        <f>+HYPERLINK("http://trademark.i-assist.jp/data/china/image_1899th/78622889.pdf", "78622889")</f>
        <v>78622889</v>
      </c>
      <c r="F459" s="10" t="s">
        <v>1392</v>
      </c>
      <c r="G459" s="10" t="s">
        <v>1393</v>
      </c>
      <c r="H459" s="10" t="s">
        <v>1394</v>
      </c>
      <c r="I459" s="10" t="s">
        <v>123</v>
      </c>
    </row>
    <row r="460" spans="1:9" x14ac:dyDescent="0.15">
      <c r="A460" s="9">
        <v>459</v>
      </c>
      <c r="B460" s="10" t="s">
        <v>9</v>
      </c>
      <c r="C460" s="10" t="s">
        <v>126</v>
      </c>
      <c r="D460" s="10" t="s">
        <v>127</v>
      </c>
      <c r="E460" s="11" t="str">
        <f>+HYPERLINK("http://trademark.i-assist.jp/data/china/image_1899th/78623313.pdf", "78623313")</f>
        <v>78623313</v>
      </c>
      <c r="F460" s="10" t="s">
        <v>1395</v>
      </c>
      <c r="G460" s="10" t="s">
        <v>1396</v>
      </c>
      <c r="H460" s="10" t="s">
        <v>1397</v>
      </c>
      <c r="I460" s="10" t="s">
        <v>1398</v>
      </c>
    </row>
    <row r="461" spans="1:9" x14ac:dyDescent="0.15">
      <c r="A461" s="9">
        <v>460</v>
      </c>
      <c r="B461" s="10" t="s">
        <v>9</v>
      </c>
      <c r="C461" s="10" t="s">
        <v>126</v>
      </c>
      <c r="D461" s="10" t="s">
        <v>127</v>
      </c>
      <c r="E461" s="11" t="str">
        <f>+HYPERLINK("http://trademark.i-assist.jp/data/china/image_1899th/78623537.pdf", "78623537")</f>
        <v>78623537</v>
      </c>
      <c r="F461" s="10" t="s">
        <v>1399</v>
      </c>
      <c r="G461" s="10" t="s">
        <v>1400</v>
      </c>
      <c r="H461" s="10" t="s">
        <v>1401</v>
      </c>
      <c r="I461" s="10" t="s">
        <v>1398</v>
      </c>
    </row>
    <row r="462" spans="1:9" x14ac:dyDescent="0.15">
      <c r="A462" s="9">
        <v>461</v>
      </c>
      <c r="B462" s="10" t="s">
        <v>9</v>
      </c>
      <c r="C462" s="10" t="s">
        <v>126</v>
      </c>
      <c r="D462" s="10" t="s">
        <v>127</v>
      </c>
      <c r="E462" s="11" t="str">
        <f>+HYPERLINK("http://trademark.i-assist.jp/data/china/image_1899th/78623854.pdf", "78623854")</f>
        <v>78623854</v>
      </c>
      <c r="F462" s="10" t="s">
        <v>1402</v>
      </c>
      <c r="G462" s="10" t="s">
        <v>1403</v>
      </c>
      <c r="H462" s="10" t="s">
        <v>1404</v>
      </c>
      <c r="I462" s="10" t="s">
        <v>1398</v>
      </c>
    </row>
    <row r="463" spans="1:9" x14ac:dyDescent="0.15">
      <c r="A463" s="9">
        <v>462</v>
      </c>
      <c r="B463" s="10" t="s">
        <v>9</v>
      </c>
      <c r="C463" s="10" t="s">
        <v>126</v>
      </c>
      <c r="D463" s="10" t="s">
        <v>127</v>
      </c>
      <c r="E463" s="11" t="str">
        <f>+HYPERLINK("http://trademark.i-assist.jp/data/china/image_1899th/78624645.pdf", "78624645")</f>
        <v>78624645</v>
      </c>
      <c r="F463" s="10" t="s">
        <v>1405</v>
      </c>
      <c r="G463" s="10" t="s">
        <v>1406</v>
      </c>
      <c r="H463" s="10" t="s">
        <v>1407</v>
      </c>
      <c r="I463" s="10" t="s">
        <v>1398</v>
      </c>
    </row>
    <row r="464" spans="1:9" x14ac:dyDescent="0.15">
      <c r="A464" s="9">
        <v>463</v>
      </c>
      <c r="B464" s="10" t="s">
        <v>9</v>
      </c>
      <c r="C464" s="10" t="s">
        <v>126</v>
      </c>
      <c r="D464" s="10" t="s">
        <v>127</v>
      </c>
      <c r="E464" s="11" t="str">
        <f>+HYPERLINK("http://trademark.i-assist.jp/data/china/image_1899th/78628015.pdf", "78628015")</f>
        <v>78628015</v>
      </c>
      <c r="F464" s="10" t="s">
        <v>15</v>
      </c>
      <c r="G464" s="10" t="s">
        <v>1408</v>
      </c>
      <c r="H464" s="10" t="s">
        <v>1409</v>
      </c>
      <c r="I464" s="10" t="s">
        <v>1398</v>
      </c>
    </row>
    <row r="465" spans="1:9" x14ac:dyDescent="0.15">
      <c r="A465" s="9">
        <v>464</v>
      </c>
      <c r="B465" s="10" t="s">
        <v>9</v>
      </c>
      <c r="C465" s="10" t="s">
        <v>126</v>
      </c>
      <c r="D465" s="10" t="s">
        <v>127</v>
      </c>
      <c r="E465" s="11" t="str">
        <f>+HYPERLINK("http://trademark.i-assist.jp/data/china/image_1899th/78634615.pdf", "78634615")</f>
        <v>78634615</v>
      </c>
      <c r="F465" s="10" t="s">
        <v>1410</v>
      </c>
      <c r="G465" s="10" t="s">
        <v>1411</v>
      </c>
      <c r="H465" s="10" t="s">
        <v>1412</v>
      </c>
      <c r="I465" s="10" t="s">
        <v>1398</v>
      </c>
    </row>
    <row r="466" spans="1:9" x14ac:dyDescent="0.15">
      <c r="A466" s="9">
        <v>465</v>
      </c>
      <c r="B466" s="10" t="s">
        <v>9</v>
      </c>
      <c r="C466" s="10" t="s">
        <v>126</v>
      </c>
      <c r="D466" s="10" t="s">
        <v>127</v>
      </c>
      <c r="E466" s="11" t="str">
        <f>+HYPERLINK("http://trademark.i-assist.jp/data/china/image_1899th/78634996.pdf", "78634996")</f>
        <v>78634996</v>
      </c>
      <c r="F466" s="10" t="s">
        <v>15</v>
      </c>
      <c r="G466" s="10" t="s">
        <v>1413</v>
      </c>
      <c r="H466" s="10" t="s">
        <v>1414</v>
      </c>
      <c r="I466" s="10" t="s">
        <v>1398</v>
      </c>
    </row>
    <row r="467" spans="1:9" x14ac:dyDescent="0.15">
      <c r="A467" s="9">
        <v>466</v>
      </c>
      <c r="B467" s="10" t="s">
        <v>9</v>
      </c>
      <c r="C467" s="10" t="s">
        <v>126</v>
      </c>
      <c r="D467" s="10" t="s">
        <v>127</v>
      </c>
      <c r="E467" s="11" t="str">
        <f>+HYPERLINK("http://trademark.i-assist.jp/data/china/image_1899th/78635236.pdf", "78635236")</f>
        <v>78635236</v>
      </c>
      <c r="F467" s="10" t="s">
        <v>1415</v>
      </c>
      <c r="G467" s="10" t="s">
        <v>1416</v>
      </c>
      <c r="H467" s="10" t="s">
        <v>1417</v>
      </c>
      <c r="I467" s="10" t="s">
        <v>1398</v>
      </c>
    </row>
    <row r="468" spans="1:9" x14ac:dyDescent="0.15">
      <c r="A468" s="9">
        <v>467</v>
      </c>
      <c r="B468" s="10" t="s">
        <v>9</v>
      </c>
      <c r="C468" s="10" t="s">
        <v>126</v>
      </c>
      <c r="D468" s="10" t="s">
        <v>127</v>
      </c>
      <c r="E468" s="11" t="str">
        <f>+HYPERLINK("http://trademark.i-assist.jp/data/china/image_1899th/78637016.pdf", "78637016")</f>
        <v>78637016</v>
      </c>
      <c r="F468" s="10" t="s">
        <v>1418</v>
      </c>
      <c r="G468" s="10" t="s">
        <v>1419</v>
      </c>
      <c r="H468" s="10" t="s">
        <v>1420</v>
      </c>
      <c r="I468" s="10" t="s">
        <v>1398</v>
      </c>
    </row>
    <row r="469" spans="1:9" x14ac:dyDescent="0.15">
      <c r="A469" s="9">
        <v>468</v>
      </c>
      <c r="B469" s="10" t="s">
        <v>9</v>
      </c>
      <c r="C469" s="10" t="s">
        <v>126</v>
      </c>
      <c r="D469" s="10" t="s">
        <v>127</v>
      </c>
      <c r="E469" s="11" t="str">
        <f>+HYPERLINK("http://trademark.i-assist.jp/data/china/image_1899th/78637071.pdf", "78637071")</f>
        <v>78637071</v>
      </c>
      <c r="F469" s="10" t="s">
        <v>1421</v>
      </c>
      <c r="G469" s="10" t="s">
        <v>1422</v>
      </c>
      <c r="H469" s="10" t="s">
        <v>1423</v>
      </c>
      <c r="I469" s="10" t="s">
        <v>1398</v>
      </c>
    </row>
    <row r="470" spans="1:9" x14ac:dyDescent="0.15">
      <c r="A470" s="9">
        <v>469</v>
      </c>
      <c r="B470" s="10" t="s">
        <v>9</v>
      </c>
      <c r="C470" s="10" t="s">
        <v>126</v>
      </c>
      <c r="D470" s="10" t="s">
        <v>127</v>
      </c>
      <c r="E470" s="11" t="str">
        <f>+HYPERLINK("http://trademark.i-assist.jp/data/china/image_1899th/78638292.pdf", "78638292")</f>
        <v>78638292</v>
      </c>
      <c r="F470" s="10" t="s">
        <v>1424</v>
      </c>
      <c r="G470" s="10" t="s">
        <v>1425</v>
      </c>
      <c r="H470" s="10" t="s">
        <v>1426</v>
      </c>
      <c r="I470" s="10" t="s">
        <v>1398</v>
      </c>
    </row>
    <row r="471" spans="1:9" x14ac:dyDescent="0.15">
      <c r="A471" s="9">
        <v>470</v>
      </c>
      <c r="B471" s="10" t="s">
        <v>9</v>
      </c>
      <c r="C471" s="10" t="s">
        <v>126</v>
      </c>
      <c r="D471" s="10" t="s">
        <v>127</v>
      </c>
      <c r="E471" s="11" t="str">
        <f>+HYPERLINK("http://trademark.i-assist.jp/data/china/image_1899th/78638348.pdf", "78638348")</f>
        <v>78638348</v>
      </c>
      <c r="F471" s="10" t="s">
        <v>1427</v>
      </c>
      <c r="G471" s="10" t="s">
        <v>1428</v>
      </c>
      <c r="H471" s="10" t="s">
        <v>1429</v>
      </c>
      <c r="I471" s="10" t="s">
        <v>1398</v>
      </c>
    </row>
    <row r="472" spans="1:9" x14ac:dyDescent="0.15">
      <c r="A472" s="9">
        <v>471</v>
      </c>
      <c r="B472" s="10" t="s">
        <v>9</v>
      </c>
      <c r="C472" s="10" t="s">
        <v>126</v>
      </c>
      <c r="D472" s="10" t="s">
        <v>127</v>
      </c>
      <c r="E472" s="11" t="str">
        <f>+HYPERLINK("http://trademark.i-assist.jp/data/china/image_1899th/78638783.pdf", "78638783")</f>
        <v>78638783</v>
      </c>
      <c r="F472" s="10" t="s">
        <v>15</v>
      </c>
      <c r="G472" s="10" t="s">
        <v>1430</v>
      </c>
      <c r="H472" s="10" t="s">
        <v>1431</v>
      </c>
      <c r="I472" s="10" t="s">
        <v>1398</v>
      </c>
    </row>
    <row r="473" spans="1:9" x14ac:dyDescent="0.15">
      <c r="A473" s="9">
        <v>472</v>
      </c>
      <c r="B473" s="10" t="s">
        <v>9</v>
      </c>
      <c r="C473" s="10" t="s">
        <v>126</v>
      </c>
      <c r="D473" s="10" t="s">
        <v>127</v>
      </c>
      <c r="E473" s="11" t="str">
        <f>+HYPERLINK("http://trademark.i-assist.jp/data/china/image_1899th/78640289.pdf", "78640289")</f>
        <v>78640289</v>
      </c>
      <c r="F473" s="10" t="s">
        <v>1432</v>
      </c>
      <c r="G473" s="10" t="s">
        <v>1433</v>
      </c>
      <c r="H473" s="10" t="s">
        <v>1434</v>
      </c>
      <c r="I473" s="10" t="s">
        <v>1398</v>
      </c>
    </row>
    <row r="474" spans="1:9" x14ac:dyDescent="0.15">
      <c r="A474" s="9">
        <v>473</v>
      </c>
      <c r="B474" s="10" t="s">
        <v>9</v>
      </c>
      <c r="C474" s="10" t="s">
        <v>126</v>
      </c>
      <c r="D474" s="10" t="s">
        <v>127</v>
      </c>
      <c r="E474" s="11" t="str">
        <f>+HYPERLINK("http://trademark.i-assist.jp/data/china/image_1899th/78641730.pdf", "78641730")</f>
        <v>78641730</v>
      </c>
      <c r="F474" s="10" t="s">
        <v>1435</v>
      </c>
      <c r="G474" s="10" t="s">
        <v>79</v>
      </c>
      <c r="H474" s="10" t="s">
        <v>1436</v>
      </c>
      <c r="I474" s="10" t="s">
        <v>1398</v>
      </c>
    </row>
    <row r="475" spans="1:9" x14ac:dyDescent="0.15">
      <c r="A475" s="9">
        <v>474</v>
      </c>
      <c r="B475" s="10" t="s">
        <v>9</v>
      </c>
      <c r="C475" s="10" t="s">
        <v>126</v>
      </c>
      <c r="D475" s="10" t="s">
        <v>127</v>
      </c>
      <c r="E475" s="11" t="str">
        <f>+HYPERLINK("http://trademark.i-assist.jp/data/china/image_1899th/78643356.pdf", "78643356")</f>
        <v>78643356</v>
      </c>
      <c r="F475" s="10" t="s">
        <v>1437</v>
      </c>
      <c r="G475" s="10" t="s">
        <v>1438</v>
      </c>
      <c r="H475" s="10" t="s">
        <v>1439</v>
      </c>
      <c r="I475" s="10" t="s">
        <v>1398</v>
      </c>
    </row>
    <row r="476" spans="1:9" x14ac:dyDescent="0.15">
      <c r="A476" s="9">
        <v>475</v>
      </c>
      <c r="B476" s="10" t="s">
        <v>9</v>
      </c>
      <c r="C476" s="10" t="s">
        <v>126</v>
      </c>
      <c r="D476" s="10" t="s">
        <v>127</v>
      </c>
      <c r="E476" s="11" t="str">
        <f>+HYPERLINK("http://trademark.i-assist.jp/data/china/image_1899th/78643502.pdf", "78643502")</f>
        <v>78643502</v>
      </c>
      <c r="F476" s="10" t="s">
        <v>15</v>
      </c>
      <c r="G476" s="10" t="s">
        <v>1440</v>
      </c>
      <c r="H476" s="10" t="s">
        <v>1441</v>
      </c>
      <c r="I476" s="10" t="s">
        <v>1398</v>
      </c>
    </row>
    <row r="477" spans="1:9" x14ac:dyDescent="0.15">
      <c r="A477" s="9">
        <v>476</v>
      </c>
      <c r="B477" s="10" t="s">
        <v>9</v>
      </c>
      <c r="C477" s="10" t="s">
        <v>126</v>
      </c>
      <c r="D477" s="10" t="s">
        <v>127</v>
      </c>
      <c r="E477" s="11" t="str">
        <f>+HYPERLINK("http://trademark.i-assist.jp/data/china/image_1899th/78643620.pdf", "78643620")</f>
        <v>78643620</v>
      </c>
      <c r="F477" s="10" t="s">
        <v>1442</v>
      </c>
      <c r="G477" s="10" t="s">
        <v>1443</v>
      </c>
      <c r="H477" s="10" t="s">
        <v>1444</v>
      </c>
      <c r="I477" s="10" t="s">
        <v>1398</v>
      </c>
    </row>
    <row r="478" spans="1:9" x14ac:dyDescent="0.15">
      <c r="A478" s="9">
        <v>477</v>
      </c>
      <c r="B478" s="10" t="s">
        <v>9</v>
      </c>
      <c r="C478" s="10" t="s">
        <v>126</v>
      </c>
      <c r="D478" s="10" t="s">
        <v>127</v>
      </c>
      <c r="E478" s="11" t="str">
        <f>+HYPERLINK("http://trademark.i-assist.jp/data/china/image_1899th/78646228.pdf", "78646228")</f>
        <v>78646228</v>
      </c>
      <c r="F478" s="10" t="s">
        <v>1445</v>
      </c>
      <c r="G478" s="10" t="s">
        <v>1446</v>
      </c>
      <c r="H478" s="10" t="s">
        <v>1447</v>
      </c>
      <c r="I478" s="10" t="s">
        <v>1398</v>
      </c>
    </row>
    <row r="479" spans="1:9" x14ac:dyDescent="0.15">
      <c r="A479" s="9">
        <v>478</v>
      </c>
      <c r="B479" s="10" t="s">
        <v>9</v>
      </c>
      <c r="C479" s="10" t="s">
        <v>126</v>
      </c>
      <c r="D479" s="10" t="s">
        <v>127</v>
      </c>
      <c r="E479" s="11" t="str">
        <f>+HYPERLINK("http://trademark.i-assist.jp/data/china/image_1899th/78647028.pdf", "78647028")</f>
        <v>78647028</v>
      </c>
      <c r="F479" s="10" t="s">
        <v>1448</v>
      </c>
      <c r="G479" s="10" t="s">
        <v>1449</v>
      </c>
      <c r="H479" s="10" t="s">
        <v>1450</v>
      </c>
      <c r="I479" s="10" t="s">
        <v>1398</v>
      </c>
    </row>
    <row r="480" spans="1:9" x14ac:dyDescent="0.15">
      <c r="A480" s="9">
        <v>479</v>
      </c>
      <c r="B480" s="10" t="s">
        <v>9</v>
      </c>
      <c r="C480" s="10" t="s">
        <v>126</v>
      </c>
      <c r="D480" s="10" t="s">
        <v>127</v>
      </c>
      <c r="E480" s="11" t="str">
        <f>+HYPERLINK("http://trademark.i-assist.jp/data/china/image_1899th/78647229.pdf", "78647229")</f>
        <v>78647229</v>
      </c>
      <c r="F480" s="10" t="s">
        <v>1451</v>
      </c>
      <c r="G480" s="10" t="s">
        <v>1452</v>
      </c>
      <c r="H480" s="10" t="s">
        <v>1453</v>
      </c>
      <c r="I480" s="10" t="s">
        <v>1398</v>
      </c>
    </row>
    <row r="481" spans="1:9" x14ac:dyDescent="0.15">
      <c r="A481" s="9">
        <v>480</v>
      </c>
      <c r="B481" s="10" t="s">
        <v>9</v>
      </c>
      <c r="C481" s="10" t="s">
        <v>126</v>
      </c>
      <c r="D481" s="10" t="s">
        <v>127</v>
      </c>
      <c r="E481" s="11" t="str">
        <f>+HYPERLINK("http://trademark.i-assist.jp/data/china/image_1899th/78647533.pdf", "78647533")</f>
        <v>78647533</v>
      </c>
      <c r="F481" s="10" t="s">
        <v>1454</v>
      </c>
      <c r="G481" s="10" t="s">
        <v>1455</v>
      </c>
      <c r="H481" s="10" t="s">
        <v>1456</v>
      </c>
      <c r="I481" s="10" t="s">
        <v>1398</v>
      </c>
    </row>
    <row r="482" spans="1:9" x14ac:dyDescent="0.15">
      <c r="A482" s="9">
        <v>481</v>
      </c>
      <c r="B482" s="10" t="s">
        <v>9</v>
      </c>
      <c r="C482" s="10" t="s">
        <v>126</v>
      </c>
      <c r="D482" s="10" t="s">
        <v>127</v>
      </c>
      <c r="E482" s="11" t="str">
        <f>+HYPERLINK("http://trademark.i-assist.jp/data/china/image_1899th/78647736.pdf", "78647736")</f>
        <v>78647736</v>
      </c>
      <c r="F482" s="10" t="s">
        <v>1457</v>
      </c>
      <c r="G482" s="10" t="s">
        <v>1458</v>
      </c>
      <c r="H482" s="10" t="s">
        <v>1459</v>
      </c>
      <c r="I482" s="10" t="s">
        <v>1398</v>
      </c>
    </row>
    <row r="483" spans="1:9" x14ac:dyDescent="0.15">
      <c r="A483" s="9">
        <v>482</v>
      </c>
      <c r="B483" s="10" t="s">
        <v>9</v>
      </c>
      <c r="C483" s="10" t="s">
        <v>126</v>
      </c>
      <c r="D483" s="10" t="s">
        <v>127</v>
      </c>
      <c r="E483" s="11" t="str">
        <f>+HYPERLINK("http://trademark.i-assist.jp/data/china/image_1899th/78647806.pdf", "78647806")</f>
        <v>78647806</v>
      </c>
      <c r="F483" s="10" t="s">
        <v>1460</v>
      </c>
      <c r="G483" s="10" t="s">
        <v>1461</v>
      </c>
      <c r="H483" s="10" t="s">
        <v>1462</v>
      </c>
      <c r="I483" s="10" t="s">
        <v>1398</v>
      </c>
    </row>
    <row r="484" spans="1:9" x14ac:dyDescent="0.15">
      <c r="A484" s="9">
        <v>483</v>
      </c>
      <c r="B484" s="10" t="s">
        <v>9</v>
      </c>
      <c r="C484" s="10" t="s">
        <v>126</v>
      </c>
      <c r="D484" s="10" t="s">
        <v>127</v>
      </c>
      <c r="E484" s="11" t="str">
        <f>+HYPERLINK("http://trademark.i-assist.jp/data/china/image_1899th/78649283.pdf", "78649283")</f>
        <v>78649283</v>
      </c>
      <c r="F484" s="10" t="s">
        <v>1463</v>
      </c>
      <c r="G484" s="10" t="s">
        <v>1464</v>
      </c>
      <c r="H484" s="10" t="s">
        <v>1465</v>
      </c>
      <c r="I484" s="10" t="s">
        <v>1398</v>
      </c>
    </row>
    <row r="485" spans="1:9" x14ac:dyDescent="0.15">
      <c r="A485" s="9">
        <v>484</v>
      </c>
      <c r="B485" s="10" t="s">
        <v>9</v>
      </c>
      <c r="C485" s="10" t="s">
        <v>126</v>
      </c>
      <c r="D485" s="10" t="s">
        <v>127</v>
      </c>
      <c r="E485" s="11" t="str">
        <f>+HYPERLINK("http://trademark.i-assist.jp/data/china/image_1899th/78649314.pdf", "78649314")</f>
        <v>78649314</v>
      </c>
      <c r="F485" s="10" t="s">
        <v>1466</v>
      </c>
      <c r="G485" s="10" t="s">
        <v>79</v>
      </c>
      <c r="H485" s="10" t="s">
        <v>1467</v>
      </c>
      <c r="I485" s="10" t="s">
        <v>1398</v>
      </c>
    </row>
    <row r="486" spans="1:9" x14ac:dyDescent="0.15">
      <c r="A486" s="9">
        <v>485</v>
      </c>
      <c r="B486" s="10" t="s">
        <v>9</v>
      </c>
      <c r="C486" s="10" t="s">
        <v>126</v>
      </c>
      <c r="D486" s="10" t="s">
        <v>127</v>
      </c>
      <c r="E486" s="11" t="str">
        <f>+HYPERLINK("http://trademark.i-assist.jp/data/china/image_1899th/78649460.pdf", "78649460")</f>
        <v>78649460</v>
      </c>
      <c r="F486" s="10" t="s">
        <v>1468</v>
      </c>
      <c r="G486" s="10" t="s">
        <v>1469</v>
      </c>
      <c r="H486" s="10" t="s">
        <v>1470</v>
      </c>
      <c r="I486" s="10" t="s">
        <v>1398</v>
      </c>
    </row>
    <row r="487" spans="1:9" x14ac:dyDescent="0.15">
      <c r="A487" s="9">
        <v>486</v>
      </c>
      <c r="B487" s="10" t="s">
        <v>9</v>
      </c>
      <c r="C487" s="10" t="s">
        <v>126</v>
      </c>
      <c r="D487" s="10" t="s">
        <v>127</v>
      </c>
      <c r="E487" s="11" t="str">
        <f>+HYPERLINK("http://trademark.i-assist.jp/data/china/image_1899th/78650796.pdf", "78650796")</f>
        <v>78650796</v>
      </c>
      <c r="F487" s="10" t="s">
        <v>1471</v>
      </c>
      <c r="G487" s="10" t="s">
        <v>1472</v>
      </c>
      <c r="H487" s="10" t="s">
        <v>1473</v>
      </c>
      <c r="I487" s="10" t="s">
        <v>1474</v>
      </c>
    </row>
    <row r="488" spans="1:9" x14ac:dyDescent="0.15">
      <c r="A488" s="9">
        <v>487</v>
      </c>
      <c r="B488" s="10" t="s">
        <v>9</v>
      </c>
      <c r="C488" s="10" t="s">
        <v>126</v>
      </c>
      <c r="D488" s="10" t="s">
        <v>127</v>
      </c>
      <c r="E488" s="11" t="str">
        <f>+HYPERLINK("http://trademark.i-assist.jp/data/china/image_1899th/78650808.pdf", "78650808")</f>
        <v>78650808</v>
      </c>
      <c r="F488" s="10" t="s">
        <v>1475</v>
      </c>
      <c r="G488" s="10" t="s">
        <v>1476</v>
      </c>
      <c r="H488" s="10" t="s">
        <v>1477</v>
      </c>
      <c r="I488" s="10" t="s">
        <v>1474</v>
      </c>
    </row>
    <row r="489" spans="1:9" x14ac:dyDescent="0.15">
      <c r="A489" s="9">
        <v>488</v>
      </c>
      <c r="B489" s="10" t="s">
        <v>9</v>
      </c>
      <c r="C489" s="10" t="s">
        <v>126</v>
      </c>
      <c r="D489" s="10" t="s">
        <v>127</v>
      </c>
      <c r="E489" s="11" t="str">
        <f>+HYPERLINK("http://trademark.i-assist.jp/data/china/image_1899th/78651035.pdf", "78651035")</f>
        <v>78651035</v>
      </c>
      <c r="F489" s="10" t="s">
        <v>1478</v>
      </c>
      <c r="G489" s="10" t="s">
        <v>1479</v>
      </c>
      <c r="H489" s="10" t="s">
        <v>1480</v>
      </c>
      <c r="I489" s="10" t="s">
        <v>1474</v>
      </c>
    </row>
    <row r="490" spans="1:9" x14ac:dyDescent="0.15">
      <c r="A490" s="9">
        <v>489</v>
      </c>
      <c r="B490" s="10" t="s">
        <v>9</v>
      </c>
      <c r="C490" s="10" t="s">
        <v>126</v>
      </c>
      <c r="D490" s="10" t="s">
        <v>127</v>
      </c>
      <c r="E490" s="11" t="str">
        <f>+HYPERLINK("http://trademark.i-assist.jp/data/china/image_1899th/78651334.pdf", "78651334")</f>
        <v>78651334</v>
      </c>
      <c r="F490" s="10" t="s">
        <v>15</v>
      </c>
      <c r="G490" s="10" t="s">
        <v>1481</v>
      </c>
      <c r="H490" s="10" t="s">
        <v>1482</v>
      </c>
      <c r="I490" s="10" t="s">
        <v>1474</v>
      </c>
    </row>
    <row r="491" spans="1:9" x14ac:dyDescent="0.15">
      <c r="A491" s="9">
        <v>490</v>
      </c>
      <c r="B491" s="10" t="s">
        <v>9</v>
      </c>
      <c r="C491" s="10" t="s">
        <v>126</v>
      </c>
      <c r="D491" s="10" t="s">
        <v>127</v>
      </c>
      <c r="E491" s="11" t="str">
        <f>+HYPERLINK("http://trademark.i-assist.jp/data/china/image_1899th/78651802.pdf", "78651802")</f>
        <v>78651802</v>
      </c>
      <c r="F491" s="10" t="s">
        <v>1483</v>
      </c>
      <c r="G491" s="10" t="s">
        <v>106</v>
      </c>
      <c r="H491" s="10" t="s">
        <v>1484</v>
      </c>
      <c r="I491" s="10" t="s">
        <v>1474</v>
      </c>
    </row>
    <row r="492" spans="1:9" x14ac:dyDescent="0.15">
      <c r="A492" s="9">
        <v>491</v>
      </c>
      <c r="B492" s="10" t="s">
        <v>9</v>
      </c>
      <c r="C492" s="10" t="s">
        <v>126</v>
      </c>
      <c r="D492" s="10" t="s">
        <v>127</v>
      </c>
      <c r="E492" s="11" t="str">
        <f>+HYPERLINK("http://trademark.i-assist.jp/data/china/image_1899th/78652383.pdf", "78652383")</f>
        <v>78652383</v>
      </c>
      <c r="F492" s="10" t="s">
        <v>1485</v>
      </c>
      <c r="G492" s="10" t="s">
        <v>1486</v>
      </c>
      <c r="H492" s="10" t="s">
        <v>1487</v>
      </c>
      <c r="I492" s="10" t="s">
        <v>1474</v>
      </c>
    </row>
    <row r="493" spans="1:9" x14ac:dyDescent="0.15">
      <c r="A493" s="9">
        <v>492</v>
      </c>
      <c r="B493" s="10" t="s">
        <v>9</v>
      </c>
      <c r="C493" s="10" t="s">
        <v>126</v>
      </c>
      <c r="D493" s="10" t="s">
        <v>127</v>
      </c>
      <c r="E493" s="11" t="str">
        <f>+HYPERLINK("http://trademark.i-assist.jp/data/china/image_1899th/78652450.pdf", "78652450")</f>
        <v>78652450</v>
      </c>
      <c r="F493" s="10" t="s">
        <v>1488</v>
      </c>
      <c r="G493" s="10" t="s">
        <v>1489</v>
      </c>
      <c r="H493" s="10" t="s">
        <v>1490</v>
      </c>
      <c r="I493" s="10" t="s">
        <v>1474</v>
      </c>
    </row>
    <row r="494" spans="1:9" x14ac:dyDescent="0.15">
      <c r="A494" s="9">
        <v>493</v>
      </c>
      <c r="B494" s="10" t="s">
        <v>9</v>
      </c>
      <c r="C494" s="10" t="s">
        <v>126</v>
      </c>
      <c r="D494" s="10" t="s">
        <v>127</v>
      </c>
      <c r="E494" s="11" t="str">
        <f>+HYPERLINK("http://trademark.i-assist.jp/data/china/image_1899th/78652707.pdf", "78652707")</f>
        <v>78652707</v>
      </c>
      <c r="F494" s="10" t="s">
        <v>1491</v>
      </c>
      <c r="G494" s="10" t="s">
        <v>1492</v>
      </c>
      <c r="H494" s="10" t="s">
        <v>1493</v>
      </c>
      <c r="I494" s="10" t="s">
        <v>1474</v>
      </c>
    </row>
    <row r="495" spans="1:9" x14ac:dyDescent="0.15">
      <c r="A495" s="9">
        <v>494</v>
      </c>
      <c r="B495" s="10" t="s">
        <v>9</v>
      </c>
      <c r="C495" s="10" t="s">
        <v>126</v>
      </c>
      <c r="D495" s="10" t="s">
        <v>127</v>
      </c>
      <c r="E495" s="11" t="str">
        <f>+HYPERLINK("http://trademark.i-assist.jp/data/china/image_1899th/78652740.pdf", "78652740")</f>
        <v>78652740</v>
      </c>
      <c r="F495" s="10" t="s">
        <v>1494</v>
      </c>
      <c r="G495" s="10" t="s">
        <v>1495</v>
      </c>
      <c r="H495" s="10" t="s">
        <v>1496</v>
      </c>
      <c r="I495" s="10" t="s">
        <v>1474</v>
      </c>
    </row>
    <row r="496" spans="1:9" x14ac:dyDescent="0.15">
      <c r="A496" s="9">
        <v>495</v>
      </c>
      <c r="B496" s="10" t="s">
        <v>9</v>
      </c>
      <c r="C496" s="10" t="s">
        <v>126</v>
      </c>
      <c r="D496" s="10" t="s">
        <v>127</v>
      </c>
      <c r="E496" s="11" t="str">
        <f>+HYPERLINK("http://trademark.i-assist.jp/data/china/image_1899th/78652817.pdf", "78652817")</f>
        <v>78652817</v>
      </c>
      <c r="F496" s="10" t="s">
        <v>1497</v>
      </c>
      <c r="G496" s="10" t="s">
        <v>1498</v>
      </c>
      <c r="H496" s="10" t="s">
        <v>1499</v>
      </c>
      <c r="I496" s="10" t="s">
        <v>1474</v>
      </c>
    </row>
    <row r="497" spans="1:9" x14ac:dyDescent="0.15">
      <c r="A497" s="9">
        <v>496</v>
      </c>
      <c r="B497" s="10" t="s">
        <v>9</v>
      </c>
      <c r="C497" s="10" t="s">
        <v>126</v>
      </c>
      <c r="D497" s="10" t="s">
        <v>127</v>
      </c>
      <c r="E497" s="11" t="str">
        <f>+HYPERLINK("http://trademark.i-assist.jp/data/china/image_1899th/78652848.pdf", "78652848")</f>
        <v>78652848</v>
      </c>
      <c r="F497" s="10" t="s">
        <v>1500</v>
      </c>
      <c r="G497" s="10" t="s">
        <v>1501</v>
      </c>
      <c r="H497" s="10" t="s">
        <v>1502</v>
      </c>
      <c r="I497" s="10" t="s">
        <v>1474</v>
      </c>
    </row>
    <row r="498" spans="1:9" x14ac:dyDescent="0.15">
      <c r="A498" s="9">
        <v>497</v>
      </c>
      <c r="B498" s="10" t="s">
        <v>9</v>
      </c>
      <c r="C498" s="10" t="s">
        <v>126</v>
      </c>
      <c r="D498" s="10" t="s">
        <v>127</v>
      </c>
      <c r="E498" s="11" t="str">
        <f>+HYPERLINK("http://trademark.i-assist.jp/data/china/image_1899th/78653001.pdf", "78653001")</f>
        <v>78653001</v>
      </c>
      <c r="F498" s="10" t="s">
        <v>1503</v>
      </c>
      <c r="G498" s="10" t="s">
        <v>1504</v>
      </c>
      <c r="H498" s="10" t="s">
        <v>1505</v>
      </c>
      <c r="I498" s="10" t="s">
        <v>1474</v>
      </c>
    </row>
    <row r="499" spans="1:9" x14ac:dyDescent="0.15">
      <c r="A499" s="9">
        <v>498</v>
      </c>
      <c r="B499" s="10" t="s">
        <v>9</v>
      </c>
      <c r="C499" s="10" t="s">
        <v>126</v>
      </c>
      <c r="D499" s="10" t="s">
        <v>127</v>
      </c>
      <c r="E499" s="11" t="str">
        <f>+HYPERLINK("http://trademark.i-assist.jp/data/china/image_1899th/78653030.pdf", "78653030")</f>
        <v>78653030</v>
      </c>
      <c r="F499" s="10" t="s">
        <v>1506</v>
      </c>
      <c r="G499" s="10" t="s">
        <v>1507</v>
      </c>
      <c r="H499" s="10" t="s">
        <v>1508</v>
      </c>
      <c r="I499" s="10" t="s">
        <v>1474</v>
      </c>
    </row>
    <row r="500" spans="1:9" x14ac:dyDescent="0.15">
      <c r="A500" s="9">
        <v>499</v>
      </c>
      <c r="B500" s="10" t="s">
        <v>9</v>
      </c>
      <c r="C500" s="10" t="s">
        <v>126</v>
      </c>
      <c r="D500" s="10" t="s">
        <v>127</v>
      </c>
      <c r="E500" s="11" t="str">
        <f>+HYPERLINK("http://trademark.i-assist.jp/data/china/image_1899th/78653219.pdf", "78653219")</f>
        <v>78653219</v>
      </c>
      <c r="F500" s="10" t="s">
        <v>1509</v>
      </c>
      <c r="G500" s="10" t="s">
        <v>1510</v>
      </c>
      <c r="H500" s="10" t="s">
        <v>1511</v>
      </c>
      <c r="I500" s="10" t="s">
        <v>1474</v>
      </c>
    </row>
    <row r="501" spans="1:9" x14ac:dyDescent="0.15">
      <c r="A501" s="9">
        <v>500</v>
      </c>
      <c r="B501" s="10" t="s">
        <v>9</v>
      </c>
      <c r="C501" s="10" t="s">
        <v>126</v>
      </c>
      <c r="D501" s="10" t="s">
        <v>127</v>
      </c>
      <c r="E501" s="11" t="str">
        <f>+HYPERLINK("http://trademark.i-assist.jp/data/china/image_1899th/78653241.pdf", "78653241")</f>
        <v>78653241</v>
      </c>
      <c r="F501" s="10" t="s">
        <v>1512</v>
      </c>
      <c r="G501" s="10" t="s">
        <v>1513</v>
      </c>
      <c r="H501" s="10" t="s">
        <v>1514</v>
      </c>
      <c r="I501" s="10" t="s">
        <v>1474</v>
      </c>
    </row>
    <row r="502" spans="1:9" x14ac:dyDescent="0.15">
      <c r="A502" s="9">
        <v>501</v>
      </c>
      <c r="B502" s="10" t="s">
        <v>9</v>
      </c>
      <c r="C502" s="10" t="s">
        <v>126</v>
      </c>
      <c r="D502" s="10" t="s">
        <v>127</v>
      </c>
      <c r="E502" s="11" t="str">
        <f>+HYPERLINK("http://trademark.i-assist.jp/data/china/image_1899th/78653245.pdf", "78653245")</f>
        <v>78653245</v>
      </c>
      <c r="F502" s="10" t="s">
        <v>1515</v>
      </c>
      <c r="G502" s="10" t="s">
        <v>1516</v>
      </c>
      <c r="H502" s="10" t="s">
        <v>1517</v>
      </c>
      <c r="I502" s="10" t="s">
        <v>1474</v>
      </c>
    </row>
    <row r="503" spans="1:9" x14ac:dyDescent="0.15">
      <c r="A503" s="9">
        <v>502</v>
      </c>
      <c r="B503" s="10" t="s">
        <v>9</v>
      </c>
      <c r="C503" s="10" t="s">
        <v>126</v>
      </c>
      <c r="D503" s="10" t="s">
        <v>127</v>
      </c>
      <c r="E503" s="11" t="str">
        <f>+HYPERLINK("http://trademark.i-assist.jp/data/china/image_1899th/78653684.pdf", "78653684")</f>
        <v>78653684</v>
      </c>
      <c r="F503" s="10" t="s">
        <v>15</v>
      </c>
      <c r="G503" s="10" t="s">
        <v>1518</v>
      </c>
      <c r="H503" s="10" t="s">
        <v>1519</v>
      </c>
      <c r="I503" s="10" t="s">
        <v>1474</v>
      </c>
    </row>
    <row r="504" spans="1:9" x14ac:dyDescent="0.15">
      <c r="A504" s="9">
        <v>503</v>
      </c>
      <c r="B504" s="10" t="s">
        <v>9</v>
      </c>
      <c r="C504" s="10" t="s">
        <v>126</v>
      </c>
      <c r="D504" s="10" t="s">
        <v>127</v>
      </c>
      <c r="E504" s="11" t="str">
        <f>+HYPERLINK("http://trademark.i-assist.jp/data/china/image_1899th/78653859.pdf", "78653859")</f>
        <v>78653859</v>
      </c>
      <c r="F504" s="10" t="s">
        <v>1520</v>
      </c>
      <c r="G504" s="10" t="s">
        <v>1521</v>
      </c>
      <c r="H504" s="10" t="s">
        <v>1522</v>
      </c>
      <c r="I504" s="10" t="s">
        <v>1474</v>
      </c>
    </row>
    <row r="505" spans="1:9" x14ac:dyDescent="0.15">
      <c r="A505" s="9">
        <v>504</v>
      </c>
      <c r="B505" s="10" t="s">
        <v>9</v>
      </c>
      <c r="C505" s="10" t="s">
        <v>126</v>
      </c>
      <c r="D505" s="10" t="s">
        <v>127</v>
      </c>
      <c r="E505" s="11" t="str">
        <f>+HYPERLINK("http://trademark.i-assist.jp/data/china/image_1899th/78653974.pdf", "78653974")</f>
        <v>78653974</v>
      </c>
      <c r="F505" s="10" t="s">
        <v>1523</v>
      </c>
      <c r="G505" s="10" t="s">
        <v>1524</v>
      </c>
      <c r="H505" s="10" t="s">
        <v>1525</v>
      </c>
      <c r="I505" s="10" t="s">
        <v>1474</v>
      </c>
    </row>
    <row r="506" spans="1:9" x14ac:dyDescent="0.15">
      <c r="A506" s="9">
        <v>505</v>
      </c>
      <c r="B506" s="10" t="s">
        <v>9</v>
      </c>
      <c r="C506" s="10" t="s">
        <v>126</v>
      </c>
      <c r="D506" s="10" t="s">
        <v>127</v>
      </c>
      <c r="E506" s="11" t="str">
        <f>+HYPERLINK("http://trademark.i-assist.jp/data/china/image_1899th/78653985.pdf", "78653985")</f>
        <v>78653985</v>
      </c>
      <c r="F506" s="10" t="s">
        <v>1526</v>
      </c>
      <c r="G506" s="10" t="s">
        <v>1524</v>
      </c>
      <c r="H506" s="10" t="s">
        <v>1527</v>
      </c>
      <c r="I506" s="10" t="s">
        <v>1474</v>
      </c>
    </row>
    <row r="507" spans="1:9" x14ac:dyDescent="0.15">
      <c r="A507" s="9">
        <v>506</v>
      </c>
      <c r="B507" s="10" t="s">
        <v>9</v>
      </c>
      <c r="C507" s="10" t="s">
        <v>126</v>
      </c>
      <c r="D507" s="10" t="s">
        <v>127</v>
      </c>
      <c r="E507" s="11" t="str">
        <f>+HYPERLINK("http://trademark.i-assist.jp/data/china/image_1899th/78654640.pdf", "78654640")</f>
        <v>78654640</v>
      </c>
      <c r="F507" s="10" t="s">
        <v>1528</v>
      </c>
      <c r="G507" s="10" t="s">
        <v>1529</v>
      </c>
      <c r="H507" s="10" t="s">
        <v>1530</v>
      </c>
      <c r="I507" s="10" t="s">
        <v>1474</v>
      </c>
    </row>
    <row r="508" spans="1:9" x14ac:dyDescent="0.15">
      <c r="A508" s="9">
        <v>507</v>
      </c>
      <c r="B508" s="10" t="s">
        <v>9</v>
      </c>
      <c r="C508" s="10" t="s">
        <v>126</v>
      </c>
      <c r="D508" s="10" t="s">
        <v>127</v>
      </c>
      <c r="E508" s="11" t="str">
        <f>+HYPERLINK("http://trademark.i-assist.jp/data/china/image_1899th/78655232.pdf", "78655232")</f>
        <v>78655232</v>
      </c>
      <c r="F508" s="10" t="s">
        <v>1531</v>
      </c>
      <c r="G508" s="10" t="s">
        <v>1532</v>
      </c>
      <c r="H508" s="10" t="s">
        <v>1533</v>
      </c>
      <c r="I508" s="10" t="s">
        <v>1474</v>
      </c>
    </row>
    <row r="509" spans="1:9" x14ac:dyDescent="0.15">
      <c r="A509" s="9">
        <v>508</v>
      </c>
      <c r="B509" s="10" t="s">
        <v>9</v>
      </c>
      <c r="C509" s="10" t="s">
        <v>126</v>
      </c>
      <c r="D509" s="10" t="s">
        <v>127</v>
      </c>
      <c r="E509" s="11" t="str">
        <f>+HYPERLINK("http://trademark.i-assist.jp/data/china/image_1899th/78655526.pdf", "78655526")</f>
        <v>78655526</v>
      </c>
      <c r="F509" s="10" t="s">
        <v>1534</v>
      </c>
      <c r="G509" s="10" t="s">
        <v>1535</v>
      </c>
      <c r="H509" s="10" t="s">
        <v>1536</v>
      </c>
      <c r="I509" s="10" t="s">
        <v>1474</v>
      </c>
    </row>
    <row r="510" spans="1:9" x14ac:dyDescent="0.15">
      <c r="A510" s="9">
        <v>509</v>
      </c>
      <c r="B510" s="10" t="s">
        <v>9</v>
      </c>
      <c r="C510" s="10" t="s">
        <v>126</v>
      </c>
      <c r="D510" s="10" t="s">
        <v>127</v>
      </c>
      <c r="E510" s="11" t="str">
        <f>+HYPERLINK("http://trademark.i-assist.jp/data/china/image_1899th/78655948.pdf", "78655948")</f>
        <v>78655948</v>
      </c>
      <c r="F510" s="10" t="s">
        <v>1537</v>
      </c>
      <c r="G510" s="10" t="s">
        <v>1538</v>
      </c>
      <c r="H510" s="10" t="s">
        <v>1539</v>
      </c>
      <c r="I510" s="10" t="s">
        <v>1474</v>
      </c>
    </row>
    <row r="511" spans="1:9" x14ac:dyDescent="0.15">
      <c r="A511" s="9">
        <v>510</v>
      </c>
      <c r="B511" s="10" t="s">
        <v>9</v>
      </c>
      <c r="C511" s="10" t="s">
        <v>126</v>
      </c>
      <c r="D511" s="10" t="s">
        <v>127</v>
      </c>
      <c r="E511" s="11" t="str">
        <f>+HYPERLINK("http://trademark.i-assist.jp/data/china/image_1899th/78656617.pdf", "78656617")</f>
        <v>78656617</v>
      </c>
      <c r="F511" s="10" t="s">
        <v>1540</v>
      </c>
      <c r="G511" s="10" t="s">
        <v>1541</v>
      </c>
      <c r="H511" s="10" t="s">
        <v>1542</v>
      </c>
      <c r="I511" s="10" t="s">
        <v>1474</v>
      </c>
    </row>
    <row r="512" spans="1:9" x14ac:dyDescent="0.15">
      <c r="A512" s="9">
        <v>511</v>
      </c>
      <c r="B512" s="10" t="s">
        <v>9</v>
      </c>
      <c r="C512" s="10" t="s">
        <v>126</v>
      </c>
      <c r="D512" s="10" t="s">
        <v>127</v>
      </c>
      <c r="E512" s="11" t="str">
        <f>+HYPERLINK("http://trademark.i-assist.jp/data/china/image_1899th/78657692.pdf", "78657692")</f>
        <v>78657692</v>
      </c>
      <c r="F512" s="10" t="s">
        <v>1543</v>
      </c>
      <c r="G512" s="10" t="s">
        <v>1544</v>
      </c>
      <c r="H512" s="10" t="s">
        <v>1545</v>
      </c>
      <c r="I512" s="10" t="s">
        <v>1474</v>
      </c>
    </row>
    <row r="513" spans="1:9" x14ac:dyDescent="0.15">
      <c r="A513" s="9">
        <v>512</v>
      </c>
      <c r="B513" s="10" t="s">
        <v>9</v>
      </c>
      <c r="C513" s="10" t="s">
        <v>126</v>
      </c>
      <c r="D513" s="10" t="s">
        <v>127</v>
      </c>
      <c r="E513" s="11" t="str">
        <f>+HYPERLINK("http://trademark.i-assist.jp/data/china/image_1899th/78658457.pdf", "78658457")</f>
        <v>78658457</v>
      </c>
      <c r="F513" s="10" t="s">
        <v>1546</v>
      </c>
      <c r="G513" s="10" t="s">
        <v>1547</v>
      </c>
      <c r="H513" s="10" t="s">
        <v>1548</v>
      </c>
      <c r="I513" s="10" t="s">
        <v>1474</v>
      </c>
    </row>
    <row r="514" spans="1:9" x14ac:dyDescent="0.15">
      <c r="A514" s="9">
        <v>513</v>
      </c>
      <c r="B514" s="10" t="s">
        <v>9</v>
      </c>
      <c r="C514" s="10" t="s">
        <v>126</v>
      </c>
      <c r="D514" s="10" t="s">
        <v>127</v>
      </c>
      <c r="E514" s="11" t="str">
        <f>+HYPERLINK("http://trademark.i-assist.jp/data/china/image_1899th/78658518.pdf", "78658518")</f>
        <v>78658518</v>
      </c>
      <c r="F514" s="10" t="s">
        <v>15</v>
      </c>
      <c r="G514" s="10" t="s">
        <v>1549</v>
      </c>
      <c r="H514" s="10" t="s">
        <v>1550</v>
      </c>
      <c r="I514" s="10" t="s">
        <v>1474</v>
      </c>
    </row>
    <row r="515" spans="1:9" x14ac:dyDescent="0.15">
      <c r="A515" s="9">
        <v>514</v>
      </c>
      <c r="B515" s="10" t="s">
        <v>9</v>
      </c>
      <c r="C515" s="10" t="s">
        <v>126</v>
      </c>
      <c r="D515" s="10" t="s">
        <v>127</v>
      </c>
      <c r="E515" s="11" t="str">
        <f>+HYPERLINK("http://trademark.i-assist.jp/data/china/image_1899th/78658597.pdf", "78658597")</f>
        <v>78658597</v>
      </c>
      <c r="F515" s="10" t="s">
        <v>1551</v>
      </c>
      <c r="G515" s="10" t="s">
        <v>1552</v>
      </c>
      <c r="H515" s="10" t="s">
        <v>1553</v>
      </c>
      <c r="I515" s="10" t="s">
        <v>1474</v>
      </c>
    </row>
    <row r="516" spans="1:9" x14ac:dyDescent="0.15">
      <c r="A516" s="9">
        <v>515</v>
      </c>
      <c r="B516" s="10" t="s">
        <v>9</v>
      </c>
      <c r="C516" s="10" t="s">
        <v>126</v>
      </c>
      <c r="D516" s="10" t="s">
        <v>127</v>
      </c>
      <c r="E516" s="11" t="str">
        <f>+HYPERLINK("http://trademark.i-assist.jp/data/china/image_1899th/78658781.pdf", "78658781")</f>
        <v>78658781</v>
      </c>
      <c r="F516" s="10" t="s">
        <v>1554</v>
      </c>
      <c r="G516" s="10" t="s">
        <v>1555</v>
      </c>
      <c r="H516" s="10" t="s">
        <v>1556</v>
      </c>
      <c r="I516" s="10" t="s">
        <v>1474</v>
      </c>
    </row>
    <row r="517" spans="1:9" x14ac:dyDescent="0.15">
      <c r="A517" s="9">
        <v>516</v>
      </c>
      <c r="B517" s="10" t="s">
        <v>9</v>
      </c>
      <c r="C517" s="10" t="s">
        <v>126</v>
      </c>
      <c r="D517" s="10" t="s">
        <v>127</v>
      </c>
      <c r="E517" s="11" t="str">
        <f>+HYPERLINK("http://trademark.i-assist.jp/data/china/image_1899th/78658847.pdf", "78658847")</f>
        <v>78658847</v>
      </c>
      <c r="F517" s="10" t="s">
        <v>1557</v>
      </c>
      <c r="G517" s="10" t="s">
        <v>1558</v>
      </c>
      <c r="H517" s="10" t="s">
        <v>1559</v>
      </c>
      <c r="I517" s="10" t="s">
        <v>1474</v>
      </c>
    </row>
    <row r="518" spans="1:9" x14ac:dyDescent="0.15">
      <c r="A518" s="9">
        <v>517</v>
      </c>
      <c r="B518" s="10" t="s">
        <v>9</v>
      </c>
      <c r="C518" s="10" t="s">
        <v>126</v>
      </c>
      <c r="D518" s="10" t="s">
        <v>127</v>
      </c>
      <c r="E518" s="11" t="str">
        <f>+HYPERLINK("http://trademark.i-assist.jp/data/china/image_1899th/78658886.pdf", "78658886")</f>
        <v>78658886</v>
      </c>
      <c r="F518" s="10" t="s">
        <v>1560</v>
      </c>
      <c r="G518" s="10" t="s">
        <v>1561</v>
      </c>
      <c r="H518" s="10" t="s">
        <v>1562</v>
      </c>
      <c r="I518" s="10" t="s">
        <v>1474</v>
      </c>
    </row>
    <row r="519" spans="1:9" x14ac:dyDescent="0.15">
      <c r="A519" s="9">
        <v>518</v>
      </c>
      <c r="B519" s="10" t="s">
        <v>9</v>
      </c>
      <c r="C519" s="10" t="s">
        <v>126</v>
      </c>
      <c r="D519" s="10" t="s">
        <v>127</v>
      </c>
      <c r="E519" s="11" t="str">
        <f>+HYPERLINK("http://trademark.i-assist.jp/data/china/image_1899th/78659186.pdf", "78659186")</f>
        <v>78659186</v>
      </c>
      <c r="F519" s="10" t="s">
        <v>1563</v>
      </c>
      <c r="G519" s="10" t="s">
        <v>1564</v>
      </c>
      <c r="H519" s="10" t="s">
        <v>1565</v>
      </c>
      <c r="I519" s="10" t="s">
        <v>1474</v>
      </c>
    </row>
    <row r="520" spans="1:9" x14ac:dyDescent="0.15">
      <c r="A520" s="9">
        <v>519</v>
      </c>
      <c r="B520" s="10" t="s">
        <v>9</v>
      </c>
      <c r="C520" s="10" t="s">
        <v>126</v>
      </c>
      <c r="D520" s="10" t="s">
        <v>127</v>
      </c>
      <c r="E520" s="11" t="str">
        <f>+HYPERLINK("http://trademark.i-assist.jp/data/china/image_1899th/78659238.pdf", "78659238")</f>
        <v>78659238</v>
      </c>
      <c r="F520" s="10" t="s">
        <v>1566</v>
      </c>
      <c r="G520" s="10" t="s">
        <v>1486</v>
      </c>
      <c r="H520" s="10" t="s">
        <v>1567</v>
      </c>
      <c r="I520" s="10" t="s">
        <v>1474</v>
      </c>
    </row>
    <row r="521" spans="1:9" x14ac:dyDescent="0.15">
      <c r="A521" s="9">
        <v>520</v>
      </c>
      <c r="B521" s="10" t="s">
        <v>9</v>
      </c>
      <c r="C521" s="10" t="s">
        <v>126</v>
      </c>
      <c r="D521" s="10" t="s">
        <v>127</v>
      </c>
      <c r="E521" s="11" t="str">
        <f>+HYPERLINK("http://trademark.i-assist.jp/data/china/image_1899th/78659512.pdf", "78659512")</f>
        <v>78659512</v>
      </c>
      <c r="F521" s="10" t="s">
        <v>1568</v>
      </c>
      <c r="G521" s="10" t="s">
        <v>1569</v>
      </c>
      <c r="H521" s="10" t="s">
        <v>1570</v>
      </c>
      <c r="I521" s="10" t="s">
        <v>1474</v>
      </c>
    </row>
    <row r="522" spans="1:9" x14ac:dyDescent="0.15">
      <c r="A522" s="9">
        <v>521</v>
      </c>
      <c r="B522" s="10" t="s">
        <v>9</v>
      </c>
      <c r="C522" s="10" t="s">
        <v>126</v>
      </c>
      <c r="D522" s="10" t="s">
        <v>127</v>
      </c>
      <c r="E522" s="11" t="str">
        <f>+HYPERLINK("http://trademark.i-assist.jp/data/china/image_1899th/78659718.pdf", "78659718")</f>
        <v>78659718</v>
      </c>
      <c r="F522" s="10" t="s">
        <v>1571</v>
      </c>
      <c r="G522" s="10" t="s">
        <v>1572</v>
      </c>
      <c r="H522" s="10" t="s">
        <v>1573</v>
      </c>
      <c r="I522" s="10" t="s">
        <v>1474</v>
      </c>
    </row>
    <row r="523" spans="1:9" x14ac:dyDescent="0.15">
      <c r="A523" s="9">
        <v>522</v>
      </c>
      <c r="B523" s="10" t="s">
        <v>9</v>
      </c>
      <c r="C523" s="10" t="s">
        <v>126</v>
      </c>
      <c r="D523" s="10" t="s">
        <v>127</v>
      </c>
      <c r="E523" s="11" t="str">
        <f>+HYPERLINK("http://trademark.i-assist.jp/data/china/image_1899th/78659824.pdf", "78659824")</f>
        <v>78659824</v>
      </c>
      <c r="F523" s="10" t="s">
        <v>15</v>
      </c>
      <c r="G523" s="10" t="s">
        <v>1574</v>
      </c>
      <c r="H523" s="10" t="s">
        <v>1575</v>
      </c>
      <c r="I523" s="10" t="s">
        <v>1474</v>
      </c>
    </row>
    <row r="524" spans="1:9" x14ac:dyDescent="0.15">
      <c r="A524" s="9">
        <v>523</v>
      </c>
      <c r="B524" s="10" t="s">
        <v>9</v>
      </c>
      <c r="C524" s="10" t="s">
        <v>126</v>
      </c>
      <c r="D524" s="10" t="s">
        <v>127</v>
      </c>
      <c r="E524" s="11" t="str">
        <f>+HYPERLINK("http://trademark.i-assist.jp/data/china/image_1899th/78659958.pdf", "78659958")</f>
        <v>78659958</v>
      </c>
      <c r="F524" s="10" t="s">
        <v>1576</v>
      </c>
      <c r="G524" s="10" t="s">
        <v>1577</v>
      </c>
      <c r="H524" s="10" t="s">
        <v>1578</v>
      </c>
      <c r="I524" s="10" t="s">
        <v>1474</v>
      </c>
    </row>
    <row r="525" spans="1:9" x14ac:dyDescent="0.15">
      <c r="A525" s="9">
        <v>524</v>
      </c>
      <c r="B525" s="10" t="s">
        <v>9</v>
      </c>
      <c r="C525" s="10" t="s">
        <v>126</v>
      </c>
      <c r="D525" s="10" t="s">
        <v>127</v>
      </c>
      <c r="E525" s="11" t="str">
        <f>+HYPERLINK("http://trademark.i-assist.jp/data/china/image_1899th/78660266.pdf", "78660266")</f>
        <v>78660266</v>
      </c>
      <c r="F525" s="10" t="s">
        <v>1579</v>
      </c>
      <c r="G525" s="10" t="s">
        <v>1580</v>
      </c>
      <c r="H525" s="10" t="s">
        <v>1581</v>
      </c>
      <c r="I525" s="10" t="s">
        <v>1474</v>
      </c>
    </row>
    <row r="526" spans="1:9" x14ac:dyDescent="0.15">
      <c r="A526" s="9">
        <v>525</v>
      </c>
      <c r="B526" s="10" t="s">
        <v>9</v>
      </c>
      <c r="C526" s="10" t="s">
        <v>126</v>
      </c>
      <c r="D526" s="10" t="s">
        <v>127</v>
      </c>
      <c r="E526" s="11" t="str">
        <f>+HYPERLINK("http://trademark.i-assist.jp/data/china/image_1899th/78660452.pdf", "78660452")</f>
        <v>78660452</v>
      </c>
      <c r="F526" s="10" t="s">
        <v>1582</v>
      </c>
      <c r="G526" s="10" t="s">
        <v>1583</v>
      </c>
      <c r="H526" s="10" t="s">
        <v>1584</v>
      </c>
      <c r="I526" s="10" t="s">
        <v>1474</v>
      </c>
    </row>
    <row r="527" spans="1:9" x14ac:dyDescent="0.15">
      <c r="A527" s="9">
        <v>526</v>
      </c>
      <c r="B527" s="10" t="s">
        <v>9</v>
      </c>
      <c r="C527" s="10" t="s">
        <v>126</v>
      </c>
      <c r="D527" s="10" t="s">
        <v>127</v>
      </c>
      <c r="E527" s="11" t="str">
        <f>+HYPERLINK("http://trademark.i-assist.jp/data/china/image_1899th/78662078.pdf", "78662078")</f>
        <v>78662078</v>
      </c>
      <c r="F527" s="10" t="s">
        <v>1585</v>
      </c>
      <c r="G527" s="10" t="s">
        <v>1586</v>
      </c>
      <c r="H527" s="10" t="s">
        <v>1587</v>
      </c>
      <c r="I527" s="10" t="s">
        <v>1474</v>
      </c>
    </row>
    <row r="528" spans="1:9" x14ac:dyDescent="0.15">
      <c r="A528" s="9">
        <v>527</v>
      </c>
      <c r="B528" s="10" t="s">
        <v>9</v>
      </c>
      <c r="C528" s="10" t="s">
        <v>126</v>
      </c>
      <c r="D528" s="10" t="s">
        <v>127</v>
      </c>
      <c r="E528" s="11" t="str">
        <f>+HYPERLINK("http://trademark.i-assist.jp/data/china/image_1899th/78662247.pdf", "78662247")</f>
        <v>78662247</v>
      </c>
      <c r="F528" s="10" t="s">
        <v>1588</v>
      </c>
      <c r="G528" s="10" t="s">
        <v>1589</v>
      </c>
      <c r="H528" s="10" t="s">
        <v>1590</v>
      </c>
      <c r="I528" s="10" t="s">
        <v>1474</v>
      </c>
    </row>
    <row r="529" spans="1:9" x14ac:dyDescent="0.15">
      <c r="A529" s="9">
        <v>528</v>
      </c>
      <c r="B529" s="10" t="s">
        <v>9</v>
      </c>
      <c r="C529" s="10" t="s">
        <v>126</v>
      </c>
      <c r="D529" s="10" t="s">
        <v>127</v>
      </c>
      <c r="E529" s="11" t="str">
        <f>+HYPERLINK("http://trademark.i-assist.jp/data/china/image_1899th/78662257.pdf", "78662257")</f>
        <v>78662257</v>
      </c>
      <c r="F529" s="10" t="s">
        <v>1591</v>
      </c>
      <c r="G529" s="10" t="s">
        <v>1547</v>
      </c>
      <c r="H529" s="10" t="s">
        <v>1592</v>
      </c>
      <c r="I529" s="10" t="s">
        <v>1474</v>
      </c>
    </row>
    <row r="530" spans="1:9" x14ac:dyDescent="0.15">
      <c r="A530" s="9">
        <v>529</v>
      </c>
      <c r="B530" s="10" t="s">
        <v>9</v>
      </c>
      <c r="C530" s="10" t="s">
        <v>126</v>
      </c>
      <c r="D530" s="10" t="s">
        <v>127</v>
      </c>
      <c r="E530" s="11" t="str">
        <f>+HYPERLINK("http://trademark.i-assist.jp/data/china/image_1899th/78662632.pdf", "78662632")</f>
        <v>78662632</v>
      </c>
      <c r="F530" s="10" t="s">
        <v>1593</v>
      </c>
      <c r="G530" s="10" t="s">
        <v>1594</v>
      </c>
      <c r="H530" s="10" t="s">
        <v>1595</v>
      </c>
      <c r="I530" s="10" t="s">
        <v>1474</v>
      </c>
    </row>
    <row r="531" spans="1:9" x14ac:dyDescent="0.15">
      <c r="A531" s="9">
        <v>530</v>
      </c>
      <c r="B531" s="10" t="s">
        <v>9</v>
      </c>
      <c r="C531" s="10" t="s">
        <v>126</v>
      </c>
      <c r="D531" s="10" t="s">
        <v>127</v>
      </c>
      <c r="E531" s="11" t="str">
        <f>+HYPERLINK("http://trademark.i-assist.jp/data/china/image_1899th/78662947.pdf", "78662947")</f>
        <v>78662947</v>
      </c>
      <c r="F531" s="10" t="s">
        <v>1596</v>
      </c>
      <c r="G531" s="10" t="s">
        <v>1597</v>
      </c>
      <c r="H531" s="10" t="s">
        <v>1598</v>
      </c>
      <c r="I531" s="10" t="s">
        <v>1474</v>
      </c>
    </row>
    <row r="532" spans="1:9" x14ac:dyDescent="0.15">
      <c r="A532" s="9">
        <v>531</v>
      </c>
      <c r="B532" s="10" t="s">
        <v>9</v>
      </c>
      <c r="C532" s="10" t="s">
        <v>126</v>
      </c>
      <c r="D532" s="10" t="s">
        <v>127</v>
      </c>
      <c r="E532" s="11" t="str">
        <f>+HYPERLINK("http://trademark.i-assist.jp/data/china/image_1899th/78663531.pdf", "78663531")</f>
        <v>78663531</v>
      </c>
      <c r="F532" s="10" t="s">
        <v>1599</v>
      </c>
      <c r="G532" s="10" t="s">
        <v>1600</v>
      </c>
      <c r="H532" s="10" t="s">
        <v>1601</v>
      </c>
      <c r="I532" s="10" t="s">
        <v>1474</v>
      </c>
    </row>
    <row r="533" spans="1:9" x14ac:dyDescent="0.15">
      <c r="A533" s="9">
        <v>532</v>
      </c>
      <c r="B533" s="10" t="s">
        <v>9</v>
      </c>
      <c r="C533" s="10" t="s">
        <v>126</v>
      </c>
      <c r="D533" s="10" t="s">
        <v>127</v>
      </c>
      <c r="E533" s="11" t="str">
        <f>+HYPERLINK("http://trademark.i-assist.jp/data/china/image_1899th/78663982.pdf", "78663982")</f>
        <v>78663982</v>
      </c>
      <c r="F533" s="10" t="s">
        <v>1602</v>
      </c>
      <c r="G533" s="10" t="s">
        <v>1603</v>
      </c>
      <c r="H533" s="10" t="s">
        <v>1604</v>
      </c>
      <c r="I533" s="10" t="s">
        <v>1474</v>
      </c>
    </row>
    <row r="534" spans="1:9" x14ac:dyDescent="0.15">
      <c r="A534" s="9">
        <v>533</v>
      </c>
      <c r="B534" s="10" t="s">
        <v>9</v>
      </c>
      <c r="C534" s="10" t="s">
        <v>126</v>
      </c>
      <c r="D534" s="10" t="s">
        <v>127</v>
      </c>
      <c r="E534" s="11" t="str">
        <f>+HYPERLINK("http://trademark.i-assist.jp/data/china/image_1899th/78664582.pdf", "78664582")</f>
        <v>78664582</v>
      </c>
      <c r="F534" s="10" t="s">
        <v>1605</v>
      </c>
      <c r="G534" s="10" t="s">
        <v>1606</v>
      </c>
      <c r="H534" s="10" t="s">
        <v>1607</v>
      </c>
      <c r="I534" s="10" t="s">
        <v>1474</v>
      </c>
    </row>
    <row r="535" spans="1:9" x14ac:dyDescent="0.15">
      <c r="A535" s="9">
        <v>534</v>
      </c>
      <c r="B535" s="10" t="s">
        <v>9</v>
      </c>
      <c r="C535" s="10" t="s">
        <v>126</v>
      </c>
      <c r="D535" s="10" t="s">
        <v>127</v>
      </c>
      <c r="E535" s="11" t="str">
        <f>+HYPERLINK("http://trademark.i-assist.jp/data/china/image_1899th/78664835.pdf", "78664835")</f>
        <v>78664835</v>
      </c>
      <c r="F535" s="10" t="s">
        <v>1608</v>
      </c>
      <c r="G535" s="10" t="s">
        <v>1609</v>
      </c>
      <c r="H535" s="10" t="s">
        <v>1610</v>
      </c>
      <c r="I535" s="10" t="s">
        <v>1474</v>
      </c>
    </row>
    <row r="536" spans="1:9" x14ac:dyDescent="0.15">
      <c r="A536" s="9">
        <v>535</v>
      </c>
      <c r="B536" s="10" t="s">
        <v>9</v>
      </c>
      <c r="C536" s="10" t="s">
        <v>126</v>
      </c>
      <c r="D536" s="10" t="s">
        <v>127</v>
      </c>
      <c r="E536" s="11" t="str">
        <f>+HYPERLINK("http://trademark.i-assist.jp/data/china/image_1899th/78664882.pdf", "78664882")</f>
        <v>78664882</v>
      </c>
      <c r="F536" s="10" t="s">
        <v>1611</v>
      </c>
      <c r="G536" s="10" t="s">
        <v>1612</v>
      </c>
      <c r="H536" s="10" t="s">
        <v>1613</v>
      </c>
      <c r="I536" s="10" t="s">
        <v>1474</v>
      </c>
    </row>
    <row r="537" spans="1:9" x14ac:dyDescent="0.15">
      <c r="A537" s="9">
        <v>536</v>
      </c>
      <c r="B537" s="10" t="s">
        <v>9</v>
      </c>
      <c r="C537" s="10" t="s">
        <v>126</v>
      </c>
      <c r="D537" s="10" t="s">
        <v>127</v>
      </c>
      <c r="E537" s="11" t="str">
        <f>+HYPERLINK("http://trademark.i-assist.jp/data/china/image_1899th/78665821.pdf", "78665821")</f>
        <v>78665821</v>
      </c>
      <c r="F537" s="10" t="s">
        <v>1614</v>
      </c>
      <c r="G537" s="10" t="s">
        <v>1615</v>
      </c>
      <c r="H537" s="10" t="s">
        <v>1616</v>
      </c>
      <c r="I537" s="10" t="s">
        <v>1474</v>
      </c>
    </row>
    <row r="538" spans="1:9" x14ac:dyDescent="0.15">
      <c r="A538" s="9">
        <v>537</v>
      </c>
      <c r="B538" s="10" t="s">
        <v>9</v>
      </c>
      <c r="C538" s="10" t="s">
        <v>126</v>
      </c>
      <c r="D538" s="10" t="s">
        <v>127</v>
      </c>
      <c r="E538" s="11" t="str">
        <f>+HYPERLINK("http://trademark.i-assist.jp/data/china/image_1899th/78665989.pdf", "78665989")</f>
        <v>78665989</v>
      </c>
      <c r="F538" s="10" t="s">
        <v>1617</v>
      </c>
      <c r="G538" s="10" t="s">
        <v>1618</v>
      </c>
      <c r="H538" s="10" t="s">
        <v>1619</v>
      </c>
      <c r="I538" s="10" t="s">
        <v>1474</v>
      </c>
    </row>
    <row r="539" spans="1:9" x14ac:dyDescent="0.15">
      <c r="A539" s="9">
        <v>538</v>
      </c>
      <c r="B539" s="10" t="s">
        <v>9</v>
      </c>
      <c r="C539" s="10" t="s">
        <v>126</v>
      </c>
      <c r="D539" s="10" t="s">
        <v>127</v>
      </c>
      <c r="E539" s="11" t="str">
        <f>+HYPERLINK("http://trademark.i-assist.jp/data/china/image_1899th/78667040.pdf", "78667040")</f>
        <v>78667040</v>
      </c>
      <c r="F539" s="10" t="s">
        <v>1620</v>
      </c>
      <c r="G539" s="10" t="s">
        <v>1621</v>
      </c>
      <c r="H539" s="10" t="s">
        <v>1622</v>
      </c>
      <c r="I539" s="10" t="s">
        <v>1474</v>
      </c>
    </row>
    <row r="540" spans="1:9" x14ac:dyDescent="0.15">
      <c r="A540" s="9">
        <v>539</v>
      </c>
      <c r="B540" s="10" t="s">
        <v>9</v>
      </c>
      <c r="C540" s="10" t="s">
        <v>126</v>
      </c>
      <c r="D540" s="10" t="s">
        <v>127</v>
      </c>
      <c r="E540" s="11" t="str">
        <f>+HYPERLINK("http://trademark.i-assist.jp/data/china/image_1899th/78667248.pdf", "78667248")</f>
        <v>78667248</v>
      </c>
      <c r="F540" s="10" t="s">
        <v>1623</v>
      </c>
      <c r="G540" s="10" t="s">
        <v>83</v>
      </c>
      <c r="H540" s="10" t="s">
        <v>1624</v>
      </c>
      <c r="I540" s="10" t="s">
        <v>1474</v>
      </c>
    </row>
    <row r="541" spans="1:9" x14ac:dyDescent="0.15">
      <c r="A541" s="9">
        <v>540</v>
      </c>
      <c r="B541" s="10" t="s">
        <v>9</v>
      </c>
      <c r="C541" s="10" t="s">
        <v>126</v>
      </c>
      <c r="D541" s="10" t="s">
        <v>127</v>
      </c>
      <c r="E541" s="11" t="str">
        <f>+HYPERLINK("http://trademark.i-assist.jp/data/china/image_1899th/78667440.pdf", "78667440")</f>
        <v>78667440</v>
      </c>
      <c r="F541" s="10" t="s">
        <v>1625</v>
      </c>
      <c r="G541" s="10" t="s">
        <v>1626</v>
      </c>
      <c r="H541" s="10" t="s">
        <v>1627</v>
      </c>
      <c r="I541" s="10" t="s">
        <v>1474</v>
      </c>
    </row>
    <row r="542" spans="1:9" x14ac:dyDescent="0.15">
      <c r="A542" s="9">
        <v>541</v>
      </c>
      <c r="B542" s="10" t="s">
        <v>9</v>
      </c>
      <c r="C542" s="10" t="s">
        <v>126</v>
      </c>
      <c r="D542" s="10" t="s">
        <v>127</v>
      </c>
      <c r="E542" s="11" t="str">
        <f>+HYPERLINK("http://trademark.i-assist.jp/data/china/image_1899th/78667634.pdf", "78667634")</f>
        <v>78667634</v>
      </c>
      <c r="F542" s="10" t="s">
        <v>1628</v>
      </c>
      <c r="G542" s="10" t="s">
        <v>1629</v>
      </c>
      <c r="H542" s="10" t="s">
        <v>1630</v>
      </c>
      <c r="I542" s="10" t="s">
        <v>1474</v>
      </c>
    </row>
    <row r="543" spans="1:9" x14ac:dyDescent="0.15">
      <c r="A543" s="9">
        <v>542</v>
      </c>
      <c r="B543" s="10" t="s">
        <v>9</v>
      </c>
      <c r="C543" s="10" t="s">
        <v>126</v>
      </c>
      <c r="D543" s="10" t="s">
        <v>127</v>
      </c>
      <c r="E543" s="11" t="str">
        <f>+HYPERLINK("http://trademark.i-assist.jp/data/china/image_1899th/78667643.pdf", "78667643")</f>
        <v>78667643</v>
      </c>
      <c r="F543" s="10" t="s">
        <v>1631</v>
      </c>
      <c r="G543" s="10" t="s">
        <v>1632</v>
      </c>
      <c r="H543" s="10" t="s">
        <v>1633</v>
      </c>
      <c r="I543" s="10" t="s">
        <v>1474</v>
      </c>
    </row>
    <row r="544" spans="1:9" x14ac:dyDescent="0.15">
      <c r="A544" s="9">
        <v>543</v>
      </c>
      <c r="B544" s="10" t="s">
        <v>9</v>
      </c>
      <c r="C544" s="10" t="s">
        <v>126</v>
      </c>
      <c r="D544" s="10" t="s">
        <v>127</v>
      </c>
      <c r="E544" s="11" t="str">
        <f>+HYPERLINK("http://trademark.i-assist.jp/data/china/image_1899th/78667757.pdf", "78667757")</f>
        <v>78667757</v>
      </c>
      <c r="F544" s="10" t="s">
        <v>1634</v>
      </c>
      <c r="G544" s="10" t="s">
        <v>1635</v>
      </c>
      <c r="H544" s="10" t="s">
        <v>1636</v>
      </c>
      <c r="I544" s="10" t="s">
        <v>1474</v>
      </c>
    </row>
    <row r="545" spans="1:9" x14ac:dyDescent="0.15">
      <c r="A545" s="9">
        <v>544</v>
      </c>
      <c r="B545" s="10" t="s">
        <v>9</v>
      </c>
      <c r="C545" s="10" t="s">
        <v>126</v>
      </c>
      <c r="D545" s="10" t="s">
        <v>127</v>
      </c>
      <c r="E545" s="11" t="str">
        <f>+HYPERLINK("http://trademark.i-assist.jp/data/china/image_1899th/78668144.pdf", "78668144")</f>
        <v>78668144</v>
      </c>
      <c r="F545" s="10" t="s">
        <v>1637</v>
      </c>
      <c r="G545" s="10" t="s">
        <v>1638</v>
      </c>
      <c r="H545" s="10" t="s">
        <v>1639</v>
      </c>
      <c r="I545" s="10" t="s">
        <v>1474</v>
      </c>
    </row>
    <row r="546" spans="1:9" x14ac:dyDescent="0.15">
      <c r="A546" s="9">
        <v>545</v>
      </c>
      <c r="B546" s="10" t="s">
        <v>9</v>
      </c>
      <c r="C546" s="10" t="s">
        <v>126</v>
      </c>
      <c r="D546" s="10" t="s">
        <v>127</v>
      </c>
      <c r="E546" s="11" t="str">
        <f>+HYPERLINK("http://trademark.i-assist.jp/data/china/image_1899th/78668169.pdf", "78668169")</f>
        <v>78668169</v>
      </c>
      <c r="F546" s="10" t="s">
        <v>1640</v>
      </c>
      <c r="G546" s="10" t="s">
        <v>1641</v>
      </c>
      <c r="H546" s="10" t="s">
        <v>1642</v>
      </c>
      <c r="I546" s="10" t="s">
        <v>1474</v>
      </c>
    </row>
    <row r="547" spans="1:9" x14ac:dyDescent="0.15">
      <c r="A547" s="9">
        <v>546</v>
      </c>
      <c r="B547" s="10" t="s">
        <v>9</v>
      </c>
      <c r="C547" s="10" t="s">
        <v>126</v>
      </c>
      <c r="D547" s="10" t="s">
        <v>127</v>
      </c>
      <c r="E547" s="11" t="str">
        <f>+HYPERLINK("http://trademark.i-assist.jp/data/china/image_1899th/78668228.pdf", "78668228")</f>
        <v>78668228</v>
      </c>
      <c r="F547" s="10" t="s">
        <v>1643</v>
      </c>
      <c r="G547" s="10" t="s">
        <v>1644</v>
      </c>
      <c r="H547" s="10" t="s">
        <v>1645</v>
      </c>
      <c r="I547" s="10" t="s">
        <v>1474</v>
      </c>
    </row>
    <row r="548" spans="1:9" x14ac:dyDescent="0.15">
      <c r="A548" s="9">
        <v>547</v>
      </c>
      <c r="B548" s="10" t="s">
        <v>9</v>
      </c>
      <c r="C548" s="10" t="s">
        <v>126</v>
      </c>
      <c r="D548" s="10" t="s">
        <v>127</v>
      </c>
      <c r="E548" s="11" t="str">
        <f>+HYPERLINK("http://trademark.i-assist.jp/data/china/image_1899th/78668408.pdf", "78668408")</f>
        <v>78668408</v>
      </c>
      <c r="F548" s="10" t="s">
        <v>1646</v>
      </c>
      <c r="G548" s="10" t="s">
        <v>1647</v>
      </c>
      <c r="H548" s="10" t="s">
        <v>1648</v>
      </c>
      <c r="I548" s="10" t="s">
        <v>1474</v>
      </c>
    </row>
    <row r="549" spans="1:9" x14ac:dyDescent="0.15">
      <c r="A549" s="9">
        <v>548</v>
      </c>
      <c r="B549" s="10" t="s">
        <v>9</v>
      </c>
      <c r="C549" s="10" t="s">
        <v>126</v>
      </c>
      <c r="D549" s="10" t="s">
        <v>127</v>
      </c>
      <c r="E549" s="11" t="str">
        <f>+HYPERLINK("http://trademark.i-assist.jp/data/china/image_1899th/78668559.pdf", "78668559")</f>
        <v>78668559</v>
      </c>
      <c r="F549" s="10" t="s">
        <v>1649</v>
      </c>
      <c r="G549" s="10" t="s">
        <v>1650</v>
      </c>
      <c r="H549" s="10" t="s">
        <v>1651</v>
      </c>
      <c r="I549" s="10" t="s">
        <v>1474</v>
      </c>
    </row>
    <row r="550" spans="1:9" x14ac:dyDescent="0.15">
      <c r="A550" s="9">
        <v>549</v>
      </c>
      <c r="B550" s="10" t="s">
        <v>9</v>
      </c>
      <c r="C550" s="10" t="s">
        <v>126</v>
      </c>
      <c r="D550" s="10" t="s">
        <v>127</v>
      </c>
      <c r="E550" s="11" t="str">
        <f>+HYPERLINK("http://trademark.i-assist.jp/data/china/image_1899th/78669130.pdf", "78669130")</f>
        <v>78669130</v>
      </c>
      <c r="F550" s="10" t="s">
        <v>1652</v>
      </c>
      <c r="G550" s="10" t="s">
        <v>1600</v>
      </c>
      <c r="H550" s="10" t="s">
        <v>1653</v>
      </c>
      <c r="I550" s="10" t="s">
        <v>1474</v>
      </c>
    </row>
    <row r="551" spans="1:9" x14ac:dyDescent="0.15">
      <c r="A551" s="9">
        <v>550</v>
      </c>
      <c r="B551" s="10" t="s">
        <v>9</v>
      </c>
      <c r="C551" s="10" t="s">
        <v>126</v>
      </c>
      <c r="D551" s="10" t="s">
        <v>127</v>
      </c>
      <c r="E551" s="11" t="str">
        <f>+HYPERLINK("http://trademark.i-assist.jp/data/china/image_1899th/78669131.pdf", "78669131")</f>
        <v>78669131</v>
      </c>
      <c r="F551" s="10" t="s">
        <v>1654</v>
      </c>
      <c r="G551" s="10" t="s">
        <v>1655</v>
      </c>
      <c r="H551" s="10" t="s">
        <v>1656</v>
      </c>
      <c r="I551" s="10" t="s">
        <v>1474</v>
      </c>
    </row>
    <row r="552" spans="1:9" x14ac:dyDescent="0.15">
      <c r="A552" s="9">
        <v>551</v>
      </c>
      <c r="B552" s="10" t="s">
        <v>9</v>
      </c>
      <c r="C552" s="10" t="s">
        <v>126</v>
      </c>
      <c r="D552" s="10" t="s">
        <v>127</v>
      </c>
      <c r="E552" s="11" t="str">
        <f>+HYPERLINK("http://trademark.i-assist.jp/data/china/image_1899th/78669503.pdf", "78669503")</f>
        <v>78669503</v>
      </c>
      <c r="F552" s="10" t="s">
        <v>1657</v>
      </c>
      <c r="G552" s="10" t="s">
        <v>1658</v>
      </c>
      <c r="H552" s="10" t="s">
        <v>1659</v>
      </c>
      <c r="I552" s="10" t="s">
        <v>1474</v>
      </c>
    </row>
    <row r="553" spans="1:9" x14ac:dyDescent="0.15">
      <c r="A553" s="9">
        <v>552</v>
      </c>
      <c r="B553" s="10" t="s">
        <v>9</v>
      </c>
      <c r="C553" s="10" t="s">
        <v>126</v>
      </c>
      <c r="D553" s="10" t="s">
        <v>127</v>
      </c>
      <c r="E553" s="11" t="str">
        <f>+HYPERLINK("http://trademark.i-assist.jp/data/china/image_1899th/78669763.pdf", "78669763")</f>
        <v>78669763</v>
      </c>
      <c r="F553" s="10" t="s">
        <v>1660</v>
      </c>
      <c r="G553" s="10" t="s">
        <v>1661</v>
      </c>
      <c r="H553" s="10" t="s">
        <v>1662</v>
      </c>
      <c r="I553" s="10" t="s">
        <v>1474</v>
      </c>
    </row>
    <row r="554" spans="1:9" x14ac:dyDescent="0.15">
      <c r="A554" s="9">
        <v>553</v>
      </c>
      <c r="B554" s="10" t="s">
        <v>9</v>
      </c>
      <c r="C554" s="10" t="s">
        <v>126</v>
      </c>
      <c r="D554" s="10" t="s">
        <v>127</v>
      </c>
      <c r="E554" s="11" t="str">
        <f>+HYPERLINK("http://trademark.i-assist.jp/data/china/image_1899th/78670451.pdf", "78670451")</f>
        <v>78670451</v>
      </c>
      <c r="F554" s="10" t="s">
        <v>1663</v>
      </c>
      <c r="G554" s="10" t="s">
        <v>102</v>
      </c>
      <c r="H554" s="10" t="s">
        <v>1664</v>
      </c>
      <c r="I554" s="10" t="s">
        <v>1474</v>
      </c>
    </row>
    <row r="555" spans="1:9" x14ac:dyDescent="0.15">
      <c r="A555" s="9">
        <v>554</v>
      </c>
      <c r="B555" s="10" t="s">
        <v>9</v>
      </c>
      <c r="C555" s="10" t="s">
        <v>126</v>
      </c>
      <c r="D555" s="10" t="s">
        <v>127</v>
      </c>
      <c r="E555" s="11" t="str">
        <f>+HYPERLINK("http://trademark.i-assist.jp/data/china/image_1899th/78670478.pdf", "78670478")</f>
        <v>78670478</v>
      </c>
      <c r="F555" s="10" t="s">
        <v>1665</v>
      </c>
      <c r="G555" s="10" t="s">
        <v>1666</v>
      </c>
      <c r="H555" s="10" t="s">
        <v>1667</v>
      </c>
      <c r="I555" s="10" t="s">
        <v>1474</v>
      </c>
    </row>
    <row r="556" spans="1:9" x14ac:dyDescent="0.15">
      <c r="A556" s="9">
        <v>555</v>
      </c>
      <c r="B556" s="10" t="s">
        <v>9</v>
      </c>
      <c r="C556" s="10" t="s">
        <v>126</v>
      </c>
      <c r="D556" s="10" t="s">
        <v>127</v>
      </c>
      <c r="E556" s="11" t="str">
        <f>+HYPERLINK("http://trademark.i-assist.jp/data/china/image_1899th/78670533.pdf", "78670533")</f>
        <v>78670533</v>
      </c>
      <c r="F556" s="10" t="s">
        <v>1668</v>
      </c>
      <c r="G556" s="10" t="s">
        <v>1524</v>
      </c>
      <c r="H556" s="10" t="s">
        <v>1669</v>
      </c>
      <c r="I556" s="10" t="s">
        <v>1474</v>
      </c>
    </row>
    <row r="557" spans="1:9" x14ac:dyDescent="0.15">
      <c r="A557" s="9">
        <v>556</v>
      </c>
      <c r="B557" s="10" t="s">
        <v>9</v>
      </c>
      <c r="C557" s="10" t="s">
        <v>126</v>
      </c>
      <c r="D557" s="10" t="s">
        <v>127</v>
      </c>
      <c r="E557" s="11" t="str">
        <f>+HYPERLINK("http://trademark.i-assist.jp/data/china/image_1899th/78670649.pdf", "78670649")</f>
        <v>78670649</v>
      </c>
      <c r="F557" s="10" t="s">
        <v>1670</v>
      </c>
      <c r="G557" s="10" t="s">
        <v>1583</v>
      </c>
      <c r="H557" s="10" t="s">
        <v>1671</v>
      </c>
      <c r="I557" s="10" t="s">
        <v>1474</v>
      </c>
    </row>
    <row r="558" spans="1:9" x14ac:dyDescent="0.15">
      <c r="A558" s="9">
        <v>557</v>
      </c>
      <c r="B558" s="10" t="s">
        <v>9</v>
      </c>
      <c r="C558" s="10" t="s">
        <v>126</v>
      </c>
      <c r="D558" s="10" t="s">
        <v>127</v>
      </c>
      <c r="E558" s="11" t="str">
        <f>+HYPERLINK("http://trademark.i-assist.jp/data/china/image_1899th/78671572.pdf", "78671572")</f>
        <v>78671572</v>
      </c>
      <c r="F558" s="10" t="s">
        <v>1672</v>
      </c>
      <c r="G558" s="10" t="s">
        <v>1673</v>
      </c>
      <c r="H558" s="10" t="s">
        <v>1674</v>
      </c>
      <c r="I558" s="10" t="s">
        <v>1474</v>
      </c>
    </row>
    <row r="559" spans="1:9" x14ac:dyDescent="0.15">
      <c r="A559" s="9">
        <v>558</v>
      </c>
      <c r="B559" s="10" t="s">
        <v>9</v>
      </c>
      <c r="C559" s="10" t="s">
        <v>126</v>
      </c>
      <c r="D559" s="10" t="s">
        <v>127</v>
      </c>
      <c r="E559" s="11" t="str">
        <f>+HYPERLINK("http://trademark.i-assist.jp/data/china/image_1899th/78671867.pdf", "78671867")</f>
        <v>78671867</v>
      </c>
      <c r="F559" s="10" t="s">
        <v>1675</v>
      </c>
      <c r="G559" s="10" t="s">
        <v>1676</v>
      </c>
      <c r="H559" s="10" t="s">
        <v>1677</v>
      </c>
      <c r="I559" s="10" t="s">
        <v>1474</v>
      </c>
    </row>
    <row r="560" spans="1:9" x14ac:dyDescent="0.15">
      <c r="A560" s="9">
        <v>559</v>
      </c>
      <c r="B560" s="10" t="s">
        <v>9</v>
      </c>
      <c r="C560" s="10" t="s">
        <v>126</v>
      </c>
      <c r="D560" s="10" t="s">
        <v>127</v>
      </c>
      <c r="E560" s="11" t="str">
        <f>+HYPERLINK("http://trademark.i-assist.jp/data/china/image_1899th/78672001.pdf", "78672001")</f>
        <v>78672001</v>
      </c>
      <c r="F560" s="10" t="s">
        <v>1678</v>
      </c>
      <c r="G560" s="10" t="s">
        <v>1679</v>
      </c>
      <c r="H560" s="10" t="s">
        <v>1680</v>
      </c>
      <c r="I560" s="10" t="s">
        <v>1474</v>
      </c>
    </row>
    <row r="561" spans="1:9" x14ac:dyDescent="0.15">
      <c r="A561" s="9">
        <v>560</v>
      </c>
      <c r="B561" s="10" t="s">
        <v>9</v>
      </c>
      <c r="C561" s="10" t="s">
        <v>126</v>
      </c>
      <c r="D561" s="10" t="s">
        <v>127</v>
      </c>
      <c r="E561" s="11" t="str">
        <f>+HYPERLINK("http://trademark.i-assist.jp/data/china/image_1899th/78673144.pdf", "78673144")</f>
        <v>78673144</v>
      </c>
      <c r="F561" s="10" t="s">
        <v>1681</v>
      </c>
      <c r="G561" s="10" t="s">
        <v>1682</v>
      </c>
      <c r="H561" s="10" t="s">
        <v>1683</v>
      </c>
      <c r="I561" s="10" t="s">
        <v>1474</v>
      </c>
    </row>
    <row r="562" spans="1:9" x14ac:dyDescent="0.15">
      <c r="A562" s="9">
        <v>561</v>
      </c>
      <c r="B562" s="10" t="s">
        <v>9</v>
      </c>
      <c r="C562" s="10" t="s">
        <v>126</v>
      </c>
      <c r="D562" s="10" t="s">
        <v>127</v>
      </c>
      <c r="E562" s="11" t="str">
        <f>+HYPERLINK("http://trademark.i-assist.jp/data/china/image_1899th/78673737.pdf", "78673737")</f>
        <v>78673737</v>
      </c>
      <c r="F562" s="10" t="s">
        <v>1684</v>
      </c>
      <c r="G562" s="10" t="s">
        <v>1685</v>
      </c>
      <c r="H562" s="10" t="s">
        <v>1686</v>
      </c>
      <c r="I562" s="10" t="s">
        <v>1474</v>
      </c>
    </row>
    <row r="563" spans="1:9" x14ac:dyDescent="0.15">
      <c r="A563" s="9">
        <v>562</v>
      </c>
      <c r="B563" s="10" t="s">
        <v>9</v>
      </c>
      <c r="C563" s="10" t="s">
        <v>126</v>
      </c>
      <c r="D563" s="10" t="s">
        <v>127</v>
      </c>
      <c r="E563" s="11" t="str">
        <f>+HYPERLINK("http://trademark.i-assist.jp/data/china/image_1899th/78673956.pdf", "78673956")</f>
        <v>78673956</v>
      </c>
      <c r="F563" s="10" t="s">
        <v>1687</v>
      </c>
      <c r="G563" s="10" t="s">
        <v>83</v>
      </c>
      <c r="H563" s="10" t="s">
        <v>1688</v>
      </c>
      <c r="I563" s="10" t="s">
        <v>1474</v>
      </c>
    </row>
    <row r="564" spans="1:9" x14ac:dyDescent="0.15">
      <c r="A564" s="9">
        <v>563</v>
      </c>
      <c r="B564" s="10" t="s">
        <v>9</v>
      </c>
      <c r="C564" s="10" t="s">
        <v>126</v>
      </c>
      <c r="D564" s="10" t="s">
        <v>127</v>
      </c>
      <c r="E564" s="11" t="str">
        <f>+HYPERLINK("http://trademark.i-assist.jp/data/china/image_1899th/78674224.pdf", "78674224")</f>
        <v>78674224</v>
      </c>
      <c r="F564" s="10" t="s">
        <v>1689</v>
      </c>
      <c r="G564" s="10" t="s">
        <v>1690</v>
      </c>
      <c r="H564" s="10" t="s">
        <v>1691</v>
      </c>
      <c r="I564" s="10" t="s">
        <v>1474</v>
      </c>
    </row>
    <row r="565" spans="1:9" x14ac:dyDescent="0.15">
      <c r="A565" s="9">
        <v>564</v>
      </c>
      <c r="B565" s="10" t="s">
        <v>9</v>
      </c>
      <c r="C565" s="10" t="s">
        <v>126</v>
      </c>
      <c r="D565" s="10" t="s">
        <v>127</v>
      </c>
      <c r="E565" s="11" t="str">
        <f>+HYPERLINK("http://trademark.i-assist.jp/data/china/image_1899th/78674356.pdf", "78674356")</f>
        <v>78674356</v>
      </c>
      <c r="F565" s="10" t="s">
        <v>1692</v>
      </c>
      <c r="G565" s="10" t="s">
        <v>1693</v>
      </c>
      <c r="H565" s="10" t="s">
        <v>1694</v>
      </c>
      <c r="I565" s="10" t="s">
        <v>1474</v>
      </c>
    </row>
    <row r="566" spans="1:9" x14ac:dyDescent="0.15">
      <c r="A566" s="9">
        <v>565</v>
      </c>
      <c r="B566" s="10" t="s">
        <v>9</v>
      </c>
      <c r="C566" s="10" t="s">
        <v>126</v>
      </c>
      <c r="D566" s="10" t="s">
        <v>127</v>
      </c>
      <c r="E566" s="11" t="str">
        <f>+HYPERLINK("http://trademark.i-assist.jp/data/china/image_1899th/78674395.pdf", "78674395")</f>
        <v>78674395</v>
      </c>
      <c r="F566" s="10" t="s">
        <v>15</v>
      </c>
      <c r="G566" s="10" t="s">
        <v>1695</v>
      </c>
      <c r="H566" s="10" t="s">
        <v>1696</v>
      </c>
      <c r="I566" s="10" t="s">
        <v>1474</v>
      </c>
    </row>
    <row r="567" spans="1:9" x14ac:dyDescent="0.15">
      <c r="A567" s="9">
        <v>566</v>
      </c>
      <c r="B567" s="10" t="s">
        <v>9</v>
      </c>
      <c r="C567" s="10" t="s">
        <v>126</v>
      </c>
      <c r="D567" s="10" t="s">
        <v>127</v>
      </c>
      <c r="E567" s="11" t="str">
        <f>+HYPERLINK("http://trademark.i-assist.jp/data/china/image_1899th/78675411.pdf", "78675411")</f>
        <v>78675411</v>
      </c>
      <c r="F567" s="10" t="s">
        <v>1697</v>
      </c>
      <c r="G567" s="10" t="s">
        <v>1547</v>
      </c>
      <c r="H567" s="10" t="s">
        <v>1698</v>
      </c>
      <c r="I567" s="10" t="s">
        <v>1474</v>
      </c>
    </row>
    <row r="568" spans="1:9" x14ac:dyDescent="0.15">
      <c r="A568" s="9">
        <v>567</v>
      </c>
      <c r="B568" s="10" t="s">
        <v>9</v>
      </c>
      <c r="C568" s="10" t="s">
        <v>126</v>
      </c>
      <c r="D568" s="10" t="s">
        <v>127</v>
      </c>
      <c r="E568" s="11" t="str">
        <f>+HYPERLINK("http://trademark.i-assist.jp/data/china/image_1899th/78675530.pdf", "78675530")</f>
        <v>78675530</v>
      </c>
      <c r="F568" s="10" t="s">
        <v>1699</v>
      </c>
      <c r="G568" s="10" t="s">
        <v>1618</v>
      </c>
      <c r="H568" s="10" t="s">
        <v>1700</v>
      </c>
      <c r="I568" s="10" t="s">
        <v>1474</v>
      </c>
    </row>
    <row r="569" spans="1:9" x14ac:dyDescent="0.15">
      <c r="A569" s="9">
        <v>568</v>
      </c>
      <c r="B569" s="10" t="s">
        <v>9</v>
      </c>
      <c r="C569" s="10" t="s">
        <v>126</v>
      </c>
      <c r="D569" s="10" t="s">
        <v>127</v>
      </c>
      <c r="E569" s="11" t="str">
        <f>+HYPERLINK("http://trademark.i-assist.jp/data/china/image_1899th/78676064.pdf", "78676064")</f>
        <v>78676064</v>
      </c>
      <c r="F569" s="10" t="s">
        <v>15</v>
      </c>
      <c r="G569" s="10" t="s">
        <v>1701</v>
      </c>
      <c r="H569" s="10" t="s">
        <v>1702</v>
      </c>
      <c r="I569" s="10" t="s">
        <v>1474</v>
      </c>
    </row>
    <row r="570" spans="1:9" x14ac:dyDescent="0.15">
      <c r="A570" s="9">
        <v>569</v>
      </c>
      <c r="B570" s="10" t="s">
        <v>9</v>
      </c>
      <c r="C570" s="10" t="s">
        <v>126</v>
      </c>
      <c r="D570" s="10" t="s">
        <v>127</v>
      </c>
      <c r="E570" s="11" t="str">
        <f>+HYPERLINK("http://trademark.i-assist.jp/data/china/image_1899th/78676556.pdf", "78676556")</f>
        <v>78676556</v>
      </c>
      <c r="F570" s="10" t="s">
        <v>1703</v>
      </c>
      <c r="G570" s="10" t="s">
        <v>1704</v>
      </c>
      <c r="H570" s="10" t="s">
        <v>1705</v>
      </c>
      <c r="I570" s="10" t="s">
        <v>1474</v>
      </c>
    </row>
    <row r="571" spans="1:9" x14ac:dyDescent="0.15">
      <c r="A571" s="9">
        <v>570</v>
      </c>
      <c r="B571" s="10" t="s">
        <v>9</v>
      </c>
      <c r="C571" s="10" t="s">
        <v>126</v>
      </c>
      <c r="D571" s="10" t="s">
        <v>127</v>
      </c>
      <c r="E571" s="11" t="str">
        <f>+HYPERLINK("http://trademark.i-assist.jp/data/china/image_1899th/78676566.pdf", "78676566")</f>
        <v>78676566</v>
      </c>
      <c r="F571" s="10" t="s">
        <v>1706</v>
      </c>
      <c r="G571" s="10" t="s">
        <v>1707</v>
      </c>
      <c r="H571" s="10" t="s">
        <v>1708</v>
      </c>
      <c r="I571" s="10" t="s">
        <v>1474</v>
      </c>
    </row>
    <row r="572" spans="1:9" x14ac:dyDescent="0.15">
      <c r="A572" s="9">
        <v>571</v>
      </c>
      <c r="B572" s="10" t="s">
        <v>9</v>
      </c>
      <c r="C572" s="10" t="s">
        <v>126</v>
      </c>
      <c r="D572" s="10" t="s">
        <v>127</v>
      </c>
      <c r="E572" s="11" t="str">
        <f>+HYPERLINK("http://trademark.i-assist.jp/data/china/image_1899th/78677468.pdf", "78677468")</f>
        <v>78677468</v>
      </c>
      <c r="F572" s="10" t="s">
        <v>1709</v>
      </c>
      <c r="G572" s="10" t="s">
        <v>1710</v>
      </c>
      <c r="H572" s="10" t="s">
        <v>1711</v>
      </c>
      <c r="I572" s="10" t="s">
        <v>1474</v>
      </c>
    </row>
    <row r="573" spans="1:9" x14ac:dyDescent="0.15">
      <c r="A573" s="9">
        <v>572</v>
      </c>
      <c r="B573" s="10" t="s">
        <v>9</v>
      </c>
      <c r="C573" s="10" t="s">
        <v>126</v>
      </c>
      <c r="D573" s="10" t="s">
        <v>127</v>
      </c>
      <c r="E573" s="11" t="str">
        <f>+HYPERLINK("http://trademark.i-assist.jp/data/china/image_1899th/78677469.pdf", "78677469")</f>
        <v>78677469</v>
      </c>
      <c r="F573" s="10" t="s">
        <v>1712</v>
      </c>
      <c r="G573" s="10" t="s">
        <v>1713</v>
      </c>
      <c r="H573" s="10" t="s">
        <v>1714</v>
      </c>
      <c r="I573" s="10" t="s">
        <v>1474</v>
      </c>
    </row>
    <row r="574" spans="1:9" x14ac:dyDescent="0.15">
      <c r="A574" s="9">
        <v>573</v>
      </c>
      <c r="B574" s="10" t="s">
        <v>9</v>
      </c>
      <c r="C574" s="10" t="s">
        <v>126</v>
      </c>
      <c r="D574" s="10" t="s">
        <v>127</v>
      </c>
      <c r="E574" s="11" t="str">
        <f>+HYPERLINK("http://trademark.i-assist.jp/data/china/image_1899th/78677698.pdf", "78677698")</f>
        <v>78677698</v>
      </c>
      <c r="F574" s="10" t="s">
        <v>1715</v>
      </c>
      <c r="G574" s="10" t="s">
        <v>1507</v>
      </c>
      <c r="H574" s="10" t="s">
        <v>1716</v>
      </c>
      <c r="I574" s="10" t="s">
        <v>1474</v>
      </c>
    </row>
    <row r="575" spans="1:9" x14ac:dyDescent="0.15">
      <c r="A575" s="9">
        <v>574</v>
      </c>
      <c r="B575" s="10" t="s">
        <v>9</v>
      </c>
      <c r="C575" s="10" t="s">
        <v>126</v>
      </c>
      <c r="D575" s="10" t="s">
        <v>127</v>
      </c>
      <c r="E575" s="11" t="str">
        <f>+HYPERLINK("http://trademark.i-assist.jp/data/china/image_1899th/78677916.pdf", "78677916")</f>
        <v>78677916</v>
      </c>
      <c r="F575" s="10" t="s">
        <v>1717</v>
      </c>
      <c r="G575" s="10" t="s">
        <v>1718</v>
      </c>
      <c r="H575" s="10" t="s">
        <v>28</v>
      </c>
      <c r="I575" s="10" t="s">
        <v>1474</v>
      </c>
    </row>
    <row r="576" spans="1:9" x14ac:dyDescent="0.15">
      <c r="A576" s="9">
        <v>575</v>
      </c>
      <c r="B576" s="10" t="s">
        <v>9</v>
      </c>
      <c r="C576" s="10" t="s">
        <v>126</v>
      </c>
      <c r="D576" s="10" t="s">
        <v>127</v>
      </c>
      <c r="E576" s="11" t="str">
        <f>+HYPERLINK("http://trademark.i-assist.jp/data/china/image_1899th/78678531.pdf", "78678531")</f>
        <v>78678531</v>
      </c>
      <c r="F576" s="10" t="s">
        <v>1719</v>
      </c>
      <c r="G576" s="10" t="s">
        <v>1720</v>
      </c>
      <c r="H576" s="10" t="s">
        <v>1721</v>
      </c>
      <c r="I576" s="10" t="s">
        <v>1474</v>
      </c>
    </row>
    <row r="577" spans="1:9" x14ac:dyDescent="0.15">
      <c r="A577" s="9">
        <v>576</v>
      </c>
      <c r="B577" s="10" t="s">
        <v>9</v>
      </c>
      <c r="C577" s="10" t="s">
        <v>126</v>
      </c>
      <c r="D577" s="10" t="s">
        <v>127</v>
      </c>
      <c r="E577" s="11" t="str">
        <f>+HYPERLINK("http://trademark.i-assist.jp/data/china/image_1899th/78678550.pdf", "78678550")</f>
        <v>78678550</v>
      </c>
      <c r="F577" s="10" t="s">
        <v>1722</v>
      </c>
      <c r="G577" s="10" t="s">
        <v>1723</v>
      </c>
      <c r="H577" s="10" t="s">
        <v>1724</v>
      </c>
      <c r="I577" s="10" t="s">
        <v>1474</v>
      </c>
    </row>
    <row r="578" spans="1:9" x14ac:dyDescent="0.15">
      <c r="A578" s="9">
        <v>577</v>
      </c>
      <c r="B578" s="10" t="s">
        <v>9</v>
      </c>
      <c r="C578" s="10" t="s">
        <v>126</v>
      </c>
      <c r="D578" s="10" t="s">
        <v>127</v>
      </c>
      <c r="E578" s="11" t="str">
        <f>+HYPERLINK("http://trademark.i-assist.jp/data/china/image_1899th/78678600.pdf", "78678600")</f>
        <v>78678600</v>
      </c>
      <c r="F578" s="10" t="s">
        <v>1725</v>
      </c>
      <c r="G578" s="10" t="s">
        <v>1726</v>
      </c>
      <c r="H578" s="10" t="s">
        <v>1727</v>
      </c>
      <c r="I578" s="10" t="s">
        <v>1474</v>
      </c>
    </row>
    <row r="579" spans="1:9" x14ac:dyDescent="0.15">
      <c r="A579" s="9">
        <v>578</v>
      </c>
      <c r="B579" s="10" t="s">
        <v>9</v>
      </c>
      <c r="C579" s="10" t="s">
        <v>126</v>
      </c>
      <c r="D579" s="10" t="s">
        <v>127</v>
      </c>
      <c r="E579" s="11" t="str">
        <f>+HYPERLINK("http://trademark.i-assist.jp/data/china/image_1899th/78678946.pdf", "78678946")</f>
        <v>78678946</v>
      </c>
      <c r="F579" s="10" t="s">
        <v>1728</v>
      </c>
      <c r="G579" s="10" t="s">
        <v>1547</v>
      </c>
      <c r="H579" s="10" t="s">
        <v>1729</v>
      </c>
      <c r="I579" s="10" t="s">
        <v>1474</v>
      </c>
    </row>
    <row r="580" spans="1:9" x14ac:dyDescent="0.15">
      <c r="A580" s="9">
        <v>579</v>
      </c>
      <c r="B580" s="10" t="s">
        <v>9</v>
      </c>
      <c r="C580" s="10" t="s">
        <v>126</v>
      </c>
      <c r="D580" s="10" t="s">
        <v>127</v>
      </c>
      <c r="E580" s="11" t="str">
        <f>+HYPERLINK("http://trademark.i-assist.jp/data/china/image_1899th/78680180.pdf", "78680180")</f>
        <v>78680180</v>
      </c>
      <c r="F580" s="10" t="s">
        <v>1730</v>
      </c>
      <c r="G580" s="10" t="s">
        <v>1731</v>
      </c>
      <c r="H580" s="10" t="s">
        <v>1732</v>
      </c>
      <c r="I580" s="10" t="s">
        <v>1733</v>
      </c>
    </row>
    <row r="581" spans="1:9" x14ac:dyDescent="0.15">
      <c r="A581" s="9">
        <v>580</v>
      </c>
      <c r="B581" s="10" t="s">
        <v>9</v>
      </c>
      <c r="C581" s="10" t="s">
        <v>126</v>
      </c>
      <c r="D581" s="10" t="s">
        <v>127</v>
      </c>
      <c r="E581" s="11" t="str">
        <f>+HYPERLINK("http://trademark.i-assist.jp/data/china/image_1899th/78680660.pdf", "78680660")</f>
        <v>78680660</v>
      </c>
      <c r="F581" s="10" t="s">
        <v>1734</v>
      </c>
      <c r="G581" s="10" t="s">
        <v>1735</v>
      </c>
      <c r="H581" s="10" t="s">
        <v>1736</v>
      </c>
      <c r="I581" s="10" t="s">
        <v>1733</v>
      </c>
    </row>
    <row r="582" spans="1:9" x14ac:dyDescent="0.15">
      <c r="A582" s="9">
        <v>581</v>
      </c>
      <c r="B582" s="10" t="s">
        <v>9</v>
      </c>
      <c r="C582" s="10" t="s">
        <v>126</v>
      </c>
      <c r="D582" s="10" t="s">
        <v>127</v>
      </c>
      <c r="E582" s="11" t="str">
        <f>+HYPERLINK("http://trademark.i-assist.jp/data/china/image_1899th/78681127.pdf", "78681127")</f>
        <v>78681127</v>
      </c>
      <c r="F582" s="10" t="s">
        <v>1737</v>
      </c>
      <c r="G582" s="10" t="s">
        <v>1738</v>
      </c>
      <c r="H582" s="10" t="s">
        <v>1739</v>
      </c>
      <c r="I582" s="10" t="s">
        <v>1733</v>
      </c>
    </row>
    <row r="583" spans="1:9" x14ac:dyDescent="0.15">
      <c r="A583" s="9">
        <v>582</v>
      </c>
      <c r="B583" s="10" t="s">
        <v>9</v>
      </c>
      <c r="C583" s="10" t="s">
        <v>126</v>
      </c>
      <c r="D583" s="10" t="s">
        <v>127</v>
      </c>
      <c r="E583" s="11" t="str">
        <f>+HYPERLINK("http://trademark.i-assist.jp/data/china/image_1899th/78681581.pdf", "78681581")</f>
        <v>78681581</v>
      </c>
      <c r="F583" s="10" t="s">
        <v>1740</v>
      </c>
      <c r="G583" s="10" t="s">
        <v>1741</v>
      </c>
      <c r="H583" s="10" t="s">
        <v>1742</v>
      </c>
      <c r="I583" s="10" t="s">
        <v>1733</v>
      </c>
    </row>
    <row r="584" spans="1:9" x14ac:dyDescent="0.15">
      <c r="A584" s="9">
        <v>583</v>
      </c>
      <c r="B584" s="10" t="s">
        <v>9</v>
      </c>
      <c r="C584" s="10" t="s">
        <v>126</v>
      </c>
      <c r="D584" s="10" t="s">
        <v>127</v>
      </c>
      <c r="E584" s="11" t="str">
        <f>+HYPERLINK("http://trademark.i-assist.jp/data/china/image_1899th/78682006.pdf", "78682006")</f>
        <v>78682006</v>
      </c>
      <c r="F584" s="10" t="s">
        <v>1743</v>
      </c>
      <c r="G584" s="10" t="s">
        <v>1744</v>
      </c>
      <c r="H584" s="10" t="s">
        <v>1745</v>
      </c>
      <c r="I584" s="10" t="s">
        <v>1733</v>
      </c>
    </row>
    <row r="585" spans="1:9" x14ac:dyDescent="0.15">
      <c r="A585" s="9">
        <v>584</v>
      </c>
      <c r="B585" s="10" t="s">
        <v>9</v>
      </c>
      <c r="C585" s="10" t="s">
        <v>126</v>
      </c>
      <c r="D585" s="10" t="s">
        <v>127</v>
      </c>
      <c r="E585" s="11" t="str">
        <f>+HYPERLINK("http://trademark.i-assist.jp/data/china/image_1899th/78682701.pdf", "78682701")</f>
        <v>78682701</v>
      </c>
      <c r="F585" s="10" t="s">
        <v>1746</v>
      </c>
      <c r="G585" s="10" t="s">
        <v>1747</v>
      </c>
      <c r="H585" s="10" t="s">
        <v>1748</v>
      </c>
      <c r="I585" s="10" t="s">
        <v>1733</v>
      </c>
    </row>
    <row r="586" spans="1:9" x14ac:dyDescent="0.15">
      <c r="A586" s="9">
        <v>585</v>
      </c>
      <c r="B586" s="10" t="s">
        <v>9</v>
      </c>
      <c r="C586" s="10" t="s">
        <v>126</v>
      </c>
      <c r="D586" s="10" t="s">
        <v>127</v>
      </c>
      <c r="E586" s="11" t="str">
        <f>+HYPERLINK("http://trademark.i-assist.jp/data/china/image_1899th/78682852.pdf", "78682852")</f>
        <v>78682852</v>
      </c>
      <c r="F586" s="10" t="s">
        <v>1749</v>
      </c>
      <c r="G586" s="10" t="s">
        <v>1750</v>
      </c>
      <c r="H586" s="10" t="s">
        <v>1751</v>
      </c>
      <c r="I586" s="10" t="s">
        <v>1733</v>
      </c>
    </row>
    <row r="587" spans="1:9" x14ac:dyDescent="0.15">
      <c r="A587" s="9">
        <v>586</v>
      </c>
      <c r="B587" s="10" t="s">
        <v>9</v>
      </c>
      <c r="C587" s="10" t="s">
        <v>126</v>
      </c>
      <c r="D587" s="10" t="s">
        <v>127</v>
      </c>
      <c r="E587" s="11" t="str">
        <f>+HYPERLINK("http://trademark.i-assist.jp/data/china/image_1899th/78682908.pdf", "78682908")</f>
        <v>78682908</v>
      </c>
      <c r="F587" s="10" t="s">
        <v>1752</v>
      </c>
      <c r="G587" s="10" t="s">
        <v>1753</v>
      </c>
      <c r="H587" s="10" t="s">
        <v>1754</v>
      </c>
      <c r="I587" s="10" t="s">
        <v>1733</v>
      </c>
    </row>
    <row r="588" spans="1:9" x14ac:dyDescent="0.15">
      <c r="A588" s="9">
        <v>587</v>
      </c>
      <c r="B588" s="10" t="s">
        <v>9</v>
      </c>
      <c r="C588" s="10" t="s">
        <v>126</v>
      </c>
      <c r="D588" s="10" t="s">
        <v>127</v>
      </c>
      <c r="E588" s="11" t="str">
        <f>+HYPERLINK("http://trademark.i-assist.jp/data/china/image_1899th/78683404.pdf", "78683404")</f>
        <v>78683404</v>
      </c>
      <c r="F588" s="10" t="s">
        <v>1755</v>
      </c>
      <c r="G588" s="10" t="s">
        <v>1731</v>
      </c>
      <c r="H588" s="10" t="s">
        <v>1756</v>
      </c>
      <c r="I588" s="10" t="s">
        <v>1733</v>
      </c>
    </row>
    <row r="589" spans="1:9" x14ac:dyDescent="0.15">
      <c r="A589" s="9">
        <v>588</v>
      </c>
      <c r="B589" s="10" t="s">
        <v>9</v>
      </c>
      <c r="C589" s="10" t="s">
        <v>126</v>
      </c>
      <c r="D589" s="10" t="s">
        <v>127</v>
      </c>
      <c r="E589" s="11" t="str">
        <f>+HYPERLINK("http://trademark.i-assist.jp/data/china/image_1899th/78683651.pdf", "78683651")</f>
        <v>78683651</v>
      </c>
      <c r="F589" s="10" t="s">
        <v>1757</v>
      </c>
      <c r="G589" s="10" t="s">
        <v>1758</v>
      </c>
      <c r="H589" s="10" t="s">
        <v>1759</v>
      </c>
      <c r="I589" s="10" t="s">
        <v>1733</v>
      </c>
    </row>
    <row r="590" spans="1:9" x14ac:dyDescent="0.15">
      <c r="A590" s="9">
        <v>589</v>
      </c>
      <c r="B590" s="10" t="s">
        <v>9</v>
      </c>
      <c r="C590" s="10" t="s">
        <v>126</v>
      </c>
      <c r="D590" s="10" t="s">
        <v>127</v>
      </c>
      <c r="E590" s="11" t="str">
        <f>+HYPERLINK("http://trademark.i-assist.jp/data/china/image_1899th/78683702.pdf", "78683702")</f>
        <v>78683702</v>
      </c>
      <c r="F590" s="10" t="s">
        <v>1760</v>
      </c>
      <c r="G590" s="10" t="s">
        <v>1761</v>
      </c>
      <c r="H590" s="10" t="s">
        <v>1762</v>
      </c>
      <c r="I590" s="10" t="s">
        <v>1733</v>
      </c>
    </row>
    <row r="591" spans="1:9" x14ac:dyDescent="0.15">
      <c r="A591" s="9">
        <v>590</v>
      </c>
      <c r="B591" s="10" t="s">
        <v>9</v>
      </c>
      <c r="C591" s="10" t="s">
        <v>126</v>
      </c>
      <c r="D591" s="10" t="s">
        <v>127</v>
      </c>
      <c r="E591" s="11" t="str">
        <f>+HYPERLINK("http://trademark.i-assist.jp/data/china/image_1899th/78684276.pdf", "78684276")</f>
        <v>78684276</v>
      </c>
      <c r="F591" s="10" t="s">
        <v>1763</v>
      </c>
      <c r="G591" s="10" t="s">
        <v>1764</v>
      </c>
      <c r="H591" s="10" t="s">
        <v>1765</v>
      </c>
      <c r="I591" s="10" t="s">
        <v>1733</v>
      </c>
    </row>
    <row r="592" spans="1:9" x14ac:dyDescent="0.15">
      <c r="A592" s="9">
        <v>591</v>
      </c>
      <c r="B592" s="10" t="s">
        <v>9</v>
      </c>
      <c r="C592" s="10" t="s">
        <v>126</v>
      </c>
      <c r="D592" s="10" t="s">
        <v>127</v>
      </c>
      <c r="E592" s="11" t="str">
        <f>+HYPERLINK("http://trademark.i-assist.jp/data/china/image_1899th/78685183.pdf", "78685183")</f>
        <v>78685183</v>
      </c>
      <c r="F592" s="10" t="s">
        <v>1766</v>
      </c>
      <c r="G592" s="10" t="s">
        <v>1767</v>
      </c>
      <c r="H592" s="10" t="s">
        <v>1768</v>
      </c>
      <c r="I592" s="10" t="s">
        <v>1733</v>
      </c>
    </row>
    <row r="593" spans="1:9" x14ac:dyDescent="0.15">
      <c r="A593" s="9">
        <v>592</v>
      </c>
      <c r="B593" s="10" t="s">
        <v>9</v>
      </c>
      <c r="C593" s="10" t="s">
        <v>126</v>
      </c>
      <c r="D593" s="10" t="s">
        <v>127</v>
      </c>
      <c r="E593" s="11" t="str">
        <f>+HYPERLINK("http://trademark.i-assist.jp/data/china/image_1899th/78688313.pdf", "78688313")</f>
        <v>78688313</v>
      </c>
      <c r="F593" s="10" t="s">
        <v>1769</v>
      </c>
      <c r="G593" s="10" t="s">
        <v>1770</v>
      </c>
      <c r="H593" s="10" t="s">
        <v>1771</v>
      </c>
      <c r="I593" s="10" t="s">
        <v>1772</v>
      </c>
    </row>
    <row r="594" spans="1:9" x14ac:dyDescent="0.15">
      <c r="A594" s="9">
        <v>593</v>
      </c>
      <c r="B594" s="10" t="s">
        <v>9</v>
      </c>
      <c r="C594" s="10" t="s">
        <v>126</v>
      </c>
      <c r="D594" s="10" t="s">
        <v>127</v>
      </c>
      <c r="E594" s="11" t="str">
        <f>+HYPERLINK("http://trademark.i-assist.jp/data/china/image_1899th/78688483.pdf", "78688483")</f>
        <v>78688483</v>
      </c>
      <c r="F594" s="10" t="s">
        <v>1773</v>
      </c>
      <c r="G594" s="10" t="s">
        <v>1774</v>
      </c>
      <c r="H594" s="10" t="s">
        <v>1775</v>
      </c>
      <c r="I594" s="10" t="s">
        <v>1772</v>
      </c>
    </row>
    <row r="595" spans="1:9" x14ac:dyDescent="0.15">
      <c r="A595" s="9">
        <v>594</v>
      </c>
      <c r="B595" s="10" t="s">
        <v>9</v>
      </c>
      <c r="C595" s="10" t="s">
        <v>126</v>
      </c>
      <c r="D595" s="10" t="s">
        <v>127</v>
      </c>
      <c r="E595" s="11" t="str">
        <f>+HYPERLINK("http://trademark.i-assist.jp/data/china/image_1899th/78689086.pdf", "78689086")</f>
        <v>78689086</v>
      </c>
      <c r="F595" s="10" t="s">
        <v>1776</v>
      </c>
      <c r="G595" s="10" t="s">
        <v>1777</v>
      </c>
      <c r="H595" s="10" t="s">
        <v>1778</v>
      </c>
      <c r="I595" s="10" t="s">
        <v>1772</v>
      </c>
    </row>
    <row r="596" spans="1:9" x14ac:dyDescent="0.15">
      <c r="A596" s="9">
        <v>595</v>
      </c>
      <c r="B596" s="10" t="s">
        <v>9</v>
      </c>
      <c r="C596" s="10" t="s">
        <v>126</v>
      </c>
      <c r="D596" s="10" t="s">
        <v>127</v>
      </c>
      <c r="E596" s="11" t="str">
        <f>+HYPERLINK("http://trademark.i-assist.jp/data/china/image_1899th/78689528.pdf", "78689528")</f>
        <v>78689528</v>
      </c>
      <c r="F596" s="10" t="s">
        <v>1779</v>
      </c>
      <c r="G596" s="10" t="s">
        <v>1780</v>
      </c>
      <c r="H596" s="10" t="s">
        <v>1781</v>
      </c>
      <c r="I596" s="10" t="s">
        <v>1772</v>
      </c>
    </row>
    <row r="597" spans="1:9" x14ac:dyDescent="0.15">
      <c r="A597" s="9">
        <v>596</v>
      </c>
      <c r="B597" s="10" t="s">
        <v>9</v>
      </c>
      <c r="C597" s="10" t="s">
        <v>126</v>
      </c>
      <c r="D597" s="10" t="s">
        <v>127</v>
      </c>
      <c r="E597" s="11" t="str">
        <f>+HYPERLINK("http://trademark.i-assist.jp/data/china/image_1899th/78689934.pdf", "78689934")</f>
        <v>78689934</v>
      </c>
      <c r="F597" s="10" t="s">
        <v>1782</v>
      </c>
      <c r="G597" s="10" t="s">
        <v>48</v>
      </c>
      <c r="H597" s="10" t="s">
        <v>1783</v>
      </c>
      <c r="I597" s="10" t="s">
        <v>1772</v>
      </c>
    </row>
    <row r="598" spans="1:9" x14ac:dyDescent="0.15">
      <c r="A598" s="9">
        <v>597</v>
      </c>
      <c r="B598" s="10" t="s">
        <v>9</v>
      </c>
      <c r="C598" s="10" t="s">
        <v>126</v>
      </c>
      <c r="D598" s="10" t="s">
        <v>127</v>
      </c>
      <c r="E598" s="11" t="str">
        <f>+HYPERLINK("http://trademark.i-assist.jp/data/china/image_1899th/78691358.pdf", "78691358")</f>
        <v>78691358</v>
      </c>
      <c r="F598" s="10" t="s">
        <v>1784</v>
      </c>
      <c r="G598" s="10" t="s">
        <v>78</v>
      </c>
      <c r="H598" s="10" t="s">
        <v>1785</v>
      </c>
      <c r="I598" s="10" t="s">
        <v>1772</v>
      </c>
    </row>
    <row r="599" spans="1:9" x14ac:dyDescent="0.15">
      <c r="A599" s="9">
        <v>598</v>
      </c>
      <c r="B599" s="10" t="s">
        <v>9</v>
      </c>
      <c r="C599" s="10" t="s">
        <v>126</v>
      </c>
      <c r="D599" s="10" t="s">
        <v>127</v>
      </c>
      <c r="E599" s="11" t="str">
        <f>+HYPERLINK("http://trademark.i-assist.jp/data/china/image_1899th/78691751.pdf", "78691751")</f>
        <v>78691751</v>
      </c>
      <c r="F599" s="10" t="s">
        <v>1786</v>
      </c>
      <c r="G599" s="10" t="s">
        <v>75</v>
      </c>
      <c r="H599" s="10" t="s">
        <v>1787</v>
      </c>
      <c r="I599" s="10" t="s">
        <v>1772</v>
      </c>
    </row>
    <row r="600" spans="1:9" x14ac:dyDescent="0.15">
      <c r="A600" s="9">
        <v>599</v>
      </c>
      <c r="B600" s="10" t="s">
        <v>9</v>
      </c>
      <c r="C600" s="10" t="s">
        <v>126</v>
      </c>
      <c r="D600" s="10" t="s">
        <v>127</v>
      </c>
      <c r="E600" s="11" t="str">
        <f>+HYPERLINK("http://trademark.i-assist.jp/data/china/image_1899th/78691853.pdf", "78691853")</f>
        <v>78691853</v>
      </c>
      <c r="F600" s="10" t="s">
        <v>1788</v>
      </c>
      <c r="G600" s="10" t="s">
        <v>1789</v>
      </c>
      <c r="H600" s="10" t="s">
        <v>1790</v>
      </c>
      <c r="I600" s="10" t="s">
        <v>1772</v>
      </c>
    </row>
    <row r="601" spans="1:9" x14ac:dyDescent="0.15">
      <c r="A601" s="9">
        <v>600</v>
      </c>
      <c r="B601" s="10" t="s">
        <v>9</v>
      </c>
      <c r="C601" s="10" t="s">
        <v>126</v>
      </c>
      <c r="D601" s="10" t="s">
        <v>127</v>
      </c>
      <c r="E601" s="11" t="str">
        <f>+HYPERLINK("http://trademark.i-assist.jp/data/china/image_1899th/78693943.pdf", "78693943")</f>
        <v>78693943</v>
      </c>
      <c r="F601" s="10" t="s">
        <v>1791</v>
      </c>
      <c r="G601" s="10" t="s">
        <v>1792</v>
      </c>
      <c r="H601" s="10" t="s">
        <v>1793</v>
      </c>
      <c r="I601" s="10" t="s">
        <v>1772</v>
      </c>
    </row>
    <row r="602" spans="1:9" x14ac:dyDescent="0.15">
      <c r="A602" s="9">
        <v>601</v>
      </c>
      <c r="B602" s="10" t="s">
        <v>9</v>
      </c>
      <c r="C602" s="10" t="s">
        <v>126</v>
      </c>
      <c r="D602" s="10" t="s">
        <v>127</v>
      </c>
      <c r="E602" s="11" t="str">
        <f>+HYPERLINK("http://trademark.i-assist.jp/data/china/image_1899th/78694343.pdf", "78694343")</f>
        <v>78694343</v>
      </c>
      <c r="F602" s="10" t="s">
        <v>1794</v>
      </c>
      <c r="G602" s="10" t="s">
        <v>1795</v>
      </c>
      <c r="H602" s="10" t="s">
        <v>1796</v>
      </c>
      <c r="I602" s="10" t="s">
        <v>1772</v>
      </c>
    </row>
    <row r="603" spans="1:9" x14ac:dyDescent="0.15">
      <c r="A603" s="9">
        <v>602</v>
      </c>
      <c r="B603" s="10" t="s">
        <v>9</v>
      </c>
      <c r="C603" s="10" t="s">
        <v>126</v>
      </c>
      <c r="D603" s="10" t="s">
        <v>127</v>
      </c>
      <c r="E603" s="11" t="str">
        <f>+HYPERLINK("http://trademark.i-assist.jp/data/china/image_1899th/78694470.pdf", "78694470")</f>
        <v>78694470</v>
      </c>
      <c r="F603" s="10" t="s">
        <v>1797</v>
      </c>
      <c r="G603" s="10" t="s">
        <v>1798</v>
      </c>
      <c r="H603" s="10" t="s">
        <v>1799</v>
      </c>
      <c r="I603" s="10" t="s">
        <v>1772</v>
      </c>
    </row>
    <row r="604" spans="1:9" x14ac:dyDescent="0.15">
      <c r="A604" s="9">
        <v>603</v>
      </c>
      <c r="B604" s="10" t="s">
        <v>9</v>
      </c>
      <c r="C604" s="10" t="s">
        <v>126</v>
      </c>
      <c r="D604" s="10" t="s">
        <v>127</v>
      </c>
      <c r="E604" s="11" t="str">
        <f>+HYPERLINK("http://trademark.i-assist.jp/data/china/image_1899th/78697501.pdf", "78697501")</f>
        <v>78697501</v>
      </c>
      <c r="F604" s="10" t="s">
        <v>1800</v>
      </c>
      <c r="G604" s="10" t="s">
        <v>1801</v>
      </c>
      <c r="H604" s="10" t="s">
        <v>1802</v>
      </c>
      <c r="I604" s="10" t="s">
        <v>1772</v>
      </c>
    </row>
    <row r="605" spans="1:9" x14ac:dyDescent="0.15">
      <c r="A605" s="9">
        <v>604</v>
      </c>
      <c r="B605" s="10" t="s">
        <v>9</v>
      </c>
      <c r="C605" s="10" t="s">
        <v>126</v>
      </c>
      <c r="D605" s="10" t="s">
        <v>127</v>
      </c>
      <c r="E605" s="11" t="str">
        <f>+HYPERLINK("http://trademark.i-assist.jp/data/china/image_1899th/78698021.pdf", "78698021")</f>
        <v>78698021</v>
      </c>
      <c r="F605" s="10" t="s">
        <v>1803</v>
      </c>
      <c r="G605" s="10" t="s">
        <v>1804</v>
      </c>
      <c r="H605" s="10" t="s">
        <v>1805</v>
      </c>
      <c r="I605" s="10" t="s">
        <v>1772</v>
      </c>
    </row>
    <row r="606" spans="1:9" x14ac:dyDescent="0.15">
      <c r="A606" s="9">
        <v>605</v>
      </c>
      <c r="B606" s="10" t="s">
        <v>9</v>
      </c>
      <c r="C606" s="10" t="s">
        <v>126</v>
      </c>
      <c r="D606" s="10" t="s">
        <v>127</v>
      </c>
      <c r="E606" s="11" t="str">
        <f>+HYPERLINK("http://trademark.i-assist.jp/data/china/image_1899th/78701063.pdf", "78701063")</f>
        <v>78701063</v>
      </c>
      <c r="F606" s="10" t="s">
        <v>1806</v>
      </c>
      <c r="G606" s="10" t="s">
        <v>1807</v>
      </c>
      <c r="H606" s="10" t="s">
        <v>1808</v>
      </c>
      <c r="I606" s="10" t="s">
        <v>1772</v>
      </c>
    </row>
    <row r="607" spans="1:9" x14ac:dyDescent="0.15">
      <c r="A607" s="9">
        <v>606</v>
      </c>
      <c r="B607" s="10" t="s">
        <v>9</v>
      </c>
      <c r="C607" s="10" t="s">
        <v>126</v>
      </c>
      <c r="D607" s="10" t="s">
        <v>127</v>
      </c>
      <c r="E607" s="11" t="str">
        <f>+HYPERLINK("http://trademark.i-assist.jp/data/china/image_1899th/78703856.pdf", "78703856")</f>
        <v>78703856</v>
      </c>
      <c r="F607" s="10" t="s">
        <v>15</v>
      </c>
      <c r="G607" s="10" t="s">
        <v>1809</v>
      </c>
      <c r="H607" s="10" t="s">
        <v>1810</v>
      </c>
      <c r="I607" s="10" t="s">
        <v>1772</v>
      </c>
    </row>
    <row r="608" spans="1:9" x14ac:dyDescent="0.15">
      <c r="A608" s="9">
        <v>607</v>
      </c>
      <c r="B608" s="10" t="s">
        <v>9</v>
      </c>
      <c r="C608" s="10" t="s">
        <v>126</v>
      </c>
      <c r="D608" s="10" t="s">
        <v>127</v>
      </c>
      <c r="E608" s="11" t="str">
        <f>+HYPERLINK("http://trademark.i-assist.jp/data/china/image_1899th/78706092.pdf", "78706092")</f>
        <v>78706092</v>
      </c>
      <c r="F608" s="10" t="s">
        <v>1811</v>
      </c>
      <c r="G608" s="10" t="s">
        <v>1812</v>
      </c>
      <c r="H608" s="10" t="s">
        <v>1813</v>
      </c>
      <c r="I608" s="10" t="s">
        <v>1772</v>
      </c>
    </row>
    <row r="609" spans="1:9" x14ac:dyDescent="0.15">
      <c r="A609" s="9">
        <v>608</v>
      </c>
      <c r="B609" s="10" t="s">
        <v>9</v>
      </c>
      <c r="C609" s="10" t="s">
        <v>126</v>
      </c>
      <c r="D609" s="10" t="s">
        <v>127</v>
      </c>
      <c r="E609" s="11" t="str">
        <f>+HYPERLINK("http://trademark.i-assist.jp/data/china/image_1899th/78708891.pdf", "78708891")</f>
        <v>78708891</v>
      </c>
      <c r="F609" s="10" t="s">
        <v>15</v>
      </c>
      <c r="G609" s="10" t="s">
        <v>1124</v>
      </c>
      <c r="H609" s="10" t="s">
        <v>1814</v>
      </c>
      <c r="I609" s="10" t="s">
        <v>1772</v>
      </c>
    </row>
    <row r="610" spans="1:9" x14ac:dyDescent="0.15">
      <c r="A610" s="9">
        <v>609</v>
      </c>
      <c r="B610" s="10" t="s">
        <v>9</v>
      </c>
      <c r="C610" s="10" t="s">
        <v>126</v>
      </c>
      <c r="D610" s="10" t="s">
        <v>127</v>
      </c>
      <c r="E610" s="11" t="str">
        <f>+HYPERLINK("http://trademark.i-assist.jp/data/china/image_1899th/78709884.pdf", "78709884")</f>
        <v>78709884</v>
      </c>
      <c r="F610" s="10" t="s">
        <v>15</v>
      </c>
      <c r="G610" s="10" t="s">
        <v>1815</v>
      </c>
      <c r="H610" s="10" t="s">
        <v>1816</v>
      </c>
      <c r="I610" s="10" t="s">
        <v>1772</v>
      </c>
    </row>
    <row r="611" spans="1:9" x14ac:dyDescent="0.15">
      <c r="A611" s="9">
        <v>610</v>
      </c>
      <c r="B611" s="10" t="s">
        <v>9</v>
      </c>
      <c r="C611" s="10" t="s">
        <v>126</v>
      </c>
      <c r="D611" s="10" t="s">
        <v>127</v>
      </c>
      <c r="E611" s="11" t="str">
        <f>+HYPERLINK("http://trademark.i-assist.jp/data/china/image_1899th/78710132.pdf", "78710132")</f>
        <v>78710132</v>
      </c>
      <c r="F611" s="10" t="s">
        <v>1817</v>
      </c>
      <c r="G611" s="10" t="s">
        <v>1818</v>
      </c>
      <c r="H611" s="10" t="s">
        <v>1819</v>
      </c>
      <c r="I611" s="10" t="s">
        <v>1772</v>
      </c>
    </row>
    <row r="612" spans="1:9" x14ac:dyDescent="0.15">
      <c r="A612" s="9">
        <v>611</v>
      </c>
      <c r="B612" s="10" t="s">
        <v>9</v>
      </c>
      <c r="C612" s="10" t="s">
        <v>126</v>
      </c>
      <c r="D612" s="10" t="s">
        <v>127</v>
      </c>
      <c r="E612" s="11" t="str">
        <f>+HYPERLINK("http://trademark.i-assist.jp/data/china/image_1899th/78710519.pdf", "78710519")</f>
        <v>78710519</v>
      </c>
      <c r="F612" s="10" t="s">
        <v>1820</v>
      </c>
      <c r="G612" s="10" t="s">
        <v>1821</v>
      </c>
      <c r="H612" s="10" t="s">
        <v>1822</v>
      </c>
      <c r="I612" s="10" t="s">
        <v>1772</v>
      </c>
    </row>
    <row r="613" spans="1:9" x14ac:dyDescent="0.15">
      <c r="A613" s="9">
        <v>612</v>
      </c>
      <c r="B613" s="10" t="s">
        <v>9</v>
      </c>
      <c r="C613" s="10" t="s">
        <v>126</v>
      </c>
      <c r="D613" s="10" t="s">
        <v>127</v>
      </c>
      <c r="E613" s="11" t="str">
        <f>+HYPERLINK("http://trademark.i-assist.jp/data/china/image_1899th/78711763.pdf", "78711763")</f>
        <v>78711763</v>
      </c>
      <c r="F613" s="10" t="s">
        <v>1823</v>
      </c>
      <c r="G613" s="10" t="s">
        <v>1824</v>
      </c>
      <c r="H613" s="10" t="s">
        <v>1825</v>
      </c>
      <c r="I613" s="10" t="s">
        <v>1772</v>
      </c>
    </row>
    <row r="614" spans="1:9" x14ac:dyDescent="0.15">
      <c r="A614" s="9">
        <v>613</v>
      </c>
      <c r="B614" s="10" t="s">
        <v>9</v>
      </c>
      <c r="C614" s="10" t="s">
        <v>126</v>
      </c>
      <c r="D614" s="10" t="s">
        <v>127</v>
      </c>
      <c r="E614" s="11" t="str">
        <f>+HYPERLINK("http://trademark.i-assist.jp/data/china/image_1899th/78714939.pdf", "78714939")</f>
        <v>78714939</v>
      </c>
      <c r="F614" s="10" t="s">
        <v>1826</v>
      </c>
      <c r="G614" s="10" t="s">
        <v>1827</v>
      </c>
      <c r="H614" s="10" t="s">
        <v>1828</v>
      </c>
      <c r="I614" s="10" t="s">
        <v>1772</v>
      </c>
    </row>
    <row r="615" spans="1:9" x14ac:dyDescent="0.15">
      <c r="A615" s="9">
        <v>614</v>
      </c>
      <c r="B615" s="10" t="s">
        <v>9</v>
      </c>
      <c r="C615" s="10" t="s">
        <v>126</v>
      </c>
      <c r="D615" s="10" t="s">
        <v>127</v>
      </c>
      <c r="E615" s="11" t="str">
        <f>+HYPERLINK("http://trademark.i-assist.jp/data/china/image_1899th/78715917.pdf", "78715917")</f>
        <v>78715917</v>
      </c>
      <c r="F615" s="10" t="s">
        <v>1829</v>
      </c>
      <c r="G615" s="10" t="s">
        <v>1830</v>
      </c>
      <c r="H615" s="10" t="s">
        <v>1831</v>
      </c>
      <c r="I615" s="10" t="s">
        <v>1772</v>
      </c>
    </row>
    <row r="616" spans="1:9" x14ac:dyDescent="0.15">
      <c r="A616" s="9">
        <v>615</v>
      </c>
      <c r="B616" s="10" t="s">
        <v>9</v>
      </c>
      <c r="C616" s="10" t="s">
        <v>126</v>
      </c>
      <c r="D616" s="10" t="s">
        <v>127</v>
      </c>
      <c r="E616" s="11" t="str">
        <f>+HYPERLINK("http://trademark.i-assist.jp/data/china/image_1899th/78716130.pdf", "78716130")</f>
        <v>78716130</v>
      </c>
      <c r="F616" s="10" t="s">
        <v>1832</v>
      </c>
      <c r="G616" s="10" t="s">
        <v>1833</v>
      </c>
      <c r="H616" s="10" t="s">
        <v>1834</v>
      </c>
      <c r="I616" s="10" t="s">
        <v>1772</v>
      </c>
    </row>
    <row r="617" spans="1:9" x14ac:dyDescent="0.15">
      <c r="A617" s="9">
        <v>616</v>
      </c>
      <c r="B617" s="10" t="s">
        <v>9</v>
      </c>
      <c r="C617" s="10" t="s">
        <v>126</v>
      </c>
      <c r="D617" s="10" t="s">
        <v>127</v>
      </c>
      <c r="E617" s="11" t="str">
        <f>+HYPERLINK("http://trademark.i-assist.jp/data/china/image_1899th/78716808.pdf", "78716808")</f>
        <v>78716808</v>
      </c>
      <c r="F617" s="10" t="s">
        <v>1835</v>
      </c>
      <c r="G617" s="10" t="s">
        <v>1836</v>
      </c>
      <c r="H617" s="10" t="s">
        <v>1837</v>
      </c>
      <c r="I617" s="10" t="s">
        <v>1838</v>
      </c>
    </row>
    <row r="618" spans="1:9" x14ac:dyDescent="0.15">
      <c r="A618" s="9">
        <v>617</v>
      </c>
      <c r="B618" s="10" t="s">
        <v>9</v>
      </c>
      <c r="C618" s="10" t="s">
        <v>126</v>
      </c>
      <c r="D618" s="10" t="s">
        <v>127</v>
      </c>
      <c r="E618" s="11" t="str">
        <f>+HYPERLINK("http://trademark.i-assist.jp/data/china/image_1899th/78717131.pdf", "78717131")</f>
        <v>78717131</v>
      </c>
      <c r="F618" s="10" t="s">
        <v>1839</v>
      </c>
      <c r="G618" s="10" t="s">
        <v>1840</v>
      </c>
      <c r="H618" s="10" t="s">
        <v>1841</v>
      </c>
      <c r="I618" s="10" t="s">
        <v>1838</v>
      </c>
    </row>
    <row r="619" spans="1:9" x14ac:dyDescent="0.15">
      <c r="A619" s="9">
        <v>618</v>
      </c>
      <c r="B619" s="10" t="s">
        <v>9</v>
      </c>
      <c r="C619" s="10" t="s">
        <v>126</v>
      </c>
      <c r="D619" s="10" t="s">
        <v>127</v>
      </c>
      <c r="E619" s="11" t="str">
        <f>+HYPERLINK("http://trademark.i-assist.jp/data/china/image_1899th/78717152.pdf", "78717152")</f>
        <v>78717152</v>
      </c>
      <c r="F619" s="10" t="s">
        <v>1842</v>
      </c>
      <c r="G619" s="10" t="s">
        <v>1843</v>
      </c>
      <c r="H619" s="10" t="s">
        <v>1844</v>
      </c>
      <c r="I619" s="10" t="s">
        <v>1838</v>
      </c>
    </row>
    <row r="620" spans="1:9" x14ac:dyDescent="0.15">
      <c r="A620" s="9">
        <v>619</v>
      </c>
      <c r="B620" s="10" t="s">
        <v>9</v>
      </c>
      <c r="C620" s="10" t="s">
        <v>126</v>
      </c>
      <c r="D620" s="10" t="s">
        <v>127</v>
      </c>
      <c r="E620" s="11" t="str">
        <f>+HYPERLINK("http://trademark.i-assist.jp/data/china/image_1899th/78718335.pdf", "78718335")</f>
        <v>78718335</v>
      </c>
      <c r="F620" s="10" t="s">
        <v>15</v>
      </c>
      <c r="G620" s="10" t="s">
        <v>1845</v>
      </c>
      <c r="H620" s="10" t="s">
        <v>1846</v>
      </c>
      <c r="I620" s="10" t="s">
        <v>1838</v>
      </c>
    </row>
    <row r="621" spans="1:9" x14ac:dyDescent="0.15">
      <c r="A621" s="9">
        <v>620</v>
      </c>
      <c r="B621" s="10" t="s">
        <v>9</v>
      </c>
      <c r="C621" s="10" t="s">
        <v>126</v>
      </c>
      <c r="D621" s="10" t="s">
        <v>127</v>
      </c>
      <c r="E621" s="11" t="str">
        <f>+HYPERLINK("http://trademark.i-assist.jp/data/china/image_1899th/78718722.pdf", "78718722")</f>
        <v>78718722</v>
      </c>
      <c r="F621" s="10" t="s">
        <v>1847</v>
      </c>
      <c r="G621" s="10" t="s">
        <v>101</v>
      </c>
      <c r="H621" s="10" t="s">
        <v>1848</v>
      </c>
      <c r="I621" s="10" t="s">
        <v>1838</v>
      </c>
    </row>
    <row r="622" spans="1:9" x14ac:dyDescent="0.15">
      <c r="A622" s="9">
        <v>621</v>
      </c>
      <c r="B622" s="10" t="s">
        <v>9</v>
      </c>
      <c r="C622" s="10" t="s">
        <v>126</v>
      </c>
      <c r="D622" s="10" t="s">
        <v>127</v>
      </c>
      <c r="E622" s="11" t="str">
        <f>+HYPERLINK("http://trademark.i-assist.jp/data/china/image_1899th/78721009.pdf", "78721009")</f>
        <v>78721009</v>
      </c>
      <c r="F622" s="10" t="s">
        <v>1849</v>
      </c>
      <c r="G622" s="10" t="s">
        <v>1850</v>
      </c>
      <c r="H622" s="10" t="s">
        <v>1851</v>
      </c>
      <c r="I622" s="10" t="s">
        <v>1838</v>
      </c>
    </row>
    <row r="623" spans="1:9" x14ac:dyDescent="0.15">
      <c r="A623" s="9">
        <v>622</v>
      </c>
      <c r="B623" s="10" t="s">
        <v>9</v>
      </c>
      <c r="C623" s="10" t="s">
        <v>126</v>
      </c>
      <c r="D623" s="10" t="s">
        <v>127</v>
      </c>
      <c r="E623" s="11" t="str">
        <f>+HYPERLINK("http://trademark.i-assist.jp/data/china/image_1899th/78721627.pdf", "78721627")</f>
        <v>78721627</v>
      </c>
      <c r="F623" s="10" t="s">
        <v>1852</v>
      </c>
      <c r="G623" s="10" t="s">
        <v>1853</v>
      </c>
      <c r="H623" s="10" t="s">
        <v>1854</v>
      </c>
      <c r="I623" s="10" t="s">
        <v>1838</v>
      </c>
    </row>
    <row r="624" spans="1:9" x14ac:dyDescent="0.15">
      <c r="A624" s="9">
        <v>623</v>
      </c>
      <c r="B624" s="10" t="s">
        <v>9</v>
      </c>
      <c r="C624" s="10" t="s">
        <v>126</v>
      </c>
      <c r="D624" s="10" t="s">
        <v>127</v>
      </c>
      <c r="E624" s="11" t="str">
        <f>+HYPERLINK("http://trademark.i-assist.jp/data/china/image_1899th/78722430.pdf", "78722430")</f>
        <v>78722430</v>
      </c>
      <c r="F624" s="10" t="s">
        <v>1855</v>
      </c>
      <c r="G624" s="10" t="s">
        <v>1856</v>
      </c>
      <c r="H624" s="10" t="s">
        <v>1857</v>
      </c>
      <c r="I624" s="10" t="s">
        <v>1838</v>
      </c>
    </row>
    <row r="625" spans="1:9" x14ac:dyDescent="0.15">
      <c r="A625" s="9">
        <v>624</v>
      </c>
      <c r="B625" s="10" t="s">
        <v>9</v>
      </c>
      <c r="C625" s="10" t="s">
        <v>126</v>
      </c>
      <c r="D625" s="10" t="s">
        <v>127</v>
      </c>
      <c r="E625" s="11" t="str">
        <f>+HYPERLINK("http://trademark.i-assist.jp/data/china/image_1899th/78723231.pdf", "78723231")</f>
        <v>78723231</v>
      </c>
      <c r="F625" s="10" t="s">
        <v>1858</v>
      </c>
      <c r="G625" s="10" t="s">
        <v>1859</v>
      </c>
      <c r="H625" s="10" t="s">
        <v>1860</v>
      </c>
      <c r="I625" s="10" t="s">
        <v>1838</v>
      </c>
    </row>
    <row r="626" spans="1:9" x14ac:dyDescent="0.15">
      <c r="A626" s="9">
        <v>625</v>
      </c>
      <c r="B626" s="10" t="s">
        <v>9</v>
      </c>
      <c r="C626" s="10" t="s">
        <v>126</v>
      </c>
      <c r="D626" s="10" t="s">
        <v>127</v>
      </c>
      <c r="E626" s="11" t="str">
        <f>+HYPERLINK("http://trademark.i-assist.jp/data/china/image_1899th/78723521.pdf", "78723521")</f>
        <v>78723521</v>
      </c>
      <c r="F626" s="10" t="s">
        <v>1861</v>
      </c>
      <c r="G626" s="10" t="s">
        <v>1862</v>
      </c>
      <c r="H626" s="10" t="s">
        <v>1863</v>
      </c>
      <c r="I626" s="10" t="s">
        <v>1838</v>
      </c>
    </row>
    <row r="627" spans="1:9" x14ac:dyDescent="0.15">
      <c r="A627" s="9">
        <v>626</v>
      </c>
      <c r="B627" s="10" t="s">
        <v>9</v>
      </c>
      <c r="C627" s="10" t="s">
        <v>126</v>
      </c>
      <c r="D627" s="10" t="s">
        <v>127</v>
      </c>
      <c r="E627" s="11" t="str">
        <f>+HYPERLINK("http://trademark.i-assist.jp/data/china/image_1899th/78724009.pdf", "78724009")</f>
        <v>78724009</v>
      </c>
      <c r="F627" s="10" t="s">
        <v>1864</v>
      </c>
      <c r="G627" s="10" t="s">
        <v>1865</v>
      </c>
      <c r="H627" s="10" t="s">
        <v>1866</v>
      </c>
      <c r="I627" s="10" t="s">
        <v>1838</v>
      </c>
    </row>
    <row r="628" spans="1:9" x14ac:dyDescent="0.15">
      <c r="A628" s="9">
        <v>627</v>
      </c>
      <c r="B628" s="10" t="s">
        <v>9</v>
      </c>
      <c r="C628" s="10" t="s">
        <v>126</v>
      </c>
      <c r="D628" s="10" t="s">
        <v>127</v>
      </c>
      <c r="E628" s="11" t="str">
        <f>+HYPERLINK("http://trademark.i-assist.jp/data/china/image_1899th/78726157.pdf", "78726157")</f>
        <v>78726157</v>
      </c>
      <c r="F628" s="10" t="s">
        <v>1867</v>
      </c>
      <c r="G628" s="10" t="s">
        <v>1868</v>
      </c>
      <c r="H628" s="10" t="s">
        <v>1869</v>
      </c>
      <c r="I628" s="10" t="s">
        <v>1838</v>
      </c>
    </row>
    <row r="629" spans="1:9" x14ac:dyDescent="0.15">
      <c r="A629" s="9">
        <v>628</v>
      </c>
      <c r="B629" s="10" t="s">
        <v>9</v>
      </c>
      <c r="C629" s="10" t="s">
        <v>126</v>
      </c>
      <c r="D629" s="10" t="s">
        <v>127</v>
      </c>
      <c r="E629" s="11" t="str">
        <f>+HYPERLINK("http://trademark.i-assist.jp/data/china/image_1899th/78726242.pdf", "78726242")</f>
        <v>78726242</v>
      </c>
      <c r="F629" s="10" t="s">
        <v>1870</v>
      </c>
      <c r="G629" s="10" t="s">
        <v>1871</v>
      </c>
      <c r="H629" s="10" t="s">
        <v>1872</v>
      </c>
      <c r="I629" s="10" t="s">
        <v>1838</v>
      </c>
    </row>
    <row r="630" spans="1:9" x14ac:dyDescent="0.15">
      <c r="A630" s="9">
        <v>629</v>
      </c>
      <c r="B630" s="10" t="s">
        <v>9</v>
      </c>
      <c r="C630" s="10" t="s">
        <v>126</v>
      </c>
      <c r="D630" s="10" t="s">
        <v>127</v>
      </c>
      <c r="E630" s="11" t="str">
        <f>+HYPERLINK("http://trademark.i-assist.jp/data/china/image_1899th/78726408.pdf", "78726408")</f>
        <v>78726408</v>
      </c>
      <c r="F630" s="10" t="s">
        <v>1873</v>
      </c>
      <c r="G630" s="10" t="s">
        <v>1874</v>
      </c>
      <c r="H630" s="10" t="s">
        <v>1875</v>
      </c>
      <c r="I630" s="10" t="s">
        <v>1838</v>
      </c>
    </row>
    <row r="631" spans="1:9" x14ac:dyDescent="0.15">
      <c r="A631" s="9">
        <v>630</v>
      </c>
      <c r="B631" s="10" t="s">
        <v>9</v>
      </c>
      <c r="C631" s="10" t="s">
        <v>126</v>
      </c>
      <c r="D631" s="10" t="s">
        <v>127</v>
      </c>
      <c r="E631" s="11" t="str">
        <f>+HYPERLINK("http://trademark.i-assist.jp/data/china/image_1899th/78727509.pdf", "78727509")</f>
        <v>78727509</v>
      </c>
      <c r="F631" s="10" t="s">
        <v>15</v>
      </c>
      <c r="G631" s="10" t="s">
        <v>1876</v>
      </c>
      <c r="H631" s="10" t="s">
        <v>1877</v>
      </c>
      <c r="I631" s="10" t="s">
        <v>1838</v>
      </c>
    </row>
    <row r="632" spans="1:9" x14ac:dyDescent="0.15">
      <c r="A632" s="9">
        <v>631</v>
      </c>
      <c r="B632" s="10" t="s">
        <v>9</v>
      </c>
      <c r="C632" s="10" t="s">
        <v>126</v>
      </c>
      <c r="D632" s="10" t="s">
        <v>127</v>
      </c>
      <c r="E632" s="11" t="str">
        <f>+HYPERLINK("http://trademark.i-assist.jp/data/china/image_1899th/78732284.pdf", "78732284")</f>
        <v>78732284</v>
      </c>
      <c r="F632" s="10" t="s">
        <v>1878</v>
      </c>
      <c r="G632" s="10" t="s">
        <v>1879</v>
      </c>
      <c r="H632" s="10" t="s">
        <v>1880</v>
      </c>
      <c r="I632" s="10" t="s">
        <v>1838</v>
      </c>
    </row>
    <row r="633" spans="1:9" x14ac:dyDescent="0.15">
      <c r="A633" s="9">
        <v>632</v>
      </c>
      <c r="B633" s="10" t="s">
        <v>9</v>
      </c>
      <c r="C633" s="10" t="s">
        <v>126</v>
      </c>
      <c r="D633" s="10" t="s">
        <v>127</v>
      </c>
      <c r="E633" s="11" t="str">
        <f>+HYPERLINK("http://trademark.i-assist.jp/data/china/image_1899th/78732616.pdf", "78732616")</f>
        <v>78732616</v>
      </c>
      <c r="F633" s="10" t="s">
        <v>1881</v>
      </c>
      <c r="G633" s="10" t="s">
        <v>1882</v>
      </c>
      <c r="H633" s="10" t="s">
        <v>1883</v>
      </c>
      <c r="I633" s="10" t="s">
        <v>1838</v>
      </c>
    </row>
    <row r="634" spans="1:9" x14ac:dyDescent="0.15">
      <c r="A634" s="9">
        <v>633</v>
      </c>
      <c r="B634" s="10" t="s">
        <v>9</v>
      </c>
      <c r="C634" s="10" t="s">
        <v>126</v>
      </c>
      <c r="D634" s="10" t="s">
        <v>127</v>
      </c>
      <c r="E634" s="11" t="str">
        <f>+HYPERLINK("http://trademark.i-assist.jp/data/china/image_1899th/78734495.pdf", "78734495")</f>
        <v>78734495</v>
      </c>
      <c r="F634" s="10" t="s">
        <v>1884</v>
      </c>
      <c r="G634" s="10" t="s">
        <v>1885</v>
      </c>
      <c r="H634" s="10" t="s">
        <v>1886</v>
      </c>
      <c r="I634" s="10" t="s">
        <v>1838</v>
      </c>
    </row>
    <row r="635" spans="1:9" x14ac:dyDescent="0.15">
      <c r="A635" s="9">
        <v>634</v>
      </c>
      <c r="B635" s="10" t="s">
        <v>9</v>
      </c>
      <c r="C635" s="10" t="s">
        <v>126</v>
      </c>
      <c r="D635" s="10" t="s">
        <v>127</v>
      </c>
      <c r="E635" s="11" t="str">
        <f>+HYPERLINK("http://trademark.i-assist.jp/data/china/image_1899th/78736173.pdf", "78736173")</f>
        <v>78736173</v>
      </c>
      <c r="F635" s="10" t="s">
        <v>15</v>
      </c>
      <c r="G635" s="10" t="s">
        <v>1887</v>
      </c>
      <c r="H635" s="10" t="s">
        <v>1888</v>
      </c>
      <c r="I635" s="10" t="s">
        <v>1838</v>
      </c>
    </row>
    <row r="636" spans="1:9" x14ac:dyDescent="0.15">
      <c r="A636" s="9">
        <v>635</v>
      </c>
      <c r="B636" s="10" t="s">
        <v>9</v>
      </c>
      <c r="C636" s="10" t="s">
        <v>126</v>
      </c>
      <c r="D636" s="10" t="s">
        <v>127</v>
      </c>
      <c r="E636" s="11" t="str">
        <f>+HYPERLINK("http://trademark.i-assist.jp/data/china/image_1899th/78736499.pdf", "78736499")</f>
        <v>78736499</v>
      </c>
      <c r="F636" s="10" t="s">
        <v>1889</v>
      </c>
      <c r="G636" s="10" t="s">
        <v>1890</v>
      </c>
      <c r="H636" s="10" t="s">
        <v>1891</v>
      </c>
      <c r="I636" s="10" t="s">
        <v>1838</v>
      </c>
    </row>
    <row r="637" spans="1:9" x14ac:dyDescent="0.15">
      <c r="A637" s="9">
        <v>636</v>
      </c>
      <c r="B637" s="10" t="s">
        <v>9</v>
      </c>
      <c r="C637" s="10" t="s">
        <v>126</v>
      </c>
      <c r="D637" s="10" t="s">
        <v>127</v>
      </c>
      <c r="E637" s="11" t="str">
        <f>+HYPERLINK("http://trademark.i-assist.jp/data/china/image_1899th/78737501.pdf", "78737501")</f>
        <v>78737501</v>
      </c>
      <c r="F637" s="10" t="s">
        <v>1892</v>
      </c>
      <c r="G637" s="10" t="s">
        <v>1893</v>
      </c>
      <c r="H637" s="10" t="s">
        <v>1894</v>
      </c>
      <c r="I637" s="10" t="s">
        <v>1838</v>
      </c>
    </row>
    <row r="638" spans="1:9" x14ac:dyDescent="0.15">
      <c r="A638" s="9">
        <v>637</v>
      </c>
      <c r="B638" s="10" t="s">
        <v>9</v>
      </c>
      <c r="C638" s="10" t="s">
        <v>126</v>
      </c>
      <c r="D638" s="10" t="s">
        <v>127</v>
      </c>
      <c r="E638" s="11" t="str">
        <f>+HYPERLINK("http://trademark.i-assist.jp/data/china/image_1899th/78737769.pdf", "78737769")</f>
        <v>78737769</v>
      </c>
      <c r="F638" s="10" t="s">
        <v>1895</v>
      </c>
      <c r="G638" s="10" t="s">
        <v>1896</v>
      </c>
      <c r="H638" s="10" t="s">
        <v>1897</v>
      </c>
      <c r="I638" s="10" t="s">
        <v>1838</v>
      </c>
    </row>
    <row r="639" spans="1:9" x14ac:dyDescent="0.15">
      <c r="A639" s="9">
        <v>638</v>
      </c>
      <c r="B639" s="10" t="s">
        <v>9</v>
      </c>
      <c r="C639" s="10" t="s">
        <v>126</v>
      </c>
      <c r="D639" s="10" t="s">
        <v>127</v>
      </c>
      <c r="E639" s="11" t="str">
        <f>+HYPERLINK("http://trademark.i-assist.jp/data/china/image_1899th/78739938.pdf", "78739938")</f>
        <v>78739938</v>
      </c>
      <c r="F639" s="10" t="s">
        <v>15</v>
      </c>
      <c r="G639" s="10" t="s">
        <v>1898</v>
      </c>
      <c r="H639" s="10" t="s">
        <v>1899</v>
      </c>
      <c r="I639" s="10" t="s">
        <v>1838</v>
      </c>
    </row>
    <row r="640" spans="1:9" x14ac:dyDescent="0.15">
      <c r="A640" s="9">
        <v>639</v>
      </c>
      <c r="B640" s="10" t="s">
        <v>9</v>
      </c>
      <c r="C640" s="10" t="s">
        <v>126</v>
      </c>
      <c r="D640" s="10" t="s">
        <v>127</v>
      </c>
      <c r="E640" s="11" t="str">
        <f>+HYPERLINK("http://trademark.i-assist.jp/data/china/image_1899th/78740029.pdf", "78740029")</f>
        <v>78740029</v>
      </c>
      <c r="F640" s="10" t="s">
        <v>1900</v>
      </c>
      <c r="G640" s="10" t="s">
        <v>1901</v>
      </c>
      <c r="H640" s="10" t="s">
        <v>1902</v>
      </c>
      <c r="I640" s="10" t="s">
        <v>1838</v>
      </c>
    </row>
    <row r="641" spans="1:9" x14ac:dyDescent="0.15">
      <c r="A641" s="9">
        <v>640</v>
      </c>
      <c r="B641" s="10" t="s">
        <v>9</v>
      </c>
      <c r="C641" s="10" t="s">
        <v>126</v>
      </c>
      <c r="D641" s="10" t="s">
        <v>127</v>
      </c>
      <c r="E641" s="11" t="str">
        <f>+HYPERLINK("http://trademark.i-assist.jp/data/china/image_1899th/78740186.pdf", "78740186")</f>
        <v>78740186</v>
      </c>
      <c r="F641" s="10" t="s">
        <v>1903</v>
      </c>
      <c r="G641" s="10" t="s">
        <v>1904</v>
      </c>
      <c r="H641" s="10" t="s">
        <v>1905</v>
      </c>
      <c r="I641" s="10" t="s">
        <v>1838</v>
      </c>
    </row>
    <row r="642" spans="1:9" x14ac:dyDescent="0.15">
      <c r="A642" s="9">
        <v>641</v>
      </c>
      <c r="B642" s="10" t="s">
        <v>9</v>
      </c>
      <c r="C642" s="10" t="s">
        <v>126</v>
      </c>
      <c r="D642" s="10" t="s">
        <v>127</v>
      </c>
      <c r="E642" s="11" t="str">
        <f>+HYPERLINK("http://trademark.i-assist.jp/data/china/image_1899th/78740328.pdf", "78740328")</f>
        <v>78740328</v>
      </c>
      <c r="F642" s="10" t="s">
        <v>1906</v>
      </c>
      <c r="G642" s="10" t="s">
        <v>111</v>
      </c>
      <c r="H642" s="10" t="s">
        <v>1907</v>
      </c>
      <c r="I642" s="10" t="s">
        <v>1838</v>
      </c>
    </row>
    <row r="643" spans="1:9" x14ac:dyDescent="0.15">
      <c r="A643" s="9">
        <v>642</v>
      </c>
      <c r="B643" s="10" t="s">
        <v>9</v>
      </c>
      <c r="C643" s="10" t="s">
        <v>126</v>
      </c>
      <c r="D643" s="10" t="s">
        <v>127</v>
      </c>
      <c r="E643" s="11" t="str">
        <f>+HYPERLINK("http://trademark.i-assist.jp/data/china/image_1899th/78740383.pdf", "78740383")</f>
        <v>78740383</v>
      </c>
      <c r="F643" s="10" t="s">
        <v>1908</v>
      </c>
      <c r="G643" s="10" t="s">
        <v>1909</v>
      </c>
      <c r="H643" s="10" t="s">
        <v>1910</v>
      </c>
      <c r="I643" s="10" t="s">
        <v>1838</v>
      </c>
    </row>
    <row r="644" spans="1:9" x14ac:dyDescent="0.15">
      <c r="A644" s="9">
        <v>643</v>
      </c>
      <c r="B644" s="10" t="s">
        <v>9</v>
      </c>
      <c r="C644" s="10" t="s">
        <v>126</v>
      </c>
      <c r="D644" s="10" t="s">
        <v>127</v>
      </c>
      <c r="E644" s="11" t="str">
        <f>+HYPERLINK("http://trademark.i-assist.jp/data/china/image_1899th/78741013.pdf", "78741013")</f>
        <v>78741013</v>
      </c>
      <c r="F644" s="10" t="s">
        <v>1911</v>
      </c>
      <c r="G644" s="10" t="s">
        <v>1912</v>
      </c>
      <c r="H644" s="10" t="s">
        <v>1913</v>
      </c>
      <c r="I644" s="10" t="s">
        <v>1838</v>
      </c>
    </row>
    <row r="645" spans="1:9" x14ac:dyDescent="0.15">
      <c r="A645" s="9">
        <v>644</v>
      </c>
      <c r="B645" s="10" t="s">
        <v>9</v>
      </c>
      <c r="C645" s="10" t="s">
        <v>126</v>
      </c>
      <c r="D645" s="10" t="s">
        <v>127</v>
      </c>
      <c r="E645" s="11" t="str">
        <f>+HYPERLINK("http://trademark.i-assist.jp/data/china/image_1899th/78741851.pdf", "78741851")</f>
        <v>78741851</v>
      </c>
      <c r="F645" s="10" t="s">
        <v>1914</v>
      </c>
      <c r="G645" s="10" t="s">
        <v>1915</v>
      </c>
      <c r="H645" s="10" t="s">
        <v>1916</v>
      </c>
      <c r="I645" s="10" t="s">
        <v>1838</v>
      </c>
    </row>
    <row r="646" spans="1:9" x14ac:dyDescent="0.15">
      <c r="A646" s="9">
        <v>645</v>
      </c>
      <c r="B646" s="10" t="s">
        <v>9</v>
      </c>
      <c r="C646" s="10" t="s">
        <v>126</v>
      </c>
      <c r="D646" s="10" t="s">
        <v>127</v>
      </c>
      <c r="E646" s="11" t="str">
        <f>+HYPERLINK("http://trademark.i-assist.jp/data/china/image_1899th/78741893.pdf", "78741893")</f>
        <v>78741893</v>
      </c>
      <c r="F646" s="10" t="s">
        <v>1917</v>
      </c>
      <c r="G646" s="10" t="s">
        <v>1918</v>
      </c>
      <c r="H646" s="10" t="s">
        <v>1919</v>
      </c>
      <c r="I646" s="10" t="s">
        <v>1838</v>
      </c>
    </row>
    <row r="647" spans="1:9" x14ac:dyDescent="0.15">
      <c r="A647" s="9">
        <v>646</v>
      </c>
      <c r="B647" s="10" t="s">
        <v>9</v>
      </c>
      <c r="C647" s="10" t="s">
        <v>126</v>
      </c>
      <c r="D647" s="10" t="s">
        <v>127</v>
      </c>
      <c r="E647" s="11" t="str">
        <f>+HYPERLINK("http://trademark.i-assist.jp/data/china/image_1899th/78743847.pdf", "78743847")</f>
        <v>78743847</v>
      </c>
      <c r="F647" s="10" t="s">
        <v>1920</v>
      </c>
      <c r="G647" s="10" t="s">
        <v>1921</v>
      </c>
      <c r="H647" s="10" t="s">
        <v>1922</v>
      </c>
      <c r="I647" s="10" t="s">
        <v>1838</v>
      </c>
    </row>
    <row r="648" spans="1:9" x14ac:dyDescent="0.15">
      <c r="A648" s="9">
        <v>647</v>
      </c>
      <c r="B648" s="10" t="s">
        <v>9</v>
      </c>
      <c r="C648" s="10" t="s">
        <v>126</v>
      </c>
      <c r="D648" s="10" t="s">
        <v>127</v>
      </c>
      <c r="E648" s="11" t="str">
        <f>+HYPERLINK("http://trademark.i-assist.jp/data/china/image_1899th/78744338.pdf", "78744338")</f>
        <v>78744338</v>
      </c>
      <c r="F648" s="10" t="s">
        <v>1923</v>
      </c>
      <c r="G648" s="10" t="s">
        <v>1924</v>
      </c>
      <c r="H648" s="10" t="s">
        <v>1925</v>
      </c>
      <c r="I648" s="10" t="s">
        <v>1838</v>
      </c>
    </row>
    <row r="649" spans="1:9" x14ac:dyDescent="0.15">
      <c r="A649" s="9">
        <v>648</v>
      </c>
      <c r="B649" s="10" t="s">
        <v>9</v>
      </c>
      <c r="C649" s="10" t="s">
        <v>126</v>
      </c>
      <c r="D649" s="10" t="s">
        <v>127</v>
      </c>
      <c r="E649" s="11" t="str">
        <f>+HYPERLINK("http://trademark.i-assist.jp/data/china/image_1899th/78744809.pdf", "78744809")</f>
        <v>78744809</v>
      </c>
      <c r="F649" s="10" t="s">
        <v>15</v>
      </c>
      <c r="G649" s="10" t="s">
        <v>1898</v>
      </c>
      <c r="H649" s="10" t="s">
        <v>1926</v>
      </c>
      <c r="I649" s="10" t="s">
        <v>1838</v>
      </c>
    </row>
    <row r="650" spans="1:9" x14ac:dyDescent="0.15">
      <c r="A650" s="9">
        <v>649</v>
      </c>
      <c r="B650" s="10" t="s">
        <v>9</v>
      </c>
      <c r="C650" s="10" t="s">
        <v>126</v>
      </c>
      <c r="D650" s="10" t="s">
        <v>127</v>
      </c>
      <c r="E650" s="11" t="str">
        <f>+HYPERLINK("http://trademark.i-assist.jp/data/china/image_1899th/78747768.pdf", "78747768")</f>
        <v>78747768</v>
      </c>
      <c r="F650" s="10" t="s">
        <v>1927</v>
      </c>
      <c r="G650" s="10" t="s">
        <v>1928</v>
      </c>
      <c r="H650" s="10" t="s">
        <v>1929</v>
      </c>
      <c r="I650" s="10" t="s">
        <v>1930</v>
      </c>
    </row>
    <row r="651" spans="1:9" x14ac:dyDescent="0.15">
      <c r="A651" s="9">
        <v>650</v>
      </c>
      <c r="B651" s="10" t="s">
        <v>9</v>
      </c>
      <c r="C651" s="10" t="s">
        <v>126</v>
      </c>
      <c r="D651" s="10" t="s">
        <v>127</v>
      </c>
      <c r="E651" s="11" t="str">
        <f>+HYPERLINK("http://trademark.i-assist.jp/data/china/image_1899th/78747815.pdf", "78747815")</f>
        <v>78747815</v>
      </c>
      <c r="F651" s="10" t="s">
        <v>1931</v>
      </c>
      <c r="G651" s="10" t="s">
        <v>1932</v>
      </c>
      <c r="H651" s="10" t="s">
        <v>1933</v>
      </c>
      <c r="I651" s="10" t="s">
        <v>1930</v>
      </c>
    </row>
    <row r="652" spans="1:9" x14ac:dyDescent="0.15">
      <c r="A652" s="9">
        <v>651</v>
      </c>
      <c r="B652" s="10" t="s">
        <v>9</v>
      </c>
      <c r="C652" s="10" t="s">
        <v>126</v>
      </c>
      <c r="D652" s="10" t="s">
        <v>127</v>
      </c>
      <c r="E652" s="11" t="str">
        <f>+HYPERLINK("http://trademark.i-assist.jp/data/china/image_1899th/78752061.pdf", "78752061")</f>
        <v>78752061</v>
      </c>
      <c r="F652" s="10" t="s">
        <v>15</v>
      </c>
      <c r="G652" s="10" t="s">
        <v>105</v>
      </c>
      <c r="H652" s="10" t="s">
        <v>1934</v>
      </c>
      <c r="I652" s="10" t="s">
        <v>1930</v>
      </c>
    </row>
    <row r="653" spans="1:9" x14ac:dyDescent="0.15">
      <c r="A653" s="9">
        <v>652</v>
      </c>
      <c r="B653" s="10" t="s">
        <v>9</v>
      </c>
      <c r="C653" s="10" t="s">
        <v>126</v>
      </c>
      <c r="D653" s="10" t="s">
        <v>127</v>
      </c>
      <c r="E653" s="11" t="str">
        <f>+HYPERLINK("http://trademark.i-assist.jp/data/china/image_1899th/78753284.pdf", "78753284")</f>
        <v>78753284</v>
      </c>
      <c r="F653" s="10" t="s">
        <v>1935</v>
      </c>
      <c r="G653" s="10" t="s">
        <v>1936</v>
      </c>
      <c r="H653" s="10" t="s">
        <v>1937</v>
      </c>
      <c r="I653" s="10" t="s">
        <v>1930</v>
      </c>
    </row>
    <row r="654" spans="1:9" x14ac:dyDescent="0.15">
      <c r="A654" s="9">
        <v>653</v>
      </c>
      <c r="B654" s="10" t="s">
        <v>9</v>
      </c>
      <c r="C654" s="10" t="s">
        <v>126</v>
      </c>
      <c r="D654" s="10" t="s">
        <v>127</v>
      </c>
      <c r="E654" s="11" t="str">
        <f>+HYPERLINK("http://trademark.i-assist.jp/data/china/image_1899th/78754607.pdf", "78754607")</f>
        <v>78754607</v>
      </c>
      <c r="F654" s="10" t="s">
        <v>1938</v>
      </c>
      <c r="G654" s="10" t="s">
        <v>1939</v>
      </c>
      <c r="H654" s="10" t="s">
        <v>1940</v>
      </c>
      <c r="I654" s="10" t="s">
        <v>1930</v>
      </c>
    </row>
    <row r="655" spans="1:9" x14ac:dyDescent="0.15">
      <c r="A655" s="9">
        <v>654</v>
      </c>
      <c r="B655" s="10" t="s">
        <v>9</v>
      </c>
      <c r="C655" s="10" t="s">
        <v>126</v>
      </c>
      <c r="D655" s="10" t="s">
        <v>127</v>
      </c>
      <c r="E655" s="11" t="str">
        <f>+HYPERLINK("http://trademark.i-assist.jp/data/china/image_1899th/78754693.pdf", "78754693")</f>
        <v>78754693</v>
      </c>
      <c r="F655" s="10" t="s">
        <v>1941</v>
      </c>
      <c r="G655" s="10" t="s">
        <v>1942</v>
      </c>
      <c r="H655" s="10" t="s">
        <v>1943</v>
      </c>
      <c r="I655" s="10" t="s">
        <v>1930</v>
      </c>
    </row>
    <row r="656" spans="1:9" x14ac:dyDescent="0.15">
      <c r="A656" s="9">
        <v>655</v>
      </c>
      <c r="B656" s="10" t="s">
        <v>9</v>
      </c>
      <c r="C656" s="10" t="s">
        <v>126</v>
      </c>
      <c r="D656" s="10" t="s">
        <v>127</v>
      </c>
      <c r="E656" s="11" t="str">
        <f>+HYPERLINK("http://trademark.i-assist.jp/data/china/image_1899th/78755948.pdf", "78755948")</f>
        <v>78755948</v>
      </c>
      <c r="F656" s="10" t="s">
        <v>15</v>
      </c>
      <c r="G656" s="10" t="s">
        <v>1944</v>
      </c>
      <c r="H656" s="10" t="s">
        <v>1945</v>
      </c>
      <c r="I656" s="10" t="s">
        <v>1930</v>
      </c>
    </row>
    <row r="657" spans="1:9" x14ac:dyDescent="0.15">
      <c r="A657" s="9">
        <v>656</v>
      </c>
      <c r="B657" s="10" t="s">
        <v>9</v>
      </c>
      <c r="C657" s="10" t="s">
        <v>126</v>
      </c>
      <c r="D657" s="10" t="s">
        <v>127</v>
      </c>
      <c r="E657" s="11" t="str">
        <f>+HYPERLINK("http://trademark.i-assist.jp/data/china/image_1899th/78756398.pdf", "78756398")</f>
        <v>78756398</v>
      </c>
      <c r="F657" s="10" t="s">
        <v>1946</v>
      </c>
      <c r="G657" s="10" t="s">
        <v>1947</v>
      </c>
      <c r="H657" s="10" t="s">
        <v>1948</v>
      </c>
      <c r="I657" s="10" t="s">
        <v>1930</v>
      </c>
    </row>
    <row r="658" spans="1:9" x14ac:dyDescent="0.15">
      <c r="A658" s="9">
        <v>657</v>
      </c>
      <c r="B658" s="10" t="s">
        <v>9</v>
      </c>
      <c r="C658" s="10" t="s">
        <v>126</v>
      </c>
      <c r="D658" s="10" t="s">
        <v>127</v>
      </c>
      <c r="E658" s="11" t="str">
        <f>+HYPERLINK("http://trademark.i-assist.jp/data/china/image_1899th/78757490.pdf", "78757490")</f>
        <v>78757490</v>
      </c>
      <c r="F658" s="10" t="s">
        <v>1949</v>
      </c>
      <c r="G658" s="10" t="s">
        <v>1950</v>
      </c>
      <c r="H658" s="10" t="s">
        <v>1951</v>
      </c>
      <c r="I658" s="10" t="s">
        <v>1930</v>
      </c>
    </row>
    <row r="659" spans="1:9" x14ac:dyDescent="0.15">
      <c r="A659" s="9">
        <v>658</v>
      </c>
      <c r="B659" s="10" t="s">
        <v>9</v>
      </c>
      <c r="C659" s="10" t="s">
        <v>126</v>
      </c>
      <c r="D659" s="10" t="s">
        <v>127</v>
      </c>
      <c r="E659" s="11" t="str">
        <f>+HYPERLINK("http://trademark.i-assist.jp/data/china/image_1899th/78757840.pdf", "78757840")</f>
        <v>78757840</v>
      </c>
      <c r="F659" s="10" t="s">
        <v>1952</v>
      </c>
      <c r="G659" s="10" t="s">
        <v>1953</v>
      </c>
      <c r="H659" s="10" t="s">
        <v>1954</v>
      </c>
      <c r="I659" s="10" t="s">
        <v>1930</v>
      </c>
    </row>
    <row r="660" spans="1:9" x14ac:dyDescent="0.15">
      <c r="A660" s="9">
        <v>659</v>
      </c>
      <c r="B660" s="10" t="s">
        <v>9</v>
      </c>
      <c r="C660" s="10" t="s">
        <v>126</v>
      </c>
      <c r="D660" s="10" t="s">
        <v>127</v>
      </c>
      <c r="E660" s="11" t="str">
        <f>+HYPERLINK("http://trademark.i-assist.jp/data/china/image_1899th/78758568.pdf", "78758568")</f>
        <v>78758568</v>
      </c>
      <c r="F660" s="10" t="s">
        <v>1955</v>
      </c>
      <c r="G660" s="10" t="s">
        <v>1956</v>
      </c>
      <c r="H660" s="10" t="s">
        <v>1957</v>
      </c>
      <c r="I660" s="10" t="s">
        <v>1930</v>
      </c>
    </row>
    <row r="661" spans="1:9" x14ac:dyDescent="0.15">
      <c r="A661" s="9">
        <v>660</v>
      </c>
      <c r="B661" s="10" t="s">
        <v>9</v>
      </c>
      <c r="C661" s="10" t="s">
        <v>126</v>
      </c>
      <c r="D661" s="10" t="s">
        <v>127</v>
      </c>
      <c r="E661" s="11" t="str">
        <f>+HYPERLINK("http://trademark.i-assist.jp/data/china/image_1899th/78758790.pdf", "78758790")</f>
        <v>78758790</v>
      </c>
      <c r="F661" s="10" t="s">
        <v>1958</v>
      </c>
      <c r="G661" s="10" t="s">
        <v>1959</v>
      </c>
      <c r="H661" s="10" t="s">
        <v>1960</v>
      </c>
      <c r="I661" s="10" t="s">
        <v>1930</v>
      </c>
    </row>
    <row r="662" spans="1:9" x14ac:dyDescent="0.15">
      <c r="A662" s="9">
        <v>661</v>
      </c>
      <c r="B662" s="10" t="s">
        <v>9</v>
      </c>
      <c r="C662" s="10" t="s">
        <v>126</v>
      </c>
      <c r="D662" s="10" t="s">
        <v>127</v>
      </c>
      <c r="E662" s="11" t="str">
        <f>+HYPERLINK("http://trademark.i-assist.jp/data/china/image_1899th/78758958.pdf", "78758958")</f>
        <v>78758958</v>
      </c>
      <c r="F662" s="10" t="s">
        <v>1961</v>
      </c>
      <c r="G662" s="10" t="s">
        <v>1962</v>
      </c>
      <c r="H662" s="10" t="s">
        <v>1963</v>
      </c>
      <c r="I662" s="10" t="s">
        <v>1930</v>
      </c>
    </row>
    <row r="663" spans="1:9" x14ac:dyDescent="0.15">
      <c r="A663" s="9">
        <v>662</v>
      </c>
      <c r="B663" s="10" t="s">
        <v>9</v>
      </c>
      <c r="C663" s="10" t="s">
        <v>126</v>
      </c>
      <c r="D663" s="10" t="s">
        <v>127</v>
      </c>
      <c r="E663" s="11" t="str">
        <f>+HYPERLINK("http://trademark.i-assist.jp/data/china/image_1899th/78759411.pdf", "78759411")</f>
        <v>78759411</v>
      </c>
      <c r="F663" s="10" t="s">
        <v>15</v>
      </c>
      <c r="G663" s="10" t="s">
        <v>1944</v>
      </c>
      <c r="H663" s="10" t="s">
        <v>1964</v>
      </c>
      <c r="I663" s="10" t="s">
        <v>1930</v>
      </c>
    </row>
    <row r="664" spans="1:9" x14ac:dyDescent="0.15">
      <c r="A664" s="9">
        <v>663</v>
      </c>
      <c r="B664" s="10" t="s">
        <v>9</v>
      </c>
      <c r="C664" s="10" t="s">
        <v>126</v>
      </c>
      <c r="D664" s="10" t="s">
        <v>127</v>
      </c>
      <c r="E664" s="11" t="str">
        <f>+HYPERLINK("http://trademark.i-assist.jp/data/china/image_1899th/78760376.pdf", "78760376")</f>
        <v>78760376</v>
      </c>
      <c r="F664" s="10" t="s">
        <v>15</v>
      </c>
      <c r="G664" s="10" t="s">
        <v>1965</v>
      </c>
      <c r="H664" s="10" t="s">
        <v>1966</v>
      </c>
      <c r="I664" s="10" t="s">
        <v>1930</v>
      </c>
    </row>
    <row r="665" spans="1:9" x14ac:dyDescent="0.15">
      <c r="A665" s="9">
        <v>664</v>
      </c>
      <c r="B665" s="10" t="s">
        <v>9</v>
      </c>
      <c r="C665" s="10" t="s">
        <v>126</v>
      </c>
      <c r="D665" s="10" t="s">
        <v>127</v>
      </c>
      <c r="E665" s="11" t="str">
        <f>+HYPERLINK("http://trademark.i-assist.jp/data/china/image_1899th/78765610.pdf", "78765610")</f>
        <v>78765610</v>
      </c>
      <c r="F665" s="10" t="s">
        <v>15</v>
      </c>
      <c r="G665" s="10" t="s">
        <v>1967</v>
      </c>
      <c r="H665" s="10" t="s">
        <v>1968</v>
      </c>
      <c r="I665" s="10" t="s">
        <v>1930</v>
      </c>
    </row>
    <row r="666" spans="1:9" x14ac:dyDescent="0.15">
      <c r="A666" s="9">
        <v>665</v>
      </c>
      <c r="B666" s="10" t="s">
        <v>9</v>
      </c>
      <c r="C666" s="10" t="s">
        <v>126</v>
      </c>
      <c r="D666" s="10" t="s">
        <v>127</v>
      </c>
      <c r="E666" s="11" t="str">
        <f>+HYPERLINK("http://trademark.i-assist.jp/data/china/image_1899th/78768064.pdf", "78768064")</f>
        <v>78768064</v>
      </c>
      <c r="F666" s="10" t="s">
        <v>15</v>
      </c>
      <c r="G666" s="10" t="s">
        <v>1969</v>
      </c>
      <c r="H666" s="10" t="s">
        <v>1970</v>
      </c>
      <c r="I666" s="10" t="s">
        <v>1930</v>
      </c>
    </row>
    <row r="667" spans="1:9" x14ac:dyDescent="0.15">
      <c r="A667" s="9">
        <v>666</v>
      </c>
      <c r="B667" s="10" t="s">
        <v>9</v>
      </c>
      <c r="C667" s="10" t="s">
        <v>126</v>
      </c>
      <c r="D667" s="10" t="s">
        <v>127</v>
      </c>
      <c r="E667" s="11" t="str">
        <f>+HYPERLINK("http://trademark.i-assist.jp/data/china/image_1899th/78768307.pdf", "78768307")</f>
        <v>78768307</v>
      </c>
      <c r="F667" s="10" t="s">
        <v>1971</v>
      </c>
      <c r="G667" s="10" t="s">
        <v>1972</v>
      </c>
      <c r="H667" s="10" t="s">
        <v>1973</v>
      </c>
      <c r="I667" s="10" t="s">
        <v>1930</v>
      </c>
    </row>
    <row r="668" spans="1:9" x14ac:dyDescent="0.15">
      <c r="A668" s="9">
        <v>667</v>
      </c>
      <c r="B668" s="10" t="s">
        <v>9</v>
      </c>
      <c r="C668" s="10" t="s">
        <v>126</v>
      </c>
      <c r="D668" s="10" t="s">
        <v>127</v>
      </c>
      <c r="E668" s="11" t="str">
        <f>+HYPERLINK("http://trademark.i-assist.jp/data/china/image_1899th/78773145.pdf", "78773145")</f>
        <v>78773145</v>
      </c>
      <c r="F668" s="10" t="s">
        <v>1974</v>
      </c>
      <c r="G668" s="10" t="s">
        <v>1975</v>
      </c>
      <c r="H668" s="10" t="s">
        <v>1976</v>
      </c>
      <c r="I668" s="10" t="s">
        <v>1977</v>
      </c>
    </row>
    <row r="669" spans="1:9" x14ac:dyDescent="0.15">
      <c r="A669" s="9">
        <v>668</v>
      </c>
      <c r="B669" s="10" t="s">
        <v>9</v>
      </c>
      <c r="C669" s="10" t="s">
        <v>126</v>
      </c>
      <c r="D669" s="10" t="s">
        <v>127</v>
      </c>
      <c r="E669" s="11" t="str">
        <f>+HYPERLINK("http://trademark.i-assist.jp/data/china/image_1899th/78775450.pdf", "78775450")</f>
        <v>78775450</v>
      </c>
      <c r="F669" s="10" t="s">
        <v>1978</v>
      </c>
      <c r="G669" s="10" t="s">
        <v>1979</v>
      </c>
      <c r="H669" s="10" t="s">
        <v>1980</v>
      </c>
      <c r="I669" s="10" t="s">
        <v>1977</v>
      </c>
    </row>
    <row r="670" spans="1:9" x14ac:dyDescent="0.15">
      <c r="A670" s="9">
        <v>669</v>
      </c>
      <c r="B670" s="10" t="s">
        <v>9</v>
      </c>
      <c r="C670" s="10" t="s">
        <v>126</v>
      </c>
      <c r="D670" s="10" t="s">
        <v>127</v>
      </c>
      <c r="E670" s="11" t="str">
        <f>+HYPERLINK("http://trademark.i-assist.jp/data/china/image_1899th/78775965.pdf", "78775965")</f>
        <v>78775965</v>
      </c>
      <c r="F670" s="10" t="s">
        <v>1981</v>
      </c>
      <c r="G670" s="10" t="s">
        <v>1982</v>
      </c>
      <c r="H670" s="10" t="s">
        <v>1983</v>
      </c>
      <c r="I670" s="10" t="s">
        <v>1977</v>
      </c>
    </row>
    <row r="671" spans="1:9" x14ac:dyDescent="0.15">
      <c r="A671" s="9">
        <v>670</v>
      </c>
      <c r="B671" s="10" t="s">
        <v>9</v>
      </c>
      <c r="C671" s="10" t="s">
        <v>126</v>
      </c>
      <c r="D671" s="10" t="s">
        <v>127</v>
      </c>
      <c r="E671" s="11" t="str">
        <f>+HYPERLINK("http://trademark.i-assist.jp/data/china/image_1899th/78776359.pdf", "78776359")</f>
        <v>78776359</v>
      </c>
      <c r="F671" s="10" t="s">
        <v>15</v>
      </c>
      <c r="G671" s="10" t="s">
        <v>1984</v>
      </c>
      <c r="H671" s="10" t="s">
        <v>1985</v>
      </c>
      <c r="I671" s="10" t="s">
        <v>1977</v>
      </c>
    </row>
    <row r="672" spans="1:9" x14ac:dyDescent="0.15">
      <c r="A672" s="9">
        <v>671</v>
      </c>
      <c r="B672" s="10" t="s">
        <v>9</v>
      </c>
      <c r="C672" s="10" t="s">
        <v>126</v>
      </c>
      <c r="D672" s="10" t="s">
        <v>127</v>
      </c>
      <c r="E672" s="11" t="str">
        <f>+HYPERLINK("http://trademark.i-assist.jp/data/china/image_1899th/78776812.pdf", "78776812")</f>
        <v>78776812</v>
      </c>
      <c r="F672" s="10" t="s">
        <v>1986</v>
      </c>
      <c r="G672" s="10" t="s">
        <v>1987</v>
      </c>
      <c r="H672" s="10" t="s">
        <v>1988</v>
      </c>
      <c r="I672" s="10" t="s">
        <v>1977</v>
      </c>
    </row>
    <row r="673" spans="1:9" x14ac:dyDescent="0.15">
      <c r="A673" s="9">
        <v>672</v>
      </c>
      <c r="B673" s="10" t="s">
        <v>9</v>
      </c>
      <c r="C673" s="10" t="s">
        <v>126</v>
      </c>
      <c r="D673" s="10" t="s">
        <v>127</v>
      </c>
      <c r="E673" s="11" t="str">
        <f>+HYPERLINK("http://trademark.i-assist.jp/data/china/image_1899th/78777325.pdf", "78777325")</f>
        <v>78777325</v>
      </c>
      <c r="F673" s="10" t="s">
        <v>1989</v>
      </c>
      <c r="G673" s="10" t="s">
        <v>1990</v>
      </c>
      <c r="H673" s="10" t="s">
        <v>1991</v>
      </c>
      <c r="I673" s="10" t="s">
        <v>1977</v>
      </c>
    </row>
    <row r="674" spans="1:9" x14ac:dyDescent="0.15">
      <c r="A674" s="9">
        <v>673</v>
      </c>
      <c r="B674" s="10" t="s">
        <v>9</v>
      </c>
      <c r="C674" s="10" t="s">
        <v>126</v>
      </c>
      <c r="D674" s="10" t="s">
        <v>127</v>
      </c>
      <c r="E674" s="11" t="str">
        <f>+HYPERLINK("http://trademark.i-assist.jp/data/china/image_1899th/78777331.pdf", "78777331")</f>
        <v>78777331</v>
      </c>
      <c r="F674" s="10" t="s">
        <v>1992</v>
      </c>
      <c r="G674" s="10" t="s">
        <v>1979</v>
      </c>
      <c r="H674" s="10" t="s">
        <v>1993</v>
      </c>
      <c r="I674" s="10" t="s">
        <v>1977</v>
      </c>
    </row>
    <row r="675" spans="1:9" x14ac:dyDescent="0.15">
      <c r="A675" s="9">
        <v>674</v>
      </c>
      <c r="B675" s="10" t="s">
        <v>9</v>
      </c>
      <c r="C675" s="10" t="s">
        <v>126</v>
      </c>
      <c r="D675" s="10" t="s">
        <v>127</v>
      </c>
      <c r="E675" s="11" t="str">
        <f>+HYPERLINK("http://trademark.i-assist.jp/data/china/image_1899th/78777589.pdf", "78777589")</f>
        <v>78777589</v>
      </c>
      <c r="F675" s="10" t="s">
        <v>15</v>
      </c>
      <c r="G675" s="10" t="s">
        <v>1994</v>
      </c>
      <c r="H675" s="10" t="s">
        <v>1995</v>
      </c>
      <c r="I675" s="10" t="s">
        <v>1977</v>
      </c>
    </row>
    <row r="676" spans="1:9" x14ac:dyDescent="0.15">
      <c r="A676" s="9">
        <v>675</v>
      </c>
      <c r="B676" s="10" t="s">
        <v>9</v>
      </c>
      <c r="C676" s="10" t="s">
        <v>126</v>
      </c>
      <c r="D676" s="10" t="s">
        <v>127</v>
      </c>
      <c r="E676" s="11" t="str">
        <f>+HYPERLINK("http://trademark.i-assist.jp/data/china/image_1899th/78778683.pdf", "78778683")</f>
        <v>78778683</v>
      </c>
      <c r="F676" s="10" t="s">
        <v>1996</v>
      </c>
      <c r="G676" s="10" t="s">
        <v>1997</v>
      </c>
      <c r="H676" s="10" t="s">
        <v>1998</v>
      </c>
      <c r="I676" s="10" t="s">
        <v>1977</v>
      </c>
    </row>
    <row r="677" spans="1:9" x14ac:dyDescent="0.15">
      <c r="A677" s="9">
        <v>676</v>
      </c>
      <c r="B677" s="10" t="s">
        <v>9</v>
      </c>
      <c r="C677" s="10" t="s">
        <v>126</v>
      </c>
      <c r="D677" s="10" t="s">
        <v>127</v>
      </c>
      <c r="E677" s="11" t="str">
        <f>+HYPERLINK("http://trademark.i-assist.jp/data/china/image_1899th/78781708.pdf", "78781708")</f>
        <v>78781708</v>
      </c>
      <c r="F677" s="10" t="s">
        <v>1999</v>
      </c>
      <c r="G677" s="10" t="s">
        <v>2000</v>
      </c>
      <c r="H677" s="10" t="s">
        <v>2001</v>
      </c>
      <c r="I677" s="10" t="s">
        <v>1977</v>
      </c>
    </row>
    <row r="678" spans="1:9" x14ac:dyDescent="0.15">
      <c r="A678" s="9">
        <v>677</v>
      </c>
      <c r="B678" s="10" t="s">
        <v>9</v>
      </c>
      <c r="C678" s="10" t="s">
        <v>126</v>
      </c>
      <c r="D678" s="10" t="s">
        <v>127</v>
      </c>
      <c r="E678" s="11" t="str">
        <f>+HYPERLINK("http://trademark.i-assist.jp/data/china/image_1899th/78781748.pdf", "78781748")</f>
        <v>78781748</v>
      </c>
      <c r="F678" s="10" t="s">
        <v>15</v>
      </c>
      <c r="G678" s="10" t="s">
        <v>2002</v>
      </c>
      <c r="H678" s="10" t="s">
        <v>2003</v>
      </c>
      <c r="I678" s="10" t="s">
        <v>1977</v>
      </c>
    </row>
    <row r="679" spans="1:9" x14ac:dyDescent="0.15">
      <c r="A679" s="9">
        <v>678</v>
      </c>
      <c r="B679" s="10" t="s">
        <v>9</v>
      </c>
      <c r="C679" s="10" t="s">
        <v>126</v>
      </c>
      <c r="D679" s="10" t="s">
        <v>127</v>
      </c>
      <c r="E679" s="11" t="str">
        <f>+HYPERLINK("http://trademark.i-assist.jp/data/china/image_1899th/78783186.pdf", "78783186")</f>
        <v>78783186</v>
      </c>
      <c r="F679" s="10" t="s">
        <v>15</v>
      </c>
      <c r="G679" s="10" t="s">
        <v>2004</v>
      </c>
      <c r="H679" s="10" t="s">
        <v>2005</v>
      </c>
      <c r="I679" s="10" t="s">
        <v>1977</v>
      </c>
    </row>
    <row r="680" spans="1:9" x14ac:dyDescent="0.15">
      <c r="A680" s="9">
        <v>679</v>
      </c>
      <c r="B680" s="10" t="s">
        <v>9</v>
      </c>
      <c r="C680" s="10" t="s">
        <v>126</v>
      </c>
      <c r="D680" s="10" t="s">
        <v>127</v>
      </c>
      <c r="E680" s="11" t="str">
        <f>+HYPERLINK("http://trademark.i-assist.jp/data/china/image_1899th/78784751.pdf", "78784751")</f>
        <v>78784751</v>
      </c>
      <c r="F680" s="10" t="s">
        <v>15</v>
      </c>
      <c r="G680" s="10" t="s">
        <v>2006</v>
      </c>
      <c r="H680" s="10" t="s">
        <v>2007</v>
      </c>
      <c r="I680" s="10" t="s">
        <v>1977</v>
      </c>
    </row>
    <row r="681" spans="1:9" x14ac:dyDescent="0.15">
      <c r="A681" s="9">
        <v>680</v>
      </c>
      <c r="B681" s="10" t="s">
        <v>9</v>
      </c>
      <c r="C681" s="10" t="s">
        <v>126</v>
      </c>
      <c r="D681" s="10" t="s">
        <v>127</v>
      </c>
      <c r="E681" s="11" t="str">
        <f>+HYPERLINK("http://trademark.i-assist.jp/data/china/image_1899th/78784950.pdf", "78784950")</f>
        <v>78784950</v>
      </c>
      <c r="F681" s="10" t="s">
        <v>2008</v>
      </c>
      <c r="G681" s="10" t="s">
        <v>109</v>
      </c>
      <c r="H681" s="10" t="s">
        <v>2009</v>
      </c>
      <c r="I681" s="10" t="s">
        <v>1977</v>
      </c>
    </row>
    <row r="682" spans="1:9" x14ac:dyDescent="0.15">
      <c r="A682" s="9">
        <v>681</v>
      </c>
      <c r="B682" s="10" t="s">
        <v>9</v>
      </c>
      <c r="C682" s="10" t="s">
        <v>126</v>
      </c>
      <c r="D682" s="10" t="s">
        <v>127</v>
      </c>
      <c r="E682" s="11" t="str">
        <f>+HYPERLINK("http://trademark.i-assist.jp/data/china/image_1899th/78785591.pdf", "78785591")</f>
        <v>78785591</v>
      </c>
      <c r="F682" s="10" t="s">
        <v>2010</v>
      </c>
      <c r="G682" s="10" t="s">
        <v>2011</v>
      </c>
      <c r="H682" s="10" t="s">
        <v>2012</v>
      </c>
      <c r="I682" s="10" t="s">
        <v>1977</v>
      </c>
    </row>
    <row r="683" spans="1:9" x14ac:dyDescent="0.15">
      <c r="A683" s="9">
        <v>682</v>
      </c>
      <c r="B683" s="10" t="s">
        <v>9</v>
      </c>
      <c r="C683" s="10" t="s">
        <v>126</v>
      </c>
      <c r="D683" s="10" t="s">
        <v>127</v>
      </c>
      <c r="E683" s="11" t="str">
        <f>+HYPERLINK("http://trademark.i-assist.jp/data/china/image_1899th/78785780.pdf", "78785780")</f>
        <v>78785780</v>
      </c>
      <c r="F683" s="10" t="s">
        <v>2013</v>
      </c>
      <c r="G683" s="10" t="s">
        <v>2014</v>
      </c>
      <c r="H683" s="10" t="s">
        <v>2015</v>
      </c>
      <c r="I683" s="10" t="s">
        <v>1977</v>
      </c>
    </row>
    <row r="684" spans="1:9" x14ac:dyDescent="0.15">
      <c r="A684" s="9">
        <v>683</v>
      </c>
      <c r="B684" s="10" t="s">
        <v>9</v>
      </c>
      <c r="C684" s="10" t="s">
        <v>126</v>
      </c>
      <c r="D684" s="10" t="s">
        <v>127</v>
      </c>
      <c r="E684" s="11" t="str">
        <f>+HYPERLINK("http://trademark.i-assist.jp/data/china/image_1899th/78785988.pdf", "78785988")</f>
        <v>78785988</v>
      </c>
      <c r="F684" s="10" t="s">
        <v>2016</v>
      </c>
      <c r="G684" s="10" t="s">
        <v>2017</v>
      </c>
      <c r="H684" s="10" t="s">
        <v>2018</v>
      </c>
      <c r="I684" s="10" t="s">
        <v>1977</v>
      </c>
    </row>
    <row r="685" spans="1:9" x14ac:dyDescent="0.15">
      <c r="A685" s="9">
        <v>684</v>
      </c>
      <c r="B685" s="10" t="s">
        <v>9</v>
      </c>
      <c r="C685" s="10" t="s">
        <v>126</v>
      </c>
      <c r="D685" s="10" t="s">
        <v>127</v>
      </c>
      <c r="E685" s="11" t="str">
        <f>+HYPERLINK("http://trademark.i-assist.jp/data/china/image_1899th/78788919.pdf", "78788919")</f>
        <v>78788919</v>
      </c>
      <c r="F685" s="10" t="s">
        <v>2019</v>
      </c>
      <c r="G685" s="10" t="s">
        <v>2020</v>
      </c>
      <c r="H685" s="10" t="s">
        <v>2021</v>
      </c>
      <c r="I685" s="10" t="s">
        <v>2022</v>
      </c>
    </row>
    <row r="686" spans="1:9" x14ac:dyDescent="0.15">
      <c r="A686" s="9">
        <v>685</v>
      </c>
      <c r="B686" s="10" t="s">
        <v>9</v>
      </c>
      <c r="C686" s="10" t="s">
        <v>126</v>
      </c>
      <c r="D686" s="10" t="s">
        <v>127</v>
      </c>
      <c r="E686" s="11" t="str">
        <f>+HYPERLINK("http://trademark.i-assist.jp/data/china/image_1899th/78791451.pdf", "78791451")</f>
        <v>78791451</v>
      </c>
      <c r="F686" s="10" t="s">
        <v>15</v>
      </c>
      <c r="G686" s="10" t="s">
        <v>2023</v>
      </c>
      <c r="H686" s="10" t="s">
        <v>2024</v>
      </c>
      <c r="I686" s="10" t="s">
        <v>1977</v>
      </c>
    </row>
    <row r="687" spans="1:9" x14ac:dyDescent="0.15">
      <c r="A687" s="9">
        <v>686</v>
      </c>
      <c r="B687" s="10" t="s">
        <v>9</v>
      </c>
      <c r="C687" s="10" t="s">
        <v>126</v>
      </c>
      <c r="D687" s="10" t="s">
        <v>127</v>
      </c>
      <c r="E687" s="11" t="str">
        <f>+HYPERLINK("http://trademark.i-assist.jp/data/china/image_1899th/78791552.pdf", "78791552")</f>
        <v>78791552</v>
      </c>
      <c r="F687" s="10" t="s">
        <v>2025</v>
      </c>
      <c r="G687" s="10" t="s">
        <v>99</v>
      </c>
      <c r="H687" s="10" t="s">
        <v>2026</v>
      </c>
      <c r="I687" s="10" t="s">
        <v>1977</v>
      </c>
    </row>
    <row r="688" spans="1:9" x14ac:dyDescent="0.15">
      <c r="A688" s="9">
        <v>687</v>
      </c>
      <c r="B688" s="10" t="s">
        <v>9</v>
      </c>
      <c r="C688" s="10" t="s">
        <v>126</v>
      </c>
      <c r="D688" s="10" t="s">
        <v>127</v>
      </c>
      <c r="E688" s="11" t="str">
        <f>+HYPERLINK("http://trademark.i-assist.jp/data/china/image_1899th/78791629.pdf", "78791629")</f>
        <v>78791629</v>
      </c>
      <c r="F688" s="10" t="s">
        <v>2027</v>
      </c>
      <c r="G688" s="10" t="s">
        <v>2028</v>
      </c>
      <c r="H688" s="10" t="s">
        <v>2029</v>
      </c>
      <c r="I688" s="10" t="s">
        <v>1977</v>
      </c>
    </row>
    <row r="689" spans="1:9" x14ac:dyDescent="0.15">
      <c r="A689" s="9">
        <v>688</v>
      </c>
      <c r="B689" s="10" t="s">
        <v>9</v>
      </c>
      <c r="C689" s="10" t="s">
        <v>126</v>
      </c>
      <c r="D689" s="10" t="s">
        <v>127</v>
      </c>
      <c r="E689" s="11" t="str">
        <f>+HYPERLINK("http://trademark.i-assist.jp/data/china/image_1899th/78792054.pdf", "78792054")</f>
        <v>78792054</v>
      </c>
      <c r="F689" s="10" t="s">
        <v>2030</v>
      </c>
      <c r="G689" s="10" t="s">
        <v>2017</v>
      </c>
      <c r="H689" s="10" t="s">
        <v>2031</v>
      </c>
      <c r="I689" s="10" t="s">
        <v>1977</v>
      </c>
    </row>
    <row r="690" spans="1:9" x14ac:dyDescent="0.15">
      <c r="A690" s="9">
        <v>689</v>
      </c>
      <c r="B690" s="10" t="s">
        <v>9</v>
      </c>
      <c r="C690" s="10" t="s">
        <v>126</v>
      </c>
      <c r="D690" s="10" t="s">
        <v>127</v>
      </c>
      <c r="E690" s="11" t="str">
        <f>+HYPERLINK("http://trademark.i-assist.jp/data/china/image_1899th/78792140.pdf", "78792140")</f>
        <v>78792140</v>
      </c>
      <c r="F690" s="10" t="s">
        <v>15</v>
      </c>
      <c r="G690" s="10" t="s">
        <v>2032</v>
      </c>
      <c r="H690" s="10" t="s">
        <v>2033</v>
      </c>
      <c r="I690" s="10" t="s">
        <v>1977</v>
      </c>
    </row>
    <row r="691" spans="1:9" x14ac:dyDescent="0.15">
      <c r="A691" s="9">
        <v>690</v>
      </c>
      <c r="B691" s="10" t="s">
        <v>9</v>
      </c>
      <c r="C691" s="10" t="s">
        <v>126</v>
      </c>
      <c r="D691" s="10" t="s">
        <v>127</v>
      </c>
      <c r="E691" s="11" t="str">
        <f>+HYPERLINK("http://trademark.i-assist.jp/data/china/image_1899th/78796058.pdf", "78796058")</f>
        <v>78796058</v>
      </c>
      <c r="F691" s="10" t="s">
        <v>15</v>
      </c>
      <c r="G691" s="10" t="s">
        <v>2017</v>
      </c>
      <c r="H691" s="10" t="s">
        <v>2034</v>
      </c>
      <c r="I691" s="10" t="s">
        <v>1977</v>
      </c>
    </row>
    <row r="692" spans="1:9" x14ac:dyDescent="0.15">
      <c r="A692" s="9">
        <v>691</v>
      </c>
      <c r="B692" s="10" t="s">
        <v>9</v>
      </c>
      <c r="C692" s="10" t="s">
        <v>126</v>
      </c>
      <c r="D692" s="10" t="s">
        <v>127</v>
      </c>
      <c r="E692" s="11" t="str">
        <f>+HYPERLINK("http://trademark.i-assist.jp/data/china/image_1899th/78797319.pdf", "78797319")</f>
        <v>78797319</v>
      </c>
      <c r="F692" s="10" t="s">
        <v>2035</v>
      </c>
      <c r="G692" s="10" t="s">
        <v>2036</v>
      </c>
      <c r="H692" s="10" t="s">
        <v>2037</v>
      </c>
      <c r="I692" s="10" t="s">
        <v>1977</v>
      </c>
    </row>
    <row r="693" spans="1:9" x14ac:dyDescent="0.15">
      <c r="A693" s="9">
        <v>692</v>
      </c>
      <c r="B693" s="10" t="s">
        <v>9</v>
      </c>
      <c r="C693" s="10" t="s">
        <v>126</v>
      </c>
      <c r="D693" s="10" t="s">
        <v>127</v>
      </c>
      <c r="E693" s="11" t="str">
        <f>+HYPERLINK("http://trademark.i-assist.jp/data/china/image_1899th/78797599.pdf", "78797599")</f>
        <v>78797599</v>
      </c>
      <c r="F693" s="10" t="s">
        <v>2038</v>
      </c>
      <c r="G693" s="10" t="s">
        <v>2039</v>
      </c>
      <c r="H693" s="10" t="s">
        <v>2040</v>
      </c>
      <c r="I693" s="10" t="s">
        <v>1977</v>
      </c>
    </row>
    <row r="694" spans="1:9" x14ac:dyDescent="0.15">
      <c r="A694" s="9">
        <v>693</v>
      </c>
      <c r="B694" s="10" t="s">
        <v>9</v>
      </c>
      <c r="C694" s="10" t="s">
        <v>126</v>
      </c>
      <c r="D694" s="10" t="s">
        <v>127</v>
      </c>
      <c r="E694" s="11" t="str">
        <f>+HYPERLINK("http://trademark.i-assist.jp/data/china/image_1899th/78800078.pdf", "78800078")</f>
        <v>78800078</v>
      </c>
      <c r="F694" s="10" t="s">
        <v>2041</v>
      </c>
      <c r="G694" s="10" t="s">
        <v>2042</v>
      </c>
      <c r="H694" s="10" t="s">
        <v>2043</v>
      </c>
      <c r="I694" s="10" t="s">
        <v>2022</v>
      </c>
    </row>
    <row r="695" spans="1:9" x14ac:dyDescent="0.15">
      <c r="A695" s="9">
        <v>694</v>
      </c>
      <c r="B695" s="10" t="s">
        <v>9</v>
      </c>
      <c r="C695" s="10" t="s">
        <v>126</v>
      </c>
      <c r="D695" s="10" t="s">
        <v>127</v>
      </c>
      <c r="E695" s="11" t="str">
        <f>+HYPERLINK("http://trademark.i-assist.jp/data/china/image_1899th/78801098.pdf", "78801098")</f>
        <v>78801098</v>
      </c>
      <c r="F695" s="10" t="s">
        <v>2044</v>
      </c>
      <c r="G695" s="10" t="s">
        <v>2045</v>
      </c>
      <c r="H695" s="10" t="s">
        <v>2046</v>
      </c>
      <c r="I695" s="10" t="s">
        <v>2022</v>
      </c>
    </row>
    <row r="696" spans="1:9" x14ac:dyDescent="0.15">
      <c r="A696" s="9">
        <v>695</v>
      </c>
      <c r="B696" s="10" t="s">
        <v>9</v>
      </c>
      <c r="C696" s="10" t="s">
        <v>126</v>
      </c>
      <c r="D696" s="10" t="s">
        <v>127</v>
      </c>
      <c r="E696" s="11" t="str">
        <f>+HYPERLINK("http://trademark.i-assist.jp/data/china/image_1899th/78801567.pdf", "78801567")</f>
        <v>78801567</v>
      </c>
      <c r="F696" s="10" t="s">
        <v>2047</v>
      </c>
      <c r="G696" s="10" t="s">
        <v>2048</v>
      </c>
      <c r="H696" s="10" t="s">
        <v>2049</v>
      </c>
      <c r="I696" s="10" t="s">
        <v>2022</v>
      </c>
    </row>
    <row r="697" spans="1:9" x14ac:dyDescent="0.15">
      <c r="A697" s="9">
        <v>696</v>
      </c>
      <c r="B697" s="10" t="s">
        <v>9</v>
      </c>
      <c r="C697" s="10" t="s">
        <v>126</v>
      </c>
      <c r="D697" s="10" t="s">
        <v>127</v>
      </c>
      <c r="E697" s="11" t="str">
        <f>+HYPERLINK("http://trademark.i-assist.jp/data/china/image_1899th/78801843.pdf", "78801843")</f>
        <v>78801843</v>
      </c>
      <c r="F697" s="10" t="s">
        <v>2050</v>
      </c>
      <c r="G697" s="10" t="s">
        <v>2051</v>
      </c>
      <c r="H697" s="10" t="s">
        <v>2052</v>
      </c>
      <c r="I697" s="10" t="s">
        <v>2022</v>
      </c>
    </row>
    <row r="698" spans="1:9" x14ac:dyDescent="0.15">
      <c r="A698" s="9">
        <v>697</v>
      </c>
      <c r="B698" s="10" t="s">
        <v>9</v>
      </c>
      <c r="C698" s="10" t="s">
        <v>126</v>
      </c>
      <c r="D698" s="10" t="s">
        <v>127</v>
      </c>
      <c r="E698" s="11" t="str">
        <f>+HYPERLINK("http://trademark.i-assist.jp/data/china/image_1899th/78802261.pdf", "78802261")</f>
        <v>78802261</v>
      </c>
      <c r="F698" s="10" t="s">
        <v>2053</v>
      </c>
      <c r="G698" s="10" t="s">
        <v>2054</v>
      </c>
      <c r="H698" s="10" t="s">
        <v>2055</v>
      </c>
      <c r="I698" s="10" t="s">
        <v>2022</v>
      </c>
    </row>
    <row r="699" spans="1:9" x14ac:dyDescent="0.15">
      <c r="A699" s="9">
        <v>698</v>
      </c>
      <c r="B699" s="10" t="s">
        <v>9</v>
      </c>
      <c r="C699" s="10" t="s">
        <v>126</v>
      </c>
      <c r="D699" s="10" t="s">
        <v>127</v>
      </c>
      <c r="E699" s="11" t="str">
        <f>+HYPERLINK("http://trademark.i-assist.jp/data/china/image_1899th/78802753.pdf", "78802753")</f>
        <v>78802753</v>
      </c>
      <c r="F699" s="10" t="s">
        <v>2056</v>
      </c>
      <c r="G699" s="10" t="s">
        <v>2057</v>
      </c>
      <c r="H699" s="10" t="s">
        <v>2058</v>
      </c>
      <c r="I699" s="10" t="s">
        <v>2022</v>
      </c>
    </row>
    <row r="700" spans="1:9" x14ac:dyDescent="0.15">
      <c r="A700" s="9">
        <v>699</v>
      </c>
      <c r="B700" s="10" t="s">
        <v>9</v>
      </c>
      <c r="C700" s="10" t="s">
        <v>126</v>
      </c>
      <c r="D700" s="10" t="s">
        <v>127</v>
      </c>
      <c r="E700" s="11" t="str">
        <f>+HYPERLINK("http://trademark.i-assist.jp/data/china/image_1899th/78803227.pdf", "78803227")</f>
        <v>78803227</v>
      </c>
      <c r="F700" s="10" t="s">
        <v>2059</v>
      </c>
      <c r="G700" s="10" t="s">
        <v>2060</v>
      </c>
      <c r="H700" s="10" t="s">
        <v>2061</v>
      </c>
      <c r="I700" s="10" t="s">
        <v>2022</v>
      </c>
    </row>
    <row r="701" spans="1:9" x14ac:dyDescent="0.15">
      <c r="A701" s="9">
        <v>700</v>
      </c>
      <c r="B701" s="10" t="s">
        <v>9</v>
      </c>
      <c r="C701" s="10" t="s">
        <v>126</v>
      </c>
      <c r="D701" s="10" t="s">
        <v>127</v>
      </c>
      <c r="E701" s="11" t="str">
        <f>+HYPERLINK("http://trademark.i-assist.jp/data/china/image_1899th/78804137.pdf", "78804137")</f>
        <v>78804137</v>
      </c>
      <c r="F701" s="10" t="s">
        <v>2062</v>
      </c>
      <c r="G701" s="10" t="s">
        <v>2063</v>
      </c>
      <c r="H701" s="10" t="s">
        <v>2064</v>
      </c>
      <c r="I701" s="10" t="s">
        <v>2022</v>
      </c>
    </row>
    <row r="702" spans="1:9" x14ac:dyDescent="0.15">
      <c r="A702" s="9">
        <v>701</v>
      </c>
      <c r="B702" s="10" t="s">
        <v>9</v>
      </c>
      <c r="C702" s="10" t="s">
        <v>126</v>
      </c>
      <c r="D702" s="10" t="s">
        <v>127</v>
      </c>
      <c r="E702" s="11" t="str">
        <f>+HYPERLINK("http://trademark.i-assist.jp/data/china/image_1899th/78804821.pdf", "78804821")</f>
        <v>78804821</v>
      </c>
      <c r="F702" s="10" t="s">
        <v>15</v>
      </c>
      <c r="G702" s="10" t="s">
        <v>2065</v>
      </c>
      <c r="H702" s="10" t="s">
        <v>2066</v>
      </c>
      <c r="I702" s="10" t="s">
        <v>2022</v>
      </c>
    </row>
    <row r="703" spans="1:9" x14ac:dyDescent="0.15">
      <c r="A703" s="9">
        <v>702</v>
      </c>
      <c r="B703" s="10" t="s">
        <v>9</v>
      </c>
      <c r="C703" s="10" t="s">
        <v>126</v>
      </c>
      <c r="D703" s="10" t="s">
        <v>127</v>
      </c>
      <c r="E703" s="11" t="str">
        <f>+HYPERLINK("http://trademark.i-assist.jp/data/china/image_1899th/78805654.pdf", "78805654")</f>
        <v>78805654</v>
      </c>
      <c r="F703" s="10" t="s">
        <v>2067</v>
      </c>
      <c r="G703" s="10" t="s">
        <v>2068</v>
      </c>
      <c r="H703" s="10" t="s">
        <v>2069</v>
      </c>
      <c r="I703" s="10" t="s">
        <v>2022</v>
      </c>
    </row>
    <row r="704" spans="1:9" x14ac:dyDescent="0.15">
      <c r="A704" s="9">
        <v>703</v>
      </c>
      <c r="B704" s="10" t="s">
        <v>9</v>
      </c>
      <c r="C704" s="10" t="s">
        <v>126</v>
      </c>
      <c r="D704" s="10" t="s">
        <v>127</v>
      </c>
      <c r="E704" s="11" t="str">
        <f>+HYPERLINK("http://trademark.i-assist.jp/data/china/image_1899th/78806104.pdf", "78806104")</f>
        <v>78806104</v>
      </c>
      <c r="F704" s="10" t="s">
        <v>15</v>
      </c>
      <c r="G704" s="10" t="s">
        <v>2070</v>
      </c>
      <c r="H704" s="10" t="s">
        <v>2071</v>
      </c>
      <c r="I704" s="10" t="s">
        <v>2022</v>
      </c>
    </row>
    <row r="705" spans="1:9" x14ac:dyDescent="0.15">
      <c r="A705" s="9">
        <v>704</v>
      </c>
      <c r="B705" s="10" t="s">
        <v>9</v>
      </c>
      <c r="C705" s="10" t="s">
        <v>126</v>
      </c>
      <c r="D705" s="10" t="s">
        <v>127</v>
      </c>
      <c r="E705" s="11" t="str">
        <f>+HYPERLINK("http://trademark.i-assist.jp/data/china/image_1899th/78807628.pdf", "78807628")</f>
        <v>78807628</v>
      </c>
      <c r="F705" s="10" t="s">
        <v>2072</v>
      </c>
      <c r="G705" s="10" t="s">
        <v>2073</v>
      </c>
      <c r="H705" s="10" t="s">
        <v>2074</v>
      </c>
      <c r="I705" s="10" t="s">
        <v>2022</v>
      </c>
    </row>
    <row r="706" spans="1:9" x14ac:dyDescent="0.15">
      <c r="A706" s="9">
        <v>705</v>
      </c>
      <c r="B706" s="10" t="s">
        <v>9</v>
      </c>
      <c r="C706" s="10" t="s">
        <v>126</v>
      </c>
      <c r="D706" s="10" t="s">
        <v>127</v>
      </c>
      <c r="E706" s="11" t="str">
        <f>+HYPERLINK("http://trademark.i-assist.jp/data/china/image_1899th/78808282.pdf", "78808282")</f>
        <v>78808282</v>
      </c>
      <c r="F706" s="10" t="s">
        <v>2075</v>
      </c>
      <c r="G706" s="10" t="s">
        <v>2068</v>
      </c>
      <c r="H706" s="10" t="s">
        <v>2076</v>
      </c>
      <c r="I706" s="10" t="s">
        <v>2022</v>
      </c>
    </row>
    <row r="707" spans="1:9" x14ac:dyDescent="0.15">
      <c r="A707" s="9">
        <v>706</v>
      </c>
      <c r="B707" s="10" t="s">
        <v>9</v>
      </c>
      <c r="C707" s="10" t="s">
        <v>126</v>
      </c>
      <c r="D707" s="10" t="s">
        <v>127</v>
      </c>
      <c r="E707" s="11" t="str">
        <f>+HYPERLINK("http://trademark.i-assist.jp/data/china/image_1899th/78808403.pdf", "78808403")</f>
        <v>78808403</v>
      </c>
      <c r="F707" s="10" t="s">
        <v>15</v>
      </c>
      <c r="G707" s="10" t="s">
        <v>2077</v>
      </c>
      <c r="H707" s="10" t="s">
        <v>2078</v>
      </c>
      <c r="I707" s="10" t="s">
        <v>2022</v>
      </c>
    </row>
    <row r="708" spans="1:9" x14ac:dyDescent="0.15">
      <c r="A708" s="9">
        <v>707</v>
      </c>
      <c r="B708" s="10" t="s">
        <v>9</v>
      </c>
      <c r="C708" s="10" t="s">
        <v>126</v>
      </c>
      <c r="D708" s="10" t="s">
        <v>127</v>
      </c>
      <c r="E708" s="11" t="str">
        <f>+HYPERLINK("http://trademark.i-assist.jp/data/china/image_1899th/78809306.pdf", "78809306")</f>
        <v>78809306</v>
      </c>
      <c r="F708" s="10" t="s">
        <v>15</v>
      </c>
      <c r="G708" s="10" t="s">
        <v>2079</v>
      </c>
      <c r="H708" s="10" t="s">
        <v>2080</v>
      </c>
      <c r="I708" s="10" t="s">
        <v>2022</v>
      </c>
    </row>
    <row r="709" spans="1:9" x14ac:dyDescent="0.15">
      <c r="A709" s="9">
        <v>708</v>
      </c>
      <c r="B709" s="10" t="s">
        <v>9</v>
      </c>
      <c r="C709" s="10" t="s">
        <v>126</v>
      </c>
      <c r="D709" s="10" t="s">
        <v>127</v>
      </c>
      <c r="E709" s="11" t="str">
        <f>+HYPERLINK("http://trademark.i-assist.jp/data/china/image_1899th/78810176.pdf", "78810176")</f>
        <v>78810176</v>
      </c>
      <c r="F709" s="10" t="s">
        <v>15</v>
      </c>
      <c r="G709" s="10" t="s">
        <v>2081</v>
      </c>
      <c r="H709" s="10" t="s">
        <v>2082</v>
      </c>
      <c r="I709" s="10" t="s">
        <v>2022</v>
      </c>
    </row>
    <row r="710" spans="1:9" x14ac:dyDescent="0.15">
      <c r="A710" s="9">
        <v>709</v>
      </c>
      <c r="B710" s="10" t="s">
        <v>9</v>
      </c>
      <c r="C710" s="10" t="s">
        <v>126</v>
      </c>
      <c r="D710" s="10" t="s">
        <v>127</v>
      </c>
      <c r="E710" s="11" t="str">
        <f>+HYPERLINK("http://trademark.i-assist.jp/data/china/image_1899th/78810403.pdf", "78810403")</f>
        <v>78810403</v>
      </c>
      <c r="F710" s="10" t="s">
        <v>15</v>
      </c>
      <c r="G710" s="10" t="s">
        <v>2083</v>
      </c>
      <c r="H710" s="10" t="s">
        <v>2084</v>
      </c>
      <c r="I710" s="10" t="s">
        <v>2022</v>
      </c>
    </row>
    <row r="711" spans="1:9" x14ac:dyDescent="0.15">
      <c r="A711" s="9">
        <v>710</v>
      </c>
      <c r="B711" s="10" t="s">
        <v>9</v>
      </c>
      <c r="C711" s="10" t="s">
        <v>126</v>
      </c>
      <c r="D711" s="10" t="s">
        <v>127</v>
      </c>
      <c r="E711" s="11" t="str">
        <f>+HYPERLINK("http://trademark.i-assist.jp/data/china/image_1899th/78810627.pdf", "78810627")</f>
        <v>78810627</v>
      </c>
      <c r="F711" s="10" t="s">
        <v>2085</v>
      </c>
      <c r="G711" s="10" t="s">
        <v>2086</v>
      </c>
      <c r="H711" s="10" t="s">
        <v>2087</v>
      </c>
      <c r="I711" s="10" t="s">
        <v>2022</v>
      </c>
    </row>
    <row r="712" spans="1:9" x14ac:dyDescent="0.15">
      <c r="A712" s="9">
        <v>711</v>
      </c>
      <c r="B712" s="10" t="s">
        <v>9</v>
      </c>
      <c r="C712" s="10" t="s">
        <v>126</v>
      </c>
      <c r="D712" s="10" t="s">
        <v>127</v>
      </c>
      <c r="E712" s="11" t="str">
        <f>+HYPERLINK("http://trademark.i-assist.jp/data/china/image_1899th/78810834.pdf", "78810834")</f>
        <v>78810834</v>
      </c>
      <c r="F712" s="10" t="s">
        <v>2088</v>
      </c>
      <c r="G712" s="10" t="s">
        <v>2089</v>
      </c>
      <c r="H712" s="10" t="s">
        <v>2090</v>
      </c>
      <c r="I712" s="10" t="s">
        <v>2022</v>
      </c>
    </row>
    <row r="713" spans="1:9" x14ac:dyDescent="0.15">
      <c r="A713" s="9">
        <v>712</v>
      </c>
      <c r="B713" s="10" t="s">
        <v>9</v>
      </c>
      <c r="C713" s="10" t="s">
        <v>126</v>
      </c>
      <c r="D713" s="10" t="s">
        <v>127</v>
      </c>
      <c r="E713" s="11" t="str">
        <f>+HYPERLINK("http://trademark.i-assist.jp/data/china/image_1899th/78811320.pdf", "78811320")</f>
        <v>78811320</v>
      </c>
      <c r="F713" s="10" t="s">
        <v>2091</v>
      </c>
      <c r="G713" s="10" t="s">
        <v>2092</v>
      </c>
      <c r="H713" s="10" t="s">
        <v>2093</v>
      </c>
      <c r="I713" s="10" t="s">
        <v>2022</v>
      </c>
    </row>
    <row r="714" spans="1:9" x14ac:dyDescent="0.15">
      <c r="A714" s="9">
        <v>713</v>
      </c>
      <c r="B714" s="10" t="s">
        <v>9</v>
      </c>
      <c r="C714" s="10" t="s">
        <v>126</v>
      </c>
      <c r="D714" s="10" t="s">
        <v>127</v>
      </c>
      <c r="E714" s="11" t="str">
        <f>+HYPERLINK("http://trademark.i-assist.jp/data/china/image_1899th/78812098.pdf", "78812098")</f>
        <v>78812098</v>
      </c>
      <c r="F714" s="10" t="s">
        <v>2072</v>
      </c>
      <c r="G714" s="10" t="s">
        <v>2073</v>
      </c>
      <c r="H714" s="10" t="s">
        <v>2094</v>
      </c>
      <c r="I714" s="10" t="s">
        <v>2022</v>
      </c>
    </row>
    <row r="715" spans="1:9" x14ac:dyDescent="0.15">
      <c r="A715" s="9">
        <v>714</v>
      </c>
      <c r="B715" s="10" t="s">
        <v>9</v>
      </c>
      <c r="C715" s="10" t="s">
        <v>126</v>
      </c>
      <c r="D715" s="10" t="s">
        <v>127</v>
      </c>
      <c r="E715" s="11" t="str">
        <f>+HYPERLINK("http://trademark.i-assist.jp/data/china/image_1899th/78813573.pdf", "78813573")</f>
        <v>78813573</v>
      </c>
      <c r="F715" s="10" t="s">
        <v>2095</v>
      </c>
      <c r="G715" s="10" t="s">
        <v>2096</v>
      </c>
      <c r="H715" s="10" t="s">
        <v>2097</v>
      </c>
      <c r="I715" s="10" t="s">
        <v>2022</v>
      </c>
    </row>
    <row r="716" spans="1:9" x14ac:dyDescent="0.15">
      <c r="A716" s="9">
        <v>715</v>
      </c>
      <c r="B716" s="10" t="s">
        <v>9</v>
      </c>
      <c r="C716" s="10" t="s">
        <v>126</v>
      </c>
      <c r="D716" s="10" t="s">
        <v>127</v>
      </c>
      <c r="E716" s="11" t="str">
        <f>+HYPERLINK("http://trademark.i-assist.jp/data/china/image_1899th/78814537.pdf", "78814537")</f>
        <v>78814537</v>
      </c>
      <c r="F716" s="10" t="s">
        <v>2098</v>
      </c>
      <c r="G716" s="10" t="s">
        <v>2099</v>
      </c>
      <c r="H716" s="10" t="s">
        <v>2100</v>
      </c>
      <c r="I716" s="10" t="s">
        <v>2022</v>
      </c>
    </row>
    <row r="717" spans="1:9" x14ac:dyDescent="0.15">
      <c r="A717" s="9">
        <v>716</v>
      </c>
      <c r="B717" s="10" t="s">
        <v>9</v>
      </c>
      <c r="C717" s="10" t="s">
        <v>126</v>
      </c>
      <c r="D717" s="10" t="s">
        <v>127</v>
      </c>
      <c r="E717" s="11" t="str">
        <f>+HYPERLINK("http://trademark.i-assist.jp/data/china/image_1899th/78815837.pdf", "78815837")</f>
        <v>78815837</v>
      </c>
      <c r="F717" s="10" t="s">
        <v>15</v>
      </c>
      <c r="G717" s="10" t="s">
        <v>2101</v>
      </c>
      <c r="H717" s="10" t="s">
        <v>2102</v>
      </c>
      <c r="I717" s="10" t="s">
        <v>2022</v>
      </c>
    </row>
    <row r="718" spans="1:9" x14ac:dyDescent="0.15">
      <c r="A718" s="9">
        <v>717</v>
      </c>
      <c r="B718" s="10" t="s">
        <v>9</v>
      </c>
      <c r="C718" s="10" t="s">
        <v>126</v>
      </c>
      <c r="D718" s="10" t="s">
        <v>127</v>
      </c>
      <c r="E718" s="11" t="str">
        <f>+HYPERLINK("http://trademark.i-assist.jp/data/china/image_1899th/78816342.pdf", "78816342")</f>
        <v>78816342</v>
      </c>
      <c r="F718" s="10" t="s">
        <v>15</v>
      </c>
      <c r="G718" s="10" t="s">
        <v>2103</v>
      </c>
      <c r="H718" s="10" t="s">
        <v>2104</v>
      </c>
      <c r="I718" s="10" t="s">
        <v>2022</v>
      </c>
    </row>
    <row r="719" spans="1:9" x14ac:dyDescent="0.15">
      <c r="A719" s="9">
        <v>718</v>
      </c>
      <c r="B719" s="10" t="s">
        <v>9</v>
      </c>
      <c r="C719" s="10" t="s">
        <v>126</v>
      </c>
      <c r="D719" s="10" t="s">
        <v>127</v>
      </c>
      <c r="E719" s="11" t="str">
        <f>+HYPERLINK("http://trademark.i-assist.jp/data/china/image_1899th/78816819.pdf", "78816819")</f>
        <v>78816819</v>
      </c>
      <c r="F719" s="10" t="s">
        <v>2105</v>
      </c>
      <c r="G719" s="10" t="s">
        <v>2106</v>
      </c>
      <c r="H719" s="10" t="s">
        <v>2107</v>
      </c>
      <c r="I719" s="10" t="s">
        <v>2022</v>
      </c>
    </row>
    <row r="720" spans="1:9" x14ac:dyDescent="0.15">
      <c r="A720" s="9">
        <v>719</v>
      </c>
      <c r="B720" s="10" t="s">
        <v>9</v>
      </c>
      <c r="C720" s="10" t="s">
        <v>126</v>
      </c>
      <c r="D720" s="10" t="s">
        <v>127</v>
      </c>
      <c r="E720" s="11" t="str">
        <f>+HYPERLINK("http://trademark.i-assist.jp/data/china/image_1899th/78817501.pdf", "78817501")</f>
        <v>78817501</v>
      </c>
      <c r="F720" s="10" t="s">
        <v>2108</v>
      </c>
      <c r="G720" s="10" t="s">
        <v>2109</v>
      </c>
      <c r="H720" s="10" t="s">
        <v>2110</v>
      </c>
      <c r="I720" s="10" t="s">
        <v>2022</v>
      </c>
    </row>
    <row r="721" spans="1:9" x14ac:dyDescent="0.15">
      <c r="A721" s="9">
        <v>720</v>
      </c>
      <c r="B721" s="10" t="s">
        <v>9</v>
      </c>
      <c r="C721" s="10" t="s">
        <v>126</v>
      </c>
      <c r="D721" s="10" t="s">
        <v>127</v>
      </c>
      <c r="E721" s="11" t="str">
        <f>+HYPERLINK("http://trademark.i-assist.jp/data/china/image_1899th/78819120.pdf", "78819120")</f>
        <v>78819120</v>
      </c>
      <c r="F721" s="10" t="s">
        <v>2111</v>
      </c>
      <c r="G721" s="10" t="s">
        <v>2112</v>
      </c>
      <c r="H721" s="10" t="s">
        <v>2113</v>
      </c>
      <c r="I721" s="10" t="s">
        <v>2022</v>
      </c>
    </row>
    <row r="722" spans="1:9" x14ac:dyDescent="0.15">
      <c r="A722" s="9">
        <v>721</v>
      </c>
      <c r="B722" s="10" t="s">
        <v>9</v>
      </c>
      <c r="C722" s="10" t="s">
        <v>126</v>
      </c>
      <c r="D722" s="10" t="s">
        <v>127</v>
      </c>
      <c r="E722" s="11" t="str">
        <f>+HYPERLINK("http://trademark.i-assist.jp/data/china/image_1899th/78819490.pdf", "78819490")</f>
        <v>78819490</v>
      </c>
      <c r="F722" s="10" t="s">
        <v>2114</v>
      </c>
      <c r="G722" s="10" t="s">
        <v>2115</v>
      </c>
      <c r="H722" s="10" t="s">
        <v>2116</v>
      </c>
      <c r="I722" s="10" t="s">
        <v>2022</v>
      </c>
    </row>
    <row r="723" spans="1:9" x14ac:dyDescent="0.15">
      <c r="A723" s="9">
        <v>722</v>
      </c>
      <c r="B723" s="10" t="s">
        <v>9</v>
      </c>
      <c r="C723" s="10" t="s">
        <v>126</v>
      </c>
      <c r="D723" s="10" t="s">
        <v>127</v>
      </c>
      <c r="E723" s="11" t="str">
        <f>+HYPERLINK("http://trademark.i-assist.jp/data/china/image_1899th/78820437.pdf", "78820437")</f>
        <v>78820437</v>
      </c>
      <c r="F723" s="10" t="s">
        <v>2117</v>
      </c>
      <c r="G723" s="10" t="s">
        <v>2118</v>
      </c>
      <c r="H723" s="10" t="s">
        <v>2119</v>
      </c>
      <c r="I723" s="10" t="s">
        <v>2022</v>
      </c>
    </row>
    <row r="724" spans="1:9" x14ac:dyDescent="0.15">
      <c r="A724" s="9">
        <v>723</v>
      </c>
      <c r="B724" s="10" t="s">
        <v>9</v>
      </c>
      <c r="C724" s="10" t="s">
        <v>126</v>
      </c>
      <c r="D724" s="10" t="s">
        <v>127</v>
      </c>
      <c r="E724" s="11" t="str">
        <f>+HYPERLINK("http://trademark.i-assist.jp/data/china/image_1899th/78821407.pdf", "78821407")</f>
        <v>78821407</v>
      </c>
      <c r="F724" s="10" t="s">
        <v>2120</v>
      </c>
      <c r="G724" s="10" t="s">
        <v>2121</v>
      </c>
      <c r="H724" s="10" t="s">
        <v>2122</v>
      </c>
      <c r="I724" s="10" t="s">
        <v>2022</v>
      </c>
    </row>
    <row r="725" spans="1:9" x14ac:dyDescent="0.15">
      <c r="A725" s="9">
        <v>724</v>
      </c>
      <c r="B725" s="10" t="s">
        <v>9</v>
      </c>
      <c r="C725" s="10" t="s">
        <v>126</v>
      </c>
      <c r="D725" s="10" t="s">
        <v>127</v>
      </c>
      <c r="E725" s="11" t="str">
        <f>+HYPERLINK("http://trademark.i-assist.jp/data/china/image_1899th/78821830.pdf", "78821830")</f>
        <v>78821830</v>
      </c>
      <c r="F725" s="10" t="s">
        <v>2123</v>
      </c>
      <c r="G725" s="10" t="s">
        <v>2124</v>
      </c>
      <c r="H725" s="10" t="s">
        <v>2125</v>
      </c>
      <c r="I725" s="10" t="s">
        <v>2022</v>
      </c>
    </row>
    <row r="726" spans="1:9" x14ac:dyDescent="0.15">
      <c r="A726" s="9">
        <v>725</v>
      </c>
      <c r="B726" s="10" t="s">
        <v>9</v>
      </c>
      <c r="C726" s="10" t="s">
        <v>126</v>
      </c>
      <c r="D726" s="10" t="s">
        <v>127</v>
      </c>
      <c r="E726" s="11" t="str">
        <f>+HYPERLINK("http://trademark.i-assist.jp/data/china/image_1899th/78822081.pdf", "78822081")</f>
        <v>78822081</v>
      </c>
      <c r="F726" s="10" t="s">
        <v>2126</v>
      </c>
      <c r="G726" s="10" t="s">
        <v>2068</v>
      </c>
      <c r="H726" s="10" t="s">
        <v>2127</v>
      </c>
      <c r="I726" s="10" t="s">
        <v>2022</v>
      </c>
    </row>
    <row r="727" spans="1:9" x14ac:dyDescent="0.15">
      <c r="A727" s="9">
        <v>726</v>
      </c>
      <c r="B727" s="10" t="s">
        <v>9</v>
      </c>
      <c r="C727" s="10" t="s">
        <v>126</v>
      </c>
      <c r="D727" s="10" t="s">
        <v>127</v>
      </c>
      <c r="E727" s="11" t="str">
        <f>+HYPERLINK("http://trademark.i-assist.jp/data/china/image_1899th/78824968.pdf", "78824968")</f>
        <v>78824968</v>
      </c>
      <c r="F727" s="10" t="s">
        <v>15</v>
      </c>
      <c r="G727" s="10" t="s">
        <v>2128</v>
      </c>
      <c r="H727" s="10" t="s">
        <v>2129</v>
      </c>
      <c r="I727" s="10" t="s">
        <v>2022</v>
      </c>
    </row>
    <row r="728" spans="1:9" x14ac:dyDescent="0.15">
      <c r="A728" s="9">
        <v>727</v>
      </c>
      <c r="B728" s="10" t="s">
        <v>9</v>
      </c>
      <c r="C728" s="10" t="s">
        <v>126</v>
      </c>
      <c r="D728" s="10" t="s">
        <v>127</v>
      </c>
      <c r="E728" s="11" t="str">
        <f>+HYPERLINK("http://trademark.i-assist.jp/data/china/image_1899th/78827080.pdf", "78827080")</f>
        <v>78827080</v>
      </c>
      <c r="F728" s="10" t="s">
        <v>2130</v>
      </c>
      <c r="G728" s="10" t="s">
        <v>2068</v>
      </c>
      <c r="H728" s="10" t="s">
        <v>2131</v>
      </c>
      <c r="I728" s="10" t="s">
        <v>2022</v>
      </c>
    </row>
    <row r="729" spans="1:9" x14ac:dyDescent="0.15">
      <c r="A729" s="9">
        <v>728</v>
      </c>
      <c r="B729" s="10" t="s">
        <v>9</v>
      </c>
      <c r="C729" s="10" t="s">
        <v>126</v>
      </c>
      <c r="D729" s="10" t="s">
        <v>127</v>
      </c>
      <c r="E729" s="11" t="str">
        <f>+HYPERLINK("http://trademark.i-assist.jp/data/china/image_1899th/78827142.pdf", "78827142")</f>
        <v>78827142</v>
      </c>
      <c r="F729" s="10" t="s">
        <v>2132</v>
      </c>
      <c r="G729" s="10" t="s">
        <v>2068</v>
      </c>
      <c r="H729" s="10" t="s">
        <v>2133</v>
      </c>
      <c r="I729" s="10" t="s">
        <v>2022</v>
      </c>
    </row>
    <row r="730" spans="1:9" x14ac:dyDescent="0.15">
      <c r="A730" s="9">
        <v>729</v>
      </c>
      <c r="B730" s="10" t="s">
        <v>9</v>
      </c>
      <c r="C730" s="10" t="s">
        <v>126</v>
      </c>
      <c r="D730" s="10" t="s">
        <v>127</v>
      </c>
      <c r="E730" s="11" t="str">
        <f>+HYPERLINK("http://trademark.i-assist.jp/data/china/image_1899th/78827715.pdf", "78827715")</f>
        <v>78827715</v>
      </c>
      <c r="F730" s="10" t="s">
        <v>15</v>
      </c>
      <c r="G730" s="10" t="s">
        <v>2134</v>
      </c>
      <c r="H730" s="10" t="s">
        <v>2135</v>
      </c>
      <c r="I730" s="10" t="s">
        <v>2136</v>
      </c>
    </row>
    <row r="731" spans="1:9" x14ac:dyDescent="0.15">
      <c r="A731" s="9">
        <v>730</v>
      </c>
      <c r="B731" s="10" t="s">
        <v>9</v>
      </c>
      <c r="C731" s="10" t="s">
        <v>126</v>
      </c>
      <c r="D731" s="10" t="s">
        <v>127</v>
      </c>
      <c r="E731" s="11" t="str">
        <f>+HYPERLINK("http://trademark.i-assist.jp/data/china/image_1899th/78829811.pdf", "78829811")</f>
        <v>78829811</v>
      </c>
      <c r="F731" s="10" t="s">
        <v>2137</v>
      </c>
      <c r="G731" s="10" t="s">
        <v>2138</v>
      </c>
      <c r="H731" s="10" t="s">
        <v>2139</v>
      </c>
      <c r="I731" s="10" t="s">
        <v>2136</v>
      </c>
    </row>
    <row r="732" spans="1:9" x14ac:dyDescent="0.15">
      <c r="A732" s="9">
        <v>731</v>
      </c>
      <c r="B732" s="10" t="s">
        <v>9</v>
      </c>
      <c r="C732" s="10" t="s">
        <v>126</v>
      </c>
      <c r="D732" s="10" t="s">
        <v>127</v>
      </c>
      <c r="E732" s="11" t="str">
        <f>+HYPERLINK("http://trademark.i-assist.jp/data/china/image_1899th/78835080.pdf", "78835080")</f>
        <v>78835080</v>
      </c>
      <c r="F732" s="10" t="s">
        <v>2140</v>
      </c>
      <c r="G732" s="10" t="s">
        <v>2141</v>
      </c>
      <c r="H732" s="10" t="s">
        <v>2142</v>
      </c>
      <c r="I732" s="10" t="s">
        <v>2143</v>
      </c>
    </row>
    <row r="733" spans="1:9" x14ac:dyDescent="0.15">
      <c r="A733" s="9">
        <v>732</v>
      </c>
      <c r="B733" s="10" t="s">
        <v>9</v>
      </c>
      <c r="C733" s="10" t="s">
        <v>126</v>
      </c>
      <c r="D733" s="10" t="s">
        <v>127</v>
      </c>
      <c r="E733" s="11" t="str">
        <f>+HYPERLINK("http://trademark.i-assist.jp/data/china/image_1899th/78835116.pdf", "78835116")</f>
        <v>78835116</v>
      </c>
      <c r="F733" s="10" t="s">
        <v>2144</v>
      </c>
      <c r="G733" s="10" t="s">
        <v>2145</v>
      </c>
      <c r="H733" s="10" t="s">
        <v>2146</v>
      </c>
      <c r="I733" s="10" t="s">
        <v>2143</v>
      </c>
    </row>
    <row r="734" spans="1:9" x14ac:dyDescent="0.15">
      <c r="A734" s="9">
        <v>733</v>
      </c>
      <c r="B734" s="10" t="s">
        <v>9</v>
      </c>
      <c r="C734" s="10" t="s">
        <v>126</v>
      </c>
      <c r="D734" s="10" t="s">
        <v>127</v>
      </c>
      <c r="E734" s="11" t="str">
        <f>+HYPERLINK("http://trademark.i-assist.jp/data/china/image_1899th/78838191.pdf", "78838191")</f>
        <v>78838191</v>
      </c>
      <c r="F734" s="10" t="s">
        <v>2147</v>
      </c>
      <c r="G734" s="10" t="s">
        <v>2148</v>
      </c>
      <c r="H734" s="10" t="s">
        <v>2149</v>
      </c>
      <c r="I734" s="10" t="s">
        <v>2150</v>
      </c>
    </row>
    <row r="735" spans="1:9" x14ac:dyDescent="0.15">
      <c r="A735" s="9">
        <v>734</v>
      </c>
      <c r="B735" s="10" t="s">
        <v>9</v>
      </c>
      <c r="C735" s="10" t="s">
        <v>126</v>
      </c>
      <c r="D735" s="10" t="s">
        <v>127</v>
      </c>
      <c r="E735" s="11" t="str">
        <f>+HYPERLINK("http://trademark.i-assist.jp/data/china/image_1899th/78839122.pdf", "78839122")</f>
        <v>78839122</v>
      </c>
      <c r="F735" s="10" t="s">
        <v>2151</v>
      </c>
      <c r="G735" s="10" t="s">
        <v>2152</v>
      </c>
      <c r="H735" s="10" t="s">
        <v>2153</v>
      </c>
      <c r="I735" s="10" t="s">
        <v>2150</v>
      </c>
    </row>
    <row r="736" spans="1:9" x14ac:dyDescent="0.15">
      <c r="A736" s="9">
        <v>735</v>
      </c>
      <c r="B736" s="10" t="s">
        <v>9</v>
      </c>
      <c r="C736" s="10" t="s">
        <v>126</v>
      </c>
      <c r="D736" s="10" t="s">
        <v>127</v>
      </c>
      <c r="E736" s="11" t="str">
        <f>+HYPERLINK("http://trademark.i-assist.jp/data/china/image_1899th/78839332.pdf", "78839332")</f>
        <v>78839332</v>
      </c>
      <c r="F736" s="10" t="s">
        <v>2154</v>
      </c>
      <c r="G736" s="10" t="s">
        <v>2155</v>
      </c>
      <c r="H736" s="10" t="s">
        <v>2156</v>
      </c>
      <c r="I736" s="10" t="s">
        <v>2150</v>
      </c>
    </row>
    <row r="737" spans="1:9" x14ac:dyDescent="0.15">
      <c r="A737" s="9">
        <v>736</v>
      </c>
      <c r="B737" s="10" t="s">
        <v>9</v>
      </c>
      <c r="C737" s="10" t="s">
        <v>126</v>
      </c>
      <c r="D737" s="10" t="s">
        <v>127</v>
      </c>
      <c r="E737" s="11" t="str">
        <f>+HYPERLINK("http://trademark.i-assist.jp/data/china/image_1899th/78839386.pdf", "78839386")</f>
        <v>78839386</v>
      </c>
      <c r="F737" s="10" t="s">
        <v>2157</v>
      </c>
      <c r="G737" s="10" t="s">
        <v>2158</v>
      </c>
      <c r="H737" s="10" t="s">
        <v>2159</v>
      </c>
      <c r="I737" s="10" t="s">
        <v>2150</v>
      </c>
    </row>
    <row r="738" spans="1:9" x14ac:dyDescent="0.15">
      <c r="A738" s="9">
        <v>737</v>
      </c>
      <c r="B738" s="10" t="s">
        <v>9</v>
      </c>
      <c r="C738" s="10" t="s">
        <v>126</v>
      </c>
      <c r="D738" s="10" t="s">
        <v>127</v>
      </c>
      <c r="E738" s="11" t="str">
        <f>+HYPERLINK("http://trademark.i-assist.jp/data/china/image_1899th/78839697.pdf", "78839697")</f>
        <v>78839697</v>
      </c>
      <c r="F738" s="10" t="s">
        <v>2160</v>
      </c>
      <c r="G738" s="10" t="s">
        <v>2161</v>
      </c>
      <c r="H738" s="10" t="s">
        <v>2162</v>
      </c>
      <c r="I738" s="10" t="s">
        <v>2150</v>
      </c>
    </row>
    <row r="739" spans="1:9" x14ac:dyDescent="0.15">
      <c r="A739" s="9">
        <v>738</v>
      </c>
      <c r="B739" s="10" t="s">
        <v>9</v>
      </c>
      <c r="C739" s="10" t="s">
        <v>126</v>
      </c>
      <c r="D739" s="10" t="s">
        <v>127</v>
      </c>
      <c r="E739" s="11" t="str">
        <f>+HYPERLINK("http://trademark.i-assist.jp/data/china/image_1899th/78839789.pdf", "78839789")</f>
        <v>78839789</v>
      </c>
      <c r="F739" s="10" t="s">
        <v>15</v>
      </c>
      <c r="G739" s="10" t="s">
        <v>2163</v>
      </c>
      <c r="H739" s="10" t="s">
        <v>2164</v>
      </c>
      <c r="I739" s="10" t="s">
        <v>2150</v>
      </c>
    </row>
    <row r="740" spans="1:9" x14ac:dyDescent="0.15">
      <c r="A740" s="9">
        <v>739</v>
      </c>
      <c r="B740" s="10" t="s">
        <v>9</v>
      </c>
      <c r="C740" s="10" t="s">
        <v>126</v>
      </c>
      <c r="D740" s="10" t="s">
        <v>127</v>
      </c>
      <c r="E740" s="11" t="str">
        <f>+HYPERLINK("http://trademark.i-assist.jp/data/china/image_1899th/78839813.pdf", "78839813")</f>
        <v>78839813</v>
      </c>
      <c r="F740" s="10" t="s">
        <v>2165</v>
      </c>
      <c r="G740" s="10" t="s">
        <v>2166</v>
      </c>
      <c r="H740" s="10" t="s">
        <v>2167</v>
      </c>
      <c r="I740" s="10" t="s">
        <v>2150</v>
      </c>
    </row>
    <row r="741" spans="1:9" x14ac:dyDescent="0.15">
      <c r="A741" s="9">
        <v>740</v>
      </c>
      <c r="B741" s="10" t="s">
        <v>9</v>
      </c>
      <c r="C741" s="10" t="s">
        <v>126</v>
      </c>
      <c r="D741" s="10" t="s">
        <v>127</v>
      </c>
      <c r="E741" s="11" t="str">
        <f>+HYPERLINK("http://trademark.i-assist.jp/data/china/image_1899th/78839980.pdf", "78839980")</f>
        <v>78839980</v>
      </c>
      <c r="F741" s="10" t="s">
        <v>2168</v>
      </c>
      <c r="G741" s="10" t="s">
        <v>2169</v>
      </c>
      <c r="H741" s="10" t="s">
        <v>2170</v>
      </c>
      <c r="I741" s="10" t="s">
        <v>2150</v>
      </c>
    </row>
    <row r="742" spans="1:9" x14ac:dyDescent="0.15">
      <c r="A742" s="9">
        <v>741</v>
      </c>
      <c r="B742" s="10" t="s">
        <v>9</v>
      </c>
      <c r="C742" s="10" t="s">
        <v>126</v>
      </c>
      <c r="D742" s="10" t="s">
        <v>127</v>
      </c>
      <c r="E742" s="11" t="str">
        <f>+HYPERLINK("http://trademark.i-assist.jp/data/china/image_1899th/78840243.pdf", "78840243")</f>
        <v>78840243</v>
      </c>
      <c r="F742" s="10" t="s">
        <v>2171</v>
      </c>
      <c r="G742" s="10" t="s">
        <v>2172</v>
      </c>
      <c r="H742" s="10" t="s">
        <v>2173</v>
      </c>
      <c r="I742" s="10" t="s">
        <v>2150</v>
      </c>
    </row>
    <row r="743" spans="1:9" x14ac:dyDescent="0.15">
      <c r="A743" s="9">
        <v>742</v>
      </c>
      <c r="B743" s="10" t="s">
        <v>9</v>
      </c>
      <c r="C743" s="10" t="s">
        <v>126</v>
      </c>
      <c r="D743" s="10" t="s">
        <v>127</v>
      </c>
      <c r="E743" s="11" t="str">
        <f>+HYPERLINK("http://trademark.i-assist.jp/data/china/image_1899th/78840394.pdf", "78840394")</f>
        <v>78840394</v>
      </c>
      <c r="F743" s="10" t="s">
        <v>2174</v>
      </c>
      <c r="G743" s="10" t="s">
        <v>2175</v>
      </c>
      <c r="H743" s="10" t="s">
        <v>2176</v>
      </c>
      <c r="I743" s="10" t="s">
        <v>2150</v>
      </c>
    </row>
    <row r="744" spans="1:9" x14ac:dyDescent="0.15">
      <c r="A744" s="9">
        <v>743</v>
      </c>
      <c r="B744" s="10" t="s">
        <v>9</v>
      </c>
      <c r="C744" s="10" t="s">
        <v>126</v>
      </c>
      <c r="D744" s="10" t="s">
        <v>127</v>
      </c>
      <c r="E744" s="11" t="str">
        <f>+HYPERLINK("http://trademark.i-assist.jp/data/china/image_1899th/78840405.pdf", "78840405")</f>
        <v>78840405</v>
      </c>
      <c r="F744" s="10" t="s">
        <v>15</v>
      </c>
      <c r="G744" s="10" t="s">
        <v>2177</v>
      </c>
      <c r="H744" s="10" t="s">
        <v>2178</v>
      </c>
      <c r="I744" s="10" t="s">
        <v>2150</v>
      </c>
    </row>
    <row r="745" spans="1:9" x14ac:dyDescent="0.15">
      <c r="A745" s="9">
        <v>744</v>
      </c>
      <c r="B745" s="10" t="s">
        <v>9</v>
      </c>
      <c r="C745" s="10" t="s">
        <v>126</v>
      </c>
      <c r="D745" s="10" t="s">
        <v>127</v>
      </c>
      <c r="E745" s="11" t="str">
        <f>+HYPERLINK("http://trademark.i-assist.jp/data/china/image_1899th/78840584.pdf", "78840584")</f>
        <v>78840584</v>
      </c>
      <c r="F745" s="10" t="s">
        <v>2179</v>
      </c>
      <c r="G745" s="10" t="s">
        <v>2180</v>
      </c>
      <c r="H745" s="10" t="s">
        <v>2181</v>
      </c>
      <c r="I745" s="10" t="s">
        <v>2150</v>
      </c>
    </row>
    <row r="746" spans="1:9" x14ac:dyDescent="0.15">
      <c r="A746" s="9">
        <v>745</v>
      </c>
      <c r="B746" s="10" t="s">
        <v>9</v>
      </c>
      <c r="C746" s="10" t="s">
        <v>126</v>
      </c>
      <c r="D746" s="10" t="s">
        <v>127</v>
      </c>
      <c r="E746" s="11" t="str">
        <f>+HYPERLINK("http://trademark.i-assist.jp/data/china/image_1899th/78841005.pdf", "78841005")</f>
        <v>78841005</v>
      </c>
      <c r="F746" s="10" t="s">
        <v>2182</v>
      </c>
      <c r="G746" s="10" t="s">
        <v>2183</v>
      </c>
      <c r="H746" s="10" t="s">
        <v>2184</v>
      </c>
      <c r="I746" s="10" t="s">
        <v>2150</v>
      </c>
    </row>
    <row r="747" spans="1:9" x14ac:dyDescent="0.15">
      <c r="A747" s="9">
        <v>746</v>
      </c>
      <c r="B747" s="10" t="s">
        <v>9</v>
      </c>
      <c r="C747" s="10" t="s">
        <v>126</v>
      </c>
      <c r="D747" s="10" t="s">
        <v>127</v>
      </c>
      <c r="E747" s="11" t="str">
        <f>+HYPERLINK("http://trademark.i-assist.jp/data/china/image_1899th/78841407.pdf", "78841407")</f>
        <v>78841407</v>
      </c>
      <c r="F747" s="10" t="s">
        <v>2185</v>
      </c>
      <c r="G747" s="10" t="s">
        <v>2186</v>
      </c>
      <c r="H747" s="10" t="s">
        <v>2187</v>
      </c>
      <c r="I747" s="10" t="s">
        <v>2150</v>
      </c>
    </row>
    <row r="748" spans="1:9" x14ac:dyDescent="0.15">
      <c r="A748" s="9">
        <v>747</v>
      </c>
      <c r="B748" s="10" t="s">
        <v>9</v>
      </c>
      <c r="C748" s="10" t="s">
        <v>126</v>
      </c>
      <c r="D748" s="10" t="s">
        <v>127</v>
      </c>
      <c r="E748" s="11" t="str">
        <f>+HYPERLINK("http://trademark.i-assist.jp/data/china/image_1899th/78841536.pdf", "78841536")</f>
        <v>78841536</v>
      </c>
      <c r="F748" s="10" t="s">
        <v>15</v>
      </c>
      <c r="G748" s="10" t="s">
        <v>2188</v>
      </c>
      <c r="H748" s="10" t="s">
        <v>2189</v>
      </c>
      <c r="I748" s="10" t="s">
        <v>2150</v>
      </c>
    </row>
    <row r="749" spans="1:9" x14ac:dyDescent="0.15">
      <c r="A749" s="9">
        <v>748</v>
      </c>
      <c r="B749" s="10" t="s">
        <v>9</v>
      </c>
      <c r="C749" s="10" t="s">
        <v>126</v>
      </c>
      <c r="D749" s="10" t="s">
        <v>127</v>
      </c>
      <c r="E749" s="11" t="str">
        <f>+HYPERLINK("http://trademark.i-assist.jp/data/china/image_1899th/78841718.pdf", "78841718")</f>
        <v>78841718</v>
      </c>
      <c r="F749" s="10" t="s">
        <v>15</v>
      </c>
      <c r="G749" s="10" t="s">
        <v>2190</v>
      </c>
      <c r="H749" s="10" t="s">
        <v>2191</v>
      </c>
      <c r="I749" s="10" t="s">
        <v>2150</v>
      </c>
    </row>
    <row r="750" spans="1:9" x14ac:dyDescent="0.15">
      <c r="A750" s="9">
        <v>749</v>
      </c>
      <c r="B750" s="10" t="s">
        <v>9</v>
      </c>
      <c r="C750" s="10" t="s">
        <v>126</v>
      </c>
      <c r="D750" s="10" t="s">
        <v>127</v>
      </c>
      <c r="E750" s="11" t="str">
        <f>+HYPERLINK("http://trademark.i-assist.jp/data/china/image_1899th/78842497.pdf", "78842497")</f>
        <v>78842497</v>
      </c>
      <c r="F750" s="10" t="s">
        <v>2192</v>
      </c>
      <c r="G750" s="10" t="s">
        <v>2166</v>
      </c>
      <c r="H750" s="10" t="s">
        <v>2193</v>
      </c>
      <c r="I750" s="10" t="s">
        <v>2150</v>
      </c>
    </row>
    <row r="751" spans="1:9" x14ac:dyDescent="0.15">
      <c r="A751" s="9">
        <v>750</v>
      </c>
      <c r="B751" s="10" t="s">
        <v>9</v>
      </c>
      <c r="C751" s="10" t="s">
        <v>126</v>
      </c>
      <c r="D751" s="10" t="s">
        <v>127</v>
      </c>
      <c r="E751" s="11" t="str">
        <f>+HYPERLINK("http://trademark.i-assist.jp/data/china/image_1899th/78842505.pdf", "78842505")</f>
        <v>78842505</v>
      </c>
      <c r="F751" s="10" t="s">
        <v>2194</v>
      </c>
      <c r="G751" s="10" t="s">
        <v>2166</v>
      </c>
      <c r="H751" s="10" t="s">
        <v>2195</v>
      </c>
      <c r="I751" s="10" t="s">
        <v>2150</v>
      </c>
    </row>
    <row r="752" spans="1:9" x14ac:dyDescent="0.15">
      <c r="A752" s="9">
        <v>751</v>
      </c>
      <c r="B752" s="10" t="s">
        <v>9</v>
      </c>
      <c r="C752" s="10" t="s">
        <v>126</v>
      </c>
      <c r="D752" s="10" t="s">
        <v>127</v>
      </c>
      <c r="E752" s="11" t="str">
        <f>+HYPERLINK("http://trademark.i-assist.jp/data/china/image_1899th/78842790.pdf", "78842790")</f>
        <v>78842790</v>
      </c>
      <c r="F752" s="10" t="s">
        <v>2196</v>
      </c>
      <c r="G752" s="10" t="s">
        <v>2148</v>
      </c>
      <c r="H752" s="10" t="s">
        <v>2197</v>
      </c>
      <c r="I752" s="10" t="s">
        <v>2150</v>
      </c>
    </row>
    <row r="753" spans="1:9" x14ac:dyDescent="0.15">
      <c r="A753" s="9">
        <v>752</v>
      </c>
      <c r="B753" s="10" t="s">
        <v>9</v>
      </c>
      <c r="C753" s="10" t="s">
        <v>126</v>
      </c>
      <c r="D753" s="10" t="s">
        <v>127</v>
      </c>
      <c r="E753" s="11" t="str">
        <f>+HYPERLINK("http://trademark.i-assist.jp/data/china/image_1899th/78843205.pdf", "78843205")</f>
        <v>78843205</v>
      </c>
      <c r="F753" s="10" t="s">
        <v>2198</v>
      </c>
      <c r="G753" s="10" t="s">
        <v>2199</v>
      </c>
      <c r="H753" s="10" t="s">
        <v>2200</v>
      </c>
      <c r="I753" s="10" t="s">
        <v>2150</v>
      </c>
    </row>
    <row r="754" spans="1:9" x14ac:dyDescent="0.15">
      <c r="A754" s="9">
        <v>753</v>
      </c>
      <c r="B754" s="10" t="s">
        <v>9</v>
      </c>
      <c r="C754" s="10" t="s">
        <v>126</v>
      </c>
      <c r="D754" s="10" t="s">
        <v>127</v>
      </c>
      <c r="E754" s="11" t="str">
        <f>+HYPERLINK("http://trademark.i-assist.jp/data/china/image_1899th/78843333.pdf", "78843333")</f>
        <v>78843333</v>
      </c>
      <c r="F754" s="10" t="s">
        <v>2201</v>
      </c>
      <c r="G754" s="10" t="s">
        <v>2202</v>
      </c>
      <c r="H754" s="10" t="s">
        <v>2203</v>
      </c>
      <c r="I754" s="10" t="s">
        <v>2150</v>
      </c>
    </row>
    <row r="755" spans="1:9" x14ac:dyDescent="0.15">
      <c r="A755" s="9">
        <v>754</v>
      </c>
      <c r="B755" s="10" t="s">
        <v>9</v>
      </c>
      <c r="C755" s="10" t="s">
        <v>126</v>
      </c>
      <c r="D755" s="10" t="s">
        <v>127</v>
      </c>
      <c r="E755" s="11" t="str">
        <f>+HYPERLINK("http://trademark.i-assist.jp/data/china/image_1899th/78843378.pdf", "78843378")</f>
        <v>78843378</v>
      </c>
      <c r="F755" s="10" t="s">
        <v>2204</v>
      </c>
      <c r="G755" s="10" t="s">
        <v>2166</v>
      </c>
      <c r="H755" s="10" t="s">
        <v>2205</v>
      </c>
      <c r="I755" s="10" t="s">
        <v>2150</v>
      </c>
    </row>
    <row r="756" spans="1:9" x14ac:dyDescent="0.15">
      <c r="A756" s="9">
        <v>755</v>
      </c>
      <c r="B756" s="10" t="s">
        <v>9</v>
      </c>
      <c r="C756" s="10" t="s">
        <v>126</v>
      </c>
      <c r="D756" s="10" t="s">
        <v>127</v>
      </c>
      <c r="E756" s="11" t="str">
        <f>+HYPERLINK("http://trademark.i-assist.jp/data/china/image_1899th/78843678.pdf", "78843678")</f>
        <v>78843678</v>
      </c>
      <c r="F756" s="10" t="s">
        <v>2206</v>
      </c>
      <c r="G756" s="10" t="s">
        <v>2207</v>
      </c>
      <c r="H756" s="10" t="s">
        <v>2208</v>
      </c>
      <c r="I756" s="10" t="s">
        <v>2150</v>
      </c>
    </row>
    <row r="757" spans="1:9" x14ac:dyDescent="0.15">
      <c r="A757" s="9">
        <v>756</v>
      </c>
      <c r="B757" s="10" t="s">
        <v>9</v>
      </c>
      <c r="C757" s="10" t="s">
        <v>126</v>
      </c>
      <c r="D757" s="10" t="s">
        <v>127</v>
      </c>
      <c r="E757" s="11" t="str">
        <f>+HYPERLINK("http://trademark.i-assist.jp/data/china/image_1899th/78843738.pdf", "78843738")</f>
        <v>78843738</v>
      </c>
      <c r="F757" s="10" t="s">
        <v>2209</v>
      </c>
      <c r="G757" s="10" t="s">
        <v>2210</v>
      </c>
      <c r="H757" s="10" t="s">
        <v>2211</v>
      </c>
      <c r="I757" s="10" t="s">
        <v>2150</v>
      </c>
    </row>
    <row r="758" spans="1:9" x14ac:dyDescent="0.15">
      <c r="A758" s="9">
        <v>757</v>
      </c>
      <c r="B758" s="10" t="s">
        <v>9</v>
      </c>
      <c r="C758" s="10" t="s">
        <v>126</v>
      </c>
      <c r="D758" s="10" t="s">
        <v>127</v>
      </c>
      <c r="E758" s="11" t="str">
        <f>+HYPERLINK("http://trademark.i-assist.jp/data/china/image_1899th/78844207.pdf", "78844207")</f>
        <v>78844207</v>
      </c>
      <c r="F758" s="10" t="s">
        <v>2212</v>
      </c>
      <c r="G758" s="10" t="s">
        <v>2213</v>
      </c>
      <c r="H758" s="10" t="s">
        <v>2214</v>
      </c>
      <c r="I758" s="10" t="s">
        <v>2150</v>
      </c>
    </row>
    <row r="759" spans="1:9" x14ac:dyDescent="0.15">
      <c r="A759" s="9">
        <v>758</v>
      </c>
      <c r="B759" s="10" t="s">
        <v>9</v>
      </c>
      <c r="C759" s="10" t="s">
        <v>126</v>
      </c>
      <c r="D759" s="10" t="s">
        <v>127</v>
      </c>
      <c r="E759" s="11" t="str">
        <f>+HYPERLINK("http://trademark.i-assist.jp/data/china/image_1899th/78844631.pdf", "78844631")</f>
        <v>78844631</v>
      </c>
      <c r="F759" s="10" t="s">
        <v>2215</v>
      </c>
      <c r="G759" s="10" t="s">
        <v>2166</v>
      </c>
      <c r="H759" s="10" t="s">
        <v>2216</v>
      </c>
      <c r="I759" s="10" t="s">
        <v>2150</v>
      </c>
    </row>
    <row r="760" spans="1:9" x14ac:dyDescent="0.15">
      <c r="A760" s="9">
        <v>759</v>
      </c>
      <c r="B760" s="10" t="s">
        <v>9</v>
      </c>
      <c r="C760" s="10" t="s">
        <v>126</v>
      </c>
      <c r="D760" s="10" t="s">
        <v>127</v>
      </c>
      <c r="E760" s="11" t="str">
        <f>+HYPERLINK("http://trademark.i-assist.jp/data/china/image_1899th/78844641.pdf", "78844641")</f>
        <v>78844641</v>
      </c>
      <c r="F760" s="10" t="s">
        <v>2217</v>
      </c>
      <c r="G760" s="10" t="s">
        <v>2166</v>
      </c>
      <c r="H760" s="10" t="s">
        <v>2218</v>
      </c>
      <c r="I760" s="10" t="s">
        <v>2150</v>
      </c>
    </row>
    <row r="761" spans="1:9" x14ac:dyDescent="0.15">
      <c r="A761" s="9">
        <v>760</v>
      </c>
      <c r="B761" s="10" t="s">
        <v>9</v>
      </c>
      <c r="C761" s="10" t="s">
        <v>126</v>
      </c>
      <c r="D761" s="10" t="s">
        <v>127</v>
      </c>
      <c r="E761" s="11" t="str">
        <f>+HYPERLINK("http://trademark.i-assist.jp/data/china/image_1899th/78844690.pdf", "78844690")</f>
        <v>78844690</v>
      </c>
      <c r="F761" s="10" t="s">
        <v>2219</v>
      </c>
      <c r="G761" s="10" t="s">
        <v>2166</v>
      </c>
      <c r="H761" s="10" t="s">
        <v>2220</v>
      </c>
      <c r="I761" s="10" t="s">
        <v>2150</v>
      </c>
    </row>
    <row r="762" spans="1:9" x14ac:dyDescent="0.15">
      <c r="A762" s="9">
        <v>761</v>
      </c>
      <c r="B762" s="10" t="s">
        <v>9</v>
      </c>
      <c r="C762" s="10" t="s">
        <v>126</v>
      </c>
      <c r="D762" s="10" t="s">
        <v>127</v>
      </c>
      <c r="E762" s="11" t="str">
        <f>+HYPERLINK("http://trademark.i-assist.jp/data/china/image_1899th/78844827.pdf", "78844827")</f>
        <v>78844827</v>
      </c>
      <c r="F762" s="10" t="s">
        <v>2221</v>
      </c>
      <c r="G762" s="10" t="s">
        <v>2222</v>
      </c>
      <c r="H762" s="10" t="s">
        <v>2223</v>
      </c>
      <c r="I762" s="10" t="s">
        <v>2150</v>
      </c>
    </row>
    <row r="763" spans="1:9" x14ac:dyDescent="0.15">
      <c r="A763" s="9">
        <v>762</v>
      </c>
      <c r="B763" s="10" t="s">
        <v>9</v>
      </c>
      <c r="C763" s="10" t="s">
        <v>126</v>
      </c>
      <c r="D763" s="10" t="s">
        <v>127</v>
      </c>
      <c r="E763" s="11" t="str">
        <f>+HYPERLINK("http://trademark.i-assist.jp/data/china/image_1899th/78845545.pdf", "78845545")</f>
        <v>78845545</v>
      </c>
      <c r="F763" s="10" t="s">
        <v>15</v>
      </c>
      <c r="G763" s="10" t="s">
        <v>2224</v>
      </c>
      <c r="H763" s="10" t="s">
        <v>2225</v>
      </c>
      <c r="I763" s="10" t="s">
        <v>2150</v>
      </c>
    </row>
    <row r="764" spans="1:9" x14ac:dyDescent="0.15">
      <c r="A764" s="9">
        <v>763</v>
      </c>
      <c r="B764" s="10" t="s">
        <v>9</v>
      </c>
      <c r="C764" s="10" t="s">
        <v>126</v>
      </c>
      <c r="D764" s="10" t="s">
        <v>127</v>
      </c>
      <c r="E764" s="11" t="str">
        <f>+HYPERLINK("http://trademark.i-assist.jp/data/china/image_1899th/78845654.pdf", "78845654")</f>
        <v>78845654</v>
      </c>
      <c r="F764" s="10" t="s">
        <v>2226</v>
      </c>
      <c r="G764" s="10" t="s">
        <v>2227</v>
      </c>
      <c r="H764" s="10" t="s">
        <v>2228</v>
      </c>
      <c r="I764" s="10" t="s">
        <v>2150</v>
      </c>
    </row>
    <row r="765" spans="1:9" x14ac:dyDescent="0.15">
      <c r="A765" s="9">
        <v>764</v>
      </c>
      <c r="B765" s="10" t="s">
        <v>9</v>
      </c>
      <c r="C765" s="10" t="s">
        <v>126</v>
      </c>
      <c r="D765" s="10" t="s">
        <v>127</v>
      </c>
      <c r="E765" s="11" t="str">
        <f>+HYPERLINK("http://trademark.i-assist.jp/data/china/image_1899th/78845917.pdf", "78845917")</f>
        <v>78845917</v>
      </c>
      <c r="F765" s="10" t="s">
        <v>2229</v>
      </c>
      <c r="G765" s="10" t="s">
        <v>2230</v>
      </c>
      <c r="H765" s="10" t="s">
        <v>2231</v>
      </c>
      <c r="I765" s="10" t="s">
        <v>2150</v>
      </c>
    </row>
    <row r="766" spans="1:9" x14ac:dyDescent="0.15">
      <c r="A766" s="9">
        <v>765</v>
      </c>
      <c r="B766" s="10" t="s">
        <v>9</v>
      </c>
      <c r="C766" s="10" t="s">
        <v>126</v>
      </c>
      <c r="D766" s="10" t="s">
        <v>127</v>
      </c>
      <c r="E766" s="11" t="str">
        <f>+HYPERLINK("http://trademark.i-assist.jp/data/china/image_1899th/78845984.pdf", "78845984")</f>
        <v>78845984</v>
      </c>
      <c r="F766" s="10" t="s">
        <v>2232</v>
      </c>
      <c r="G766" s="10" t="s">
        <v>2233</v>
      </c>
      <c r="H766" s="10" t="s">
        <v>2234</v>
      </c>
      <c r="I766" s="10" t="s">
        <v>2150</v>
      </c>
    </row>
    <row r="767" spans="1:9" x14ac:dyDescent="0.15">
      <c r="A767" s="9">
        <v>766</v>
      </c>
      <c r="B767" s="10" t="s">
        <v>9</v>
      </c>
      <c r="C767" s="10" t="s">
        <v>126</v>
      </c>
      <c r="D767" s="10" t="s">
        <v>127</v>
      </c>
      <c r="E767" s="11" t="str">
        <f>+HYPERLINK("http://trademark.i-assist.jp/data/china/image_1899th/78846142.pdf", "78846142")</f>
        <v>78846142</v>
      </c>
      <c r="F767" s="10" t="s">
        <v>2235</v>
      </c>
      <c r="G767" s="10" t="s">
        <v>2236</v>
      </c>
      <c r="H767" s="10" t="s">
        <v>2237</v>
      </c>
      <c r="I767" s="10" t="s">
        <v>2150</v>
      </c>
    </row>
    <row r="768" spans="1:9" x14ac:dyDescent="0.15">
      <c r="A768" s="9">
        <v>767</v>
      </c>
      <c r="B768" s="10" t="s">
        <v>9</v>
      </c>
      <c r="C768" s="10" t="s">
        <v>126</v>
      </c>
      <c r="D768" s="10" t="s">
        <v>127</v>
      </c>
      <c r="E768" s="11" t="str">
        <f>+HYPERLINK("http://trademark.i-assist.jp/data/china/image_1899th/78846182.pdf", "78846182")</f>
        <v>78846182</v>
      </c>
      <c r="F768" s="10" t="s">
        <v>2238</v>
      </c>
      <c r="G768" s="10" t="s">
        <v>2239</v>
      </c>
      <c r="H768" s="10" t="s">
        <v>2240</v>
      </c>
      <c r="I768" s="10" t="s">
        <v>2150</v>
      </c>
    </row>
    <row r="769" spans="1:9" x14ac:dyDescent="0.15">
      <c r="A769" s="9">
        <v>768</v>
      </c>
      <c r="B769" s="10" t="s">
        <v>9</v>
      </c>
      <c r="C769" s="10" t="s">
        <v>126</v>
      </c>
      <c r="D769" s="10" t="s">
        <v>127</v>
      </c>
      <c r="E769" s="11" t="str">
        <f>+HYPERLINK("http://trademark.i-assist.jp/data/china/image_1899th/78846347.pdf", "78846347")</f>
        <v>78846347</v>
      </c>
      <c r="F769" s="10" t="s">
        <v>2241</v>
      </c>
      <c r="G769" s="10" t="s">
        <v>2242</v>
      </c>
      <c r="H769" s="10" t="s">
        <v>2243</v>
      </c>
      <c r="I769" s="10" t="s">
        <v>2150</v>
      </c>
    </row>
    <row r="770" spans="1:9" x14ac:dyDescent="0.15">
      <c r="A770" s="9">
        <v>769</v>
      </c>
      <c r="B770" s="10" t="s">
        <v>9</v>
      </c>
      <c r="C770" s="10" t="s">
        <v>126</v>
      </c>
      <c r="D770" s="10" t="s">
        <v>127</v>
      </c>
      <c r="E770" s="11" t="str">
        <f>+HYPERLINK("http://trademark.i-assist.jp/data/china/image_1899th/78847062.pdf", "78847062")</f>
        <v>78847062</v>
      </c>
      <c r="F770" s="10" t="s">
        <v>2244</v>
      </c>
      <c r="G770" s="10" t="s">
        <v>2245</v>
      </c>
      <c r="H770" s="10" t="s">
        <v>2246</v>
      </c>
      <c r="I770" s="10" t="s">
        <v>2150</v>
      </c>
    </row>
    <row r="771" spans="1:9" x14ac:dyDescent="0.15">
      <c r="A771" s="9">
        <v>770</v>
      </c>
      <c r="B771" s="10" t="s">
        <v>9</v>
      </c>
      <c r="C771" s="10" t="s">
        <v>126</v>
      </c>
      <c r="D771" s="10" t="s">
        <v>127</v>
      </c>
      <c r="E771" s="11" t="str">
        <f>+HYPERLINK("http://trademark.i-assist.jp/data/china/image_1899th/78847201.pdf", "78847201")</f>
        <v>78847201</v>
      </c>
      <c r="F771" s="10" t="s">
        <v>2247</v>
      </c>
      <c r="G771" s="10" t="s">
        <v>2248</v>
      </c>
      <c r="H771" s="10" t="s">
        <v>2249</v>
      </c>
      <c r="I771" s="10" t="s">
        <v>2150</v>
      </c>
    </row>
    <row r="772" spans="1:9" x14ac:dyDescent="0.15">
      <c r="A772" s="9">
        <v>771</v>
      </c>
      <c r="B772" s="10" t="s">
        <v>9</v>
      </c>
      <c r="C772" s="10" t="s">
        <v>126</v>
      </c>
      <c r="D772" s="10" t="s">
        <v>127</v>
      </c>
      <c r="E772" s="11" t="str">
        <f>+HYPERLINK("http://trademark.i-assist.jp/data/china/image_1899th/78847644.pdf", "78847644")</f>
        <v>78847644</v>
      </c>
      <c r="F772" s="10" t="s">
        <v>2250</v>
      </c>
      <c r="G772" s="10" t="s">
        <v>2251</v>
      </c>
      <c r="H772" s="10" t="s">
        <v>2252</v>
      </c>
      <c r="I772" s="10" t="s">
        <v>2150</v>
      </c>
    </row>
    <row r="773" spans="1:9" x14ac:dyDescent="0.15">
      <c r="A773" s="9">
        <v>772</v>
      </c>
      <c r="B773" s="10" t="s">
        <v>9</v>
      </c>
      <c r="C773" s="10" t="s">
        <v>126</v>
      </c>
      <c r="D773" s="10" t="s">
        <v>127</v>
      </c>
      <c r="E773" s="11" t="str">
        <f>+HYPERLINK("http://trademark.i-assist.jp/data/china/image_1899th/78847974.pdf", "78847974")</f>
        <v>78847974</v>
      </c>
      <c r="F773" s="10" t="s">
        <v>2253</v>
      </c>
      <c r="G773" s="10" t="s">
        <v>2254</v>
      </c>
      <c r="H773" s="10" t="s">
        <v>2255</v>
      </c>
      <c r="I773" s="10" t="s">
        <v>2150</v>
      </c>
    </row>
    <row r="774" spans="1:9" x14ac:dyDescent="0.15">
      <c r="A774" s="9">
        <v>773</v>
      </c>
      <c r="B774" s="10" t="s">
        <v>9</v>
      </c>
      <c r="C774" s="10" t="s">
        <v>126</v>
      </c>
      <c r="D774" s="10" t="s">
        <v>127</v>
      </c>
      <c r="E774" s="11" t="str">
        <f>+HYPERLINK("http://trademark.i-assist.jp/data/china/image_1899th/78848103.pdf", "78848103")</f>
        <v>78848103</v>
      </c>
      <c r="F774" s="10" t="s">
        <v>2256</v>
      </c>
      <c r="G774" s="10" t="s">
        <v>2166</v>
      </c>
      <c r="H774" s="10" t="s">
        <v>2257</v>
      </c>
      <c r="I774" s="10" t="s">
        <v>2150</v>
      </c>
    </row>
    <row r="775" spans="1:9" x14ac:dyDescent="0.15">
      <c r="A775" s="9">
        <v>774</v>
      </c>
      <c r="B775" s="10" t="s">
        <v>9</v>
      </c>
      <c r="C775" s="10" t="s">
        <v>126</v>
      </c>
      <c r="D775" s="10" t="s">
        <v>127</v>
      </c>
      <c r="E775" s="11" t="str">
        <f>+HYPERLINK("http://trademark.i-assist.jp/data/china/image_1899th/78848831.pdf", "78848831")</f>
        <v>78848831</v>
      </c>
      <c r="F775" s="10" t="s">
        <v>2258</v>
      </c>
      <c r="G775" s="10" t="s">
        <v>2259</v>
      </c>
      <c r="H775" s="10" t="s">
        <v>2260</v>
      </c>
      <c r="I775" s="10" t="s">
        <v>2150</v>
      </c>
    </row>
    <row r="776" spans="1:9" x14ac:dyDescent="0.15">
      <c r="A776" s="9">
        <v>775</v>
      </c>
      <c r="B776" s="10" t="s">
        <v>9</v>
      </c>
      <c r="C776" s="10" t="s">
        <v>126</v>
      </c>
      <c r="D776" s="10" t="s">
        <v>127</v>
      </c>
      <c r="E776" s="11" t="str">
        <f>+HYPERLINK("http://trademark.i-assist.jp/data/china/image_1899th/78849683.pdf", "78849683")</f>
        <v>78849683</v>
      </c>
      <c r="F776" s="10" t="s">
        <v>2261</v>
      </c>
      <c r="G776" s="10" t="s">
        <v>2166</v>
      </c>
      <c r="H776" s="10" t="s">
        <v>2262</v>
      </c>
      <c r="I776" s="10" t="s">
        <v>2150</v>
      </c>
    </row>
    <row r="777" spans="1:9" x14ac:dyDescent="0.15">
      <c r="A777" s="9">
        <v>776</v>
      </c>
      <c r="B777" s="10" t="s">
        <v>9</v>
      </c>
      <c r="C777" s="10" t="s">
        <v>126</v>
      </c>
      <c r="D777" s="10" t="s">
        <v>127</v>
      </c>
      <c r="E777" s="11" t="str">
        <f>+HYPERLINK("http://trademark.i-assist.jp/data/china/image_1899th/78850382.pdf", "78850382")</f>
        <v>78850382</v>
      </c>
      <c r="F777" s="10" t="s">
        <v>2263</v>
      </c>
      <c r="G777" s="10" t="s">
        <v>2166</v>
      </c>
      <c r="H777" s="10" t="s">
        <v>2264</v>
      </c>
      <c r="I777" s="10" t="s">
        <v>2150</v>
      </c>
    </row>
    <row r="778" spans="1:9" x14ac:dyDescent="0.15">
      <c r="A778" s="9">
        <v>777</v>
      </c>
      <c r="B778" s="10" t="s">
        <v>9</v>
      </c>
      <c r="C778" s="10" t="s">
        <v>126</v>
      </c>
      <c r="D778" s="10" t="s">
        <v>127</v>
      </c>
      <c r="E778" s="11" t="str">
        <f>+HYPERLINK("http://trademark.i-assist.jp/data/china/image_1899th/78850901.pdf", "78850901")</f>
        <v>78850901</v>
      </c>
      <c r="F778" s="10" t="s">
        <v>2265</v>
      </c>
      <c r="G778" s="10" t="s">
        <v>2266</v>
      </c>
      <c r="H778" s="10" t="s">
        <v>2267</v>
      </c>
      <c r="I778" s="10" t="s">
        <v>2150</v>
      </c>
    </row>
    <row r="779" spans="1:9" x14ac:dyDescent="0.15">
      <c r="A779" s="9">
        <v>778</v>
      </c>
      <c r="B779" s="10" t="s">
        <v>9</v>
      </c>
      <c r="C779" s="10" t="s">
        <v>126</v>
      </c>
      <c r="D779" s="10" t="s">
        <v>127</v>
      </c>
      <c r="E779" s="11" t="str">
        <f>+HYPERLINK("http://trademark.i-assist.jp/data/china/image_1899th/78851621.pdf", "78851621")</f>
        <v>78851621</v>
      </c>
      <c r="F779" s="10" t="s">
        <v>2268</v>
      </c>
      <c r="G779" s="10" t="s">
        <v>2269</v>
      </c>
      <c r="H779" s="10" t="s">
        <v>2270</v>
      </c>
      <c r="I779" s="10" t="s">
        <v>2150</v>
      </c>
    </row>
    <row r="780" spans="1:9" x14ac:dyDescent="0.15">
      <c r="A780" s="9">
        <v>779</v>
      </c>
      <c r="B780" s="10" t="s">
        <v>9</v>
      </c>
      <c r="C780" s="10" t="s">
        <v>126</v>
      </c>
      <c r="D780" s="10" t="s">
        <v>127</v>
      </c>
      <c r="E780" s="11" t="str">
        <f>+HYPERLINK("http://trademark.i-assist.jp/data/china/image_1899th/78852049.pdf", "78852049")</f>
        <v>78852049</v>
      </c>
      <c r="F780" s="10" t="s">
        <v>2271</v>
      </c>
      <c r="G780" s="10" t="s">
        <v>2272</v>
      </c>
      <c r="H780" s="10" t="s">
        <v>2273</v>
      </c>
      <c r="I780" s="10" t="s">
        <v>2150</v>
      </c>
    </row>
    <row r="781" spans="1:9" x14ac:dyDescent="0.15">
      <c r="A781" s="9">
        <v>780</v>
      </c>
      <c r="B781" s="10" t="s">
        <v>9</v>
      </c>
      <c r="C781" s="10" t="s">
        <v>126</v>
      </c>
      <c r="D781" s="10" t="s">
        <v>127</v>
      </c>
      <c r="E781" s="11" t="str">
        <f>+HYPERLINK("http://trademark.i-assist.jp/data/china/image_1899th/78852185.pdf", "78852185")</f>
        <v>78852185</v>
      </c>
      <c r="F781" s="10" t="s">
        <v>2274</v>
      </c>
      <c r="G781" s="10" t="s">
        <v>2275</v>
      </c>
      <c r="H781" s="10" t="s">
        <v>2276</v>
      </c>
      <c r="I781" s="10" t="s">
        <v>2150</v>
      </c>
    </row>
    <row r="782" spans="1:9" x14ac:dyDescent="0.15">
      <c r="A782" s="9">
        <v>781</v>
      </c>
      <c r="B782" s="10" t="s">
        <v>9</v>
      </c>
      <c r="C782" s="10" t="s">
        <v>126</v>
      </c>
      <c r="D782" s="10" t="s">
        <v>127</v>
      </c>
      <c r="E782" s="11" t="str">
        <f>+HYPERLINK("http://trademark.i-assist.jp/data/china/image_1899th/78852284.pdf", "78852284")</f>
        <v>78852284</v>
      </c>
      <c r="F782" s="10" t="s">
        <v>2277</v>
      </c>
      <c r="G782" s="10" t="s">
        <v>2266</v>
      </c>
      <c r="H782" s="10" t="s">
        <v>2278</v>
      </c>
      <c r="I782" s="10" t="s">
        <v>2150</v>
      </c>
    </row>
    <row r="783" spans="1:9" x14ac:dyDescent="0.15">
      <c r="A783" s="9">
        <v>782</v>
      </c>
      <c r="B783" s="10" t="s">
        <v>9</v>
      </c>
      <c r="C783" s="10" t="s">
        <v>126</v>
      </c>
      <c r="D783" s="10" t="s">
        <v>127</v>
      </c>
      <c r="E783" s="11" t="str">
        <f>+HYPERLINK("http://trademark.i-assist.jp/data/china/image_1899th/78852908.pdf", "78852908")</f>
        <v>78852908</v>
      </c>
      <c r="F783" s="10" t="s">
        <v>15</v>
      </c>
      <c r="G783" s="10" t="s">
        <v>2279</v>
      </c>
      <c r="H783" s="10" t="s">
        <v>2280</v>
      </c>
      <c r="I783" s="10" t="s">
        <v>2150</v>
      </c>
    </row>
    <row r="784" spans="1:9" x14ac:dyDescent="0.15">
      <c r="A784" s="9">
        <v>783</v>
      </c>
      <c r="B784" s="10" t="s">
        <v>9</v>
      </c>
      <c r="C784" s="10" t="s">
        <v>126</v>
      </c>
      <c r="D784" s="10" t="s">
        <v>127</v>
      </c>
      <c r="E784" s="11" t="str">
        <f>+HYPERLINK("http://trademark.i-assist.jp/data/china/image_1899th/78853073.pdf", "78853073")</f>
        <v>78853073</v>
      </c>
      <c r="F784" s="10" t="s">
        <v>2281</v>
      </c>
      <c r="G784" s="10" t="s">
        <v>2282</v>
      </c>
      <c r="H784" s="10" t="s">
        <v>2283</v>
      </c>
      <c r="I784" s="10" t="s">
        <v>2150</v>
      </c>
    </row>
    <row r="785" spans="1:9" x14ac:dyDescent="0.15">
      <c r="A785" s="9">
        <v>784</v>
      </c>
      <c r="B785" s="10" t="s">
        <v>9</v>
      </c>
      <c r="C785" s="10" t="s">
        <v>126</v>
      </c>
      <c r="D785" s="10" t="s">
        <v>127</v>
      </c>
      <c r="E785" s="11" t="str">
        <f>+HYPERLINK("http://trademark.i-assist.jp/data/china/image_1899th/78853074.pdf", "78853074")</f>
        <v>78853074</v>
      </c>
      <c r="F785" s="10" t="s">
        <v>2284</v>
      </c>
      <c r="G785" s="10" t="s">
        <v>2166</v>
      </c>
      <c r="H785" s="10" t="s">
        <v>2285</v>
      </c>
      <c r="I785" s="10" t="s">
        <v>2150</v>
      </c>
    </row>
    <row r="786" spans="1:9" x14ac:dyDescent="0.15">
      <c r="A786" s="9">
        <v>785</v>
      </c>
      <c r="B786" s="10" t="s">
        <v>9</v>
      </c>
      <c r="C786" s="10" t="s">
        <v>126</v>
      </c>
      <c r="D786" s="10" t="s">
        <v>127</v>
      </c>
      <c r="E786" s="11" t="str">
        <f>+HYPERLINK("http://trademark.i-assist.jp/data/china/image_1899th/78853407.pdf", "78853407")</f>
        <v>78853407</v>
      </c>
      <c r="F786" s="10" t="s">
        <v>2286</v>
      </c>
      <c r="G786" s="10" t="s">
        <v>2166</v>
      </c>
      <c r="H786" s="10" t="s">
        <v>2287</v>
      </c>
      <c r="I786" s="10" t="s">
        <v>2150</v>
      </c>
    </row>
    <row r="787" spans="1:9" x14ac:dyDescent="0.15">
      <c r="A787" s="9">
        <v>786</v>
      </c>
      <c r="B787" s="10" t="s">
        <v>9</v>
      </c>
      <c r="C787" s="10" t="s">
        <v>126</v>
      </c>
      <c r="D787" s="10" t="s">
        <v>127</v>
      </c>
      <c r="E787" s="11" t="str">
        <f>+HYPERLINK("http://trademark.i-assist.jp/data/china/image_1899th/78853458.pdf", "78853458")</f>
        <v>78853458</v>
      </c>
      <c r="F787" s="10" t="s">
        <v>2288</v>
      </c>
      <c r="G787" s="10" t="s">
        <v>2166</v>
      </c>
      <c r="H787" s="10" t="s">
        <v>2289</v>
      </c>
      <c r="I787" s="10" t="s">
        <v>2150</v>
      </c>
    </row>
    <row r="788" spans="1:9" x14ac:dyDescent="0.15">
      <c r="A788" s="9">
        <v>787</v>
      </c>
      <c r="B788" s="10" t="s">
        <v>9</v>
      </c>
      <c r="C788" s="10" t="s">
        <v>126</v>
      </c>
      <c r="D788" s="10" t="s">
        <v>127</v>
      </c>
      <c r="E788" s="11" t="str">
        <f>+HYPERLINK("http://trademark.i-assist.jp/data/china/image_1899th/78853540.pdf", "78853540")</f>
        <v>78853540</v>
      </c>
      <c r="F788" s="10" t="s">
        <v>2290</v>
      </c>
      <c r="G788" s="10" t="s">
        <v>2291</v>
      </c>
      <c r="H788" s="10" t="s">
        <v>2292</v>
      </c>
      <c r="I788" s="10" t="s">
        <v>2150</v>
      </c>
    </row>
    <row r="789" spans="1:9" x14ac:dyDescent="0.15">
      <c r="A789" s="9">
        <v>788</v>
      </c>
      <c r="B789" s="10" t="s">
        <v>9</v>
      </c>
      <c r="C789" s="10" t="s">
        <v>126</v>
      </c>
      <c r="D789" s="10" t="s">
        <v>127</v>
      </c>
      <c r="E789" s="11" t="str">
        <f>+HYPERLINK("http://trademark.i-assist.jp/data/china/image_1899th/78853757.pdf", "78853757")</f>
        <v>78853757</v>
      </c>
      <c r="F789" s="10" t="s">
        <v>15</v>
      </c>
      <c r="G789" s="10" t="s">
        <v>2293</v>
      </c>
      <c r="H789" s="10" t="s">
        <v>2294</v>
      </c>
      <c r="I789" s="10" t="s">
        <v>2150</v>
      </c>
    </row>
    <row r="790" spans="1:9" x14ac:dyDescent="0.15">
      <c r="A790" s="9">
        <v>789</v>
      </c>
      <c r="B790" s="10" t="s">
        <v>9</v>
      </c>
      <c r="C790" s="10" t="s">
        <v>126</v>
      </c>
      <c r="D790" s="10" t="s">
        <v>127</v>
      </c>
      <c r="E790" s="11" t="str">
        <f>+HYPERLINK("http://trademark.i-assist.jp/data/china/image_1899th/78854724.pdf", "78854724")</f>
        <v>78854724</v>
      </c>
      <c r="F790" s="10" t="s">
        <v>2295</v>
      </c>
      <c r="G790" s="10" t="s">
        <v>2296</v>
      </c>
      <c r="H790" s="10" t="s">
        <v>2297</v>
      </c>
      <c r="I790" s="10" t="s">
        <v>2150</v>
      </c>
    </row>
    <row r="791" spans="1:9" x14ac:dyDescent="0.15">
      <c r="A791" s="9">
        <v>790</v>
      </c>
      <c r="B791" s="10" t="s">
        <v>9</v>
      </c>
      <c r="C791" s="10" t="s">
        <v>126</v>
      </c>
      <c r="D791" s="10" t="s">
        <v>127</v>
      </c>
      <c r="E791" s="11" t="str">
        <f>+HYPERLINK("http://trademark.i-assist.jp/data/china/image_1899th/78855480.pdf", "78855480")</f>
        <v>78855480</v>
      </c>
      <c r="F791" s="10" t="s">
        <v>2298</v>
      </c>
      <c r="G791" s="10" t="s">
        <v>2299</v>
      </c>
      <c r="H791" s="10" t="s">
        <v>2300</v>
      </c>
      <c r="I791" s="10" t="s">
        <v>2150</v>
      </c>
    </row>
    <row r="792" spans="1:9" x14ac:dyDescent="0.15">
      <c r="A792" s="9">
        <v>791</v>
      </c>
      <c r="B792" s="10" t="s">
        <v>9</v>
      </c>
      <c r="C792" s="10" t="s">
        <v>126</v>
      </c>
      <c r="D792" s="10" t="s">
        <v>127</v>
      </c>
      <c r="E792" s="11" t="str">
        <f>+HYPERLINK("http://trademark.i-assist.jp/data/china/image_1899th/78856099.pdf", "78856099")</f>
        <v>78856099</v>
      </c>
      <c r="F792" s="10" t="s">
        <v>2301</v>
      </c>
      <c r="G792" s="10" t="s">
        <v>2166</v>
      </c>
      <c r="H792" s="10" t="s">
        <v>2302</v>
      </c>
      <c r="I792" s="10" t="s">
        <v>2150</v>
      </c>
    </row>
    <row r="793" spans="1:9" x14ac:dyDescent="0.15">
      <c r="A793" s="9">
        <v>792</v>
      </c>
      <c r="B793" s="10" t="s">
        <v>9</v>
      </c>
      <c r="C793" s="10" t="s">
        <v>126</v>
      </c>
      <c r="D793" s="10" t="s">
        <v>127</v>
      </c>
      <c r="E793" s="11" t="str">
        <f>+HYPERLINK("http://trademark.i-assist.jp/data/china/image_1899th/78856529.pdf", "78856529")</f>
        <v>78856529</v>
      </c>
      <c r="F793" s="10" t="s">
        <v>2303</v>
      </c>
      <c r="G793" s="10" t="s">
        <v>2166</v>
      </c>
      <c r="H793" s="10" t="s">
        <v>2304</v>
      </c>
      <c r="I793" s="10" t="s">
        <v>2150</v>
      </c>
    </row>
    <row r="794" spans="1:9" x14ac:dyDescent="0.15">
      <c r="A794" s="9">
        <v>793</v>
      </c>
      <c r="B794" s="10" t="s">
        <v>9</v>
      </c>
      <c r="C794" s="10" t="s">
        <v>126</v>
      </c>
      <c r="D794" s="10" t="s">
        <v>127</v>
      </c>
      <c r="E794" s="11" t="str">
        <f>+HYPERLINK("http://trademark.i-assist.jp/data/china/image_1899th/78856872.pdf", "78856872")</f>
        <v>78856872</v>
      </c>
      <c r="F794" s="10" t="s">
        <v>2305</v>
      </c>
      <c r="G794" s="10" t="s">
        <v>2166</v>
      </c>
      <c r="H794" s="10" t="s">
        <v>2306</v>
      </c>
      <c r="I794" s="10" t="s">
        <v>2150</v>
      </c>
    </row>
    <row r="795" spans="1:9" x14ac:dyDescent="0.15">
      <c r="A795" s="9">
        <v>794</v>
      </c>
      <c r="B795" s="10" t="s">
        <v>9</v>
      </c>
      <c r="C795" s="10" t="s">
        <v>126</v>
      </c>
      <c r="D795" s="10" t="s">
        <v>127</v>
      </c>
      <c r="E795" s="11" t="str">
        <f>+HYPERLINK("http://trademark.i-assist.jp/data/china/image_1899th/78856999.pdf", "78856999")</f>
        <v>78856999</v>
      </c>
      <c r="F795" s="10" t="s">
        <v>2307</v>
      </c>
      <c r="G795" s="10" t="s">
        <v>2166</v>
      </c>
      <c r="H795" s="10" t="s">
        <v>2308</v>
      </c>
      <c r="I795" s="10" t="s">
        <v>2150</v>
      </c>
    </row>
    <row r="796" spans="1:9" x14ac:dyDescent="0.15">
      <c r="A796" s="9">
        <v>795</v>
      </c>
      <c r="B796" s="10" t="s">
        <v>9</v>
      </c>
      <c r="C796" s="10" t="s">
        <v>126</v>
      </c>
      <c r="D796" s="10" t="s">
        <v>127</v>
      </c>
      <c r="E796" s="11" t="str">
        <f>+HYPERLINK("http://trademark.i-assist.jp/data/china/image_1899th/78857181.pdf", "78857181")</f>
        <v>78857181</v>
      </c>
      <c r="F796" s="10" t="s">
        <v>2309</v>
      </c>
      <c r="G796" s="10" t="s">
        <v>2310</v>
      </c>
      <c r="H796" s="10" t="s">
        <v>2311</v>
      </c>
      <c r="I796" s="10" t="s">
        <v>2150</v>
      </c>
    </row>
    <row r="797" spans="1:9" x14ac:dyDescent="0.15">
      <c r="A797" s="9">
        <v>796</v>
      </c>
      <c r="B797" s="10" t="s">
        <v>9</v>
      </c>
      <c r="C797" s="10" t="s">
        <v>126</v>
      </c>
      <c r="D797" s="10" t="s">
        <v>127</v>
      </c>
      <c r="E797" s="11" t="str">
        <f>+HYPERLINK("http://trademark.i-assist.jp/data/china/image_1899th/78859836.pdf", "78859836")</f>
        <v>78859836</v>
      </c>
      <c r="F797" s="10" t="s">
        <v>2312</v>
      </c>
      <c r="G797" s="10" t="s">
        <v>2166</v>
      </c>
      <c r="H797" s="10" t="s">
        <v>2313</v>
      </c>
      <c r="I797" s="10" t="s">
        <v>2150</v>
      </c>
    </row>
    <row r="798" spans="1:9" x14ac:dyDescent="0.15">
      <c r="A798" s="9">
        <v>797</v>
      </c>
      <c r="B798" s="10" t="s">
        <v>9</v>
      </c>
      <c r="C798" s="10" t="s">
        <v>126</v>
      </c>
      <c r="D798" s="10" t="s">
        <v>127</v>
      </c>
      <c r="E798" s="11" t="str">
        <f>+HYPERLINK("http://trademark.i-assist.jp/data/china/image_1899th/78859873.pdf", "78859873")</f>
        <v>78859873</v>
      </c>
      <c r="F798" s="10" t="s">
        <v>2314</v>
      </c>
      <c r="G798" s="10" t="s">
        <v>2166</v>
      </c>
      <c r="H798" s="10" t="s">
        <v>2315</v>
      </c>
      <c r="I798" s="10" t="s">
        <v>2150</v>
      </c>
    </row>
    <row r="799" spans="1:9" x14ac:dyDescent="0.15">
      <c r="A799" s="9">
        <v>798</v>
      </c>
      <c r="B799" s="10" t="s">
        <v>9</v>
      </c>
      <c r="C799" s="10" t="s">
        <v>126</v>
      </c>
      <c r="D799" s="10" t="s">
        <v>127</v>
      </c>
      <c r="E799" s="11" t="str">
        <f>+HYPERLINK("http://trademark.i-assist.jp/data/china/image_1899th/78861035.pdf", "78861035")</f>
        <v>78861035</v>
      </c>
      <c r="F799" s="10" t="s">
        <v>2316</v>
      </c>
      <c r="G799" s="10" t="s">
        <v>2317</v>
      </c>
      <c r="H799" s="10" t="s">
        <v>2318</v>
      </c>
      <c r="I799" s="10" t="s">
        <v>2150</v>
      </c>
    </row>
    <row r="800" spans="1:9" x14ac:dyDescent="0.15">
      <c r="A800" s="9">
        <v>799</v>
      </c>
      <c r="B800" s="10" t="s">
        <v>9</v>
      </c>
      <c r="C800" s="10" t="s">
        <v>126</v>
      </c>
      <c r="D800" s="10" t="s">
        <v>127</v>
      </c>
      <c r="E800" s="11" t="str">
        <f>+HYPERLINK("http://trademark.i-assist.jp/data/china/image_1899th/78861889.pdf", "78861889")</f>
        <v>78861889</v>
      </c>
      <c r="F800" s="10" t="s">
        <v>2319</v>
      </c>
      <c r="G800" s="10" t="s">
        <v>2320</v>
      </c>
      <c r="H800" s="10" t="s">
        <v>2321</v>
      </c>
      <c r="I800" s="10" t="s">
        <v>2150</v>
      </c>
    </row>
    <row r="801" spans="1:9" x14ac:dyDescent="0.15">
      <c r="A801" s="9">
        <v>800</v>
      </c>
      <c r="B801" s="10" t="s">
        <v>9</v>
      </c>
      <c r="C801" s="10" t="s">
        <v>126</v>
      </c>
      <c r="D801" s="10" t="s">
        <v>127</v>
      </c>
      <c r="E801" s="11" t="str">
        <f>+HYPERLINK("http://trademark.i-assist.jp/data/china/image_1899th/78861991.pdf", "78861991")</f>
        <v>78861991</v>
      </c>
      <c r="F801" s="10" t="s">
        <v>2322</v>
      </c>
      <c r="G801" s="10" t="s">
        <v>2166</v>
      </c>
      <c r="H801" s="10" t="s">
        <v>2323</v>
      </c>
      <c r="I801" s="10" t="s">
        <v>2150</v>
      </c>
    </row>
    <row r="802" spans="1:9" x14ac:dyDescent="0.15">
      <c r="A802" s="9">
        <v>801</v>
      </c>
      <c r="B802" s="10" t="s">
        <v>9</v>
      </c>
      <c r="C802" s="10" t="s">
        <v>126</v>
      </c>
      <c r="D802" s="10" t="s">
        <v>127</v>
      </c>
      <c r="E802" s="11" t="str">
        <f>+HYPERLINK("http://trademark.i-assist.jp/data/china/image_1899th/78862023.pdf", "78862023")</f>
        <v>78862023</v>
      </c>
      <c r="F802" s="10" t="s">
        <v>2324</v>
      </c>
      <c r="G802" s="10" t="s">
        <v>2166</v>
      </c>
      <c r="H802" s="10" t="s">
        <v>2325</v>
      </c>
      <c r="I802" s="10" t="s">
        <v>2150</v>
      </c>
    </row>
    <row r="803" spans="1:9" x14ac:dyDescent="0.15">
      <c r="A803" s="9">
        <v>802</v>
      </c>
      <c r="B803" s="10" t="s">
        <v>9</v>
      </c>
      <c r="C803" s="10" t="s">
        <v>126</v>
      </c>
      <c r="D803" s="10" t="s">
        <v>127</v>
      </c>
      <c r="E803" s="11" t="str">
        <f>+HYPERLINK("http://trademark.i-assist.jp/data/china/image_1899th/78862805.pdf", "78862805")</f>
        <v>78862805</v>
      </c>
      <c r="F803" s="10" t="s">
        <v>2326</v>
      </c>
      <c r="G803" s="10" t="s">
        <v>2166</v>
      </c>
      <c r="H803" s="10" t="s">
        <v>2327</v>
      </c>
      <c r="I803" s="10" t="s">
        <v>2150</v>
      </c>
    </row>
    <row r="804" spans="1:9" x14ac:dyDescent="0.15">
      <c r="A804" s="9">
        <v>803</v>
      </c>
      <c r="B804" s="10" t="s">
        <v>9</v>
      </c>
      <c r="C804" s="10" t="s">
        <v>126</v>
      </c>
      <c r="D804" s="10" t="s">
        <v>127</v>
      </c>
      <c r="E804" s="11" t="str">
        <f>+HYPERLINK("http://trademark.i-assist.jp/data/china/image_1899th/78863194.pdf", "78863194")</f>
        <v>78863194</v>
      </c>
      <c r="F804" s="10" t="s">
        <v>2328</v>
      </c>
      <c r="G804" s="10" t="s">
        <v>2166</v>
      </c>
      <c r="H804" s="10" t="s">
        <v>2329</v>
      </c>
      <c r="I804" s="10" t="s">
        <v>2150</v>
      </c>
    </row>
    <row r="805" spans="1:9" x14ac:dyDescent="0.15">
      <c r="A805" s="9">
        <v>804</v>
      </c>
      <c r="B805" s="10" t="s">
        <v>9</v>
      </c>
      <c r="C805" s="10" t="s">
        <v>126</v>
      </c>
      <c r="D805" s="10" t="s">
        <v>127</v>
      </c>
      <c r="E805" s="11" t="str">
        <f>+HYPERLINK("http://trademark.i-assist.jp/data/china/image_1899th/78863203.pdf", "78863203")</f>
        <v>78863203</v>
      </c>
      <c r="F805" s="10" t="s">
        <v>2330</v>
      </c>
      <c r="G805" s="10" t="s">
        <v>2166</v>
      </c>
      <c r="H805" s="10" t="s">
        <v>2331</v>
      </c>
      <c r="I805" s="10" t="s">
        <v>2150</v>
      </c>
    </row>
    <row r="806" spans="1:9" x14ac:dyDescent="0.15">
      <c r="A806" s="9">
        <v>805</v>
      </c>
      <c r="B806" s="10" t="s">
        <v>9</v>
      </c>
      <c r="C806" s="10" t="s">
        <v>126</v>
      </c>
      <c r="D806" s="10" t="s">
        <v>127</v>
      </c>
      <c r="E806" s="11" t="str">
        <f>+HYPERLINK("http://trademark.i-assist.jp/data/china/image_1899th/78863221.pdf", "78863221")</f>
        <v>78863221</v>
      </c>
      <c r="F806" s="10" t="s">
        <v>2332</v>
      </c>
      <c r="G806" s="10" t="s">
        <v>2166</v>
      </c>
      <c r="H806" s="10" t="s">
        <v>2333</v>
      </c>
      <c r="I806" s="10" t="s">
        <v>2150</v>
      </c>
    </row>
    <row r="807" spans="1:9" x14ac:dyDescent="0.15">
      <c r="A807" s="9">
        <v>806</v>
      </c>
      <c r="B807" s="10" t="s">
        <v>9</v>
      </c>
      <c r="C807" s="10" t="s">
        <v>126</v>
      </c>
      <c r="D807" s="10" t="s">
        <v>127</v>
      </c>
      <c r="E807" s="11" t="str">
        <f>+HYPERLINK("http://trademark.i-assist.jp/data/china/image_1899th/78863248.pdf", "78863248")</f>
        <v>78863248</v>
      </c>
      <c r="F807" s="10" t="s">
        <v>2334</v>
      </c>
      <c r="G807" s="10" t="s">
        <v>2166</v>
      </c>
      <c r="H807" s="10" t="s">
        <v>2335</v>
      </c>
      <c r="I807" s="10" t="s">
        <v>2150</v>
      </c>
    </row>
    <row r="808" spans="1:9" x14ac:dyDescent="0.15">
      <c r="A808" s="9">
        <v>807</v>
      </c>
      <c r="B808" s="10" t="s">
        <v>9</v>
      </c>
      <c r="C808" s="10" t="s">
        <v>126</v>
      </c>
      <c r="D808" s="10" t="s">
        <v>127</v>
      </c>
      <c r="E808" s="11" t="str">
        <f>+HYPERLINK("http://trademark.i-assist.jp/data/china/image_1899th/78863775.pdf", "78863775")</f>
        <v>78863775</v>
      </c>
      <c r="F808" s="10" t="s">
        <v>2336</v>
      </c>
      <c r="G808" s="10" t="s">
        <v>2242</v>
      </c>
      <c r="H808" s="10" t="s">
        <v>2337</v>
      </c>
      <c r="I808" s="10" t="s">
        <v>2150</v>
      </c>
    </row>
    <row r="809" spans="1:9" x14ac:dyDescent="0.15">
      <c r="A809" s="9">
        <v>808</v>
      </c>
      <c r="B809" s="10" t="s">
        <v>9</v>
      </c>
      <c r="C809" s="10" t="s">
        <v>126</v>
      </c>
      <c r="D809" s="10" t="s">
        <v>127</v>
      </c>
      <c r="E809" s="11" t="str">
        <f>+HYPERLINK("http://trademark.i-assist.jp/data/china/image_1899th/78864130.pdf", "78864130")</f>
        <v>78864130</v>
      </c>
      <c r="F809" s="10" t="s">
        <v>2338</v>
      </c>
      <c r="G809" s="10" t="s">
        <v>2339</v>
      </c>
      <c r="H809" s="10" t="s">
        <v>2340</v>
      </c>
      <c r="I809" s="10" t="s">
        <v>2150</v>
      </c>
    </row>
    <row r="810" spans="1:9" x14ac:dyDescent="0.15">
      <c r="A810" s="9">
        <v>809</v>
      </c>
      <c r="B810" s="10" t="s">
        <v>9</v>
      </c>
      <c r="C810" s="10" t="s">
        <v>126</v>
      </c>
      <c r="D810" s="10" t="s">
        <v>127</v>
      </c>
      <c r="E810" s="11" t="str">
        <f>+HYPERLINK("http://trademark.i-assist.jp/data/china/image_1899th/78865803.pdf", "78865803")</f>
        <v>78865803</v>
      </c>
      <c r="F810" s="10" t="s">
        <v>2341</v>
      </c>
      <c r="G810" s="10" t="s">
        <v>2342</v>
      </c>
      <c r="H810" s="10" t="s">
        <v>2343</v>
      </c>
      <c r="I810" s="10" t="s">
        <v>125</v>
      </c>
    </row>
    <row r="811" spans="1:9" x14ac:dyDescent="0.15">
      <c r="A811" s="9">
        <v>810</v>
      </c>
      <c r="B811" s="10" t="s">
        <v>9</v>
      </c>
      <c r="C811" s="10" t="s">
        <v>126</v>
      </c>
      <c r="D811" s="10" t="s">
        <v>127</v>
      </c>
      <c r="E811" s="11" t="str">
        <f>+HYPERLINK("http://trademark.i-assist.jp/data/china/image_1899th/78866855.pdf", "78866855")</f>
        <v>78866855</v>
      </c>
      <c r="F811" s="10" t="s">
        <v>2344</v>
      </c>
      <c r="G811" s="10" t="s">
        <v>2345</v>
      </c>
      <c r="H811" s="10" t="s">
        <v>2346</v>
      </c>
      <c r="I811" s="10" t="s">
        <v>125</v>
      </c>
    </row>
    <row r="812" spans="1:9" x14ac:dyDescent="0.15">
      <c r="A812" s="9">
        <v>811</v>
      </c>
      <c r="B812" s="10" t="s">
        <v>9</v>
      </c>
      <c r="C812" s="10" t="s">
        <v>126</v>
      </c>
      <c r="D812" s="10" t="s">
        <v>127</v>
      </c>
      <c r="E812" s="11" t="str">
        <f>+HYPERLINK("http://trademark.i-assist.jp/data/china/image_1899th/78866950.pdf", "78866950")</f>
        <v>78866950</v>
      </c>
      <c r="F812" s="10" t="s">
        <v>2347</v>
      </c>
      <c r="G812" s="10" t="s">
        <v>2348</v>
      </c>
      <c r="H812" s="10" t="s">
        <v>2349</v>
      </c>
      <c r="I812" s="10" t="s">
        <v>125</v>
      </c>
    </row>
    <row r="813" spans="1:9" x14ac:dyDescent="0.15">
      <c r="A813" s="9">
        <v>812</v>
      </c>
      <c r="B813" s="10" t="s">
        <v>9</v>
      </c>
      <c r="C813" s="10" t="s">
        <v>126</v>
      </c>
      <c r="D813" s="10" t="s">
        <v>127</v>
      </c>
      <c r="E813" s="11" t="str">
        <f>+HYPERLINK("http://trademark.i-assist.jp/data/china/image_1899th/78867807.pdf", "78867807")</f>
        <v>78867807</v>
      </c>
      <c r="F813" s="10" t="s">
        <v>15</v>
      </c>
      <c r="G813" s="10" t="s">
        <v>2350</v>
      </c>
      <c r="H813" s="10" t="s">
        <v>2351</v>
      </c>
      <c r="I813" s="10" t="s">
        <v>125</v>
      </c>
    </row>
    <row r="814" spans="1:9" x14ac:dyDescent="0.15">
      <c r="A814" s="9">
        <v>813</v>
      </c>
      <c r="B814" s="10" t="s">
        <v>9</v>
      </c>
      <c r="C814" s="10" t="s">
        <v>126</v>
      </c>
      <c r="D814" s="10" t="s">
        <v>127</v>
      </c>
      <c r="E814" s="11" t="str">
        <f>+HYPERLINK("http://trademark.i-assist.jp/data/china/image_1899th/78868078.pdf", "78868078")</f>
        <v>78868078</v>
      </c>
      <c r="F814" s="10" t="s">
        <v>2352</v>
      </c>
      <c r="G814" s="10" t="s">
        <v>2353</v>
      </c>
      <c r="H814" s="10" t="s">
        <v>2354</v>
      </c>
      <c r="I814" s="10" t="s">
        <v>125</v>
      </c>
    </row>
    <row r="815" spans="1:9" x14ac:dyDescent="0.15">
      <c r="A815" s="9">
        <v>814</v>
      </c>
      <c r="B815" s="10" t="s">
        <v>9</v>
      </c>
      <c r="C815" s="10" t="s">
        <v>126</v>
      </c>
      <c r="D815" s="10" t="s">
        <v>127</v>
      </c>
      <c r="E815" s="11" t="str">
        <f>+HYPERLINK("http://trademark.i-assist.jp/data/china/image_1899th/78868801.pdf", "78868801")</f>
        <v>78868801</v>
      </c>
      <c r="F815" s="10" t="s">
        <v>15</v>
      </c>
      <c r="G815" s="10" t="s">
        <v>2355</v>
      </c>
      <c r="H815" s="10" t="s">
        <v>2356</v>
      </c>
      <c r="I815" s="10" t="s">
        <v>125</v>
      </c>
    </row>
    <row r="816" spans="1:9" x14ac:dyDescent="0.15">
      <c r="A816" s="9">
        <v>815</v>
      </c>
      <c r="B816" s="10" t="s">
        <v>9</v>
      </c>
      <c r="C816" s="10" t="s">
        <v>126</v>
      </c>
      <c r="D816" s="10" t="s">
        <v>127</v>
      </c>
      <c r="E816" s="11" t="str">
        <f>+HYPERLINK("http://trademark.i-assist.jp/data/china/image_1899th/78869329.pdf", "78869329")</f>
        <v>78869329</v>
      </c>
      <c r="F816" s="10" t="s">
        <v>2357</v>
      </c>
      <c r="G816" s="10" t="s">
        <v>2358</v>
      </c>
      <c r="H816" s="10" t="s">
        <v>2359</v>
      </c>
      <c r="I816" s="10" t="s">
        <v>125</v>
      </c>
    </row>
    <row r="817" spans="1:9" x14ac:dyDescent="0.15">
      <c r="A817" s="9">
        <v>816</v>
      </c>
      <c r="B817" s="10" t="s">
        <v>9</v>
      </c>
      <c r="C817" s="10" t="s">
        <v>126</v>
      </c>
      <c r="D817" s="10" t="s">
        <v>127</v>
      </c>
      <c r="E817" s="11" t="str">
        <f>+HYPERLINK("http://trademark.i-assist.jp/data/china/image_1899th/78872354.pdf", "78872354")</f>
        <v>78872354</v>
      </c>
      <c r="F817" s="10" t="s">
        <v>2360</v>
      </c>
      <c r="G817" s="10" t="s">
        <v>2361</v>
      </c>
      <c r="H817" s="10" t="s">
        <v>2362</v>
      </c>
      <c r="I817" s="10" t="s">
        <v>125</v>
      </c>
    </row>
    <row r="818" spans="1:9" x14ac:dyDescent="0.15">
      <c r="A818" s="9">
        <v>817</v>
      </c>
      <c r="B818" s="10" t="s">
        <v>9</v>
      </c>
      <c r="C818" s="10" t="s">
        <v>126</v>
      </c>
      <c r="D818" s="10" t="s">
        <v>127</v>
      </c>
      <c r="E818" s="11" t="str">
        <f>+HYPERLINK("http://trademark.i-assist.jp/data/china/image_1899th/78872625.pdf", "78872625")</f>
        <v>78872625</v>
      </c>
      <c r="F818" s="10" t="s">
        <v>15</v>
      </c>
      <c r="G818" s="10" t="s">
        <v>2363</v>
      </c>
      <c r="H818" s="10" t="s">
        <v>2364</v>
      </c>
      <c r="I818" s="10" t="s">
        <v>125</v>
      </c>
    </row>
    <row r="819" spans="1:9" x14ac:dyDescent="0.15">
      <c r="A819" s="9">
        <v>818</v>
      </c>
      <c r="B819" s="10" t="s">
        <v>9</v>
      </c>
      <c r="C819" s="10" t="s">
        <v>126</v>
      </c>
      <c r="D819" s="10" t="s">
        <v>127</v>
      </c>
      <c r="E819" s="11" t="str">
        <f>+HYPERLINK("http://trademark.i-assist.jp/data/china/image_1899th/78872739.pdf", "78872739")</f>
        <v>78872739</v>
      </c>
      <c r="F819" s="10" t="s">
        <v>15</v>
      </c>
      <c r="G819" s="10" t="s">
        <v>2365</v>
      </c>
      <c r="H819" s="10" t="s">
        <v>2366</v>
      </c>
      <c r="I819" s="10" t="s">
        <v>125</v>
      </c>
    </row>
    <row r="820" spans="1:9" x14ac:dyDescent="0.15">
      <c r="A820" s="9">
        <v>819</v>
      </c>
      <c r="B820" s="10" t="s">
        <v>9</v>
      </c>
      <c r="C820" s="10" t="s">
        <v>126</v>
      </c>
      <c r="D820" s="10" t="s">
        <v>127</v>
      </c>
      <c r="E820" s="11" t="str">
        <f>+HYPERLINK("http://trademark.i-assist.jp/data/china/image_1899th/78873662.pdf", "78873662")</f>
        <v>78873662</v>
      </c>
      <c r="F820" s="10" t="s">
        <v>2367</v>
      </c>
      <c r="G820" s="10" t="s">
        <v>2368</v>
      </c>
      <c r="H820" s="10" t="s">
        <v>2369</v>
      </c>
      <c r="I820" s="10" t="s">
        <v>125</v>
      </c>
    </row>
    <row r="821" spans="1:9" x14ac:dyDescent="0.15">
      <c r="A821" s="9">
        <v>820</v>
      </c>
      <c r="B821" s="10" t="s">
        <v>9</v>
      </c>
      <c r="C821" s="10" t="s">
        <v>126</v>
      </c>
      <c r="D821" s="10" t="s">
        <v>127</v>
      </c>
      <c r="E821" s="11" t="str">
        <f>+HYPERLINK("http://trademark.i-assist.jp/data/china/image_1899th/78876745.pdf", "78876745")</f>
        <v>78876745</v>
      </c>
      <c r="F821" s="10" t="s">
        <v>2370</v>
      </c>
      <c r="G821" s="10" t="s">
        <v>2371</v>
      </c>
      <c r="H821" s="10" t="s">
        <v>2372</v>
      </c>
      <c r="I821" s="10" t="s">
        <v>125</v>
      </c>
    </row>
    <row r="822" spans="1:9" x14ac:dyDescent="0.15">
      <c r="A822" s="9">
        <v>821</v>
      </c>
      <c r="B822" s="10" t="s">
        <v>9</v>
      </c>
      <c r="C822" s="10" t="s">
        <v>126</v>
      </c>
      <c r="D822" s="10" t="s">
        <v>127</v>
      </c>
      <c r="E822" s="11" t="str">
        <f>+HYPERLINK("http://trademark.i-assist.jp/data/china/image_1899th/78877364.pdf", "78877364")</f>
        <v>78877364</v>
      </c>
      <c r="F822" s="10" t="s">
        <v>15</v>
      </c>
      <c r="G822" s="10" t="s">
        <v>2365</v>
      </c>
      <c r="H822" s="10" t="s">
        <v>2373</v>
      </c>
      <c r="I822" s="10" t="s">
        <v>125</v>
      </c>
    </row>
    <row r="823" spans="1:9" x14ac:dyDescent="0.15">
      <c r="A823" s="9">
        <v>822</v>
      </c>
      <c r="B823" s="10" t="s">
        <v>9</v>
      </c>
      <c r="C823" s="10" t="s">
        <v>126</v>
      </c>
      <c r="D823" s="10" t="s">
        <v>127</v>
      </c>
      <c r="E823" s="11" t="str">
        <f>+HYPERLINK("http://trademark.i-assist.jp/data/china/image_1899th/78878727.pdf", "78878727")</f>
        <v>78878727</v>
      </c>
      <c r="F823" s="10" t="s">
        <v>2374</v>
      </c>
      <c r="G823" s="10" t="s">
        <v>2375</v>
      </c>
      <c r="H823" s="10" t="s">
        <v>2376</v>
      </c>
      <c r="I823" s="10" t="s">
        <v>125</v>
      </c>
    </row>
    <row r="824" spans="1:9" x14ac:dyDescent="0.15">
      <c r="A824" s="9">
        <v>823</v>
      </c>
      <c r="B824" s="10" t="s">
        <v>9</v>
      </c>
      <c r="C824" s="10" t="s">
        <v>126</v>
      </c>
      <c r="D824" s="10" t="s">
        <v>127</v>
      </c>
      <c r="E824" s="11" t="str">
        <f>+HYPERLINK("http://trademark.i-assist.jp/data/china/image_1899th/78881918.pdf", "78881918")</f>
        <v>78881918</v>
      </c>
      <c r="F824" s="10" t="s">
        <v>15</v>
      </c>
      <c r="G824" s="10" t="s">
        <v>2377</v>
      </c>
      <c r="H824" s="10" t="s">
        <v>2378</v>
      </c>
      <c r="I824" s="10" t="s">
        <v>125</v>
      </c>
    </row>
    <row r="825" spans="1:9" x14ac:dyDescent="0.15">
      <c r="A825" s="9">
        <v>824</v>
      </c>
      <c r="B825" s="10" t="s">
        <v>9</v>
      </c>
      <c r="C825" s="10" t="s">
        <v>126</v>
      </c>
      <c r="D825" s="10" t="s">
        <v>127</v>
      </c>
      <c r="E825" s="11" t="str">
        <f>+HYPERLINK("http://trademark.i-assist.jp/data/china/image_1899th/78882776.pdf", "78882776")</f>
        <v>78882776</v>
      </c>
      <c r="F825" s="10" t="s">
        <v>15</v>
      </c>
      <c r="G825" s="10" t="s">
        <v>116</v>
      </c>
      <c r="H825" s="10" t="s">
        <v>2379</v>
      </c>
      <c r="I825" s="10" t="s">
        <v>125</v>
      </c>
    </row>
    <row r="826" spans="1:9" x14ac:dyDescent="0.15">
      <c r="A826" s="9">
        <v>825</v>
      </c>
      <c r="B826" s="10" t="s">
        <v>9</v>
      </c>
      <c r="C826" s="10" t="s">
        <v>126</v>
      </c>
      <c r="D826" s="10" t="s">
        <v>127</v>
      </c>
      <c r="E826" s="11" t="str">
        <f>+HYPERLINK("http://trademark.i-assist.jp/data/china/image_1899th/78883071.pdf", "78883071")</f>
        <v>78883071</v>
      </c>
      <c r="F826" s="10" t="s">
        <v>15</v>
      </c>
      <c r="G826" s="10" t="s">
        <v>2380</v>
      </c>
      <c r="H826" s="10" t="s">
        <v>2381</v>
      </c>
      <c r="I826" s="10" t="s">
        <v>125</v>
      </c>
    </row>
    <row r="827" spans="1:9" x14ac:dyDescent="0.15">
      <c r="A827" s="9">
        <v>826</v>
      </c>
      <c r="B827" s="10" t="s">
        <v>9</v>
      </c>
      <c r="C827" s="10" t="s">
        <v>126</v>
      </c>
      <c r="D827" s="10" t="s">
        <v>127</v>
      </c>
      <c r="E827" s="11" t="str">
        <f>+HYPERLINK("http://trademark.i-assist.jp/data/china/image_1899th/78884145.pdf", "78884145")</f>
        <v>78884145</v>
      </c>
      <c r="F827" s="10" t="s">
        <v>2382</v>
      </c>
      <c r="G827" s="10" t="s">
        <v>2383</v>
      </c>
      <c r="H827" s="10" t="s">
        <v>2384</v>
      </c>
      <c r="I827" s="10" t="s">
        <v>125</v>
      </c>
    </row>
    <row r="828" spans="1:9" x14ac:dyDescent="0.15">
      <c r="A828" s="9">
        <v>827</v>
      </c>
      <c r="B828" s="10" t="s">
        <v>9</v>
      </c>
      <c r="C828" s="10" t="s">
        <v>126</v>
      </c>
      <c r="D828" s="10" t="s">
        <v>127</v>
      </c>
      <c r="E828" s="11" t="str">
        <f>+HYPERLINK("http://trademark.i-assist.jp/data/china/image_1899th/78884235.pdf", "78884235")</f>
        <v>78884235</v>
      </c>
      <c r="F828" s="10" t="s">
        <v>15</v>
      </c>
      <c r="G828" s="10" t="s">
        <v>2385</v>
      </c>
      <c r="H828" s="10" t="s">
        <v>2386</v>
      </c>
      <c r="I828" s="10" t="s">
        <v>125</v>
      </c>
    </row>
    <row r="829" spans="1:9" x14ac:dyDescent="0.15">
      <c r="A829" s="9">
        <v>828</v>
      </c>
      <c r="B829" s="10" t="s">
        <v>9</v>
      </c>
      <c r="C829" s="10" t="s">
        <v>126</v>
      </c>
      <c r="D829" s="10" t="s">
        <v>127</v>
      </c>
      <c r="E829" s="11" t="str">
        <f>+HYPERLINK("http://trademark.i-assist.jp/data/china/image_1899th/78884728.pdf", "78884728")</f>
        <v>78884728</v>
      </c>
      <c r="F829" s="10" t="s">
        <v>2387</v>
      </c>
      <c r="G829" s="10" t="s">
        <v>2388</v>
      </c>
      <c r="H829" s="10" t="s">
        <v>2389</v>
      </c>
      <c r="I829" s="10" t="s">
        <v>125</v>
      </c>
    </row>
    <row r="830" spans="1:9" x14ac:dyDescent="0.15">
      <c r="A830" s="9">
        <v>829</v>
      </c>
      <c r="B830" s="10" t="s">
        <v>9</v>
      </c>
      <c r="C830" s="10" t="s">
        <v>126</v>
      </c>
      <c r="D830" s="10" t="s">
        <v>127</v>
      </c>
      <c r="E830" s="11" t="str">
        <f>+HYPERLINK("http://trademark.i-assist.jp/data/china/image_1899th/78885060.pdf", "78885060")</f>
        <v>78885060</v>
      </c>
      <c r="F830" s="10" t="s">
        <v>15</v>
      </c>
      <c r="G830" s="10" t="s">
        <v>2390</v>
      </c>
      <c r="H830" s="10" t="s">
        <v>2391</v>
      </c>
      <c r="I830" s="10" t="s">
        <v>125</v>
      </c>
    </row>
    <row r="831" spans="1:9" x14ac:dyDescent="0.15">
      <c r="A831" s="9">
        <v>830</v>
      </c>
      <c r="B831" s="10" t="s">
        <v>9</v>
      </c>
      <c r="C831" s="10" t="s">
        <v>126</v>
      </c>
      <c r="D831" s="10" t="s">
        <v>127</v>
      </c>
      <c r="E831" s="11" t="str">
        <f>+HYPERLINK("http://trademark.i-assist.jp/data/china/image_1899th/78886166.pdf", "78886166")</f>
        <v>78886166</v>
      </c>
      <c r="F831" s="10" t="s">
        <v>2392</v>
      </c>
      <c r="G831" s="10" t="s">
        <v>2393</v>
      </c>
      <c r="H831" s="10" t="s">
        <v>2394</v>
      </c>
      <c r="I831" s="10" t="s">
        <v>125</v>
      </c>
    </row>
    <row r="832" spans="1:9" x14ac:dyDescent="0.15">
      <c r="A832" s="9">
        <v>831</v>
      </c>
      <c r="B832" s="10" t="s">
        <v>9</v>
      </c>
      <c r="C832" s="10" t="s">
        <v>126</v>
      </c>
      <c r="D832" s="10" t="s">
        <v>127</v>
      </c>
      <c r="E832" s="11" t="str">
        <f>+HYPERLINK("http://trademark.i-assist.jp/data/china/image_1899th/78889274.pdf", "78889274")</f>
        <v>78889274</v>
      </c>
      <c r="F832" s="10" t="s">
        <v>2395</v>
      </c>
      <c r="G832" s="10" t="s">
        <v>2396</v>
      </c>
      <c r="H832" s="10" t="s">
        <v>2397</v>
      </c>
      <c r="I832" s="10" t="s">
        <v>125</v>
      </c>
    </row>
    <row r="833" spans="1:9" x14ac:dyDescent="0.15">
      <c r="A833" s="9">
        <v>832</v>
      </c>
      <c r="B833" s="10" t="s">
        <v>9</v>
      </c>
      <c r="C833" s="10" t="s">
        <v>126</v>
      </c>
      <c r="D833" s="10" t="s">
        <v>127</v>
      </c>
      <c r="E833" s="11" t="str">
        <f>+HYPERLINK("http://trademark.i-assist.jp/data/china/image_1899th/78890061.pdf", "78890061")</f>
        <v>78890061</v>
      </c>
      <c r="F833" s="10" t="s">
        <v>2398</v>
      </c>
      <c r="G833" s="10" t="s">
        <v>2399</v>
      </c>
      <c r="H833" s="10" t="s">
        <v>2400</v>
      </c>
      <c r="I833" s="10" t="s">
        <v>125</v>
      </c>
    </row>
    <row r="834" spans="1:9" x14ac:dyDescent="0.15">
      <c r="A834" s="9">
        <v>833</v>
      </c>
      <c r="B834" s="10" t="s">
        <v>9</v>
      </c>
      <c r="C834" s="10" t="s">
        <v>126</v>
      </c>
      <c r="D834" s="10" t="s">
        <v>127</v>
      </c>
      <c r="E834" s="11" t="str">
        <f>+HYPERLINK("http://trademark.i-assist.jp/data/china/image_1899th/78891626.pdf", "78891626")</f>
        <v>78891626</v>
      </c>
      <c r="F834" s="10" t="s">
        <v>2401</v>
      </c>
      <c r="G834" s="10" t="s">
        <v>2402</v>
      </c>
      <c r="H834" s="10" t="s">
        <v>2403</v>
      </c>
      <c r="I834" s="10" t="s">
        <v>125</v>
      </c>
    </row>
    <row r="835" spans="1:9" x14ac:dyDescent="0.15">
      <c r="A835" s="9">
        <v>834</v>
      </c>
      <c r="B835" s="10" t="s">
        <v>9</v>
      </c>
      <c r="C835" s="10" t="s">
        <v>126</v>
      </c>
      <c r="D835" s="10" t="s">
        <v>127</v>
      </c>
      <c r="E835" s="11" t="str">
        <f>+HYPERLINK("http://trademark.i-assist.jp/data/china/image_1899th/78891728.pdf", "78891728")</f>
        <v>78891728</v>
      </c>
      <c r="F835" s="10" t="s">
        <v>15</v>
      </c>
      <c r="G835" s="10" t="s">
        <v>116</v>
      </c>
      <c r="H835" s="10" t="s">
        <v>2404</v>
      </c>
      <c r="I835" s="10" t="s">
        <v>125</v>
      </c>
    </row>
    <row r="836" spans="1:9" x14ac:dyDescent="0.15">
      <c r="A836" s="9">
        <v>835</v>
      </c>
      <c r="B836" s="10" t="s">
        <v>9</v>
      </c>
      <c r="C836" s="10" t="s">
        <v>126</v>
      </c>
      <c r="D836" s="10" t="s">
        <v>127</v>
      </c>
      <c r="E836" s="11" t="str">
        <f>+HYPERLINK("http://trademark.i-assist.jp/data/china/image_1899th/78893416.pdf", "78893416")</f>
        <v>78893416</v>
      </c>
      <c r="F836" s="10" t="s">
        <v>15</v>
      </c>
      <c r="G836" s="10" t="s">
        <v>2405</v>
      </c>
      <c r="H836" s="10" t="s">
        <v>2406</v>
      </c>
      <c r="I836" s="10" t="s">
        <v>2407</v>
      </c>
    </row>
    <row r="837" spans="1:9" x14ac:dyDescent="0.15">
      <c r="A837" s="9">
        <v>836</v>
      </c>
      <c r="B837" s="10" t="s">
        <v>9</v>
      </c>
      <c r="C837" s="10" t="s">
        <v>126</v>
      </c>
      <c r="D837" s="10" t="s">
        <v>127</v>
      </c>
      <c r="E837" s="11" t="str">
        <f>+HYPERLINK("http://trademark.i-assist.jp/data/china/image_1899th/78893880.pdf", "78893880")</f>
        <v>78893880</v>
      </c>
      <c r="F837" s="10" t="s">
        <v>2408</v>
      </c>
      <c r="G837" s="10" t="s">
        <v>2409</v>
      </c>
      <c r="H837" s="10" t="s">
        <v>2410</v>
      </c>
      <c r="I837" s="10" t="s">
        <v>2407</v>
      </c>
    </row>
    <row r="838" spans="1:9" x14ac:dyDescent="0.15">
      <c r="A838" s="9">
        <v>837</v>
      </c>
      <c r="B838" s="10" t="s">
        <v>9</v>
      </c>
      <c r="C838" s="10" t="s">
        <v>126</v>
      </c>
      <c r="D838" s="10" t="s">
        <v>127</v>
      </c>
      <c r="E838" s="11" t="str">
        <f>+HYPERLINK("http://trademark.i-assist.jp/data/china/image_1899th/78894124.pdf", "78894124")</f>
        <v>78894124</v>
      </c>
      <c r="F838" s="10" t="s">
        <v>2411</v>
      </c>
      <c r="G838" s="10" t="s">
        <v>2412</v>
      </c>
      <c r="H838" s="10" t="s">
        <v>2413</v>
      </c>
      <c r="I838" s="10" t="s">
        <v>2407</v>
      </c>
    </row>
    <row r="839" spans="1:9" x14ac:dyDescent="0.15">
      <c r="A839" s="9">
        <v>838</v>
      </c>
      <c r="B839" s="10" t="s">
        <v>9</v>
      </c>
      <c r="C839" s="10" t="s">
        <v>126</v>
      </c>
      <c r="D839" s="10" t="s">
        <v>127</v>
      </c>
      <c r="E839" s="11" t="str">
        <f>+HYPERLINK("http://trademark.i-assist.jp/data/china/image_1899th/78894488.pdf", "78894488")</f>
        <v>78894488</v>
      </c>
      <c r="F839" s="10" t="s">
        <v>2414</v>
      </c>
      <c r="G839" s="10" t="s">
        <v>2415</v>
      </c>
      <c r="H839" s="10" t="s">
        <v>2416</v>
      </c>
      <c r="I839" s="10" t="s">
        <v>2407</v>
      </c>
    </row>
    <row r="840" spans="1:9" x14ac:dyDescent="0.15">
      <c r="A840" s="9">
        <v>839</v>
      </c>
      <c r="B840" s="10" t="s">
        <v>9</v>
      </c>
      <c r="C840" s="10" t="s">
        <v>126</v>
      </c>
      <c r="D840" s="10" t="s">
        <v>127</v>
      </c>
      <c r="E840" s="11" t="str">
        <f>+HYPERLINK("http://trademark.i-assist.jp/data/china/image_1899th/78894681.pdf", "78894681")</f>
        <v>78894681</v>
      </c>
      <c r="F840" s="10" t="s">
        <v>15</v>
      </c>
      <c r="G840" s="10" t="s">
        <v>2417</v>
      </c>
      <c r="H840" s="10" t="s">
        <v>18</v>
      </c>
      <c r="I840" s="10" t="s">
        <v>2407</v>
      </c>
    </row>
    <row r="841" spans="1:9" x14ac:dyDescent="0.15">
      <c r="A841" s="9">
        <v>840</v>
      </c>
      <c r="B841" s="10" t="s">
        <v>9</v>
      </c>
      <c r="C841" s="10" t="s">
        <v>126</v>
      </c>
      <c r="D841" s="10" t="s">
        <v>127</v>
      </c>
      <c r="E841" s="11" t="str">
        <f>+HYPERLINK("http://trademark.i-assist.jp/data/china/image_1899th/78897491.pdf", "78897491")</f>
        <v>78897491</v>
      </c>
      <c r="F841" s="10" t="s">
        <v>2418</v>
      </c>
      <c r="G841" s="10" t="s">
        <v>2419</v>
      </c>
      <c r="H841" s="10" t="s">
        <v>2420</v>
      </c>
      <c r="I841" s="10" t="s">
        <v>2407</v>
      </c>
    </row>
    <row r="842" spans="1:9" x14ac:dyDescent="0.15">
      <c r="A842" s="9">
        <v>841</v>
      </c>
      <c r="B842" s="10" t="s">
        <v>9</v>
      </c>
      <c r="C842" s="10" t="s">
        <v>126</v>
      </c>
      <c r="D842" s="10" t="s">
        <v>127</v>
      </c>
      <c r="E842" s="11" t="str">
        <f>+HYPERLINK("http://trademark.i-assist.jp/data/china/image_1899th/78898247.pdf", "78898247")</f>
        <v>78898247</v>
      </c>
      <c r="F842" s="10" t="s">
        <v>2421</v>
      </c>
      <c r="G842" s="10" t="s">
        <v>2422</v>
      </c>
      <c r="H842" s="10" t="s">
        <v>2423</v>
      </c>
      <c r="I842" s="10" t="s">
        <v>2407</v>
      </c>
    </row>
    <row r="843" spans="1:9" x14ac:dyDescent="0.15">
      <c r="A843" s="9">
        <v>842</v>
      </c>
      <c r="B843" s="10" t="s">
        <v>9</v>
      </c>
      <c r="C843" s="10" t="s">
        <v>126</v>
      </c>
      <c r="D843" s="10" t="s">
        <v>127</v>
      </c>
      <c r="E843" s="11" t="str">
        <f>+HYPERLINK("http://trademark.i-assist.jp/data/china/image_1899th/78898599.pdf", "78898599")</f>
        <v>78898599</v>
      </c>
      <c r="F843" s="10" t="s">
        <v>2424</v>
      </c>
      <c r="G843" s="10" t="s">
        <v>2425</v>
      </c>
      <c r="H843" s="10" t="s">
        <v>2426</v>
      </c>
      <c r="I843" s="10" t="s">
        <v>2407</v>
      </c>
    </row>
    <row r="844" spans="1:9" x14ac:dyDescent="0.15">
      <c r="A844" s="9">
        <v>843</v>
      </c>
      <c r="B844" s="10" t="s">
        <v>9</v>
      </c>
      <c r="C844" s="10" t="s">
        <v>126</v>
      </c>
      <c r="D844" s="10" t="s">
        <v>127</v>
      </c>
      <c r="E844" s="11" t="str">
        <f>+HYPERLINK("http://trademark.i-assist.jp/data/china/image_1899th/78898842.pdf", "78898842")</f>
        <v>78898842</v>
      </c>
      <c r="F844" s="10" t="s">
        <v>2427</v>
      </c>
      <c r="G844" s="10" t="s">
        <v>2415</v>
      </c>
      <c r="H844" s="10" t="s">
        <v>2428</v>
      </c>
      <c r="I844" s="10" t="s">
        <v>2407</v>
      </c>
    </row>
    <row r="845" spans="1:9" x14ac:dyDescent="0.15">
      <c r="A845" s="9">
        <v>844</v>
      </c>
      <c r="B845" s="10" t="s">
        <v>9</v>
      </c>
      <c r="C845" s="10" t="s">
        <v>126</v>
      </c>
      <c r="D845" s="10" t="s">
        <v>127</v>
      </c>
      <c r="E845" s="11" t="str">
        <f>+HYPERLINK("http://trademark.i-assist.jp/data/china/image_1899th/78899668.pdf", "78899668")</f>
        <v>78899668</v>
      </c>
      <c r="F845" s="10" t="s">
        <v>15</v>
      </c>
      <c r="G845" s="10" t="s">
        <v>2083</v>
      </c>
      <c r="H845" s="10" t="s">
        <v>2429</v>
      </c>
      <c r="I845" s="10" t="s">
        <v>2407</v>
      </c>
    </row>
    <row r="846" spans="1:9" x14ac:dyDescent="0.15">
      <c r="A846" s="9">
        <v>845</v>
      </c>
      <c r="B846" s="10" t="s">
        <v>9</v>
      </c>
      <c r="C846" s="10" t="s">
        <v>126</v>
      </c>
      <c r="D846" s="10" t="s">
        <v>127</v>
      </c>
      <c r="E846" s="11" t="str">
        <f>+HYPERLINK("http://trademark.i-assist.jp/data/china/image_1899th/78902027.pdf", "78902027")</f>
        <v>78902027</v>
      </c>
      <c r="F846" s="10" t="s">
        <v>2430</v>
      </c>
      <c r="G846" s="10" t="s">
        <v>2431</v>
      </c>
      <c r="H846" s="10" t="s">
        <v>2432</v>
      </c>
      <c r="I846" s="10" t="s">
        <v>2407</v>
      </c>
    </row>
    <row r="847" spans="1:9" x14ac:dyDescent="0.15">
      <c r="A847" s="9">
        <v>846</v>
      </c>
      <c r="B847" s="10" t="s">
        <v>9</v>
      </c>
      <c r="C847" s="10" t="s">
        <v>126</v>
      </c>
      <c r="D847" s="10" t="s">
        <v>127</v>
      </c>
      <c r="E847" s="11" t="str">
        <f>+HYPERLINK("http://trademark.i-assist.jp/data/china/image_1899th/78902765.pdf", "78902765")</f>
        <v>78902765</v>
      </c>
      <c r="F847" s="10" t="s">
        <v>2433</v>
      </c>
      <c r="G847" s="10" t="s">
        <v>2434</v>
      </c>
      <c r="H847" s="10" t="s">
        <v>2435</v>
      </c>
      <c r="I847" s="10" t="s">
        <v>2407</v>
      </c>
    </row>
    <row r="848" spans="1:9" x14ac:dyDescent="0.15">
      <c r="A848" s="9">
        <v>847</v>
      </c>
      <c r="B848" s="10" t="s">
        <v>9</v>
      </c>
      <c r="C848" s="10" t="s">
        <v>126</v>
      </c>
      <c r="D848" s="10" t="s">
        <v>127</v>
      </c>
      <c r="E848" s="11" t="str">
        <f>+HYPERLINK("http://trademark.i-assist.jp/data/china/image_1899th/78903155.pdf", "78903155")</f>
        <v>78903155</v>
      </c>
      <c r="F848" s="10" t="s">
        <v>2436</v>
      </c>
      <c r="G848" s="10" t="s">
        <v>2437</v>
      </c>
      <c r="H848" s="10" t="s">
        <v>2438</v>
      </c>
      <c r="I848" s="10" t="s">
        <v>2407</v>
      </c>
    </row>
    <row r="849" spans="1:9" x14ac:dyDescent="0.15">
      <c r="A849" s="9">
        <v>848</v>
      </c>
      <c r="B849" s="10" t="s">
        <v>9</v>
      </c>
      <c r="C849" s="10" t="s">
        <v>126</v>
      </c>
      <c r="D849" s="10" t="s">
        <v>127</v>
      </c>
      <c r="E849" s="11" t="str">
        <f>+HYPERLINK("http://trademark.i-assist.jp/data/china/image_1899th/78903304.pdf", "78903304")</f>
        <v>78903304</v>
      </c>
      <c r="F849" s="10" t="s">
        <v>2439</v>
      </c>
      <c r="G849" s="10" t="s">
        <v>2440</v>
      </c>
      <c r="H849" s="10" t="s">
        <v>2441</v>
      </c>
      <c r="I849" s="10" t="s">
        <v>2407</v>
      </c>
    </row>
    <row r="850" spans="1:9" x14ac:dyDescent="0.15">
      <c r="A850" s="9">
        <v>849</v>
      </c>
      <c r="B850" s="10" t="s">
        <v>9</v>
      </c>
      <c r="C850" s="10" t="s">
        <v>126</v>
      </c>
      <c r="D850" s="10" t="s">
        <v>127</v>
      </c>
      <c r="E850" s="11" t="str">
        <f>+HYPERLINK("http://trademark.i-assist.jp/data/china/image_1899th/78903780.pdf", "78903780")</f>
        <v>78903780</v>
      </c>
      <c r="F850" s="10" t="s">
        <v>2442</v>
      </c>
      <c r="G850" s="10" t="s">
        <v>2443</v>
      </c>
      <c r="H850" s="10" t="s">
        <v>2444</v>
      </c>
      <c r="I850" s="10" t="s">
        <v>2407</v>
      </c>
    </row>
    <row r="851" spans="1:9" x14ac:dyDescent="0.15">
      <c r="A851" s="9">
        <v>850</v>
      </c>
      <c r="B851" s="10" t="s">
        <v>9</v>
      </c>
      <c r="C851" s="10" t="s">
        <v>126</v>
      </c>
      <c r="D851" s="10" t="s">
        <v>127</v>
      </c>
      <c r="E851" s="11" t="str">
        <f>+HYPERLINK("http://trademark.i-assist.jp/data/china/image_1899th/78903887.pdf", "78903887")</f>
        <v>78903887</v>
      </c>
      <c r="F851" s="10" t="s">
        <v>2445</v>
      </c>
      <c r="G851" s="10" t="s">
        <v>112</v>
      </c>
      <c r="H851" s="10" t="s">
        <v>2446</v>
      </c>
      <c r="I851" s="10" t="s">
        <v>2407</v>
      </c>
    </row>
    <row r="852" spans="1:9" x14ac:dyDescent="0.15">
      <c r="A852" s="9">
        <v>851</v>
      </c>
      <c r="B852" s="10" t="s">
        <v>9</v>
      </c>
      <c r="C852" s="10" t="s">
        <v>126</v>
      </c>
      <c r="D852" s="10" t="s">
        <v>127</v>
      </c>
      <c r="E852" s="11" t="str">
        <f>+HYPERLINK("http://trademark.i-assist.jp/data/china/image_1899th/78904122.pdf", "78904122")</f>
        <v>78904122</v>
      </c>
      <c r="F852" s="10" t="s">
        <v>2447</v>
      </c>
      <c r="G852" s="10" t="s">
        <v>96</v>
      </c>
      <c r="H852" s="10" t="s">
        <v>2448</v>
      </c>
      <c r="I852" s="10" t="s">
        <v>2407</v>
      </c>
    </row>
    <row r="853" spans="1:9" x14ac:dyDescent="0.15">
      <c r="A853" s="9">
        <v>852</v>
      </c>
      <c r="B853" s="10" t="s">
        <v>9</v>
      </c>
      <c r="C853" s="10" t="s">
        <v>126</v>
      </c>
      <c r="D853" s="10" t="s">
        <v>127</v>
      </c>
      <c r="E853" s="11" t="str">
        <f>+HYPERLINK("http://trademark.i-assist.jp/data/china/image_1899th/78904714.pdf", "78904714")</f>
        <v>78904714</v>
      </c>
      <c r="F853" s="10" t="s">
        <v>2449</v>
      </c>
      <c r="G853" s="10" t="s">
        <v>2415</v>
      </c>
      <c r="H853" s="10" t="s">
        <v>2450</v>
      </c>
      <c r="I853" s="10" t="s">
        <v>2407</v>
      </c>
    </row>
    <row r="854" spans="1:9" x14ac:dyDescent="0.15">
      <c r="A854" s="9">
        <v>853</v>
      </c>
      <c r="B854" s="10" t="s">
        <v>9</v>
      </c>
      <c r="C854" s="10" t="s">
        <v>126</v>
      </c>
      <c r="D854" s="10" t="s">
        <v>127</v>
      </c>
      <c r="E854" s="11" t="str">
        <f>+HYPERLINK("http://trademark.i-assist.jp/data/china/image_1899th/78905004.pdf", "78905004")</f>
        <v>78905004</v>
      </c>
      <c r="F854" s="10" t="s">
        <v>2451</v>
      </c>
      <c r="G854" s="10" t="s">
        <v>2452</v>
      </c>
      <c r="H854" s="10" t="s">
        <v>2453</v>
      </c>
      <c r="I854" s="10" t="s">
        <v>2407</v>
      </c>
    </row>
    <row r="855" spans="1:9" x14ac:dyDescent="0.15">
      <c r="A855" s="9">
        <v>854</v>
      </c>
      <c r="B855" s="10" t="s">
        <v>9</v>
      </c>
      <c r="C855" s="10" t="s">
        <v>126</v>
      </c>
      <c r="D855" s="10" t="s">
        <v>127</v>
      </c>
      <c r="E855" s="11" t="str">
        <f>+HYPERLINK("http://trademark.i-assist.jp/data/china/image_1899th/78906308.pdf", "78906308")</f>
        <v>78906308</v>
      </c>
      <c r="F855" s="10" t="s">
        <v>2454</v>
      </c>
      <c r="G855" s="10" t="s">
        <v>2455</v>
      </c>
      <c r="H855" s="10" t="s">
        <v>2456</v>
      </c>
      <c r="I855" s="10" t="s">
        <v>2407</v>
      </c>
    </row>
    <row r="856" spans="1:9" x14ac:dyDescent="0.15">
      <c r="A856" s="9">
        <v>855</v>
      </c>
      <c r="B856" s="10" t="s">
        <v>9</v>
      </c>
      <c r="C856" s="10" t="s">
        <v>126</v>
      </c>
      <c r="D856" s="10" t="s">
        <v>127</v>
      </c>
      <c r="E856" s="11" t="str">
        <f>+HYPERLINK("http://trademark.i-assist.jp/data/china/image_1899th/78906365.pdf", "78906365")</f>
        <v>78906365</v>
      </c>
      <c r="F856" s="10" t="s">
        <v>2457</v>
      </c>
      <c r="G856" s="10" t="s">
        <v>2458</v>
      </c>
      <c r="H856" s="10" t="s">
        <v>2459</v>
      </c>
      <c r="I856" s="10" t="s">
        <v>2407</v>
      </c>
    </row>
    <row r="857" spans="1:9" x14ac:dyDescent="0.15">
      <c r="A857" s="9">
        <v>856</v>
      </c>
      <c r="B857" s="10" t="s">
        <v>9</v>
      </c>
      <c r="C857" s="10" t="s">
        <v>126</v>
      </c>
      <c r="D857" s="10" t="s">
        <v>127</v>
      </c>
      <c r="E857" s="11" t="str">
        <f>+HYPERLINK("http://trademark.i-assist.jp/data/china/image_1899th/78906927.pdf", "78906927")</f>
        <v>78906927</v>
      </c>
      <c r="F857" s="10" t="s">
        <v>2460</v>
      </c>
      <c r="G857" s="10" t="s">
        <v>2461</v>
      </c>
      <c r="H857" s="10" t="s">
        <v>2462</v>
      </c>
      <c r="I857" s="10" t="s">
        <v>2407</v>
      </c>
    </row>
    <row r="858" spans="1:9" x14ac:dyDescent="0.15">
      <c r="A858" s="9">
        <v>857</v>
      </c>
      <c r="B858" s="10" t="s">
        <v>9</v>
      </c>
      <c r="C858" s="10" t="s">
        <v>126</v>
      </c>
      <c r="D858" s="10" t="s">
        <v>127</v>
      </c>
      <c r="E858" s="11" t="str">
        <f>+HYPERLINK("http://trademark.i-assist.jp/data/china/image_1899th/78910347.pdf", "78910347")</f>
        <v>78910347</v>
      </c>
      <c r="F858" s="10" t="s">
        <v>2463</v>
      </c>
      <c r="G858" s="10" t="s">
        <v>2464</v>
      </c>
      <c r="H858" s="10" t="s">
        <v>2465</v>
      </c>
      <c r="I858" s="10" t="s">
        <v>2407</v>
      </c>
    </row>
    <row r="859" spans="1:9" x14ac:dyDescent="0.15">
      <c r="A859" s="9">
        <v>858</v>
      </c>
      <c r="B859" s="10" t="s">
        <v>9</v>
      </c>
      <c r="C859" s="10" t="s">
        <v>126</v>
      </c>
      <c r="D859" s="10" t="s">
        <v>127</v>
      </c>
      <c r="E859" s="11" t="str">
        <f>+HYPERLINK("http://trademark.i-assist.jp/data/china/image_1899th/78912654.pdf", "78912654")</f>
        <v>78912654</v>
      </c>
      <c r="F859" s="10" t="s">
        <v>2466</v>
      </c>
      <c r="G859" s="10" t="s">
        <v>2467</v>
      </c>
      <c r="H859" s="10" t="s">
        <v>2468</v>
      </c>
      <c r="I859" s="10" t="s">
        <v>2407</v>
      </c>
    </row>
    <row r="860" spans="1:9" x14ac:dyDescent="0.15">
      <c r="A860" s="9">
        <v>859</v>
      </c>
      <c r="B860" s="10" t="s">
        <v>9</v>
      </c>
      <c r="C860" s="10" t="s">
        <v>126</v>
      </c>
      <c r="D860" s="10" t="s">
        <v>127</v>
      </c>
      <c r="E860" s="11" t="str">
        <f>+HYPERLINK("http://trademark.i-assist.jp/data/china/image_1899th/78914209.pdf", "78914209")</f>
        <v>78914209</v>
      </c>
      <c r="F860" s="10" t="s">
        <v>2469</v>
      </c>
      <c r="G860" s="10" t="s">
        <v>2470</v>
      </c>
      <c r="H860" s="10" t="s">
        <v>2471</v>
      </c>
      <c r="I860" s="10" t="s">
        <v>2407</v>
      </c>
    </row>
    <row r="861" spans="1:9" x14ac:dyDescent="0.15">
      <c r="A861" s="9">
        <v>860</v>
      </c>
      <c r="B861" s="10" t="s">
        <v>9</v>
      </c>
      <c r="C861" s="10" t="s">
        <v>126</v>
      </c>
      <c r="D861" s="10" t="s">
        <v>127</v>
      </c>
      <c r="E861" s="11" t="str">
        <f>+HYPERLINK("http://trademark.i-assist.jp/data/china/image_1899th/78914418.pdf", "78914418")</f>
        <v>78914418</v>
      </c>
      <c r="F861" s="10" t="s">
        <v>2472</v>
      </c>
      <c r="G861" s="10" t="s">
        <v>2473</v>
      </c>
      <c r="H861" s="10" t="s">
        <v>2474</v>
      </c>
      <c r="I861" s="10" t="s">
        <v>2407</v>
      </c>
    </row>
    <row r="862" spans="1:9" x14ac:dyDescent="0.15">
      <c r="A862" s="9">
        <v>861</v>
      </c>
      <c r="B862" s="10" t="s">
        <v>9</v>
      </c>
      <c r="C862" s="10" t="s">
        <v>126</v>
      </c>
      <c r="D862" s="10" t="s">
        <v>127</v>
      </c>
      <c r="E862" s="11" t="str">
        <f>+HYPERLINK("http://trademark.i-assist.jp/data/china/image_1899th/78915097.pdf", "78915097")</f>
        <v>78915097</v>
      </c>
      <c r="F862" s="10" t="s">
        <v>2475</v>
      </c>
      <c r="G862" s="10" t="s">
        <v>2476</v>
      </c>
      <c r="H862" s="10" t="s">
        <v>2477</v>
      </c>
      <c r="I862" s="10" t="s">
        <v>2407</v>
      </c>
    </row>
    <row r="863" spans="1:9" x14ac:dyDescent="0.15">
      <c r="A863" s="9">
        <v>862</v>
      </c>
      <c r="B863" s="10" t="s">
        <v>9</v>
      </c>
      <c r="C863" s="10" t="s">
        <v>126</v>
      </c>
      <c r="D863" s="10" t="s">
        <v>127</v>
      </c>
      <c r="E863" s="11" t="str">
        <f>+HYPERLINK("http://trademark.i-assist.jp/data/china/image_1899th/78918895.pdf", "78918895")</f>
        <v>78918895</v>
      </c>
      <c r="F863" s="10" t="s">
        <v>2478</v>
      </c>
      <c r="G863" s="10" t="s">
        <v>2415</v>
      </c>
      <c r="H863" s="10" t="s">
        <v>2479</v>
      </c>
      <c r="I863" s="10" t="s">
        <v>2407</v>
      </c>
    </row>
    <row r="864" spans="1:9" x14ac:dyDescent="0.15">
      <c r="A864" s="9">
        <v>863</v>
      </c>
      <c r="B864" s="10" t="s">
        <v>9</v>
      </c>
      <c r="C864" s="10" t="s">
        <v>126</v>
      </c>
      <c r="D864" s="10" t="s">
        <v>127</v>
      </c>
      <c r="E864" s="11" t="str">
        <f>+HYPERLINK("http://trademark.i-assist.jp/data/china/image_1899th/78918920.pdf", "78918920")</f>
        <v>78918920</v>
      </c>
      <c r="F864" s="10" t="s">
        <v>2480</v>
      </c>
      <c r="G864" s="10" t="s">
        <v>2415</v>
      </c>
      <c r="H864" s="10" t="s">
        <v>2481</v>
      </c>
      <c r="I864" s="10" t="s">
        <v>2407</v>
      </c>
    </row>
    <row r="865" spans="1:9" x14ac:dyDescent="0.15">
      <c r="A865" s="9">
        <v>864</v>
      </c>
      <c r="B865" s="10" t="s">
        <v>9</v>
      </c>
      <c r="C865" s="10" t="s">
        <v>126</v>
      </c>
      <c r="D865" s="10" t="s">
        <v>127</v>
      </c>
      <c r="E865" s="11" t="str">
        <f>+HYPERLINK("http://trademark.i-assist.jp/data/china/image_1899th/78919051.pdf", "78919051")</f>
        <v>78919051</v>
      </c>
      <c r="F865" s="10" t="s">
        <v>2482</v>
      </c>
      <c r="G865" s="10" t="s">
        <v>2483</v>
      </c>
      <c r="H865" s="10" t="s">
        <v>2484</v>
      </c>
      <c r="I865" s="10" t="s">
        <v>2407</v>
      </c>
    </row>
    <row r="866" spans="1:9" x14ac:dyDescent="0.15">
      <c r="A866" s="9">
        <v>865</v>
      </c>
      <c r="B866" s="10" t="s">
        <v>9</v>
      </c>
      <c r="C866" s="10" t="s">
        <v>126</v>
      </c>
      <c r="D866" s="10" t="s">
        <v>127</v>
      </c>
      <c r="E866" s="11" t="str">
        <f>+HYPERLINK("http://trademark.i-assist.jp/data/china/image_1899th/78920033.pdf", "78920033")</f>
        <v>78920033</v>
      </c>
      <c r="F866" s="10" t="s">
        <v>2485</v>
      </c>
      <c r="G866" s="10" t="s">
        <v>2486</v>
      </c>
      <c r="H866" s="10" t="s">
        <v>2487</v>
      </c>
      <c r="I866" s="10" t="s">
        <v>2407</v>
      </c>
    </row>
    <row r="867" spans="1:9" x14ac:dyDescent="0.15">
      <c r="A867" s="9">
        <v>866</v>
      </c>
      <c r="B867" s="10" t="s">
        <v>9</v>
      </c>
      <c r="C867" s="10" t="s">
        <v>126</v>
      </c>
      <c r="D867" s="10" t="s">
        <v>127</v>
      </c>
      <c r="E867" s="11" t="str">
        <f>+HYPERLINK("http://trademark.i-assist.jp/data/china/image_1899th/78940133.pdf", "78940133")</f>
        <v>78940133</v>
      </c>
      <c r="F867" s="10" t="s">
        <v>2488</v>
      </c>
      <c r="G867" s="10" t="s">
        <v>2489</v>
      </c>
      <c r="H867" s="10" t="s">
        <v>2490</v>
      </c>
      <c r="I867" s="10" t="s">
        <v>2491</v>
      </c>
    </row>
    <row r="868" spans="1:9" x14ac:dyDescent="0.15">
      <c r="A868" s="9">
        <v>867</v>
      </c>
      <c r="B868" s="10" t="s">
        <v>9</v>
      </c>
      <c r="C868" s="10" t="s">
        <v>126</v>
      </c>
      <c r="D868" s="10" t="s">
        <v>127</v>
      </c>
      <c r="E868" s="11" t="str">
        <f>+HYPERLINK("http://trademark.i-assist.jp/data/china/image_1899th/78945638.pdf", "78945638")</f>
        <v>78945638</v>
      </c>
      <c r="F868" s="10" t="s">
        <v>2492</v>
      </c>
      <c r="G868" s="10" t="s">
        <v>2489</v>
      </c>
      <c r="H868" s="10" t="s">
        <v>2493</v>
      </c>
      <c r="I868" s="10" t="s">
        <v>2491</v>
      </c>
    </row>
    <row r="869" spans="1:9" x14ac:dyDescent="0.15">
      <c r="A869" s="9">
        <v>868</v>
      </c>
      <c r="B869" s="10" t="s">
        <v>9</v>
      </c>
      <c r="C869" s="10" t="s">
        <v>126</v>
      </c>
      <c r="D869" s="10" t="s">
        <v>127</v>
      </c>
      <c r="E869" s="11" t="str">
        <f>+HYPERLINK("http://trademark.i-assist.jp/data/china/image_1899th/78984063.pdf", "78984063")</f>
        <v>78984063</v>
      </c>
      <c r="F869" s="10" t="s">
        <v>2494</v>
      </c>
      <c r="G869" s="10" t="s">
        <v>2495</v>
      </c>
      <c r="H869" s="10" t="s">
        <v>2496</v>
      </c>
      <c r="I869" s="10" t="s">
        <v>2497</v>
      </c>
    </row>
    <row r="870" spans="1:9" x14ac:dyDescent="0.15">
      <c r="A870" s="9">
        <v>869</v>
      </c>
      <c r="B870" s="10" t="s">
        <v>9</v>
      </c>
      <c r="C870" s="10" t="s">
        <v>126</v>
      </c>
      <c r="D870" s="10" t="s">
        <v>127</v>
      </c>
      <c r="E870" s="11" t="str">
        <f>+HYPERLINK("http://trademark.i-assist.jp/data/china/image_1899th/79001318.pdf", "79001318")</f>
        <v>79001318</v>
      </c>
      <c r="F870" s="10" t="s">
        <v>15</v>
      </c>
      <c r="G870" s="10" t="s">
        <v>2498</v>
      </c>
      <c r="H870" s="10" t="s">
        <v>2499</v>
      </c>
      <c r="I870" s="10" t="s">
        <v>2500</v>
      </c>
    </row>
    <row r="871" spans="1:9" x14ac:dyDescent="0.15">
      <c r="A871" s="9">
        <v>870</v>
      </c>
      <c r="B871" s="10" t="s">
        <v>9</v>
      </c>
      <c r="C871" s="10" t="s">
        <v>126</v>
      </c>
      <c r="D871" s="10" t="s">
        <v>127</v>
      </c>
      <c r="E871" s="11" t="str">
        <f>+HYPERLINK("http://trademark.i-assist.jp/data/china/image_1899th/79002720.pdf", "79002720")</f>
        <v>79002720</v>
      </c>
      <c r="F871" s="10" t="s">
        <v>15</v>
      </c>
      <c r="G871" s="10" t="s">
        <v>2501</v>
      </c>
      <c r="H871" s="10" t="s">
        <v>2502</v>
      </c>
      <c r="I871" s="10" t="s">
        <v>2500</v>
      </c>
    </row>
    <row r="872" spans="1:9" x14ac:dyDescent="0.15">
      <c r="A872" s="9">
        <v>871</v>
      </c>
      <c r="B872" s="10" t="s">
        <v>9</v>
      </c>
      <c r="C872" s="10" t="s">
        <v>126</v>
      </c>
      <c r="D872" s="10" t="s">
        <v>127</v>
      </c>
      <c r="E872" s="11" t="str">
        <f>+HYPERLINK("http://trademark.i-assist.jp/data/china/image_1899th/79003634.pdf", "79003634")</f>
        <v>79003634</v>
      </c>
      <c r="F872" s="10" t="s">
        <v>2503</v>
      </c>
      <c r="G872" s="10" t="s">
        <v>2504</v>
      </c>
      <c r="H872" s="10" t="s">
        <v>2505</v>
      </c>
      <c r="I872" s="10" t="s">
        <v>2500</v>
      </c>
    </row>
    <row r="873" spans="1:9" x14ac:dyDescent="0.15">
      <c r="A873" s="9">
        <v>872</v>
      </c>
      <c r="B873" s="10" t="s">
        <v>9</v>
      </c>
      <c r="C873" s="10" t="s">
        <v>126</v>
      </c>
      <c r="D873" s="10" t="s">
        <v>127</v>
      </c>
      <c r="E873" s="11" t="str">
        <f>+HYPERLINK("http://trademark.i-assist.jp/data/china/image_1899th/79004233.pdf", "79004233")</f>
        <v>79004233</v>
      </c>
      <c r="F873" s="10" t="s">
        <v>2506</v>
      </c>
      <c r="G873" s="10" t="s">
        <v>2507</v>
      </c>
      <c r="H873" s="10" t="s">
        <v>2508</v>
      </c>
      <c r="I873" s="10" t="s">
        <v>2500</v>
      </c>
    </row>
    <row r="874" spans="1:9" x14ac:dyDescent="0.15">
      <c r="A874" s="9">
        <v>873</v>
      </c>
      <c r="B874" s="10" t="s">
        <v>9</v>
      </c>
      <c r="C874" s="10" t="s">
        <v>126</v>
      </c>
      <c r="D874" s="10" t="s">
        <v>127</v>
      </c>
      <c r="E874" s="11" t="str">
        <f>+HYPERLINK("http://trademark.i-assist.jp/data/china/image_1899th/79004849.pdf", "79004849")</f>
        <v>79004849</v>
      </c>
      <c r="F874" s="10" t="s">
        <v>2509</v>
      </c>
      <c r="G874" s="10" t="s">
        <v>2510</v>
      </c>
      <c r="H874" s="10" t="s">
        <v>2511</v>
      </c>
      <c r="I874" s="10" t="s">
        <v>2500</v>
      </c>
    </row>
    <row r="875" spans="1:9" x14ac:dyDescent="0.15">
      <c r="A875" s="9">
        <v>874</v>
      </c>
      <c r="B875" s="10" t="s">
        <v>9</v>
      </c>
      <c r="C875" s="10" t="s">
        <v>126</v>
      </c>
      <c r="D875" s="10" t="s">
        <v>127</v>
      </c>
      <c r="E875" s="11" t="str">
        <f>+HYPERLINK("http://trademark.i-assist.jp/data/china/image_1899th/79009145.pdf", "79009145")</f>
        <v>79009145</v>
      </c>
      <c r="F875" s="10" t="s">
        <v>2512</v>
      </c>
      <c r="G875" s="10" t="s">
        <v>2513</v>
      </c>
      <c r="H875" s="10" t="s">
        <v>2514</v>
      </c>
      <c r="I875" s="10" t="s">
        <v>2500</v>
      </c>
    </row>
    <row r="876" spans="1:9" x14ac:dyDescent="0.15">
      <c r="A876" s="9">
        <v>875</v>
      </c>
      <c r="B876" s="10" t="s">
        <v>9</v>
      </c>
      <c r="C876" s="10" t="s">
        <v>126</v>
      </c>
      <c r="D876" s="10" t="s">
        <v>127</v>
      </c>
      <c r="E876" s="11" t="str">
        <f>+HYPERLINK("http://trademark.i-assist.jp/data/china/image_1899th/79017799.pdf", "79017799")</f>
        <v>79017799</v>
      </c>
      <c r="F876" s="10" t="s">
        <v>2515</v>
      </c>
      <c r="G876" s="10" t="s">
        <v>2516</v>
      </c>
      <c r="H876" s="10" t="s">
        <v>2517</v>
      </c>
      <c r="I876" s="10" t="s">
        <v>2518</v>
      </c>
    </row>
    <row r="877" spans="1:9" x14ac:dyDescent="0.15">
      <c r="A877" s="9">
        <v>876</v>
      </c>
      <c r="B877" s="10" t="s">
        <v>9</v>
      </c>
      <c r="C877" s="10" t="s">
        <v>126</v>
      </c>
      <c r="D877" s="10" t="s">
        <v>127</v>
      </c>
      <c r="E877" s="11" t="str">
        <f>+HYPERLINK("http://trademark.i-assist.jp/data/china/image_1899th/79019770.pdf", "79019770")</f>
        <v>79019770</v>
      </c>
      <c r="F877" s="10" t="s">
        <v>15</v>
      </c>
      <c r="G877" s="10" t="s">
        <v>2519</v>
      </c>
      <c r="H877" s="10" t="s">
        <v>2520</v>
      </c>
      <c r="I877" s="10" t="s">
        <v>2518</v>
      </c>
    </row>
    <row r="878" spans="1:9" x14ac:dyDescent="0.15">
      <c r="A878" s="9">
        <v>877</v>
      </c>
      <c r="B878" s="10" t="s">
        <v>9</v>
      </c>
      <c r="C878" s="10" t="s">
        <v>126</v>
      </c>
      <c r="D878" s="10" t="s">
        <v>127</v>
      </c>
      <c r="E878" s="11" t="str">
        <f>+HYPERLINK("http://trademark.i-assist.jp/data/china/image_1899th/79024416.pdf", "79024416")</f>
        <v>79024416</v>
      </c>
      <c r="F878" s="10" t="s">
        <v>2521</v>
      </c>
      <c r="G878" s="10" t="s">
        <v>2522</v>
      </c>
      <c r="H878" s="10" t="s">
        <v>2523</v>
      </c>
      <c r="I878" s="10" t="s">
        <v>2518</v>
      </c>
    </row>
    <row r="879" spans="1:9" x14ac:dyDescent="0.15">
      <c r="A879" s="9">
        <v>878</v>
      </c>
      <c r="B879" s="10" t="s">
        <v>9</v>
      </c>
      <c r="C879" s="10" t="s">
        <v>126</v>
      </c>
      <c r="D879" s="10" t="s">
        <v>127</v>
      </c>
      <c r="E879" s="11" t="str">
        <f>+HYPERLINK("http://trademark.i-assist.jp/data/china/image_1899th/79027639.pdf", "79027639")</f>
        <v>79027639</v>
      </c>
      <c r="F879" s="10" t="s">
        <v>2524</v>
      </c>
      <c r="G879" s="10" t="s">
        <v>2525</v>
      </c>
      <c r="H879" s="10" t="s">
        <v>2526</v>
      </c>
      <c r="I879" s="10" t="s">
        <v>2518</v>
      </c>
    </row>
    <row r="880" spans="1:9" x14ac:dyDescent="0.15">
      <c r="A880" s="9">
        <v>879</v>
      </c>
      <c r="B880" s="10" t="s">
        <v>9</v>
      </c>
      <c r="C880" s="10" t="s">
        <v>126</v>
      </c>
      <c r="D880" s="10" t="s">
        <v>127</v>
      </c>
      <c r="E880" s="11" t="str">
        <f>+HYPERLINK("http://trademark.i-assist.jp/data/china/image_1899th/79029837.pdf", "79029837")</f>
        <v>79029837</v>
      </c>
      <c r="F880" s="10" t="s">
        <v>2527</v>
      </c>
      <c r="G880" s="10" t="s">
        <v>2528</v>
      </c>
      <c r="H880" s="10" t="s">
        <v>2529</v>
      </c>
      <c r="I880" s="10" t="s">
        <v>2518</v>
      </c>
    </row>
    <row r="881" spans="1:9" x14ac:dyDescent="0.15">
      <c r="A881" s="9">
        <v>880</v>
      </c>
      <c r="B881" s="10" t="s">
        <v>9</v>
      </c>
      <c r="C881" s="10" t="s">
        <v>126</v>
      </c>
      <c r="D881" s="10" t="s">
        <v>127</v>
      </c>
      <c r="E881" s="11" t="str">
        <f>+HYPERLINK("http://trademark.i-assist.jp/data/china/image_1899th/79032703.pdf", "79032703")</f>
        <v>79032703</v>
      </c>
      <c r="F881" s="10" t="s">
        <v>2530</v>
      </c>
      <c r="G881" s="10" t="s">
        <v>2531</v>
      </c>
      <c r="H881" s="10" t="s">
        <v>2532</v>
      </c>
      <c r="I881" s="10" t="s">
        <v>2518</v>
      </c>
    </row>
    <row r="882" spans="1:9" x14ac:dyDescent="0.15">
      <c r="A882" s="9">
        <v>881</v>
      </c>
      <c r="B882" s="10" t="s">
        <v>9</v>
      </c>
      <c r="C882" s="10" t="s">
        <v>126</v>
      </c>
      <c r="D882" s="10" t="s">
        <v>127</v>
      </c>
      <c r="E882" s="11" t="str">
        <f>+HYPERLINK("http://trademark.i-assist.jp/data/china/image_1899th/79247213.pdf", "79247213")</f>
        <v>79247213</v>
      </c>
      <c r="F882" s="10" t="s">
        <v>2533</v>
      </c>
      <c r="G882" s="10" t="s">
        <v>2534</v>
      </c>
      <c r="H882" s="10" t="s">
        <v>2535</v>
      </c>
      <c r="I882" s="10" t="s">
        <v>2536</v>
      </c>
    </row>
    <row r="883" spans="1:9" x14ac:dyDescent="0.15">
      <c r="A883" s="9">
        <v>882</v>
      </c>
      <c r="B883" s="10" t="s">
        <v>9</v>
      </c>
      <c r="C883" s="10" t="s">
        <v>126</v>
      </c>
      <c r="D883" s="10" t="s">
        <v>127</v>
      </c>
      <c r="E883" s="11" t="str">
        <f>+HYPERLINK("http://trademark.i-assist.jp/data/china/image_1899th/79260473.pdf", "79260473")</f>
        <v>79260473</v>
      </c>
      <c r="F883" s="10" t="s">
        <v>2537</v>
      </c>
      <c r="G883" s="10" t="s">
        <v>2534</v>
      </c>
      <c r="H883" s="10" t="s">
        <v>2538</v>
      </c>
      <c r="I883" s="10" t="s">
        <v>2536</v>
      </c>
    </row>
    <row r="884" spans="1:9" x14ac:dyDescent="0.15">
      <c r="A884"/>
      <c r="B884"/>
      <c r="C884"/>
      <c r="D884"/>
      <c r="E884"/>
      <c r="F884"/>
      <c r="G884"/>
      <c r="H884"/>
      <c r="I884"/>
    </row>
    <row r="885" spans="1:9" x14ac:dyDescent="0.15">
      <c r="A885"/>
      <c r="B885"/>
      <c r="C885"/>
      <c r="D885"/>
      <c r="E885"/>
      <c r="F885"/>
      <c r="G885"/>
      <c r="H885"/>
      <c r="I885"/>
    </row>
    <row r="886" spans="1:9" x14ac:dyDescent="0.15">
      <c r="A886"/>
      <c r="B886"/>
      <c r="C886"/>
      <c r="D886"/>
      <c r="E886"/>
      <c r="F886"/>
      <c r="G886"/>
      <c r="H886"/>
      <c r="I886"/>
    </row>
    <row r="887" spans="1:9" x14ac:dyDescent="0.15">
      <c r="A887"/>
      <c r="B887"/>
      <c r="C887"/>
      <c r="D887"/>
      <c r="E887"/>
      <c r="F887"/>
      <c r="G887"/>
      <c r="H887"/>
      <c r="I887"/>
    </row>
    <row r="888" spans="1:9" x14ac:dyDescent="0.15">
      <c r="A888"/>
      <c r="B888"/>
      <c r="C888"/>
      <c r="D888"/>
      <c r="E888"/>
      <c r="F888"/>
      <c r="G888"/>
      <c r="H888"/>
      <c r="I888"/>
    </row>
    <row r="889" spans="1:9" x14ac:dyDescent="0.15">
      <c r="A889"/>
      <c r="B889"/>
      <c r="C889"/>
      <c r="D889"/>
      <c r="E889"/>
      <c r="F889"/>
      <c r="G889"/>
      <c r="H889"/>
      <c r="I889"/>
    </row>
    <row r="890" spans="1:9" x14ac:dyDescent="0.15">
      <c r="A890"/>
      <c r="B890"/>
      <c r="C890"/>
      <c r="D890"/>
      <c r="E890"/>
      <c r="F890"/>
      <c r="G890"/>
      <c r="H890"/>
      <c r="I890"/>
    </row>
    <row r="891" spans="1:9" x14ac:dyDescent="0.15">
      <c r="A891"/>
      <c r="B891"/>
      <c r="C891"/>
      <c r="D891"/>
      <c r="E891"/>
      <c r="F891"/>
      <c r="G891"/>
      <c r="H891"/>
      <c r="I891"/>
    </row>
    <row r="892" spans="1:9" x14ac:dyDescent="0.15">
      <c r="A892"/>
      <c r="B892"/>
      <c r="C892"/>
      <c r="D892"/>
      <c r="E892"/>
      <c r="F892"/>
      <c r="G892"/>
      <c r="H892"/>
      <c r="I892"/>
    </row>
    <row r="893" spans="1:9" x14ac:dyDescent="0.15">
      <c r="A893"/>
      <c r="B893"/>
      <c r="C893"/>
      <c r="D893"/>
      <c r="E893"/>
      <c r="F893"/>
      <c r="G893"/>
      <c r="H893"/>
      <c r="I893"/>
    </row>
    <row r="894" spans="1:9" x14ac:dyDescent="0.15">
      <c r="A894"/>
      <c r="B894"/>
      <c r="C894"/>
      <c r="D894"/>
      <c r="E894"/>
      <c r="F894"/>
      <c r="G894"/>
      <c r="H894"/>
      <c r="I894"/>
    </row>
    <row r="895" spans="1:9" x14ac:dyDescent="0.15">
      <c r="A895"/>
      <c r="B895"/>
      <c r="C895"/>
      <c r="D895"/>
      <c r="E895"/>
      <c r="F895"/>
      <c r="G895"/>
      <c r="H895"/>
      <c r="I895"/>
    </row>
    <row r="896" spans="1:9" x14ac:dyDescent="0.15">
      <c r="A896"/>
      <c r="B896"/>
      <c r="C896"/>
      <c r="D896"/>
      <c r="E896"/>
      <c r="F896"/>
      <c r="G896"/>
      <c r="H896"/>
      <c r="I896"/>
    </row>
    <row r="897" customFormat="1" x14ac:dyDescent="0.15"/>
    <row r="898" customFormat="1" x14ac:dyDescent="0.15"/>
    <row r="899" customFormat="1" x14ac:dyDescent="0.15"/>
    <row r="900" customFormat="1" x14ac:dyDescent="0.15"/>
    <row r="901" customFormat="1" x14ac:dyDescent="0.15"/>
    <row r="902" customFormat="1" x14ac:dyDescent="0.15"/>
    <row r="903" customFormat="1" x14ac:dyDescent="0.15"/>
    <row r="904" customFormat="1" x14ac:dyDescent="0.15"/>
    <row r="905" customFormat="1" x14ac:dyDescent="0.15"/>
    <row r="906" customFormat="1" x14ac:dyDescent="0.15"/>
    <row r="907" customFormat="1" x14ac:dyDescent="0.15"/>
    <row r="908" customFormat="1" x14ac:dyDescent="0.15"/>
    <row r="909" customFormat="1" x14ac:dyDescent="0.15"/>
    <row r="910" customFormat="1" x14ac:dyDescent="0.15"/>
    <row r="911" customFormat="1" x14ac:dyDescent="0.15"/>
    <row r="912" customFormat="1" x14ac:dyDescent="0.15"/>
    <row r="913" customFormat="1" x14ac:dyDescent="0.15"/>
    <row r="914" customFormat="1" x14ac:dyDescent="0.15"/>
    <row r="915" customFormat="1" x14ac:dyDescent="0.15"/>
    <row r="916" customFormat="1" x14ac:dyDescent="0.15"/>
    <row r="917" customFormat="1" x14ac:dyDescent="0.15"/>
    <row r="918" customFormat="1" x14ac:dyDescent="0.15"/>
    <row r="919" customFormat="1" x14ac:dyDescent="0.15"/>
    <row r="920" customFormat="1" x14ac:dyDescent="0.15"/>
    <row r="921" customFormat="1" x14ac:dyDescent="0.15"/>
    <row r="922" customFormat="1" x14ac:dyDescent="0.15"/>
    <row r="923" customFormat="1" x14ac:dyDescent="0.15"/>
    <row r="924" customFormat="1" x14ac:dyDescent="0.15"/>
    <row r="925" customFormat="1" x14ac:dyDescent="0.15"/>
    <row r="926" customFormat="1" x14ac:dyDescent="0.15"/>
    <row r="927" customFormat="1" x14ac:dyDescent="0.15"/>
    <row r="928" customFormat="1" x14ac:dyDescent="0.15"/>
    <row r="929" customFormat="1" x14ac:dyDescent="0.15"/>
    <row r="930" customFormat="1" x14ac:dyDescent="0.15"/>
    <row r="931" customFormat="1" x14ac:dyDescent="0.15"/>
    <row r="932" customFormat="1" x14ac:dyDescent="0.15"/>
    <row r="933" customFormat="1" x14ac:dyDescent="0.15"/>
    <row r="934" customFormat="1" x14ac:dyDescent="0.15"/>
    <row r="935" customFormat="1" x14ac:dyDescent="0.15"/>
    <row r="936" customFormat="1" x14ac:dyDescent="0.15"/>
    <row r="937" customFormat="1" x14ac:dyDescent="0.15"/>
    <row r="938" customFormat="1" x14ac:dyDescent="0.15"/>
    <row r="939" customFormat="1" x14ac:dyDescent="0.15"/>
    <row r="940" customFormat="1" x14ac:dyDescent="0.15"/>
    <row r="941" customFormat="1" x14ac:dyDescent="0.15"/>
    <row r="942" customFormat="1" x14ac:dyDescent="0.15"/>
    <row r="943" customFormat="1" x14ac:dyDescent="0.15"/>
    <row r="944" customFormat="1" x14ac:dyDescent="0.15"/>
    <row r="945" customFormat="1" x14ac:dyDescent="0.15"/>
    <row r="946" customFormat="1" x14ac:dyDescent="0.15"/>
    <row r="947" customFormat="1" x14ac:dyDescent="0.15"/>
    <row r="948" customFormat="1" x14ac:dyDescent="0.15"/>
    <row r="949" customFormat="1" x14ac:dyDescent="0.15"/>
    <row r="950" customFormat="1" x14ac:dyDescent="0.15"/>
    <row r="951" customFormat="1" x14ac:dyDescent="0.15"/>
    <row r="952" customFormat="1" x14ac:dyDescent="0.15"/>
    <row r="953" customFormat="1" x14ac:dyDescent="0.15"/>
    <row r="954" customFormat="1" x14ac:dyDescent="0.15"/>
    <row r="955" customFormat="1" x14ac:dyDescent="0.15"/>
    <row r="956" customFormat="1" x14ac:dyDescent="0.15"/>
    <row r="957" customFormat="1" x14ac:dyDescent="0.15"/>
    <row r="958" customFormat="1" x14ac:dyDescent="0.15"/>
    <row r="959" customFormat="1" x14ac:dyDescent="0.15"/>
    <row r="960" customFormat="1" x14ac:dyDescent="0.15"/>
    <row r="961" customFormat="1" x14ac:dyDescent="0.15"/>
    <row r="962" customFormat="1" x14ac:dyDescent="0.15"/>
    <row r="963" customFormat="1" x14ac:dyDescent="0.15"/>
    <row r="964" customFormat="1" x14ac:dyDescent="0.15"/>
    <row r="965" customFormat="1" x14ac:dyDescent="0.15"/>
    <row r="966" customFormat="1" x14ac:dyDescent="0.15"/>
    <row r="967" customFormat="1" x14ac:dyDescent="0.15"/>
    <row r="968" customFormat="1" x14ac:dyDescent="0.15"/>
    <row r="969" customFormat="1" x14ac:dyDescent="0.15"/>
    <row r="970" customFormat="1" x14ac:dyDescent="0.15"/>
    <row r="971" customFormat="1" x14ac:dyDescent="0.15"/>
    <row r="972" customFormat="1" x14ac:dyDescent="0.15"/>
    <row r="973" customFormat="1" x14ac:dyDescent="0.15"/>
    <row r="974" customFormat="1" x14ac:dyDescent="0.15"/>
    <row r="975" customFormat="1" x14ac:dyDescent="0.15"/>
    <row r="976" customFormat="1" x14ac:dyDescent="0.15"/>
    <row r="977" customFormat="1" x14ac:dyDescent="0.15"/>
    <row r="978" customFormat="1" x14ac:dyDescent="0.15"/>
    <row r="979" customFormat="1" x14ac:dyDescent="0.15"/>
    <row r="980" customFormat="1" x14ac:dyDescent="0.15"/>
    <row r="981" customFormat="1" x14ac:dyDescent="0.15"/>
    <row r="982" customFormat="1" x14ac:dyDescent="0.15"/>
    <row r="983" customFormat="1" x14ac:dyDescent="0.15"/>
    <row r="984" customFormat="1" x14ac:dyDescent="0.15"/>
    <row r="985" customFormat="1" x14ac:dyDescent="0.15"/>
    <row r="986" customFormat="1" x14ac:dyDescent="0.15"/>
    <row r="987" customFormat="1" x14ac:dyDescent="0.15"/>
    <row r="988" customFormat="1" x14ac:dyDescent="0.15"/>
    <row r="989" customFormat="1" x14ac:dyDescent="0.15"/>
    <row r="990" customFormat="1" x14ac:dyDescent="0.15"/>
    <row r="991" customFormat="1" x14ac:dyDescent="0.15"/>
    <row r="992" customFormat="1" x14ac:dyDescent="0.15"/>
    <row r="993" customFormat="1" x14ac:dyDescent="0.15"/>
    <row r="994" customFormat="1" x14ac:dyDescent="0.15"/>
    <row r="995" customFormat="1" x14ac:dyDescent="0.15"/>
    <row r="996" customFormat="1" x14ac:dyDescent="0.15"/>
    <row r="997" customFormat="1" x14ac:dyDescent="0.15"/>
    <row r="998" customFormat="1" x14ac:dyDescent="0.15"/>
    <row r="999" customFormat="1" x14ac:dyDescent="0.15"/>
    <row r="1000" customFormat="1" x14ac:dyDescent="0.15"/>
    <row r="1001" customFormat="1" x14ac:dyDescent="0.15"/>
    <row r="1002" customFormat="1" x14ac:dyDescent="0.15"/>
    <row r="1003" customFormat="1" x14ac:dyDescent="0.15"/>
    <row r="1004" customFormat="1" x14ac:dyDescent="0.15"/>
    <row r="1005" customFormat="1" x14ac:dyDescent="0.15"/>
    <row r="1006" customFormat="1" x14ac:dyDescent="0.15"/>
    <row r="1007" customFormat="1" x14ac:dyDescent="0.15"/>
    <row r="1008" customFormat="1" x14ac:dyDescent="0.15"/>
    <row r="1009" customFormat="1" x14ac:dyDescent="0.15"/>
    <row r="1010" customFormat="1" x14ac:dyDescent="0.15"/>
    <row r="1011" customFormat="1" x14ac:dyDescent="0.15"/>
    <row r="1012" customFormat="1" x14ac:dyDescent="0.15"/>
    <row r="1013" customFormat="1" x14ac:dyDescent="0.15"/>
    <row r="1014" customFormat="1" x14ac:dyDescent="0.15"/>
    <row r="1015" customFormat="1" x14ac:dyDescent="0.15"/>
    <row r="1016" customFormat="1" x14ac:dyDescent="0.15"/>
    <row r="1017" customFormat="1" x14ac:dyDescent="0.15"/>
    <row r="1018" customFormat="1" x14ac:dyDescent="0.15"/>
    <row r="1019" customFormat="1" x14ac:dyDescent="0.15"/>
    <row r="1020" customFormat="1" x14ac:dyDescent="0.15"/>
    <row r="1021" customFormat="1" x14ac:dyDescent="0.15"/>
    <row r="1022" customFormat="1" x14ac:dyDescent="0.15"/>
    <row r="1023" customFormat="1" x14ac:dyDescent="0.15"/>
    <row r="1024" customFormat="1" x14ac:dyDescent="0.15"/>
    <row r="1025" customFormat="1" x14ac:dyDescent="0.15"/>
    <row r="1026" customFormat="1" x14ac:dyDescent="0.15"/>
    <row r="1027" customFormat="1" x14ac:dyDescent="0.15"/>
    <row r="1028" customFormat="1" x14ac:dyDescent="0.15"/>
    <row r="1029" customFormat="1" x14ac:dyDescent="0.15"/>
    <row r="1030" customFormat="1" x14ac:dyDescent="0.15"/>
    <row r="1031" customFormat="1" x14ac:dyDescent="0.15"/>
    <row r="1032" customFormat="1" x14ac:dyDescent="0.15"/>
    <row r="1033" customFormat="1" x14ac:dyDescent="0.15"/>
    <row r="1034" customFormat="1" x14ac:dyDescent="0.15"/>
    <row r="1035" customFormat="1" x14ac:dyDescent="0.15"/>
    <row r="1036" customFormat="1" x14ac:dyDescent="0.15"/>
    <row r="1037" customFormat="1" x14ac:dyDescent="0.15"/>
    <row r="1038" customFormat="1" x14ac:dyDescent="0.15"/>
    <row r="1039" customFormat="1" x14ac:dyDescent="0.15"/>
    <row r="1040" customFormat="1" x14ac:dyDescent="0.15"/>
    <row r="1041" customFormat="1" x14ac:dyDescent="0.15"/>
    <row r="1042" customFormat="1" x14ac:dyDescent="0.15"/>
    <row r="1043" customFormat="1" x14ac:dyDescent="0.15"/>
    <row r="1044" customFormat="1" x14ac:dyDescent="0.15"/>
    <row r="1045" customFormat="1" x14ac:dyDescent="0.15"/>
    <row r="1046" customFormat="1" x14ac:dyDescent="0.15"/>
    <row r="1047" customFormat="1" x14ac:dyDescent="0.15"/>
    <row r="1048" customFormat="1" x14ac:dyDescent="0.15"/>
    <row r="1049" customFormat="1" x14ac:dyDescent="0.15"/>
    <row r="1050" customFormat="1" x14ac:dyDescent="0.15"/>
    <row r="1051" customFormat="1" x14ac:dyDescent="0.15"/>
    <row r="1052" customFormat="1" x14ac:dyDescent="0.15"/>
    <row r="1053" customFormat="1" x14ac:dyDescent="0.15"/>
    <row r="1054" customFormat="1" x14ac:dyDescent="0.15"/>
    <row r="1055" customFormat="1" x14ac:dyDescent="0.15"/>
    <row r="1056" customFormat="1" x14ac:dyDescent="0.15"/>
    <row r="1057" customFormat="1" x14ac:dyDescent="0.15"/>
    <row r="1058" customFormat="1" x14ac:dyDescent="0.15"/>
    <row r="1059" customFormat="1" x14ac:dyDescent="0.15"/>
    <row r="1060" customFormat="1" x14ac:dyDescent="0.15"/>
    <row r="1061" customFormat="1" x14ac:dyDescent="0.15"/>
    <row r="1062" customFormat="1" x14ac:dyDescent="0.15"/>
    <row r="1063" customFormat="1" x14ac:dyDescent="0.15"/>
    <row r="1064" customFormat="1" x14ac:dyDescent="0.15"/>
    <row r="1065" customFormat="1" x14ac:dyDescent="0.15"/>
    <row r="1066" customFormat="1" x14ac:dyDescent="0.15"/>
    <row r="1067" customFormat="1" x14ac:dyDescent="0.15"/>
    <row r="1068" customFormat="1" x14ac:dyDescent="0.15"/>
    <row r="1069" customFormat="1" x14ac:dyDescent="0.15"/>
    <row r="1070" customFormat="1" x14ac:dyDescent="0.15"/>
    <row r="1071" customFormat="1" x14ac:dyDescent="0.15"/>
    <row r="1072" customFormat="1" x14ac:dyDescent="0.15"/>
    <row r="1073" customFormat="1" x14ac:dyDescent="0.15"/>
    <row r="1074" customFormat="1" x14ac:dyDescent="0.15"/>
    <row r="1075" customFormat="1" x14ac:dyDescent="0.15"/>
    <row r="1076" customFormat="1" x14ac:dyDescent="0.15"/>
    <row r="1077" customFormat="1" x14ac:dyDescent="0.15"/>
    <row r="1078" customFormat="1" x14ac:dyDescent="0.15"/>
    <row r="1079" customFormat="1" x14ac:dyDescent="0.15"/>
    <row r="1080" customFormat="1" x14ac:dyDescent="0.15"/>
    <row r="1081" customFormat="1" x14ac:dyDescent="0.15"/>
    <row r="1082" customFormat="1" x14ac:dyDescent="0.15"/>
    <row r="1083" customFormat="1" x14ac:dyDescent="0.15"/>
    <row r="1084" customFormat="1" x14ac:dyDescent="0.15"/>
    <row r="1085" customFormat="1" x14ac:dyDescent="0.15"/>
    <row r="1086" customFormat="1" x14ac:dyDescent="0.15"/>
    <row r="1087" customFormat="1" x14ac:dyDescent="0.15"/>
    <row r="1088" customFormat="1" x14ac:dyDescent="0.15"/>
    <row r="1089" customFormat="1" x14ac:dyDescent="0.15"/>
    <row r="1090" customFormat="1" x14ac:dyDescent="0.15"/>
    <row r="1091" customFormat="1" x14ac:dyDescent="0.15"/>
    <row r="1092" customFormat="1" x14ac:dyDescent="0.15"/>
    <row r="1093" customFormat="1" x14ac:dyDescent="0.15"/>
    <row r="1094" customFormat="1" x14ac:dyDescent="0.15"/>
    <row r="1095" customFormat="1" x14ac:dyDescent="0.15"/>
    <row r="1096" customFormat="1" x14ac:dyDescent="0.15"/>
    <row r="1097" customFormat="1" x14ac:dyDescent="0.15"/>
    <row r="1098" customFormat="1" x14ac:dyDescent="0.15"/>
    <row r="1099" customFormat="1" x14ac:dyDescent="0.15"/>
    <row r="1100" customFormat="1" x14ac:dyDescent="0.15"/>
    <row r="1101" customFormat="1" x14ac:dyDescent="0.15"/>
    <row r="1102" customFormat="1" x14ac:dyDescent="0.15"/>
    <row r="1103" customFormat="1" x14ac:dyDescent="0.15"/>
    <row r="1104" customFormat="1" x14ac:dyDescent="0.15"/>
    <row r="1105" customFormat="1" x14ac:dyDescent="0.15"/>
    <row r="1106" customFormat="1" x14ac:dyDescent="0.15"/>
    <row r="1107" customFormat="1" x14ac:dyDescent="0.15"/>
    <row r="1108" customFormat="1" x14ac:dyDescent="0.15"/>
    <row r="1109" customFormat="1" x14ac:dyDescent="0.15"/>
    <row r="1110" customFormat="1" x14ac:dyDescent="0.15"/>
    <row r="1111" customFormat="1" x14ac:dyDescent="0.15"/>
    <row r="1112" customFormat="1" x14ac:dyDescent="0.15"/>
    <row r="1113" customFormat="1" x14ac:dyDescent="0.15"/>
    <row r="1114" customFormat="1" x14ac:dyDescent="0.15"/>
    <row r="1115" customFormat="1" x14ac:dyDescent="0.15"/>
    <row r="1116" customFormat="1" x14ac:dyDescent="0.15"/>
    <row r="1117" customFormat="1" x14ac:dyDescent="0.15"/>
    <row r="1118" customFormat="1" x14ac:dyDescent="0.15"/>
    <row r="1119" customFormat="1" x14ac:dyDescent="0.15"/>
    <row r="1120" customFormat="1" x14ac:dyDescent="0.15"/>
    <row r="1121" customFormat="1" x14ac:dyDescent="0.15"/>
    <row r="1122" customFormat="1" x14ac:dyDescent="0.15"/>
    <row r="1123" customFormat="1" x14ac:dyDescent="0.15"/>
    <row r="1124" customFormat="1" x14ac:dyDescent="0.15"/>
    <row r="1125" customFormat="1" x14ac:dyDescent="0.15"/>
    <row r="1126" customFormat="1" x14ac:dyDescent="0.15"/>
    <row r="1127" customFormat="1" x14ac:dyDescent="0.15"/>
    <row r="1128" customFormat="1" x14ac:dyDescent="0.15"/>
    <row r="1129" customFormat="1" x14ac:dyDescent="0.15"/>
    <row r="1130" customFormat="1" x14ac:dyDescent="0.15"/>
    <row r="1131" customFormat="1" x14ac:dyDescent="0.15"/>
    <row r="1132" customFormat="1" x14ac:dyDescent="0.15"/>
    <row r="1133" customFormat="1" x14ac:dyDescent="0.15"/>
    <row r="1134" customFormat="1" x14ac:dyDescent="0.15"/>
    <row r="1135" customFormat="1" x14ac:dyDescent="0.15"/>
    <row r="1136" customFormat="1" x14ac:dyDescent="0.15"/>
    <row r="1137" customFormat="1" x14ac:dyDescent="0.15"/>
    <row r="1138" customFormat="1" x14ac:dyDescent="0.15"/>
    <row r="1139" customFormat="1" x14ac:dyDescent="0.15"/>
    <row r="1140" customFormat="1" x14ac:dyDescent="0.15"/>
    <row r="1141" customFormat="1" x14ac:dyDescent="0.15"/>
    <row r="1142" customFormat="1" x14ac:dyDescent="0.15"/>
    <row r="1143" customFormat="1" x14ac:dyDescent="0.15"/>
    <row r="1144" customFormat="1" x14ac:dyDescent="0.15"/>
    <row r="1145" customFormat="1" x14ac:dyDescent="0.15"/>
    <row r="1146" customFormat="1" x14ac:dyDescent="0.15"/>
    <row r="1147" customFormat="1" x14ac:dyDescent="0.15"/>
    <row r="1148" customFormat="1" x14ac:dyDescent="0.15"/>
    <row r="1149" customFormat="1" x14ac:dyDescent="0.15"/>
    <row r="1150" customFormat="1" x14ac:dyDescent="0.15"/>
    <row r="1151" customFormat="1" x14ac:dyDescent="0.15"/>
    <row r="1152" customFormat="1" x14ac:dyDescent="0.15"/>
    <row r="1153" customFormat="1" x14ac:dyDescent="0.15"/>
    <row r="1154" customFormat="1" x14ac:dyDescent="0.15"/>
    <row r="1155" customFormat="1" x14ac:dyDescent="0.15"/>
    <row r="1156" customFormat="1" x14ac:dyDescent="0.15"/>
    <row r="1157" customFormat="1" x14ac:dyDescent="0.15"/>
    <row r="1158" customFormat="1" x14ac:dyDescent="0.15"/>
    <row r="1159" customFormat="1" x14ac:dyDescent="0.15"/>
    <row r="1160" customFormat="1" x14ac:dyDescent="0.15"/>
    <row r="1161" customFormat="1" x14ac:dyDescent="0.15"/>
    <row r="1162" customFormat="1" x14ac:dyDescent="0.15"/>
    <row r="1163" customFormat="1" x14ac:dyDescent="0.15"/>
    <row r="1164" customFormat="1" x14ac:dyDescent="0.15"/>
    <row r="1165" customFormat="1" x14ac:dyDescent="0.15"/>
    <row r="1166" customFormat="1" x14ac:dyDescent="0.15"/>
    <row r="1167" customFormat="1" x14ac:dyDescent="0.15"/>
    <row r="1168" customFormat="1" x14ac:dyDescent="0.15"/>
    <row r="1169" customFormat="1" x14ac:dyDescent="0.15"/>
    <row r="1170" customFormat="1" x14ac:dyDescent="0.15"/>
    <row r="1171" customFormat="1" x14ac:dyDescent="0.15"/>
    <row r="1172" customFormat="1" x14ac:dyDescent="0.15"/>
    <row r="1173" customFormat="1" x14ac:dyDescent="0.15"/>
    <row r="1174" customFormat="1" x14ac:dyDescent="0.15"/>
    <row r="1175" customFormat="1" x14ac:dyDescent="0.15"/>
    <row r="1176" customFormat="1" x14ac:dyDescent="0.15"/>
    <row r="1177" customFormat="1" x14ac:dyDescent="0.15"/>
    <row r="1178" customFormat="1" x14ac:dyDescent="0.15"/>
    <row r="1179" customFormat="1" x14ac:dyDescent="0.15"/>
    <row r="1180" customFormat="1" x14ac:dyDescent="0.15"/>
    <row r="1181" customFormat="1" x14ac:dyDescent="0.15"/>
    <row r="1182" customFormat="1" x14ac:dyDescent="0.15"/>
    <row r="1183" customFormat="1" x14ac:dyDescent="0.15"/>
    <row r="1184" customFormat="1" x14ac:dyDescent="0.15"/>
    <row r="1185" customFormat="1" x14ac:dyDescent="0.15"/>
    <row r="1186" customFormat="1" x14ac:dyDescent="0.15"/>
    <row r="1187" customFormat="1" x14ac:dyDescent="0.15"/>
    <row r="1188" customFormat="1" x14ac:dyDescent="0.15"/>
    <row r="1189" customFormat="1" x14ac:dyDescent="0.15"/>
    <row r="1190" customFormat="1" x14ac:dyDescent="0.15"/>
    <row r="1191" customFormat="1" x14ac:dyDescent="0.15"/>
    <row r="1192" customFormat="1" x14ac:dyDescent="0.15"/>
    <row r="1193" customFormat="1" x14ac:dyDescent="0.15"/>
    <row r="1194" customFormat="1" x14ac:dyDescent="0.15"/>
    <row r="1195" customFormat="1" x14ac:dyDescent="0.15"/>
    <row r="1196" customFormat="1" x14ac:dyDescent="0.15"/>
    <row r="1197" customFormat="1" x14ac:dyDescent="0.15"/>
    <row r="1198" customFormat="1" x14ac:dyDescent="0.15"/>
    <row r="1199" customFormat="1" x14ac:dyDescent="0.15"/>
    <row r="1200" customFormat="1" x14ac:dyDescent="0.15"/>
    <row r="1201" customFormat="1" x14ac:dyDescent="0.15"/>
    <row r="1202" customFormat="1" x14ac:dyDescent="0.15"/>
    <row r="1203" customFormat="1" x14ac:dyDescent="0.15"/>
    <row r="1204" customFormat="1" x14ac:dyDescent="0.15"/>
    <row r="1205" customFormat="1" x14ac:dyDescent="0.15"/>
    <row r="1206" customFormat="1" x14ac:dyDescent="0.15"/>
    <row r="1207" customFormat="1" x14ac:dyDescent="0.15"/>
    <row r="1208" customFormat="1" x14ac:dyDescent="0.15"/>
    <row r="1209" customFormat="1" x14ac:dyDescent="0.15"/>
    <row r="1210" customFormat="1" x14ac:dyDescent="0.15"/>
    <row r="1211" customFormat="1" x14ac:dyDescent="0.15"/>
    <row r="1212" customFormat="1" x14ac:dyDescent="0.15"/>
    <row r="1213" customFormat="1" x14ac:dyDescent="0.15"/>
    <row r="1214" customFormat="1" x14ac:dyDescent="0.15"/>
    <row r="1215" customFormat="1" x14ac:dyDescent="0.15"/>
    <row r="1216" customFormat="1" x14ac:dyDescent="0.15"/>
    <row r="1217" customFormat="1" x14ac:dyDescent="0.15"/>
    <row r="1218" customFormat="1" x14ac:dyDescent="0.15"/>
    <row r="1219" customFormat="1" x14ac:dyDescent="0.15"/>
    <row r="1220" customFormat="1" x14ac:dyDescent="0.15"/>
    <row r="1221" customFormat="1" x14ac:dyDescent="0.15"/>
    <row r="1222" customFormat="1" x14ac:dyDescent="0.15"/>
    <row r="1223" customFormat="1" x14ac:dyDescent="0.15"/>
    <row r="1224" customFormat="1" x14ac:dyDescent="0.15"/>
    <row r="1225" customFormat="1" x14ac:dyDescent="0.15"/>
    <row r="1226" customFormat="1" x14ac:dyDescent="0.15"/>
    <row r="1227" customFormat="1" x14ac:dyDescent="0.15"/>
    <row r="1228" customFormat="1" x14ac:dyDescent="0.15"/>
    <row r="1229" customFormat="1" x14ac:dyDescent="0.15"/>
    <row r="1230" customFormat="1" x14ac:dyDescent="0.15"/>
    <row r="1231" customFormat="1" x14ac:dyDescent="0.15"/>
    <row r="1232" customFormat="1" x14ac:dyDescent="0.15"/>
    <row r="1233" customFormat="1" x14ac:dyDescent="0.15"/>
    <row r="1234" customFormat="1" x14ac:dyDescent="0.15"/>
    <row r="1235" customFormat="1" x14ac:dyDescent="0.15"/>
    <row r="1236" customFormat="1" x14ac:dyDescent="0.15"/>
    <row r="1237" customFormat="1" x14ac:dyDescent="0.15"/>
    <row r="1238" customFormat="1" x14ac:dyDescent="0.15"/>
    <row r="1239" customFormat="1" x14ac:dyDescent="0.15"/>
    <row r="1240" customFormat="1" x14ac:dyDescent="0.15"/>
    <row r="1241" customFormat="1" x14ac:dyDescent="0.15"/>
    <row r="1242" customFormat="1" x14ac:dyDescent="0.15"/>
    <row r="1243" customFormat="1" x14ac:dyDescent="0.15"/>
    <row r="1244" customFormat="1" x14ac:dyDescent="0.15"/>
    <row r="1245" customFormat="1" x14ac:dyDescent="0.15"/>
    <row r="1246" customFormat="1" x14ac:dyDescent="0.15"/>
    <row r="1247" customFormat="1" x14ac:dyDescent="0.15"/>
    <row r="1248" customFormat="1" x14ac:dyDescent="0.15"/>
    <row r="1249" customFormat="1" x14ac:dyDescent="0.15"/>
    <row r="1250" customFormat="1" x14ac:dyDescent="0.15"/>
    <row r="1251" customFormat="1" x14ac:dyDescent="0.15"/>
    <row r="1252" customFormat="1" x14ac:dyDescent="0.15"/>
    <row r="1253" customFormat="1" x14ac:dyDescent="0.15"/>
    <row r="1254" customFormat="1" x14ac:dyDescent="0.15"/>
    <row r="1255" customFormat="1" x14ac:dyDescent="0.15"/>
    <row r="1256" customFormat="1" x14ac:dyDescent="0.15"/>
    <row r="1257" customFormat="1" x14ac:dyDescent="0.15"/>
    <row r="1258" customFormat="1" x14ac:dyDescent="0.15"/>
    <row r="1259" customFormat="1" x14ac:dyDescent="0.15"/>
    <row r="1260" customFormat="1" x14ac:dyDescent="0.15"/>
    <row r="1261" customFormat="1" x14ac:dyDescent="0.15"/>
    <row r="1262" customFormat="1" x14ac:dyDescent="0.15"/>
    <row r="1263" customFormat="1" x14ac:dyDescent="0.15"/>
    <row r="1264" customFormat="1" x14ac:dyDescent="0.15"/>
    <row r="1265" customFormat="1" x14ac:dyDescent="0.15"/>
    <row r="1266" customFormat="1" x14ac:dyDescent="0.15"/>
    <row r="1267" customFormat="1" x14ac:dyDescent="0.15"/>
    <row r="1268" customFormat="1" x14ac:dyDescent="0.15"/>
    <row r="1269" customFormat="1" x14ac:dyDescent="0.15"/>
    <row r="1270" customFormat="1" x14ac:dyDescent="0.15"/>
    <row r="1271" customFormat="1" x14ac:dyDescent="0.15"/>
    <row r="1272" customFormat="1" x14ac:dyDescent="0.15"/>
    <row r="1273" customFormat="1" x14ac:dyDescent="0.15"/>
    <row r="1274" customFormat="1" x14ac:dyDescent="0.15"/>
    <row r="1275" customFormat="1" x14ac:dyDescent="0.15"/>
    <row r="1276" customFormat="1" x14ac:dyDescent="0.15"/>
    <row r="1277" customFormat="1" x14ac:dyDescent="0.15"/>
    <row r="1278" customFormat="1" x14ac:dyDescent="0.15"/>
    <row r="1279" customFormat="1" x14ac:dyDescent="0.15"/>
    <row r="1280" customFormat="1" x14ac:dyDescent="0.15"/>
    <row r="1281" customFormat="1" x14ac:dyDescent="0.15"/>
    <row r="1282" customFormat="1" x14ac:dyDescent="0.15"/>
    <row r="1283" customFormat="1" x14ac:dyDescent="0.15"/>
    <row r="1284" customFormat="1" x14ac:dyDescent="0.15"/>
    <row r="1285" customFormat="1" x14ac:dyDescent="0.15"/>
    <row r="1286" customFormat="1" x14ac:dyDescent="0.15"/>
    <row r="1287" customFormat="1" x14ac:dyDescent="0.15"/>
    <row r="1288" customFormat="1" x14ac:dyDescent="0.15"/>
    <row r="1289" customFormat="1" x14ac:dyDescent="0.15"/>
    <row r="1290" customFormat="1" x14ac:dyDescent="0.15"/>
    <row r="1291" customFormat="1" x14ac:dyDescent="0.15"/>
    <row r="1292" customFormat="1" x14ac:dyDescent="0.15"/>
    <row r="1293" customFormat="1" x14ac:dyDescent="0.15"/>
    <row r="1294" customFormat="1" x14ac:dyDescent="0.15"/>
    <row r="1295" customFormat="1" x14ac:dyDescent="0.15"/>
    <row r="1296" customFormat="1" x14ac:dyDescent="0.15"/>
    <row r="1297" customFormat="1" x14ac:dyDescent="0.15"/>
    <row r="1298" customFormat="1" x14ac:dyDescent="0.15"/>
    <row r="1299" customFormat="1" x14ac:dyDescent="0.15"/>
    <row r="1300" customFormat="1" x14ac:dyDescent="0.15"/>
    <row r="1301" customFormat="1" x14ac:dyDescent="0.15"/>
    <row r="1302" customFormat="1" x14ac:dyDescent="0.15"/>
    <row r="1303" customFormat="1" x14ac:dyDescent="0.15"/>
    <row r="1304" customFormat="1" x14ac:dyDescent="0.15"/>
    <row r="1305" customFormat="1" x14ac:dyDescent="0.15"/>
    <row r="1306" customFormat="1" x14ac:dyDescent="0.15"/>
    <row r="1307" customFormat="1" x14ac:dyDescent="0.15"/>
    <row r="1308" customFormat="1" x14ac:dyDescent="0.15"/>
    <row r="1309" customFormat="1" x14ac:dyDescent="0.15"/>
    <row r="1310" customFormat="1" x14ac:dyDescent="0.15"/>
    <row r="1311" customFormat="1" x14ac:dyDescent="0.15"/>
    <row r="1312" customFormat="1" x14ac:dyDescent="0.15"/>
    <row r="1313" customFormat="1" x14ac:dyDescent="0.15"/>
    <row r="1314" customFormat="1" x14ac:dyDescent="0.15"/>
    <row r="1315" customFormat="1" x14ac:dyDescent="0.15"/>
    <row r="1316" customFormat="1" x14ac:dyDescent="0.15"/>
    <row r="1317" customFormat="1" x14ac:dyDescent="0.15"/>
    <row r="1318" customFormat="1" x14ac:dyDescent="0.15"/>
    <row r="1319" customFormat="1" x14ac:dyDescent="0.15"/>
    <row r="1320" customFormat="1" x14ac:dyDescent="0.15"/>
    <row r="1321" customFormat="1" x14ac:dyDescent="0.15"/>
    <row r="1322" customFormat="1" x14ac:dyDescent="0.15"/>
    <row r="1323" customFormat="1" x14ac:dyDescent="0.15"/>
    <row r="1324" customFormat="1" x14ac:dyDescent="0.15"/>
    <row r="1325" customFormat="1" x14ac:dyDescent="0.15"/>
    <row r="1326" customFormat="1" x14ac:dyDescent="0.15"/>
    <row r="1327" customFormat="1" x14ac:dyDescent="0.15"/>
    <row r="1328" customFormat="1" x14ac:dyDescent="0.15"/>
    <row r="1329" customFormat="1" x14ac:dyDescent="0.15"/>
    <row r="1330" customFormat="1" x14ac:dyDescent="0.15"/>
    <row r="1331" customFormat="1" x14ac:dyDescent="0.15"/>
    <row r="1332" customFormat="1" x14ac:dyDescent="0.15"/>
    <row r="1333" customFormat="1" x14ac:dyDescent="0.15"/>
    <row r="1334" customFormat="1" x14ac:dyDescent="0.15"/>
    <row r="1335" customFormat="1" x14ac:dyDescent="0.15"/>
    <row r="1336" customFormat="1" x14ac:dyDescent="0.15"/>
    <row r="1337" customFormat="1" x14ac:dyDescent="0.15"/>
    <row r="1338" customFormat="1" x14ac:dyDescent="0.15"/>
    <row r="1339" customFormat="1" x14ac:dyDescent="0.15"/>
    <row r="1340" customFormat="1" x14ac:dyDescent="0.15"/>
    <row r="1341" customFormat="1" x14ac:dyDescent="0.15"/>
    <row r="1342" customFormat="1" x14ac:dyDescent="0.15"/>
    <row r="1343" customFormat="1" x14ac:dyDescent="0.15"/>
    <row r="1344" customFormat="1" x14ac:dyDescent="0.15"/>
    <row r="1345" customFormat="1" x14ac:dyDescent="0.15"/>
    <row r="1346" customFormat="1" x14ac:dyDescent="0.15"/>
    <row r="1347" customFormat="1" x14ac:dyDescent="0.15"/>
    <row r="1348" customFormat="1" x14ac:dyDescent="0.15"/>
    <row r="1349" customFormat="1" x14ac:dyDescent="0.15"/>
    <row r="1350" customFormat="1" x14ac:dyDescent="0.15"/>
    <row r="1351" customFormat="1" x14ac:dyDescent="0.15"/>
    <row r="1352" customFormat="1" x14ac:dyDescent="0.15"/>
    <row r="1353" customFormat="1" x14ac:dyDescent="0.15"/>
    <row r="1354" customFormat="1" x14ac:dyDescent="0.15"/>
    <row r="1355" customFormat="1" x14ac:dyDescent="0.15"/>
    <row r="1356" customFormat="1" x14ac:dyDescent="0.15"/>
    <row r="1357" customFormat="1" x14ac:dyDescent="0.15"/>
    <row r="1358" customFormat="1" x14ac:dyDescent="0.15"/>
    <row r="1359" customFormat="1" x14ac:dyDescent="0.15"/>
    <row r="1360" customFormat="1" x14ac:dyDescent="0.15"/>
    <row r="1361" customFormat="1" x14ac:dyDescent="0.15"/>
    <row r="1362" customFormat="1" x14ac:dyDescent="0.15"/>
    <row r="1363" customFormat="1" x14ac:dyDescent="0.15"/>
    <row r="1364" customFormat="1" x14ac:dyDescent="0.15"/>
    <row r="1365" customFormat="1" x14ac:dyDescent="0.15"/>
    <row r="1366" customFormat="1" x14ac:dyDescent="0.15"/>
    <row r="1367" customFormat="1" x14ac:dyDescent="0.15"/>
    <row r="1368" customFormat="1" x14ac:dyDescent="0.15"/>
    <row r="1369" customFormat="1" x14ac:dyDescent="0.15"/>
    <row r="1370" customFormat="1" x14ac:dyDescent="0.15"/>
    <row r="1371" customFormat="1" x14ac:dyDescent="0.15"/>
    <row r="1372" customFormat="1" x14ac:dyDescent="0.15"/>
    <row r="1373" customFormat="1" x14ac:dyDescent="0.15"/>
    <row r="1374" customFormat="1" x14ac:dyDescent="0.15"/>
    <row r="1375" customFormat="1" x14ac:dyDescent="0.15"/>
    <row r="1376" customFormat="1" x14ac:dyDescent="0.15"/>
    <row r="1377" customFormat="1" x14ac:dyDescent="0.15"/>
    <row r="1378" customFormat="1" x14ac:dyDescent="0.15"/>
    <row r="1379" customFormat="1" x14ac:dyDescent="0.15"/>
    <row r="1380" customFormat="1" x14ac:dyDescent="0.15"/>
    <row r="1381" customFormat="1" x14ac:dyDescent="0.15"/>
    <row r="1382" customFormat="1" x14ac:dyDescent="0.15"/>
    <row r="1383" customFormat="1" x14ac:dyDescent="0.15"/>
    <row r="1384" customFormat="1" x14ac:dyDescent="0.15"/>
    <row r="1385" customFormat="1" x14ac:dyDescent="0.15"/>
    <row r="1386" customFormat="1" x14ac:dyDescent="0.15"/>
    <row r="1387" customFormat="1" x14ac:dyDescent="0.15"/>
    <row r="1388" customFormat="1" x14ac:dyDescent="0.15"/>
    <row r="1389" customFormat="1" x14ac:dyDescent="0.15"/>
    <row r="1390" customFormat="1" x14ac:dyDescent="0.15"/>
    <row r="1391" customFormat="1" x14ac:dyDescent="0.15"/>
    <row r="1392" customFormat="1" x14ac:dyDescent="0.15"/>
    <row r="1393" customFormat="1" x14ac:dyDescent="0.15"/>
    <row r="1394" customFormat="1" x14ac:dyDescent="0.15"/>
    <row r="1395" customFormat="1" x14ac:dyDescent="0.15"/>
    <row r="1396" customFormat="1" x14ac:dyDescent="0.15"/>
    <row r="1397" customFormat="1" x14ac:dyDescent="0.15"/>
    <row r="1398" customFormat="1" x14ac:dyDescent="0.15"/>
    <row r="1399" customFormat="1" x14ac:dyDescent="0.15"/>
    <row r="1400" customFormat="1" x14ac:dyDescent="0.15"/>
    <row r="1401" customFormat="1" x14ac:dyDescent="0.15"/>
    <row r="1402" customFormat="1" x14ac:dyDescent="0.15"/>
    <row r="1403" customFormat="1" x14ac:dyDescent="0.15"/>
    <row r="1404" customFormat="1" x14ac:dyDescent="0.15"/>
    <row r="1405" customFormat="1" x14ac:dyDescent="0.15"/>
    <row r="1406" customFormat="1" x14ac:dyDescent="0.15"/>
    <row r="1407" customFormat="1" x14ac:dyDescent="0.15"/>
    <row r="1408" customFormat="1" x14ac:dyDescent="0.15"/>
    <row r="1409" customFormat="1" x14ac:dyDescent="0.15"/>
    <row r="1410" customFormat="1" x14ac:dyDescent="0.15"/>
    <row r="1411" customFormat="1" x14ac:dyDescent="0.15"/>
    <row r="1412" customFormat="1" x14ac:dyDescent="0.15"/>
    <row r="1413" customFormat="1" x14ac:dyDescent="0.15"/>
    <row r="1414" customFormat="1" x14ac:dyDescent="0.15"/>
    <row r="1415" customFormat="1" x14ac:dyDescent="0.15"/>
    <row r="1416" customFormat="1" x14ac:dyDescent="0.15"/>
    <row r="1417" customFormat="1" x14ac:dyDescent="0.15"/>
    <row r="1418" customFormat="1" x14ac:dyDescent="0.15"/>
    <row r="1419" customFormat="1" x14ac:dyDescent="0.15"/>
    <row r="1420" customFormat="1" x14ac:dyDescent="0.15"/>
    <row r="1421" customFormat="1" x14ac:dyDescent="0.15"/>
    <row r="1422" customFormat="1" x14ac:dyDescent="0.15"/>
    <row r="1423" customFormat="1" x14ac:dyDescent="0.15"/>
    <row r="1424" customFormat="1" x14ac:dyDescent="0.15"/>
    <row r="1425" customFormat="1" x14ac:dyDescent="0.15"/>
    <row r="1426" customFormat="1" x14ac:dyDescent="0.15"/>
    <row r="1427" customFormat="1" x14ac:dyDescent="0.15"/>
    <row r="1428" customFormat="1" x14ac:dyDescent="0.15"/>
    <row r="1429" customFormat="1" x14ac:dyDescent="0.15"/>
    <row r="1430" customFormat="1" x14ac:dyDescent="0.15"/>
    <row r="1431" customFormat="1" x14ac:dyDescent="0.15"/>
    <row r="1432" customFormat="1" x14ac:dyDescent="0.15"/>
    <row r="1433" customFormat="1" x14ac:dyDescent="0.15"/>
    <row r="1434" customFormat="1" x14ac:dyDescent="0.15"/>
    <row r="1435" customFormat="1" x14ac:dyDescent="0.15"/>
    <row r="1436" customFormat="1" x14ac:dyDescent="0.15"/>
    <row r="1437" customFormat="1" x14ac:dyDescent="0.15"/>
    <row r="1438" customFormat="1" x14ac:dyDescent="0.15"/>
    <row r="1439" customFormat="1" x14ac:dyDescent="0.15"/>
    <row r="1440" customFormat="1" x14ac:dyDescent="0.15"/>
    <row r="1441" customFormat="1" x14ac:dyDescent="0.15"/>
    <row r="1442" customFormat="1" x14ac:dyDescent="0.15"/>
    <row r="1443" customFormat="1" x14ac:dyDescent="0.15"/>
    <row r="1444" customFormat="1" x14ac:dyDescent="0.15"/>
    <row r="1445" customFormat="1" x14ac:dyDescent="0.15"/>
    <row r="1446" customFormat="1" x14ac:dyDescent="0.15"/>
    <row r="1447" customFormat="1" x14ac:dyDescent="0.15"/>
    <row r="1448" customFormat="1" x14ac:dyDescent="0.15"/>
    <row r="1449" customFormat="1" x14ac:dyDescent="0.15"/>
    <row r="1450" customFormat="1" x14ac:dyDescent="0.15"/>
    <row r="1451" customFormat="1" x14ac:dyDescent="0.15"/>
    <row r="1452" customFormat="1" x14ac:dyDescent="0.15"/>
    <row r="1453" customFormat="1" x14ac:dyDescent="0.15"/>
    <row r="1454" customFormat="1" x14ac:dyDescent="0.15"/>
    <row r="1455" customFormat="1" x14ac:dyDescent="0.15"/>
    <row r="1456" customFormat="1" x14ac:dyDescent="0.15"/>
    <row r="1457" customFormat="1" x14ac:dyDescent="0.15"/>
    <row r="1458" customFormat="1" x14ac:dyDescent="0.15"/>
    <row r="1459" customFormat="1" x14ac:dyDescent="0.15"/>
    <row r="1460" customFormat="1" x14ac:dyDescent="0.15"/>
    <row r="1461" customFormat="1" x14ac:dyDescent="0.15"/>
    <row r="1462" customFormat="1" x14ac:dyDescent="0.15"/>
    <row r="1463" customFormat="1" x14ac:dyDescent="0.15"/>
    <row r="1464" customFormat="1" x14ac:dyDescent="0.15"/>
    <row r="1465" customFormat="1" x14ac:dyDescent="0.15"/>
    <row r="1466" customFormat="1" x14ac:dyDescent="0.15"/>
    <row r="1467" customFormat="1" x14ac:dyDescent="0.15"/>
    <row r="1468" customFormat="1" x14ac:dyDescent="0.15"/>
    <row r="1469" customFormat="1" x14ac:dyDescent="0.15"/>
    <row r="1470" customFormat="1" x14ac:dyDescent="0.15"/>
    <row r="1471" customFormat="1" x14ac:dyDescent="0.15"/>
    <row r="1472" customFormat="1" x14ac:dyDescent="0.15"/>
    <row r="1473" customFormat="1" x14ac:dyDescent="0.15"/>
    <row r="1474" customFormat="1" x14ac:dyDescent="0.15"/>
    <row r="1475" customFormat="1" x14ac:dyDescent="0.15"/>
    <row r="1476" customFormat="1" x14ac:dyDescent="0.15"/>
    <row r="1477" customFormat="1" x14ac:dyDescent="0.15"/>
    <row r="1478" customFormat="1" x14ac:dyDescent="0.15"/>
    <row r="1479" customFormat="1" x14ac:dyDescent="0.15"/>
    <row r="1480" customFormat="1" x14ac:dyDescent="0.15"/>
    <row r="1481" customFormat="1" x14ac:dyDescent="0.15"/>
    <row r="1482" customFormat="1" x14ac:dyDescent="0.15"/>
    <row r="1483" customFormat="1" x14ac:dyDescent="0.15"/>
    <row r="1484" customFormat="1" x14ac:dyDescent="0.15"/>
    <row r="1485" customFormat="1" x14ac:dyDescent="0.15"/>
    <row r="1486" customFormat="1" x14ac:dyDescent="0.15"/>
    <row r="1487" customFormat="1" x14ac:dyDescent="0.15"/>
    <row r="1488" customFormat="1" x14ac:dyDescent="0.15"/>
    <row r="1489" customFormat="1" x14ac:dyDescent="0.15"/>
    <row r="1490" customFormat="1" x14ac:dyDescent="0.15"/>
    <row r="1491" customFormat="1" x14ac:dyDescent="0.15"/>
    <row r="1492" customFormat="1" x14ac:dyDescent="0.15"/>
    <row r="1493" customFormat="1" x14ac:dyDescent="0.15"/>
    <row r="1494" customFormat="1" x14ac:dyDescent="0.15"/>
    <row r="1495" customFormat="1" x14ac:dyDescent="0.15"/>
    <row r="1496" customFormat="1" x14ac:dyDescent="0.15"/>
    <row r="1497" customFormat="1" x14ac:dyDescent="0.15"/>
    <row r="1498" customFormat="1" x14ac:dyDescent="0.15"/>
    <row r="1499" customFormat="1" x14ac:dyDescent="0.15"/>
    <row r="1500" customFormat="1" x14ac:dyDescent="0.15"/>
    <row r="1501" customFormat="1" x14ac:dyDescent="0.15"/>
    <row r="1502" customFormat="1" x14ac:dyDescent="0.15"/>
    <row r="1503" customFormat="1" x14ac:dyDescent="0.15"/>
    <row r="1504" customFormat="1" x14ac:dyDescent="0.15"/>
    <row r="1505" customFormat="1" x14ac:dyDescent="0.15"/>
    <row r="1506" customFormat="1" x14ac:dyDescent="0.15"/>
    <row r="1507" customFormat="1" x14ac:dyDescent="0.15"/>
    <row r="1508" customFormat="1" x14ac:dyDescent="0.15"/>
    <row r="1509" customFormat="1" x14ac:dyDescent="0.15"/>
    <row r="1510" customFormat="1" x14ac:dyDescent="0.15"/>
    <row r="1511" customFormat="1" x14ac:dyDescent="0.15"/>
    <row r="1512" customFormat="1" x14ac:dyDescent="0.15"/>
    <row r="1513" customFormat="1" x14ac:dyDescent="0.15"/>
    <row r="1514" customFormat="1" x14ac:dyDescent="0.15"/>
    <row r="1515" customFormat="1" x14ac:dyDescent="0.15"/>
    <row r="1516" customFormat="1" x14ac:dyDescent="0.15"/>
    <row r="1517" customFormat="1" x14ac:dyDescent="0.15"/>
    <row r="1518" customFormat="1" x14ac:dyDescent="0.15"/>
    <row r="1519" customFormat="1" x14ac:dyDescent="0.15"/>
    <row r="1520" customFormat="1" x14ac:dyDescent="0.15"/>
    <row r="1521" customFormat="1" x14ac:dyDescent="0.15"/>
    <row r="1522" customFormat="1" x14ac:dyDescent="0.15"/>
    <row r="1523" customFormat="1" x14ac:dyDescent="0.15"/>
    <row r="1524" customFormat="1" x14ac:dyDescent="0.15"/>
    <row r="1525" customFormat="1" x14ac:dyDescent="0.15"/>
    <row r="1526" customFormat="1" x14ac:dyDescent="0.15"/>
    <row r="1527" customFormat="1" x14ac:dyDescent="0.15"/>
    <row r="1528" customFormat="1" x14ac:dyDescent="0.15"/>
    <row r="1529" customFormat="1" x14ac:dyDescent="0.15"/>
    <row r="1530" customFormat="1" x14ac:dyDescent="0.15"/>
    <row r="1531" customFormat="1" x14ac:dyDescent="0.15"/>
    <row r="1532" customFormat="1" x14ac:dyDescent="0.15"/>
    <row r="1533" customFormat="1" x14ac:dyDescent="0.15"/>
    <row r="1534" customFormat="1" x14ac:dyDescent="0.15"/>
    <row r="1535" customFormat="1" x14ac:dyDescent="0.15"/>
    <row r="1536" customFormat="1" x14ac:dyDescent="0.15"/>
    <row r="1537" customFormat="1" x14ac:dyDescent="0.15"/>
    <row r="1538" customFormat="1" x14ac:dyDescent="0.15"/>
    <row r="1539" customFormat="1" x14ac:dyDescent="0.15"/>
    <row r="1540" customFormat="1" x14ac:dyDescent="0.15"/>
    <row r="1541" customFormat="1" x14ac:dyDescent="0.15"/>
    <row r="1542" customFormat="1" x14ac:dyDescent="0.15"/>
    <row r="1543" customFormat="1" x14ac:dyDescent="0.15"/>
    <row r="1544" customFormat="1" x14ac:dyDescent="0.15"/>
    <row r="1545" customFormat="1" x14ac:dyDescent="0.15"/>
    <row r="1546" customFormat="1" x14ac:dyDescent="0.15"/>
    <row r="1547" customFormat="1" x14ac:dyDescent="0.15"/>
    <row r="1548" customFormat="1" x14ac:dyDescent="0.15"/>
    <row r="1549" customFormat="1" x14ac:dyDescent="0.15"/>
    <row r="1550" customFormat="1" x14ac:dyDescent="0.15"/>
    <row r="1551" customFormat="1" x14ac:dyDescent="0.15"/>
    <row r="1552" customFormat="1" x14ac:dyDescent="0.15"/>
    <row r="1553" customFormat="1" x14ac:dyDescent="0.15"/>
    <row r="1554" customFormat="1" x14ac:dyDescent="0.15"/>
    <row r="1555" customFormat="1" x14ac:dyDescent="0.15"/>
    <row r="1556" customFormat="1" x14ac:dyDescent="0.15"/>
    <row r="1557" customFormat="1" x14ac:dyDescent="0.15"/>
    <row r="1558" customFormat="1" x14ac:dyDescent="0.15"/>
    <row r="1559" customFormat="1" x14ac:dyDescent="0.15"/>
    <row r="1560" customFormat="1" x14ac:dyDescent="0.15"/>
    <row r="1561" customFormat="1" x14ac:dyDescent="0.15"/>
    <row r="1562" customFormat="1" x14ac:dyDescent="0.15"/>
    <row r="1563" customFormat="1" x14ac:dyDescent="0.15"/>
    <row r="1564" customFormat="1" x14ac:dyDescent="0.15"/>
    <row r="1565" customFormat="1" x14ac:dyDescent="0.15"/>
    <row r="1566" customFormat="1" x14ac:dyDescent="0.15"/>
    <row r="1567" customFormat="1" x14ac:dyDescent="0.15"/>
    <row r="1568" customFormat="1" x14ac:dyDescent="0.15"/>
    <row r="1569" customFormat="1" x14ac:dyDescent="0.15"/>
    <row r="1570" customFormat="1" x14ac:dyDescent="0.15"/>
    <row r="1571" customFormat="1" x14ac:dyDescent="0.15"/>
    <row r="1572" customFormat="1" x14ac:dyDescent="0.15"/>
    <row r="1573" customFormat="1" x14ac:dyDescent="0.15"/>
    <row r="1574" customFormat="1" x14ac:dyDescent="0.15"/>
    <row r="1575" customFormat="1" x14ac:dyDescent="0.15"/>
    <row r="1576" customFormat="1" x14ac:dyDescent="0.15"/>
    <row r="1577" customFormat="1" x14ac:dyDescent="0.15"/>
    <row r="1578" customFormat="1" x14ac:dyDescent="0.15"/>
    <row r="1579" customFormat="1" x14ac:dyDescent="0.15"/>
    <row r="1580" customFormat="1" x14ac:dyDescent="0.15"/>
    <row r="1581" customFormat="1" x14ac:dyDescent="0.15"/>
    <row r="1582" customFormat="1" x14ac:dyDescent="0.15"/>
    <row r="1583" customFormat="1" x14ac:dyDescent="0.15"/>
    <row r="1584" customFormat="1" x14ac:dyDescent="0.15"/>
    <row r="1585" customFormat="1" x14ac:dyDescent="0.15"/>
    <row r="1586" customFormat="1" x14ac:dyDescent="0.15"/>
    <row r="1587" customFormat="1" x14ac:dyDescent="0.15"/>
    <row r="1588" customFormat="1" x14ac:dyDescent="0.15"/>
    <row r="1589" customFormat="1" x14ac:dyDescent="0.15"/>
    <row r="1590" customFormat="1" x14ac:dyDescent="0.15"/>
    <row r="1591" customFormat="1" x14ac:dyDescent="0.15"/>
    <row r="1592" customFormat="1" x14ac:dyDescent="0.15"/>
    <row r="1593" customFormat="1" x14ac:dyDescent="0.15"/>
    <row r="1594" customFormat="1" x14ac:dyDescent="0.15"/>
    <row r="1595" customFormat="1" x14ac:dyDescent="0.15"/>
    <row r="1596" customFormat="1" x14ac:dyDescent="0.15"/>
    <row r="1597" customFormat="1" x14ac:dyDescent="0.15"/>
    <row r="1598" customFormat="1" x14ac:dyDescent="0.15"/>
    <row r="1599" customFormat="1" x14ac:dyDescent="0.15"/>
    <row r="1600" customFormat="1" x14ac:dyDescent="0.15"/>
    <row r="1601" customFormat="1" x14ac:dyDescent="0.15"/>
    <row r="1602" customFormat="1" x14ac:dyDescent="0.15"/>
    <row r="1603" customFormat="1" x14ac:dyDescent="0.15"/>
    <row r="1604" customFormat="1" x14ac:dyDescent="0.15"/>
    <row r="1605" customFormat="1" x14ac:dyDescent="0.15"/>
    <row r="1606" customFormat="1" x14ac:dyDescent="0.15"/>
    <row r="1607" customFormat="1" x14ac:dyDescent="0.15"/>
    <row r="1608" customFormat="1" x14ac:dyDescent="0.15"/>
    <row r="1609" customFormat="1" x14ac:dyDescent="0.15"/>
    <row r="1610" customFormat="1" x14ac:dyDescent="0.15"/>
    <row r="1611" customFormat="1" x14ac:dyDescent="0.15"/>
    <row r="1612" customFormat="1" x14ac:dyDescent="0.15"/>
    <row r="1613" customFormat="1" x14ac:dyDescent="0.15"/>
    <row r="1614" customFormat="1" x14ac:dyDescent="0.15"/>
    <row r="1615" customFormat="1" x14ac:dyDescent="0.15"/>
    <row r="1616" customFormat="1" x14ac:dyDescent="0.15"/>
    <row r="1617" customFormat="1" x14ac:dyDescent="0.15"/>
    <row r="1618" customFormat="1" x14ac:dyDescent="0.15"/>
    <row r="1619" customFormat="1" x14ac:dyDescent="0.15"/>
    <row r="1620" customFormat="1" x14ac:dyDescent="0.15"/>
    <row r="1621" customFormat="1" x14ac:dyDescent="0.15"/>
    <row r="1622" customFormat="1" x14ac:dyDescent="0.15"/>
    <row r="1623" customFormat="1" x14ac:dyDescent="0.15"/>
    <row r="1624" customFormat="1" x14ac:dyDescent="0.15"/>
    <row r="1625" customFormat="1" x14ac:dyDescent="0.15"/>
    <row r="1626" customFormat="1" x14ac:dyDescent="0.15"/>
    <row r="1627" customFormat="1" x14ac:dyDescent="0.15"/>
    <row r="1628" customFormat="1" x14ac:dyDescent="0.15"/>
    <row r="1629" customFormat="1" x14ac:dyDescent="0.15"/>
    <row r="1630" customFormat="1" x14ac:dyDescent="0.15"/>
    <row r="1631" customFormat="1" x14ac:dyDescent="0.15"/>
    <row r="1632" customFormat="1" x14ac:dyDescent="0.15"/>
    <row r="1633" customFormat="1" x14ac:dyDescent="0.15"/>
    <row r="1634" customFormat="1" x14ac:dyDescent="0.15"/>
    <row r="1635" customFormat="1" x14ac:dyDescent="0.15"/>
    <row r="1636" customFormat="1" x14ac:dyDescent="0.15"/>
    <row r="1637" customFormat="1" x14ac:dyDescent="0.15"/>
    <row r="1638" customFormat="1" x14ac:dyDescent="0.15"/>
    <row r="1639" customFormat="1" x14ac:dyDescent="0.15"/>
    <row r="1640" customFormat="1" x14ac:dyDescent="0.15"/>
    <row r="1641" customFormat="1" x14ac:dyDescent="0.15"/>
    <row r="1642" customFormat="1" x14ac:dyDescent="0.15"/>
    <row r="1643" customFormat="1" x14ac:dyDescent="0.15"/>
    <row r="1644" customFormat="1" x14ac:dyDescent="0.15"/>
    <row r="1645" customFormat="1" x14ac:dyDescent="0.15"/>
    <row r="1646" customFormat="1" x14ac:dyDescent="0.15"/>
    <row r="1647" customFormat="1" x14ac:dyDescent="0.15"/>
    <row r="1648" customFormat="1" x14ac:dyDescent="0.15"/>
    <row r="1649" customFormat="1" x14ac:dyDescent="0.15"/>
    <row r="1650" customFormat="1" x14ac:dyDescent="0.15"/>
    <row r="1651" customFormat="1" x14ac:dyDescent="0.15"/>
    <row r="1652" customFormat="1" x14ac:dyDescent="0.15"/>
    <row r="1653" customFormat="1" x14ac:dyDescent="0.15"/>
    <row r="1654" customFormat="1" x14ac:dyDescent="0.15"/>
    <row r="1655" customFormat="1" x14ac:dyDescent="0.15"/>
    <row r="1656" customFormat="1" x14ac:dyDescent="0.15"/>
    <row r="1657" customFormat="1" x14ac:dyDescent="0.15"/>
    <row r="1658" customFormat="1" x14ac:dyDescent="0.15"/>
    <row r="1659" customFormat="1" x14ac:dyDescent="0.15"/>
    <row r="1660" customFormat="1" x14ac:dyDescent="0.15"/>
    <row r="1661" customFormat="1" x14ac:dyDescent="0.15"/>
    <row r="1662" customFormat="1" x14ac:dyDescent="0.15"/>
    <row r="1663" customFormat="1" x14ac:dyDescent="0.15"/>
    <row r="1664" customFormat="1" x14ac:dyDescent="0.15"/>
    <row r="1665" customFormat="1" x14ac:dyDescent="0.15"/>
    <row r="1666" customFormat="1" x14ac:dyDescent="0.15"/>
    <row r="1667" customFormat="1" x14ac:dyDescent="0.15"/>
    <row r="1668" customFormat="1" x14ac:dyDescent="0.15"/>
    <row r="1669" customFormat="1" x14ac:dyDescent="0.15"/>
    <row r="1670" customFormat="1" x14ac:dyDescent="0.15"/>
    <row r="1671" customFormat="1" x14ac:dyDescent="0.15"/>
    <row r="1672" customFormat="1" x14ac:dyDescent="0.15"/>
    <row r="1673" customFormat="1" x14ac:dyDescent="0.15"/>
    <row r="1674" customFormat="1" x14ac:dyDescent="0.15"/>
    <row r="1675" customFormat="1" x14ac:dyDescent="0.15"/>
    <row r="1676" customFormat="1" x14ac:dyDescent="0.15"/>
    <row r="1677" customFormat="1" x14ac:dyDescent="0.15"/>
    <row r="1678" customFormat="1" x14ac:dyDescent="0.15"/>
    <row r="1679" customFormat="1" x14ac:dyDescent="0.15"/>
    <row r="1680" customFormat="1" x14ac:dyDescent="0.15"/>
    <row r="1681" customFormat="1" x14ac:dyDescent="0.15"/>
    <row r="1682" customFormat="1" x14ac:dyDescent="0.15"/>
    <row r="1683" customFormat="1" x14ac:dyDescent="0.15"/>
    <row r="1684" customFormat="1" x14ac:dyDescent="0.15"/>
    <row r="1685" customFormat="1" x14ac:dyDescent="0.15"/>
    <row r="1686" customFormat="1" x14ac:dyDescent="0.15"/>
    <row r="1687" customFormat="1" x14ac:dyDescent="0.15"/>
    <row r="1688" customFormat="1" x14ac:dyDescent="0.15"/>
    <row r="1689" customFormat="1" x14ac:dyDescent="0.15"/>
    <row r="1690" customFormat="1" x14ac:dyDescent="0.15"/>
    <row r="1691" customFormat="1" x14ac:dyDescent="0.15"/>
    <row r="1692" customFormat="1" x14ac:dyDescent="0.15"/>
    <row r="1693" customFormat="1" x14ac:dyDescent="0.15"/>
    <row r="1694" customFormat="1" x14ac:dyDescent="0.15"/>
    <row r="1695" customFormat="1" x14ac:dyDescent="0.15"/>
    <row r="1696" customFormat="1" x14ac:dyDescent="0.15"/>
    <row r="1697" customFormat="1" x14ac:dyDescent="0.15"/>
    <row r="1698" customFormat="1" x14ac:dyDescent="0.15"/>
    <row r="1699" customFormat="1" x14ac:dyDescent="0.15"/>
    <row r="1700" customFormat="1" x14ac:dyDescent="0.15"/>
    <row r="1701" customFormat="1" x14ac:dyDescent="0.15"/>
    <row r="1702" customFormat="1" x14ac:dyDescent="0.15"/>
    <row r="1703" customFormat="1" x14ac:dyDescent="0.15"/>
    <row r="1704" customFormat="1" x14ac:dyDescent="0.15"/>
    <row r="1705" customFormat="1" x14ac:dyDescent="0.15"/>
    <row r="1706" customFormat="1" x14ac:dyDescent="0.15"/>
    <row r="1707" customFormat="1" x14ac:dyDescent="0.15"/>
    <row r="1708" customFormat="1" x14ac:dyDescent="0.15"/>
    <row r="1709" customFormat="1" x14ac:dyDescent="0.15"/>
    <row r="1710" customFormat="1" x14ac:dyDescent="0.15"/>
    <row r="1711" customFormat="1" x14ac:dyDescent="0.15"/>
    <row r="1712" customFormat="1" x14ac:dyDescent="0.15"/>
    <row r="1713" customFormat="1" x14ac:dyDescent="0.15"/>
    <row r="1714" customFormat="1" x14ac:dyDescent="0.15"/>
    <row r="1715" customFormat="1" x14ac:dyDescent="0.15"/>
    <row r="1716" customFormat="1" x14ac:dyDescent="0.15"/>
    <row r="1717" customFormat="1" x14ac:dyDescent="0.15"/>
    <row r="1718" customFormat="1" x14ac:dyDescent="0.15"/>
    <row r="1719" customFormat="1" x14ac:dyDescent="0.15"/>
    <row r="1720" customFormat="1" x14ac:dyDescent="0.15"/>
    <row r="1721" customFormat="1" x14ac:dyDescent="0.15"/>
    <row r="1722" customFormat="1" x14ac:dyDescent="0.15"/>
    <row r="1723" customFormat="1" x14ac:dyDescent="0.15"/>
    <row r="1724" customFormat="1" x14ac:dyDescent="0.15"/>
    <row r="1725" customFormat="1" x14ac:dyDescent="0.15"/>
    <row r="1726" customFormat="1" x14ac:dyDescent="0.15"/>
    <row r="1727" customFormat="1" x14ac:dyDescent="0.15"/>
    <row r="1728" customFormat="1" x14ac:dyDescent="0.15"/>
    <row r="1729" customFormat="1" x14ac:dyDescent="0.15"/>
    <row r="1730" customFormat="1" x14ac:dyDescent="0.15"/>
    <row r="1731" customFormat="1" x14ac:dyDescent="0.15"/>
    <row r="1732" customFormat="1" x14ac:dyDescent="0.15"/>
    <row r="1733" customFormat="1" x14ac:dyDescent="0.15"/>
    <row r="1734" customFormat="1" x14ac:dyDescent="0.15"/>
    <row r="1735" customFormat="1" x14ac:dyDescent="0.15"/>
    <row r="1736" customFormat="1" x14ac:dyDescent="0.15"/>
    <row r="1737" customFormat="1" x14ac:dyDescent="0.15"/>
    <row r="1738" customFormat="1" x14ac:dyDescent="0.15"/>
    <row r="1739" customFormat="1" x14ac:dyDescent="0.15"/>
    <row r="1740" customFormat="1" x14ac:dyDescent="0.15"/>
    <row r="1741" customFormat="1" x14ac:dyDescent="0.15"/>
    <row r="1742" customFormat="1" x14ac:dyDescent="0.15"/>
    <row r="1743" customFormat="1" x14ac:dyDescent="0.15"/>
    <row r="1744" customFormat="1" x14ac:dyDescent="0.15"/>
    <row r="1745" customFormat="1" x14ac:dyDescent="0.15"/>
    <row r="1746" customFormat="1" x14ac:dyDescent="0.15"/>
    <row r="1747" customFormat="1" x14ac:dyDescent="0.15"/>
    <row r="1748" customFormat="1" x14ac:dyDescent="0.15"/>
    <row r="1749" customFormat="1" x14ac:dyDescent="0.15"/>
    <row r="1750" customFormat="1" x14ac:dyDescent="0.15"/>
    <row r="1751" customFormat="1" x14ac:dyDescent="0.15"/>
    <row r="1752" customFormat="1" x14ac:dyDescent="0.15"/>
    <row r="1753" customFormat="1" x14ac:dyDescent="0.15"/>
    <row r="1754" customFormat="1" x14ac:dyDescent="0.15"/>
    <row r="1755" customFormat="1" x14ac:dyDescent="0.15"/>
    <row r="1756" customFormat="1" x14ac:dyDescent="0.15"/>
    <row r="1757" customFormat="1" x14ac:dyDescent="0.15"/>
    <row r="1758" customFormat="1" x14ac:dyDescent="0.15"/>
    <row r="1759" customFormat="1" x14ac:dyDescent="0.15"/>
    <row r="1760" customFormat="1" x14ac:dyDescent="0.15"/>
    <row r="1761" customFormat="1" x14ac:dyDescent="0.15"/>
    <row r="1762" customFormat="1" x14ac:dyDescent="0.15"/>
    <row r="1763" customFormat="1" x14ac:dyDescent="0.15"/>
    <row r="1764" customFormat="1" x14ac:dyDescent="0.15"/>
    <row r="1765" customFormat="1" x14ac:dyDescent="0.15"/>
    <row r="1766" customFormat="1" x14ac:dyDescent="0.15"/>
    <row r="1767" customFormat="1" x14ac:dyDescent="0.15"/>
    <row r="1768" customFormat="1" x14ac:dyDescent="0.15"/>
    <row r="1769" customFormat="1" x14ac:dyDescent="0.15"/>
    <row r="1770" customFormat="1" x14ac:dyDescent="0.15"/>
    <row r="1771" customFormat="1" x14ac:dyDescent="0.15"/>
    <row r="1772" customFormat="1" x14ac:dyDescent="0.15"/>
    <row r="1773" customFormat="1" x14ac:dyDescent="0.15"/>
    <row r="1774" customFormat="1" x14ac:dyDescent="0.15"/>
    <row r="1775" customFormat="1" x14ac:dyDescent="0.15"/>
    <row r="1776" customFormat="1" x14ac:dyDescent="0.15"/>
    <row r="1777" customFormat="1" x14ac:dyDescent="0.15"/>
    <row r="1778" customFormat="1" x14ac:dyDescent="0.15"/>
    <row r="1779" customFormat="1" x14ac:dyDescent="0.15"/>
    <row r="1780" customFormat="1" x14ac:dyDescent="0.15"/>
    <row r="1781" customFormat="1" x14ac:dyDescent="0.15"/>
    <row r="1782" customFormat="1" x14ac:dyDescent="0.15"/>
    <row r="1783" customFormat="1" x14ac:dyDescent="0.15"/>
    <row r="1784" customFormat="1" x14ac:dyDescent="0.15"/>
    <row r="1785" customFormat="1" x14ac:dyDescent="0.15"/>
    <row r="1786" customFormat="1" x14ac:dyDescent="0.15"/>
    <row r="1787" customFormat="1" x14ac:dyDescent="0.15"/>
    <row r="1788" customFormat="1" x14ac:dyDescent="0.15"/>
    <row r="1789" customFormat="1" x14ac:dyDescent="0.15"/>
    <row r="1790" customFormat="1" x14ac:dyDescent="0.15"/>
    <row r="1791" customFormat="1" x14ac:dyDescent="0.15"/>
    <row r="1792" customFormat="1" x14ac:dyDescent="0.15"/>
    <row r="1793" customFormat="1" x14ac:dyDescent="0.15"/>
    <row r="1794" customFormat="1" x14ac:dyDescent="0.15"/>
    <row r="1795" customFormat="1" x14ac:dyDescent="0.15"/>
    <row r="1796" customFormat="1" x14ac:dyDescent="0.15"/>
    <row r="1797" customFormat="1" x14ac:dyDescent="0.15"/>
    <row r="1798" customFormat="1" x14ac:dyDescent="0.15"/>
    <row r="1799" customFormat="1" x14ac:dyDescent="0.15"/>
    <row r="1800" customFormat="1" x14ac:dyDescent="0.15"/>
    <row r="1801" customFormat="1" x14ac:dyDescent="0.15"/>
    <row r="1802" customFormat="1" x14ac:dyDescent="0.15"/>
    <row r="1803" customFormat="1" x14ac:dyDescent="0.15"/>
    <row r="1804" customFormat="1" x14ac:dyDescent="0.15"/>
    <row r="1805" customFormat="1" x14ac:dyDescent="0.15"/>
    <row r="1806" customFormat="1" x14ac:dyDescent="0.15"/>
    <row r="1807" customFormat="1" x14ac:dyDescent="0.15"/>
    <row r="1808" customFormat="1" x14ac:dyDescent="0.15"/>
    <row r="1809" customFormat="1" x14ac:dyDescent="0.15"/>
    <row r="1810" customFormat="1" x14ac:dyDescent="0.15"/>
    <row r="1811" customFormat="1" x14ac:dyDescent="0.15"/>
    <row r="1812" customFormat="1" x14ac:dyDescent="0.15"/>
    <row r="1813" customFormat="1" x14ac:dyDescent="0.15"/>
    <row r="1814" customFormat="1" x14ac:dyDescent="0.15"/>
    <row r="1815" customFormat="1" x14ac:dyDescent="0.15"/>
    <row r="1816" customFormat="1" x14ac:dyDescent="0.15"/>
    <row r="1817" customFormat="1" x14ac:dyDescent="0.15"/>
    <row r="1818" customFormat="1" x14ac:dyDescent="0.15"/>
    <row r="1819" customFormat="1" x14ac:dyDescent="0.15"/>
    <row r="1820" customFormat="1" x14ac:dyDescent="0.15"/>
    <row r="1821" customFormat="1" x14ac:dyDescent="0.15"/>
    <row r="1822" customFormat="1" x14ac:dyDescent="0.15"/>
    <row r="1823" customFormat="1" x14ac:dyDescent="0.15"/>
    <row r="1824" customFormat="1" x14ac:dyDescent="0.15"/>
    <row r="1825" customFormat="1" x14ac:dyDescent="0.15"/>
    <row r="1826" customFormat="1" x14ac:dyDescent="0.15"/>
    <row r="1827" customFormat="1" x14ac:dyDescent="0.15"/>
    <row r="1828" customFormat="1" x14ac:dyDescent="0.15"/>
    <row r="1829" customFormat="1" x14ac:dyDescent="0.15"/>
    <row r="1830" customFormat="1" x14ac:dyDescent="0.15"/>
    <row r="1831" customFormat="1" x14ac:dyDescent="0.15"/>
    <row r="1832" customFormat="1" x14ac:dyDescent="0.15"/>
    <row r="1833" customFormat="1" x14ac:dyDescent="0.15"/>
    <row r="1834" customFormat="1" x14ac:dyDescent="0.15"/>
    <row r="1835" customFormat="1" x14ac:dyDescent="0.15"/>
    <row r="1836" customFormat="1" x14ac:dyDescent="0.15"/>
    <row r="1837" customFormat="1" x14ac:dyDescent="0.15"/>
    <row r="1838" customFormat="1" x14ac:dyDescent="0.15"/>
    <row r="1839" customFormat="1" x14ac:dyDescent="0.15"/>
    <row r="1840" customFormat="1" x14ac:dyDescent="0.15"/>
    <row r="1841" customFormat="1" x14ac:dyDescent="0.15"/>
    <row r="1842" customFormat="1" x14ac:dyDescent="0.15"/>
    <row r="1843" customFormat="1" x14ac:dyDescent="0.15"/>
    <row r="1844" customFormat="1" x14ac:dyDescent="0.15"/>
    <row r="1845" customFormat="1" x14ac:dyDescent="0.15"/>
    <row r="1846" customFormat="1" x14ac:dyDescent="0.15"/>
    <row r="1847" customFormat="1" x14ac:dyDescent="0.15"/>
    <row r="1848" customFormat="1" x14ac:dyDescent="0.15"/>
    <row r="1849" customFormat="1" x14ac:dyDescent="0.15"/>
    <row r="1850" customFormat="1" x14ac:dyDescent="0.15"/>
    <row r="1851" customFormat="1" x14ac:dyDescent="0.15"/>
    <row r="1852" customFormat="1" x14ac:dyDescent="0.15"/>
    <row r="1853" customFormat="1" x14ac:dyDescent="0.15"/>
    <row r="1854" customFormat="1" x14ac:dyDescent="0.15"/>
    <row r="1855" customFormat="1" x14ac:dyDescent="0.15"/>
    <row r="1856" customFormat="1" x14ac:dyDescent="0.15"/>
    <row r="1857" customFormat="1" x14ac:dyDescent="0.15"/>
    <row r="1858" customFormat="1" x14ac:dyDescent="0.15"/>
    <row r="1859" customFormat="1" x14ac:dyDescent="0.15"/>
    <row r="1860" customFormat="1" x14ac:dyDescent="0.15"/>
    <row r="1861" customFormat="1" x14ac:dyDescent="0.15"/>
    <row r="1862" customFormat="1" x14ac:dyDescent="0.15"/>
    <row r="1863" customFormat="1" x14ac:dyDescent="0.15"/>
    <row r="1864" customFormat="1" x14ac:dyDescent="0.15"/>
    <row r="1865" customFormat="1" x14ac:dyDescent="0.15"/>
    <row r="1866" customFormat="1" x14ac:dyDescent="0.15"/>
    <row r="1867" customFormat="1" x14ac:dyDescent="0.15"/>
    <row r="1868" customFormat="1" x14ac:dyDescent="0.15"/>
    <row r="1869" customFormat="1" x14ac:dyDescent="0.15"/>
    <row r="1870" customFormat="1" x14ac:dyDescent="0.15"/>
    <row r="1871" customFormat="1" x14ac:dyDescent="0.15"/>
    <row r="1872" customFormat="1" x14ac:dyDescent="0.15"/>
    <row r="1873" customFormat="1" x14ac:dyDescent="0.15"/>
    <row r="1874" customFormat="1" x14ac:dyDescent="0.15"/>
    <row r="1875" customFormat="1" x14ac:dyDescent="0.15"/>
    <row r="1876" customFormat="1" x14ac:dyDescent="0.15"/>
    <row r="1877" customFormat="1" x14ac:dyDescent="0.15"/>
    <row r="1878" customFormat="1" x14ac:dyDescent="0.15"/>
    <row r="1879" customFormat="1" x14ac:dyDescent="0.15"/>
    <row r="1880" customFormat="1" x14ac:dyDescent="0.15"/>
    <row r="1881" customFormat="1" x14ac:dyDescent="0.15"/>
    <row r="1882" customFormat="1" x14ac:dyDescent="0.15"/>
    <row r="1883" customFormat="1" x14ac:dyDescent="0.15"/>
    <row r="1884" customFormat="1" x14ac:dyDescent="0.15"/>
    <row r="1885" customFormat="1" x14ac:dyDescent="0.15"/>
    <row r="1886" customFormat="1" x14ac:dyDescent="0.15"/>
    <row r="1887" customFormat="1" x14ac:dyDescent="0.15"/>
    <row r="1888" customFormat="1" x14ac:dyDescent="0.15"/>
    <row r="1889" customFormat="1" x14ac:dyDescent="0.15"/>
    <row r="1890" customFormat="1" x14ac:dyDescent="0.15"/>
    <row r="1891" customFormat="1" x14ac:dyDescent="0.15"/>
    <row r="1892" customFormat="1" x14ac:dyDescent="0.15"/>
    <row r="1893" customFormat="1" x14ac:dyDescent="0.15"/>
    <row r="1894" customFormat="1" x14ac:dyDescent="0.15"/>
    <row r="1895" customFormat="1" x14ac:dyDescent="0.15"/>
    <row r="1896" customFormat="1" x14ac:dyDescent="0.15"/>
    <row r="1897" customFormat="1" x14ac:dyDescent="0.15"/>
    <row r="1898" customFormat="1" x14ac:dyDescent="0.15"/>
    <row r="1899" customFormat="1" x14ac:dyDescent="0.15"/>
    <row r="1900" customFormat="1" x14ac:dyDescent="0.15"/>
    <row r="1901" customFormat="1" x14ac:dyDescent="0.15"/>
    <row r="1902" customFormat="1" x14ac:dyDescent="0.15"/>
    <row r="1903" customFormat="1" x14ac:dyDescent="0.15"/>
    <row r="1904" customFormat="1" x14ac:dyDescent="0.15"/>
    <row r="1905" customFormat="1" x14ac:dyDescent="0.15"/>
    <row r="1906" customFormat="1" x14ac:dyDescent="0.15"/>
    <row r="1907" customFormat="1" x14ac:dyDescent="0.15"/>
    <row r="1908" customFormat="1" x14ac:dyDescent="0.15"/>
    <row r="1909" customFormat="1" x14ac:dyDescent="0.15"/>
    <row r="1910" customFormat="1" x14ac:dyDescent="0.15"/>
    <row r="1911" customFormat="1" x14ac:dyDescent="0.15"/>
    <row r="1912" customFormat="1" x14ac:dyDescent="0.15"/>
    <row r="1913" customFormat="1" x14ac:dyDescent="0.15"/>
    <row r="1914" customFormat="1" x14ac:dyDescent="0.15"/>
    <row r="1915" customFormat="1" x14ac:dyDescent="0.15"/>
    <row r="1916" customFormat="1" x14ac:dyDescent="0.15"/>
    <row r="1917" customFormat="1" x14ac:dyDescent="0.15"/>
    <row r="1918" customFormat="1" x14ac:dyDescent="0.15"/>
    <row r="1919" customFormat="1" x14ac:dyDescent="0.15"/>
    <row r="1920" customFormat="1" x14ac:dyDescent="0.15"/>
    <row r="1921" customFormat="1" x14ac:dyDescent="0.15"/>
    <row r="1922" customFormat="1" x14ac:dyDescent="0.15"/>
    <row r="1923" customFormat="1" x14ac:dyDescent="0.15"/>
    <row r="1924" customFormat="1" x14ac:dyDescent="0.15"/>
    <row r="1925" customFormat="1" x14ac:dyDescent="0.15"/>
    <row r="1926" customFormat="1" x14ac:dyDescent="0.15"/>
    <row r="1927" customFormat="1" x14ac:dyDescent="0.15"/>
    <row r="1928" customFormat="1" x14ac:dyDescent="0.15"/>
    <row r="1929" customFormat="1" x14ac:dyDescent="0.15"/>
    <row r="1930" customFormat="1" x14ac:dyDescent="0.15"/>
    <row r="1931" customFormat="1" x14ac:dyDescent="0.15"/>
    <row r="1932" customFormat="1" x14ac:dyDescent="0.15"/>
    <row r="1933" customFormat="1" x14ac:dyDescent="0.15"/>
    <row r="1934" customFormat="1" x14ac:dyDescent="0.15"/>
    <row r="1935" customFormat="1" x14ac:dyDescent="0.15"/>
    <row r="1936" customFormat="1" x14ac:dyDescent="0.15"/>
    <row r="1937" customFormat="1" x14ac:dyDescent="0.15"/>
    <row r="1938" customFormat="1" x14ac:dyDescent="0.15"/>
    <row r="1939" customFormat="1" x14ac:dyDescent="0.15"/>
    <row r="1940" customFormat="1" x14ac:dyDescent="0.15"/>
    <row r="1941" customFormat="1" x14ac:dyDescent="0.15"/>
    <row r="1942" customFormat="1" x14ac:dyDescent="0.15"/>
    <row r="1943" customFormat="1" x14ac:dyDescent="0.15"/>
    <row r="1944" customFormat="1" x14ac:dyDescent="0.15"/>
    <row r="1945" customFormat="1" x14ac:dyDescent="0.15"/>
    <row r="1946" customFormat="1" x14ac:dyDescent="0.15"/>
    <row r="1947" customFormat="1" x14ac:dyDescent="0.15"/>
    <row r="1948" customFormat="1" x14ac:dyDescent="0.15"/>
    <row r="1949" customFormat="1" x14ac:dyDescent="0.15"/>
    <row r="1950" customFormat="1" x14ac:dyDescent="0.15"/>
    <row r="1951" customFormat="1" x14ac:dyDescent="0.15"/>
    <row r="1952" customFormat="1" x14ac:dyDescent="0.15"/>
    <row r="1953" customFormat="1" x14ac:dyDescent="0.15"/>
    <row r="1954" customFormat="1" x14ac:dyDescent="0.15"/>
    <row r="1955" customFormat="1" x14ac:dyDescent="0.15"/>
    <row r="1956" customFormat="1" x14ac:dyDescent="0.15"/>
    <row r="1957" customFormat="1" x14ac:dyDescent="0.15"/>
    <row r="1958" customFormat="1" x14ac:dyDescent="0.15"/>
    <row r="1959" customFormat="1" x14ac:dyDescent="0.15"/>
    <row r="1960" customFormat="1" x14ac:dyDescent="0.15"/>
    <row r="1961" customFormat="1" x14ac:dyDescent="0.15"/>
    <row r="1962" customFormat="1" x14ac:dyDescent="0.15"/>
    <row r="1963" customFormat="1" x14ac:dyDescent="0.15"/>
    <row r="1964" customFormat="1" x14ac:dyDescent="0.15"/>
    <row r="1965" customFormat="1" x14ac:dyDescent="0.15"/>
    <row r="1966" customFormat="1" x14ac:dyDescent="0.15"/>
    <row r="1967" customFormat="1" x14ac:dyDescent="0.15"/>
    <row r="1968" customFormat="1" x14ac:dyDescent="0.15"/>
    <row r="1969" customFormat="1" x14ac:dyDescent="0.15"/>
    <row r="1970" customFormat="1" x14ac:dyDescent="0.15"/>
    <row r="1971" customFormat="1" x14ac:dyDescent="0.15"/>
    <row r="1972" customFormat="1" x14ac:dyDescent="0.15"/>
    <row r="1973" customFormat="1" x14ac:dyDescent="0.15"/>
    <row r="1974" customFormat="1" x14ac:dyDescent="0.15"/>
    <row r="1975" customFormat="1" x14ac:dyDescent="0.15"/>
    <row r="1976" customFormat="1" x14ac:dyDescent="0.15"/>
    <row r="1977" customFormat="1" x14ac:dyDescent="0.15"/>
    <row r="1978" customFormat="1" x14ac:dyDescent="0.15"/>
    <row r="1979" customFormat="1" x14ac:dyDescent="0.15"/>
    <row r="1980" customFormat="1" x14ac:dyDescent="0.15"/>
    <row r="1981" customFormat="1" x14ac:dyDescent="0.15"/>
    <row r="1982" customFormat="1" x14ac:dyDescent="0.15"/>
    <row r="1983" customFormat="1" x14ac:dyDescent="0.15"/>
    <row r="1984" customFormat="1" x14ac:dyDescent="0.15"/>
    <row r="1985" customFormat="1" x14ac:dyDescent="0.15"/>
    <row r="1986" customFormat="1" x14ac:dyDescent="0.15"/>
    <row r="1987" customFormat="1" x14ac:dyDescent="0.15"/>
    <row r="1988" customFormat="1" x14ac:dyDescent="0.15"/>
    <row r="1989" customFormat="1" x14ac:dyDescent="0.15"/>
    <row r="1990" customFormat="1" x14ac:dyDescent="0.15"/>
    <row r="1991" customFormat="1" x14ac:dyDescent="0.15"/>
    <row r="1992" customFormat="1" x14ac:dyDescent="0.15"/>
    <row r="1993" customFormat="1" x14ac:dyDescent="0.15"/>
    <row r="1994" customFormat="1" x14ac:dyDescent="0.15"/>
    <row r="1995" customFormat="1" x14ac:dyDescent="0.15"/>
    <row r="1996" customFormat="1" x14ac:dyDescent="0.15"/>
    <row r="1997" customFormat="1" x14ac:dyDescent="0.15"/>
    <row r="1998" customFormat="1" x14ac:dyDescent="0.15"/>
    <row r="1999" customFormat="1" x14ac:dyDescent="0.15"/>
    <row r="2000" customFormat="1" x14ac:dyDescent="0.15"/>
    <row r="2001" customFormat="1" x14ac:dyDescent="0.15"/>
    <row r="2002" customFormat="1" x14ac:dyDescent="0.15"/>
    <row r="2003" customFormat="1" x14ac:dyDescent="0.15"/>
    <row r="2004" customFormat="1" x14ac:dyDescent="0.15"/>
    <row r="2005" customFormat="1" x14ac:dyDescent="0.15"/>
    <row r="2006" customFormat="1" x14ac:dyDescent="0.15"/>
    <row r="2007" customFormat="1" x14ac:dyDescent="0.15"/>
    <row r="2008" customFormat="1" x14ac:dyDescent="0.15"/>
    <row r="2009" customFormat="1" x14ac:dyDescent="0.15"/>
    <row r="2010" customFormat="1" x14ac:dyDescent="0.15"/>
    <row r="2011" customFormat="1" x14ac:dyDescent="0.15"/>
    <row r="2012" customFormat="1" x14ac:dyDescent="0.15"/>
    <row r="2013" customFormat="1" x14ac:dyDescent="0.15"/>
    <row r="2014" customFormat="1" x14ac:dyDescent="0.15"/>
    <row r="2015" customFormat="1" x14ac:dyDescent="0.15"/>
    <row r="2016" customFormat="1" x14ac:dyDescent="0.15"/>
    <row r="2017" customFormat="1" x14ac:dyDescent="0.15"/>
    <row r="2018" customFormat="1" x14ac:dyDescent="0.15"/>
    <row r="2019" customFormat="1" x14ac:dyDescent="0.15"/>
    <row r="2020" customFormat="1" x14ac:dyDescent="0.15"/>
    <row r="2021" customFormat="1" x14ac:dyDescent="0.15"/>
    <row r="2022" customFormat="1" x14ac:dyDescent="0.15"/>
    <row r="2023" customFormat="1" x14ac:dyDescent="0.15"/>
    <row r="2024" customFormat="1" x14ac:dyDescent="0.15"/>
    <row r="2025" customFormat="1" x14ac:dyDescent="0.15"/>
    <row r="2026" customFormat="1" x14ac:dyDescent="0.15"/>
    <row r="2027" customFormat="1" x14ac:dyDescent="0.15"/>
    <row r="2028" customFormat="1" x14ac:dyDescent="0.15"/>
    <row r="2029" customFormat="1" x14ac:dyDescent="0.15"/>
    <row r="2030" customFormat="1" x14ac:dyDescent="0.15"/>
    <row r="2031" customFormat="1" x14ac:dyDescent="0.15"/>
    <row r="2032" customFormat="1" x14ac:dyDescent="0.15"/>
    <row r="2033" customFormat="1" x14ac:dyDescent="0.15"/>
    <row r="2034" customFormat="1" x14ac:dyDescent="0.15"/>
    <row r="2035" customFormat="1" x14ac:dyDescent="0.15"/>
    <row r="2036" customFormat="1" x14ac:dyDescent="0.15"/>
    <row r="2037" customFormat="1" x14ac:dyDescent="0.15"/>
    <row r="2038" customFormat="1" x14ac:dyDescent="0.15"/>
    <row r="2039" customFormat="1" x14ac:dyDescent="0.15"/>
    <row r="2040" customFormat="1" x14ac:dyDescent="0.15"/>
    <row r="2041" customFormat="1" x14ac:dyDescent="0.15"/>
    <row r="2042" customFormat="1" x14ac:dyDescent="0.15"/>
    <row r="2043" customFormat="1" x14ac:dyDescent="0.15"/>
    <row r="2044" customFormat="1" x14ac:dyDescent="0.15"/>
    <row r="2045" customFormat="1" x14ac:dyDescent="0.15"/>
    <row r="2046" customFormat="1" x14ac:dyDescent="0.15"/>
    <row r="2047" customFormat="1" x14ac:dyDescent="0.15"/>
    <row r="2048" customFormat="1" x14ac:dyDescent="0.15"/>
    <row r="2049" customFormat="1" x14ac:dyDescent="0.15"/>
    <row r="2050" customFormat="1" x14ac:dyDescent="0.15"/>
    <row r="2051" customFormat="1" x14ac:dyDescent="0.15"/>
    <row r="2052" customFormat="1" x14ac:dyDescent="0.15"/>
    <row r="2053" customFormat="1" x14ac:dyDescent="0.15"/>
    <row r="2054" customFormat="1" x14ac:dyDescent="0.15"/>
    <row r="2055" customFormat="1" x14ac:dyDescent="0.15"/>
    <row r="2056" customFormat="1" x14ac:dyDescent="0.15"/>
    <row r="2057" customFormat="1" x14ac:dyDescent="0.15"/>
    <row r="2058" customFormat="1" x14ac:dyDescent="0.15"/>
    <row r="2059" customFormat="1" x14ac:dyDescent="0.15"/>
    <row r="2060" customFormat="1" x14ac:dyDescent="0.15"/>
    <row r="2061" customFormat="1" x14ac:dyDescent="0.15"/>
    <row r="2062" customFormat="1" x14ac:dyDescent="0.15"/>
    <row r="2063" customFormat="1" x14ac:dyDescent="0.15"/>
    <row r="2064" customFormat="1" x14ac:dyDescent="0.15"/>
    <row r="2065" customFormat="1" x14ac:dyDescent="0.15"/>
    <row r="2066" customFormat="1" x14ac:dyDescent="0.15"/>
    <row r="2067" customFormat="1" x14ac:dyDescent="0.15"/>
    <row r="2068" customFormat="1" x14ac:dyDescent="0.15"/>
    <row r="2069" customFormat="1" x14ac:dyDescent="0.15"/>
    <row r="2070" customFormat="1" x14ac:dyDescent="0.15"/>
    <row r="2071" customFormat="1" x14ac:dyDescent="0.15"/>
    <row r="2072" customFormat="1" x14ac:dyDescent="0.15"/>
    <row r="2073" customFormat="1" x14ac:dyDescent="0.15"/>
    <row r="2074" customFormat="1" x14ac:dyDescent="0.15"/>
    <row r="2075" customFormat="1" x14ac:dyDescent="0.15"/>
    <row r="2076" customFormat="1" x14ac:dyDescent="0.15"/>
    <row r="2077" customFormat="1" x14ac:dyDescent="0.15"/>
    <row r="2078" customFormat="1" x14ac:dyDescent="0.15"/>
    <row r="2079" customFormat="1" x14ac:dyDescent="0.15"/>
    <row r="2080" customFormat="1" x14ac:dyDescent="0.15"/>
    <row r="2081" customFormat="1" x14ac:dyDescent="0.15"/>
    <row r="2082" customFormat="1" x14ac:dyDescent="0.15"/>
    <row r="2083" customFormat="1" x14ac:dyDescent="0.15"/>
    <row r="2084" customFormat="1" x14ac:dyDescent="0.15"/>
    <row r="2085" customFormat="1" x14ac:dyDescent="0.15"/>
    <row r="2086" customFormat="1" x14ac:dyDescent="0.15"/>
    <row r="2087" customFormat="1" x14ac:dyDescent="0.15"/>
    <row r="2088" customFormat="1" x14ac:dyDescent="0.15"/>
    <row r="2089" customFormat="1" x14ac:dyDescent="0.15"/>
    <row r="2090" customFormat="1" x14ac:dyDescent="0.15"/>
    <row r="2091" customFormat="1" x14ac:dyDescent="0.15"/>
    <row r="2092" customFormat="1" x14ac:dyDescent="0.15"/>
    <row r="2093" customFormat="1" x14ac:dyDescent="0.15"/>
    <row r="2094" customFormat="1" x14ac:dyDescent="0.15"/>
    <row r="2095" customFormat="1" x14ac:dyDescent="0.15"/>
    <row r="2096" customFormat="1" x14ac:dyDescent="0.15"/>
    <row r="2097" customFormat="1" x14ac:dyDescent="0.15"/>
    <row r="2098" customFormat="1" x14ac:dyDescent="0.15"/>
    <row r="2099" customFormat="1" x14ac:dyDescent="0.15"/>
    <row r="2100" customFormat="1" x14ac:dyDescent="0.15"/>
    <row r="2101" customFormat="1" x14ac:dyDescent="0.15"/>
    <row r="2102" customFormat="1" x14ac:dyDescent="0.15"/>
    <row r="2103" customFormat="1" x14ac:dyDescent="0.15"/>
    <row r="2104" customFormat="1" x14ac:dyDescent="0.15"/>
    <row r="2105" customFormat="1" x14ac:dyDescent="0.15"/>
    <row r="2106" customFormat="1" x14ac:dyDescent="0.15"/>
    <row r="2107" customFormat="1" x14ac:dyDescent="0.15"/>
    <row r="2108" customFormat="1" x14ac:dyDescent="0.15"/>
    <row r="2109" customFormat="1" x14ac:dyDescent="0.15"/>
    <row r="2110" customFormat="1" x14ac:dyDescent="0.15"/>
    <row r="2111" customFormat="1" x14ac:dyDescent="0.15"/>
    <row r="2112" customFormat="1" x14ac:dyDescent="0.15"/>
    <row r="2113" customFormat="1" x14ac:dyDescent="0.15"/>
    <row r="2114" customFormat="1" x14ac:dyDescent="0.15"/>
    <row r="2115" customFormat="1" x14ac:dyDescent="0.15"/>
    <row r="2116" customFormat="1" x14ac:dyDescent="0.15"/>
    <row r="2117" customFormat="1" x14ac:dyDescent="0.15"/>
    <row r="2118" customFormat="1" x14ac:dyDescent="0.15"/>
    <row r="2119" customFormat="1" x14ac:dyDescent="0.15"/>
    <row r="2120" customFormat="1" x14ac:dyDescent="0.15"/>
    <row r="2121" customFormat="1" x14ac:dyDescent="0.15"/>
    <row r="2122" customFormat="1" x14ac:dyDescent="0.15"/>
    <row r="2123" customFormat="1" x14ac:dyDescent="0.15"/>
    <row r="2124" customFormat="1" x14ac:dyDescent="0.15"/>
    <row r="2125" customFormat="1" x14ac:dyDescent="0.15"/>
    <row r="2126" customFormat="1" x14ac:dyDescent="0.15"/>
    <row r="2127" customFormat="1" x14ac:dyDescent="0.15"/>
    <row r="2128" customFormat="1" x14ac:dyDescent="0.15"/>
    <row r="2129" customFormat="1" x14ac:dyDescent="0.15"/>
    <row r="2130" customFormat="1" x14ac:dyDescent="0.15"/>
    <row r="2131" customFormat="1" x14ac:dyDescent="0.15"/>
    <row r="2132" customFormat="1" x14ac:dyDescent="0.15"/>
    <row r="2133" customFormat="1" x14ac:dyDescent="0.15"/>
    <row r="2134" customFormat="1" x14ac:dyDescent="0.15"/>
    <row r="2135" customFormat="1" x14ac:dyDescent="0.15"/>
    <row r="2136" customFormat="1" x14ac:dyDescent="0.15"/>
    <row r="2137" customFormat="1" x14ac:dyDescent="0.15"/>
    <row r="2138" customFormat="1" x14ac:dyDescent="0.15"/>
    <row r="2139" customFormat="1" x14ac:dyDescent="0.15"/>
    <row r="2140" customFormat="1" x14ac:dyDescent="0.15"/>
    <row r="2141" customFormat="1" x14ac:dyDescent="0.15"/>
    <row r="2142" customFormat="1" x14ac:dyDescent="0.15"/>
    <row r="2143" customFormat="1" x14ac:dyDescent="0.15"/>
    <row r="2144" customFormat="1" x14ac:dyDescent="0.15"/>
    <row r="2145" customFormat="1" x14ac:dyDescent="0.15"/>
    <row r="2146" customFormat="1" x14ac:dyDescent="0.15"/>
    <row r="2147" customFormat="1" x14ac:dyDescent="0.15"/>
    <row r="2148" customFormat="1" x14ac:dyDescent="0.15"/>
    <row r="2149" customFormat="1" x14ac:dyDescent="0.15"/>
    <row r="2150" customFormat="1" x14ac:dyDescent="0.15"/>
    <row r="2151" customFormat="1" x14ac:dyDescent="0.15"/>
    <row r="2152" customFormat="1" x14ac:dyDescent="0.15"/>
    <row r="2153" customFormat="1" x14ac:dyDescent="0.15"/>
    <row r="2154" customFormat="1" x14ac:dyDescent="0.15"/>
    <row r="2155" customFormat="1" x14ac:dyDescent="0.15"/>
    <row r="2156" customFormat="1" x14ac:dyDescent="0.15"/>
    <row r="2157" customFormat="1" x14ac:dyDescent="0.15"/>
    <row r="2158" customFormat="1" x14ac:dyDescent="0.15"/>
    <row r="2159" customFormat="1" x14ac:dyDescent="0.15"/>
    <row r="2160" customFormat="1" x14ac:dyDescent="0.15"/>
    <row r="2161" customFormat="1" x14ac:dyDescent="0.15"/>
    <row r="2162" customFormat="1" x14ac:dyDescent="0.15"/>
    <row r="2163" customFormat="1" x14ac:dyDescent="0.15"/>
    <row r="2164" customFormat="1" x14ac:dyDescent="0.15"/>
    <row r="2165" customFormat="1" x14ac:dyDescent="0.15"/>
    <row r="2166" customFormat="1" x14ac:dyDescent="0.15"/>
    <row r="2167" customFormat="1" x14ac:dyDescent="0.15"/>
    <row r="2168" customFormat="1" x14ac:dyDescent="0.15"/>
    <row r="2169" customFormat="1" x14ac:dyDescent="0.15"/>
    <row r="2170" customFormat="1" x14ac:dyDescent="0.15"/>
    <row r="2171" customFormat="1" x14ac:dyDescent="0.15"/>
    <row r="2172" customFormat="1" x14ac:dyDescent="0.15"/>
    <row r="2173" customFormat="1" x14ac:dyDescent="0.15"/>
    <row r="2174" customFormat="1" x14ac:dyDescent="0.15"/>
    <row r="2175" customFormat="1" x14ac:dyDescent="0.15"/>
    <row r="2176" customFormat="1" x14ac:dyDescent="0.15"/>
    <row r="2177" customFormat="1" x14ac:dyDescent="0.15"/>
    <row r="2178" customFormat="1" x14ac:dyDescent="0.15"/>
    <row r="2179" customFormat="1" x14ac:dyDescent="0.15"/>
    <row r="2180" customFormat="1" x14ac:dyDescent="0.15"/>
    <row r="2181" customFormat="1" x14ac:dyDescent="0.15"/>
    <row r="2182" customFormat="1" x14ac:dyDescent="0.15"/>
    <row r="2183" customFormat="1" x14ac:dyDescent="0.15"/>
    <row r="2184" customFormat="1" x14ac:dyDescent="0.15"/>
    <row r="2185" customFormat="1" x14ac:dyDescent="0.15"/>
    <row r="2186" customFormat="1" x14ac:dyDescent="0.15"/>
    <row r="2187" customFormat="1" x14ac:dyDescent="0.15"/>
    <row r="2188" customFormat="1" x14ac:dyDescent="0.15"/>
    <row r="2189" customFormat="1" x14ac:dyDescent="0.15"/>
    <row r="2190" customFormat="1" x14ac:dyDescent="0.15"/>
    <row r="2191" customFormat="1" x14ac:dyDescent="0.15"/>
    <row r="2192" customFormat="1" x14ac:dyDescent="0.15"/>
    <row r="2193" customFormat="1" x14ac:dyDescent="0.15"/>
    <row r="2194" customFormat="1" x14ac:dyDescent="0.15"/>
    <row r="2195" customFormat="1" x14ac:dyDescent="0.15"/>
    <row r="2196" customFormat="1" x14ac:dyDescent="0.15"/>
    <row r="2197" customFormat="1" x14ac:dyDescent="0.15"/>
    <row r="2198" customFormat="1" x14ac:dyDescent="0.15"/>
    <row r="2199" customFormat="1" x14ac:dyDescent="0.15"/>
    <row r="2200" customFormat="1" x14ac:dyDescent="0.15"/>
    <row r="2201" customFormat="1" x14ac:dyDescent="0.15"/>
    <row r="2202" customFormat="1" x14ac:dyDescent="0.15"/>
    <row r="2203" customFormat="1" x14ac:dyDescent="0.15"/>
    <row r="2204" customFormat="1" x14ac:dyDescent="0.15"/>
    <row r="2205" customFormat="1" x14ac:dyDescent="0.15"/>
    <row r="2206" customFormat="1" x14ac:dyDescent="0.15"/>
    <row r="2207" customFormat="1" x14ac:dyDescent="0.15"/>
    <row r="2208" customFormat="1" x14ac:dyDescent="0.15"/>
    <row r="2209" customFormat="1" x14ac:dyDescent="0.15"/>
    <row r="2210" customFormat="1" x14ac:dyDescent="0.15"/>
    <row r="2211" customFormat="1" x14ac:dyDescent="0.15"/>
    <row r="2212" customFormat="1" x14ac:dyDescent="0.15"/>
    <row r="2213" customFormat="1" x14ac:dyDescent="0.15"/>
    <row r="2214" customFormat="1" x14ac:dyDescent="0.15"/>
    <row r="2215" customFormat="1" x14ac:dyDescent="0.15"/>
    <row r="2216" customFormat="1" x14ac:dyDescent="0.15"/>
    <row r="2217" customFormat="1" x14ac:dyDescent="0.15"/>
    <row r="2218" customFormat="1" x14ac:dyDescent="0.15"/>
    <row r="2219" customFormat="1" x14ac:dyDescent="0.15"/>
    <row r="2220" customFormat="1" x14ac:dyDescent="0.15"/>
    <row r="2221" customFormat="1" x14ac:dyDescent="0.15"/>
    <row r="2222" customFormat="1" x14ac:dyDescent="0.15"/>
    <row r="2223" customFormat="1" x14ac:dyDescent="0.15"/>
    <row r="2224" customFormat="1" x14ac:dyDescent="0.15"/>
    <row r="2225" customFormat="1" x14ac:dyDescent="0.15"/>
    <row r="2226" customFormat="1" x14ac:dyDescent="0.15"/>
    <row r="2227" customFormat="1" x14ac:dyDescent="0.15"/>
    <row r="2228" customFormat="1" x14ac:dyDescent="0.15"/>
    <row r="2229" customFormat="1" x14ac:dyDescent="0.15"/>
    <row r="2230" customFormat="1" x14ac:dyDescent="0.15"/>
    <row r="2231" customFormat="1" x14ac:dyDescent="0.15"/>
    <row r="2232" customFormat="1" x14ac:dyDescent="0.15"/>
    <row r="2233" customFormat="1" x14ac:dyDescent="0.15"/>
    <row r="2234" customFormat="1" x14ac:dyDescent="0.15"/>
    <row r="2235" customFormat="1" x14ac:dyDescent="0.15"/>
    <row r="2236" customFormat="1" x14ac:dyDescent="0.15"/>
    <row r="2237" customFormat="1" x14ac:dyDescent="0.15"/>
    <row r="2238" customFormat="1" x14ac:dyDescent="0.15"/>
    <row r="2239" customFormat="1" x14ac:dyDescent="0.15"/>
    <row r="2240" customFormat="1" x14ac:dyDescent="0.15"/>
    <row r="2241" customFormat="1" x14ac:dyDescent="0.15"/>
    <row r="2242" customFormat="1" x14ac:dyDescent="0.15"/>
    <row r="2243" customFormat="1" x14ac:dyDescent="0.15"/>
    <row r="2244" customFormat="1" x14ac:dyDescent="0.15"/>
    <row r="2245" customFormat="1" x14ac:dyDescent="0.15"/>
    <row r="2246" customFormat="1" x14ac:dyDescent="0.15"/>
    <row r="2247" customFormat="1" x14ac:dyDescent="0.15"/>
    <row r="2248" customFormat="1" x14ac:dyDescent="0.15"/>
    <row r="2249" customFormat="1" x14ac:dyDescent="0.15"/>
    <row r="2250" customFormat="1" x14ac:dyDescent="0.15"/>
    <row r="2251" customFormat="1" x14ac:dyDescent="0.15"/>
    <row r="2252" customFormat="1" x14ac:dyDescent="0.15"/>
    <row r="2253" customFormat="1" x14ac:dyDescent="0.15"/>
    <row r="2254" customFormat="1" x14ac:dyDescent="0.15"/>
    <row r="2255" customFormat="1" x14ac:dyDescent="0.15"/>
    <row r="2256" customFormat="1" x14ac:dyDescent="0.15"/>
    <row r="2257" customFormat="1" x14ac:dyDescent="0.15"/>
    <row r="2258" customFormat="1" x14ac:dyDescent="0.15"/>
    <row r="2259" customFormat="1" x14ac:dyDescent="0.15"/>
  </sheetData>
  <autoFilter ref="A1:I1" xr:uid="{3B0FB343-47C0-4CE0-8FAB-E7608847F386}"/>
  <phoneticPr fontId="2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1899th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IA-99</cp:lastModifiedBy>
  <dcterms:created xsi:type="dcterms:W3CDTF">2018-08-31T07:51:48Z</dcterms:created>
  <dcterms:modified xsi:type="dcterms:W3CDTF">2025-02-28T05:50:38Z</dcterms:modified>
</cp:coreProperties>
</file>