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"/>
    </mc:Choice>
  </mc:AlternateContent>
  <xr:revisionPtr revIDLastSave="0" documentId="13_ncr:1_{BA8E0EB1-3840-43CE-B58C-E3CBD2FEDF7B}" xr6:coauthVersionLast="47" xr6:coauthVersionMax="47" xr10:uidLastSave="{00000000-0000-0000-0000-000000000000}"/>
  <bookViews>
    <workbookView xWindow="1785" yWindow="645" windowWidth="21600" windowHeight="11295" xr2:uid="{00000000-000D-0000-FFFF-FFFF00000000}"/>
  </bookViews>
  <sheets>
    <sheet name="1898th" sheetId="2" r:id="rId1"/>
  </sheets>
  <definedNames>
    <definedName name="_xlnm._FilterDatabase" localSheetId="0" hidden="1">'1898th'!$A$1:$I$1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</calcChain>
</file>

<file path=xl/sharedStrings.xml><?xml version="1.0" encoding="utf-8"?>
<sst xmlns="http://schemas.openxmlformats.org/spreadsheetml/2006/main" count="22675" uniqueCount="8883">
  <si>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</si>
  <si>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</si>
  <si>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</si>
  <si>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</si>
  <si>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</si>
  <si>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</si>
  <si>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</si>
  <si>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</si>
  <si>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</si>
  <si>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</si>
  <si>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情景国酱（北京）酒业有限公司</t>
  </si>
  <si>
    <t>四川绵竹剑南春酒厂有限公司</t>
  </si>
  <si>
    <t>果酒（含酒精）;葡萄酒;烈酒（饮料）;酒精饮料浓缩汁;烧酒;含⽔果酒精饮料;⽶酒;⽩酒;⻩酒;酒精饮料（啤酒除外）</t>
  </si>
  <si>
    <t>贵州匠台酒业集团股份有限公司</t>
  </si>
  <si>
    <t>伏特加酒;⽩酒;清酒;⻘稞酒;鸡尾酒;果酒（含酒精）;⽶酒;酒精饮料原汁;葡萄酒;⻩酒</t>
  </si>
  <si>
    <t>贵州情景最藏酒业有限公司</t>
  </si>
  <si>
    <t>2023/04/23</t>
  </si>
  <si>
    <t>2023/04/28</t>
  </si>
  <si>
    <t>2023/05/12</t>
  </si>
  <si>
    <t>图形</t>
  </si>
  <si>
    <t>海口龙华梓莱汪信息咨询服务部</t>
  </si>
  <si>
    <t>2023/05/19</t>
  </si>
  <si>
    <t>酒精饮料（啤酒除外）</t>
  </si>
  <si>
    <t>2023/05/25</t>
  </si>
  <si>
    <t>2023/06/09</t>
  </si>
  <si>
    <t>巽风科技（贵州）有限公司</t>
  </si>
  <si>
    <t>2023/06/12</t>
  </si>
  <si>
    <t>江苏双沟酒业股份有限公司</t>
  </si>
  <si>
    <t>2023/07/04</t>
  </si>
  <si>
    <t>2023/07/11</t>
  </si>
  <si>
    <t>2023/07/31</t>
  </si>
  <si>
    <t>2023/08/01</t>
  </si>
  <si>
    <t>2023/08/02</t>
  </si>
  <si>
    <t>2023/08/03</t>
  </si>
  <si>
    <t/>
  </si>
  <si>
    <t>2023/08/22</t>
  </si>
  <si>
    <t>2023/09/13</t>
  </si>
  <si>
    <t>2023/09/19</t>
  </si>
  <si>
    <t>2023/10/08</t>
  </si>
  <si>
    <t>棠记商贸（成都）有限公司</t>
  </si>
  <si>
    <t>2023/10/09</t>
  </si>
  <si>
    <t>贵州怀庄酒业（集团）有限责任公司</t>
  </si>
  <si>
    <t>王慧</t>
  </si>
  <si>
    <t>⽩酒</t>
  </si>
  <si>
    <t>2024/02/19</t>
  </si>
  <si>
    <t>2024/02/20</t>
  </si>
  <si>
    <t>2024/02/24</t>
  </si>
  <si>
    <t>山西庞泉酒庄有限公司</t>
  </si>
  <si>
    <t>2024/02/26</t>
  </si>
  <si>
    <t>杜氏畅纽莱生物工程（青岛）有限公司</t>
  </si>
  <si>
    <t>2024/03/04</t>
  </si>
  <si>
    <t>2024/03/06</t>
  </si>
  <si>
    <t>2024/03/08</t>
  </si>
  <si>
    <t>2024/03/11</t>
  </si>
  <si>
    <t>九生堂</t>
  </si>
  <si>
    <t>九生堂中医药大健康有限公司</t>
  </si>
  <si>
    <t>2024/03/13</t>
  </si>
  <si>
    <t>2024/03/18</t>
  </si>
  <si>
    <t>盒马（中国）有限公司</t>
  </si>
  <si>
    <t>2024/03/21</t>
  </si>
  <si>
    <t>2024/03/24</t>
  </si>
  <si>
    <t>2024/03/25</t>
  </si>
  <si>
    <t>2024/03/26</t>
  </si>
  <si>
    <t>娄少雨</t>
  </si>
  <si>
    <t>2024/03/27</t>
  </si>
  <si>
    <t>2024/03/28</t>
  </si>
  <si>
    <t>吴江经济技术开发区名派商标设计工作室</t>
  </si>
  <si>
    <t>2024/03/29</t>
  </si>
  <si>
    <t>庄臣酿酒（福建）有限公司</t>
  </si>
  <si>
    <t>2024/03/30</t>
  </si>
  <si>
    <t>2024/04/01</t>
  </si>
  <si>
    <t>黔庄供应链管理保定有限公司</t>
  </si>
  <si>
    <t>烟台公全商贸有限公司</t>
  </si>
  <si>
    <t>2024/04/02</t>
  </si>
  <si>
    <t>金雍</t>
  </si>
  <si>
    <t>开封市晟盈商贸有限公司</t>
  </si>
  <si>
    <t>2024/04/03</t>
  </si>
  <si>
    <t>贵州匡家企业管理咨询有限公司</t>
  </si>
  <si>
    <t>河南双连壶酒业有限公司</t>
  </si>
  <si>
    <t>2024/04/07</t>
  </si>
  <si>
    <t>中国红双喜集团股份有限公司</t>
  </si>
  <si>
    <t>杨太宽</t>
  </si>
  <si>
    <t>2024/04/08</t>
  </si>
  <si>
    <t>贵州省酱香酿酒技术研究院</t>
  </si>
  <si>
    <t>2024/04/09</t>
  </si>
  <si>
    <t>爱夸夸有限公司</t>
  </si>
  <si>
    <t>2024/04/10</t>
  </si>
  <si>
    <t>贵州京谭酒业有限责任公司</t>
  </si>
  <si>
    <t>邹发根</t>
  </si>
  <si>
    <t>许顺裔</t>
  </si>
  <si>
    <t>2024/04/11</t>
  </si>
  <si>
    <t>内蒙古世纪呼白酒业有限责任公司</t>
  </si>
  <si>
    <t>2024/04/12</t>
  </si>
  <si>
    <t>亳州伯坛酒业有限公司</t>
  </si>
  <si>
    <t>2024/04/13</t>
  </si>
  <si>
    <t>2024/04/14</t>
  </si>
  <si>
    <t>2024/04/15</t>
  </si>
  <si>
    <t>2024/04/16</t>
  </si>
  <si>
    <t>2024/04/17</t>
  </si>
  <si>
    <t>2024/04/18</t>
  </si>
  <si>
    <t>娄永康</t>
  </si>
  <si>
    <t>中粱（遂宁）酒业有限公司</t>
  </si>
  <si>
    <t>欧德重工（辽宁）有限公司</t>
  </si>
  <si>
    <t>闫月琴</t>
  </si>
  <si>
    <t>黄阳洋</t>
  </si>
  <si>
    <t>2024/04/19</t>
  </si>
  <si>
    <t>安徽芝到品牌管理有限公司</t>
  </si>
  <si>
    <t>2024/04/20</t>
  </si>
  <si>
    <t>2024/04/21</t>
  </si>
  <si>
    <t>2024/04/22</t>
  </si>
  <si>
    <t>唐益谊</t>
  </si>
  <si>
    <t>石家庄旅投集团文化体育产业开发有限责任公司演艺分公司</t>
  </si>
  <si>
    <t>山西神州鸿运酒业有限公司</t>
  </si>
  <si>
    <t>2024/04/23</t>
  </si>
  <si>
    <t>程和平</t>
  </si>
  <si>
    <t>郭过家</t>
  </si>
  <si>
    <t>2024/04/24</t>
  </si>
  <si>
    <t>仑言投资（海南）有限公司</t>
  </si>
  <si>
    <t>上海申囤商贸有限公司</t>
  </si>
  <si>
    <t>山东田纪香生物科技有限公司</t>
  </si>
  <si>
    <t>2024/04/25</t>
  </si>
  <si>
    <t>贵州寻味梵净果酒有限公司</t>
  </si>
  <si>
    <t>陈刚</t>
  </si>
  <si>
    <t>汉清沙</t>
  </si>
  <si>
    <t>张令哲</t>
  </si>
  <si>
    <t>2024/04/26</t>
  </si>
  <si>
    <t>喜备</t>
  </si>
  <si>
    <t>信阳数源实业发展有限公司</t>
  </si>
  <si>
    <t>李力峰</t>
  </si>
  <si>
    <t>徐州传承酱酒业有限公司</t>
  </si>
  <si>
    <t>九江中菲国际酒业有限公司</t>
  </si>
  <si>
    <t>2024/04/27</t>
  </si>
  <si>
    <t>颜怡仁</t>
  </si>
  <si>
    <t>北京百年传奇文化发展有限公司</t>
  </si>
  <si>
    <t>查达桥</t>
  </si>
  <si>
    <t>徐俊刚</t>
  </si>
  <si>
    <t>高士男</t>
  </si>
  <si>
    <t>智变赢道投资（南京）有限公司</t>
  </si>
  <si>
    <t>2024/04/28</t>
  </si>
  <si>
    <t>李红</t>
  </si>
  <si>
    <t>乔金生</t>
  </si>
  <si>
    <t>汪长富</t>
  </si>
  <si>
    <t>2024/04/29</t>
  </si>
  <si>
    <t>吴雪</t>
  </si>
  <si>
    <t>宁景华</t>
  </si>
  <si>
    <t>辽宁三沟酒业有限责任公司</t>
  </si>
  <si>
    <t>青岛杜张氏医药保健品有限公司</t>
  </si>
  <si>
    <t>徐传彬</t>
  </si>
  <si>
    <t>葡萄酒</t>
  </si>
  <si>
    <t>⻩酒</t>
  </si>
  <si>
    <t>运城市虎标行商贸有限公司</t>
  </si>
  <si>
    <t>四川省东圣酒业股份有限公司</t>
  </si>
  <si>
    <t>茅台镇柔和酒业有限公司</t>
  </si>
  <si>
    <t>范杰</t>
  </si>
  <si>
    <t>2024/05/06</t>
  </si>
  <si>
    <t>贵州省仁怀市茅台镇衡昌烧坊酿酒有限公司</t>
  </si>
  <si>
    <t>2024/05/07</t>
  </si>
  <si>
    <t>王辉</t>
  </si>
  <si>
    <t>湖北如此酒业有限责任公司</t>
  </si>
  <si>
    <t>海口龙华盼纤羽食品经营部（个体工商户）</t>
  </si>
  <si>
    <t>许启颢</t>
  </si>
  <si>
    <t>江西恒湖酒业有限责任公司</t>
  </si>
  <si>
    <t>广州华瑾科技有限公司</t>
  </si>
  <si>
    <t>彭晓庆</t>
  </si>
  <si>
    <t>张小强</t>
  </si>
  <si>
    <t>杭州千岛湖威士忌酒业有限公司</t>
  </si>
  <si>
    <t>贵州博台酿酒（集团）有限公司</t>
  </si>
  <si>
    <t>烟台钟离湖农业投资有限公司</t>
  </si>
  <si>
    <t>休宁县糕饼厂</t>
  </si>
  <si>
    <t>甘肃康杉技术设备有限公司</t>
  </si>
  <si>
    <t>贵州老酒藏链科技有限公司</t>
  </si>
  <si>
    <t>杨瑞浩</t>
  </si>
  <si>
    <t>廖艳阳</t>
  </si>
  <si>
    <t>刘利婵</t>
  </si>
  <si>
    <t>李广芬</t>
  </si>
  <si>
    <t>江晓城</t>
  </si>
  <si>
    <t>谢涛</t>
  </si>
  <si>
    <t>北京华夏观峰品牌管理有限公司</t>
  </si>
  <si>
    <t>四川宜宾流杯池酒业有限公司</t>
  </si>
  <si>
    <t>SAINT DES LARRASSES</t>
  </si>
  <si>
    <t>王忠平</t>
  </si>
  <si>
    <t>李平</t>
  </si>
  <si>
    <t>纪庆坤</t>
  </si>
  <si>
    <t>广州启明星际信息科技有限公司</t>
  </si>
  <si>
    <t>王小林</t>
  </si>
  <si>
    <t>刘安</t>
  </si>
  <si>
    <t>华桂香</t>
  </si>
  <si>
    <t>胡丽</t>
  </si>
  <si>
    <t>徐艳</t>
  </si>
  <si>
    <t>天津静海区泽优上品百货食品商行</t>
  </si>
  <si>
    <t>方桂荣</t>
  </si>
  <si>
    <t>西咸新区千秋雪传媒有限公司</t>
  </si>
  <si>
    <t>贵州正永和酒业股份有限公司</t>
  </si>
  <si>
    <t>2024/05/08</t>
  </si>
  <si>
    <t>李真真</t>
  </si>
  <si>
    <t>四川黔蜀晋酒业有限公司</t>
  </si>
  <si>
    <t>君品珍酿酒业有限公司</t>
  </si>
  <si>
    <t>吴明华</t>
  </si>
  <si>
    <t>郑勇</t>
  </si>
  <si>
    <t>世台科技集团有限公司</t>
  </si>
  <si>
    <t>俞林辉</t>
  </si>
  <si>
    <t>相海峰</t>
  </si>
  <si>
    <t>宋艳</t>
  </si>
  <si>
    <t>肇庆市美祺达科技有限公司</t>
  </si>
  <si>
    <t>胡宏</t>
  </si>
  <si>
    <t>王伟</t>
  </si>
  <si>
    <t>潘海锋</t>
  </si>
  <si>
    <t>北京德信恒泰商业管理有限公司</t>
  </si>
  <si>
    <t>李小兰</t>
  </si>
  <si>
    <t>河南关心酒业有限公司</t>
  </si>
  <si>
    <t>唐小平</t>
  </si>
  <si>
    <t>郭双奇</t>
  </si>
  <si>
    <t>山东红太阳酒业集团有限公司</t>
  </si>
  <si>
    <t>2024/05/09</t>
  </si>
  <si>
    <t>张兴旺</t>
  </si>
  <si>
    <t>深圳市竹青实业发展有限公司</t>
  </si>
  <si>
    <t>夏佳慧</t>
  </si>
  <si>
    <t>张元均</t>
  </si>
  <si>
    <t>徐州国玺酒业有限公司</t>
  </si>
  <si>
    <t>张广堂</t>
  </si>
  <si>
    <t>汪加豪</t>
  </si>
  <si>
    <t>四川赖糟坊酒业集团有限公司</t>
  </si>
  <si>
    <t>苏州惠悦人力资源服务有限公司</t>
  </si>
  <si>
    <t>李鑫</t>
  </si>
  <si>
    <t>播州区伊鲜优品水果铺</t>
  </si>
  <si>
    <t>2024/05/10</t>
  </si>
  <si>
    <t>黄鹏</t>
  </si>
  <si>
    <t>徐国仙</t>
  </si>
  <si>
    <t>南京马也品牌策划有限公司</t>
  </si>
  <si>
    <t>曹慧</t>
  </si>
  <si>
    <t>张维海</t>
  </si>
  <si>
    <t>黎羽丰</t>
  </si>
  <si>
    <t>保美汇文化传播（上海）有限公司</t>
  </si>
  <si>
    <t>辽宁厚德酒业有限公司</t>
  </si>
  <si>
    <t>李利</t>
  </si>
  <si>
    <t>杭州速形电子商务有限公司</t>
  </si>
  <si>
    <t>顾玉红</t>
  </si>
  <si>
    <t>当阳市大雄建材有限责任公司</t>
  </si>
  <si>
    <t>黄丽珠</t>
  </si>
  <si>
    <t>王琛</t>
  </si>
  <si>
    <t>四川汇聚卓越品牌管理有限公司</t>
  </si>
  <si>
    <t>山西三晋粮仓酒业有限公司</t>
  </si>
  <si>
    <t>洛阳武后科技有限公司</t>
  </si>
  <si>
    <t>应芝燕331021********3022</t>
  </si>
  <si>
    <t>深圳真真美美科技有限公司</t>
  </si>
  <si>
    <t>上海邮乐网络技术有限公司</t>
  </si>
  <si>
    <t>张映周</t>
  </si>
  <si>
    <t>杭州柏奥玛品牌管理有限公司</t>
  </si>
  <si>
    <t>2024/05/11</t>
  </si>
  <si>
    <t>山东百脉泉酒业股份有限公司</t>
  </si>
  <si>
    <t>杭州百佳荟对外贸易集团有限公司</t>
  </si>
  <si>
    <t>肖礼森</t>
  </si>
  <si>
    <t>梁露丹</t>
  </si>
  <si>
    <t>厦门麦九进出口有限公司</t>
  </si>
  <si>
    <t>刘大阳</t>
  </si>
  <si>
    <t>国科文创发展(深圳)有限公司</t>
  </si>
  <si>
    <t>李凤</t>
  </si>
  <si>
    <t>格兰纳瑟资产管理股份公司</t>
  </si>
  <si>
    <t>刘龙龙</t>
  </si>
  <si>
    <t>2024/05/12</t>
  </si>
  <si>
    <t>昆能量功能食品（广东）有限公司</t>
  </si>
  <si>
    <t>2024/05/13</t>
  </si>
  <si>
    <t>杜发通</t>
  </si>
  <si>
    <t>朱德星</t>
  </si>
  <si>
    <t>贵州省仁怀市茅台镇文中酒业有限公司</t>
  </si>
  <si>
    <t>奥歌诗丹迪（上海）酒业有限公司</t>
  </si>
  <si>
    <t>昆明豪骑科技有限公司</t>
  </si>
  <si>
    <t>邓州市峻岭家庭农场有限公司</t>
  </si>
  <si>
    <t>贵州涟江酿酒有限责任公司</t>
  </si>
  <si>
    <t>伊菲丹公司</t>
  </si>
  <si>
    <t>张林明</t>
  </si>
  <si>
    <t>昌南新区斌元行贸易行（个体工商户）</t>
  </si>
  <si>
    <t>吴毅东</t>
  </si>
  <si>
    <t>海口秀英区宜鲜送贸易商行（个体工商户）</t>
  </si>
  <si>
    <t>南京苏宁优购电子商务有限公司</t>
  </si>
  <si>
    <t>天津市大强酒业贸易有限公司</t>
  </si>
  <si>
    <t>淮北乾之隆酒业有限公司</t>
  </si>
  <si>
    <t>成都智必达企业管理有限公司</t>
  </si>
  <si>
    <t>2024/05/14</t>
  </si>
  <si>
    <t>严利琴</t>
  </si>
  <si>
    <t>峡谷酒庄（银川）有限公司</t>
  </si>
  <si>
    <t>长沙酒巢酒业有限公司</t>
  </si>
  <si>
    <t>北京香鲜鲜餐饮有限公司</t>
  </si>
  <si>
    <t>张家港保税区金宝莲国际贸易有限公司</t>
  </si>
  <si>
    <t>司徒雪梅</t>
  </si>
  <si>
    <t>朱春燕</t>
  </si>
  <si>
    <t>山西省酒文化研究会</t>
  </si>
  <si>
    <t>釜阳春酒业有限公司</t>
  </si>
  <si>
    <t>杨浩</t>
  </si>
  <si>
    <t>周昀祺</t>
  </si>
  <si>
    <t>2024/05/15</t>
  </si>
  <si>
    <t>佰酿云酒（重庆）科技有限公司</t>
  </si>
  <si>
    <t>四川吉祥家道企业管理有限公司</t>
  </si>
  <si>
    <t>北京文雅之声文化传媒有限公司</t>
  </si>
  <si>
    <t>谢婉仪</t>
  </si>
  <si>
    <t>周旗</t>
  </si>
  <si>
    <t>卢奎</t>
  </si>
  <si>
    <t>2024/05/19</t>
  </si>
  <si>
    <t>2024/05/28</t>
  </si>
  <si>
    <t>1898</t>
  </si>
  <si>
    <t>2024/8/6</t>
  </si>
  <si>
    <t>黔中飞将</t>
  </si>
  <si>
    <t>于姜雪</t>
  </si>
  <si>
    <t>果酒;⽶酒;⻩酒;烧酒;葡萄酒;⽩兰地;蒸馏饮料;蜂蜜酒;⽩酒;利⼝酒</t>
  </si>
  <si>
    <t>ZENG ZENG</t>
  </si>
  <si>
    <t>广东省九江酒厂有限公司</t>
  </si>
  <si>
    <t>葡萄酒;清酒（⽇本⽶酒）;⽶酒;露酒;⽩酒;烧酒;⻩酒;含酒精的饮料（啤酒除外）;果酒（含酒精）;梅酒</t>
  </si>
  <si>
    <t>君丰秘</t>
  </si>
  <si>
    <t>贵州酣客君丰酒业有限公司</t>
  </si>
  <si>
    <t>威⼠忌;酒精饮料（啤酒除外）;⽩酒;果酒（含酒精）;⾷⽤酒精;鸡尾酒;预先混合的酒精饮料（以啤酒为主的除外）;葡萄酒;含酒精的⽓泡⽔;蒸馏饮料</t>
  </si>
  <si>
    <t>苹果谷</t>
  </si>
  <si>
    <t>王平</t>
  </si>
  <si>
    <t>蒸馏饮料;苹果酒;果酒（含酒精）;鸡尾酒;开胃酒;酒精饮料（啤酒除外）;预先混合的酒精饮料（以啤酒为主的除外）;⽩酒;果酒;威⼠忌</t>
  </si>
  <si>
    <t>武当龙门</t>
  </si>
  <si>
    <t>丹江口市三宝文化发展有限公司</t>
  </si>
  <si>
    <t>医疗辅助;为指导治疗和评估效果向接受康复治疗的病⼈进⾏医疗评估服务;配药咨询;医疗诊所服务;健康咨询;饮⾷营养指导;治疗关节脱位、扭伤、⾻折或类似损伤(柔道损伤);医院;按摩</t>
  </si>
  <si>
    <t>逐鹿天下</t>
  </si>
  <si>
    <t>张璐颖</t>
  </si>
  <si>
    <t>酒精饮料（啤酒除外）;烧酒（烈酒）;⾼粱酒;果酒;⽩⼲酒（中国⽩酒）;由⾕物蒸馏的⽩酒;已调味的蒸馏酒;⽩酒;含酒精的饮料（啤酒除外）;⽼酒（中国蒸馏烈酒）</t>
  </si>
  <si>
    <t>妙榜</t>
  </si>
  <si>
    <t>陕西妍璟祺商贸有限公司</t>
  </si>
  <si>
    <t>葡萄酒;⽩酒</t>
  </si>
  <si>
    <t>盒马全球 GO</t>
  </si>
  <si>
    <t>清酒（⽇本⽶酒）;酒精饮料（啤酒除外）;葡萄酒;含⽔果酒精饮料;⻩酒;利⼝酒;果酒（含酒精）;烈酒（饮料）;酒精饮料浓缩汁;⽩酒</t>
  </si>
  <si>
    <t>供销人</t>
  </si>
  <si>
    <t>吉林省国风商贸有限公司</t>
  </si>
  <si>
    <t>果酒（含酒精）;葡萄酒;烈酒（饮料）;酒精饮料（啤酒除外）;⻩酒;⽩酒;利⼝酒;⾕物制蒸馏酒精饮料;开胃酒;以葡萄酒为主的饮料</t>
  </si>
  <si>
    <t>米爱米</t>
  </si>
  <si>
    <t>蜀国春酒业股份有限公司</t>
  </si>
  <si>
    <t>汽酒;葡萄酒;果酒（含酒精）;利⼝酒;⻩酒;酒精饮料（啤酒除外）;⽶酒;烧酒;⽩酒;烈酒（饮料）</t>
  </si>
  <si>
    <t>VOLANTIS 梵蒂思</t>
  </si>
  <si>
    <t>宸食贸易（厦门）有限公司</t>
  </si>
  <si>
    <t>威⼠忌;混合威⼠忌酒;鸡尾酒;酒精饮料（啤酒除外）;葡萄酒;伏特加酒;起泡⽩葡萄酒;⽩兰地;酒精饮料浓缩汁;⽩葡萄酒</t>
  </si>
  <si>
    <t>鸣放</t>
  </si>
  <si>
    <t>贵州酱酒集团有限公司</t>
  </si>
  <si>
    <t>果酒（含酒精）;开胃酒;烧酒;威⼠忌;烈酒（饮料）;⽩酒;葡萄酒;⽶酒;含酒精的饮料（啤酒除外）;鸡尾酒</t>
  </si>
  <si>
    <t>爽甫</t>
  </si>
  <si>
    <t>独山县旺爽菌业发展有限公司</t>
  </si>
  <si>
    <t>烧酒;含⽔果酒精饮料;开胃酒;⽩酒;⻩酒;烈酒（饮料）;酒精饮料（啤酒除外）;⽶酒;利⼝酒;果酒（含酒精）</t>
  </si>
  <si>
    <t>2024/03/12</t>
  </si>
  <si>
    <t>李祖祥</t>
  </si>
  <si>
    <t>甜酒;⽶酒;果酒（含酒精）;含⽔果酒精饮料;露酒;果酒;葡萄酒;含酒精⽔果饮料;含酒精的⽔果鸡尾酒饮料;甜果酒</t>
  </si>
  <si>
    <t>芙榕山土白酒</t>
  </si>
  <si>
    <t>黄招香</t>
  </si>
  <si>
    <t>烧酒;⽩酒;含⽔果酒精饮料;⾷⽤酒精;威⼠忌;烧酒（烈酒）;果酒（含酒精）;⽶酒;⻩酒;⻘稞酒</t>
  </si>
  <si>
    <t>农夫馋嘴</t>
  </si>
  <si>
    <t>刘有权</t>
  </si>
  <si>
    <t>果酒（含酒精）;蜂蜜酒;⾕物制蒸馏酒精饮料;烧酒;烧酒（烈酒）;薄荷酒;葡萄酒;以葡萄酒为主的开胃酒;以葡萄酒为主的饮料;⽩酒</t>
  </si>
  <si>
    <t>2024/03/15</t>
  </si>
  <si>
    <t>攀星者</t>
  </si>
  <si>
    <t>深圳攀星者信息技术有限公司</t>
  </si>
  <si>
    <t>果酒（含酒精）;薄荷酒;葡萄酒;威⼠忌;蒸馏饮料;⻩酒;含⽔果酒精饮料;⽩酒;开胃酒;酒精饮料（啤酒除外）</t>
  </si>
  <si>
    <t>赞溪</t>
  </si>
  <si>
    <t>蓝程缤</t>
  </si>
  <si>
    <t>开胃酒;威⼠忌;⽩酒;鸡尾酒;酒精饮料（啤酒除外）;烈酒;葡萄酒;果酒（含酒精）;⻩酒;清酒（⽇本⽶酒）</t>
  </si>
  <si>
    <t>流水音中</t>
  </si>
  <si>
    <t>成都盛誉庄商贸有限公司</t>
  </si>
  <si>
    <t>果酒（含酒精）;⽶酒;伏特加酒;烧酒;威⼠忌;⻩酒;⽩酒;葡萄酒;利⼝酒;⻘稞酒</t>
  </si>
  <si>
    <t>汾酒</t>
  </si>
  <si>
    <t>山西杏花村汾酒厂股份有限公司</t>
  </si>
  <si>
    <t>鸡尾酒;⽶酒;⻩酒;酒精饮料原汁;⽼酒（中国蒸馏烈酒）;⽩酒;烧酒（烈酒）;蒸煮提取物（利⼝酒和烈酒）;果酒（含酒精）;酒精饮料（啤酒除外）</t>
  </si>
  <si>
    <t>2024/03/19</t>
  </si>
  <si>
    <t>星璨起泡酒</t>
  </si>
  <si>
    <t>武汉酒点半贸易有限公司</t>
  </si>
  <si>
    <t>起泡红葡萄酒;以葡萄酒为主的开胃酒;开胃酒;起泡⽩葡萄酒;以蒸馏酒为主的开胃酒</t>
  </si>
  <si>
    <t>动力说</t>
  </si>
  <si>
    <t>周建良</t>
  </si>
  <si>
    <t>⽩兰地;⻩酒;威⼠忌;果酒（含酒精）;鸡尾酒;葡萄酒;⽩酒;⽶酒;酒精饮料（啤酒除外）;蒸馏饮料</t>
  </si>
  <si>
    <t>2024/03/20</t>
  </si>
  <si>
    <t>魔立出众 力 MOLICHUZHONG</t>
  </si>
  <si>
    <t>徐州和苏生物科技有限公司</t>
  </si>
  <si>
    <t>烈酒;酒精饮料原汁;⽶酒;含酒精的饮料（啤酒除外）;甜酒;葡萄酒;酒精饮料（啤酒除外）;蒸馏饮料;⽩⼲酒（中国⽩酒）;果酒</t>
  </si>
  <si>
    <t>余 井钥</t>
  </si>
  <si>
    <t>重庆井钥能源科技有限公司</t>
  </si>
  <si>
    <t>烈酒（饮料）;烧酒;开胃酒;果酒（含酒精）;苦味酒;梨酒;⾕物制蒸馏酒精饮料;⽩酒</t>
  </si>
  <si>
    <t>满将军</t>
  </si>
  <si>
    <t>王萍</t>
  </si>
  <si>
    <t>鸡尾酒;⾼粱酒;果酒（含酒精）;酒精饮料（啤酒除外）;⽩酒;⻩酒;烧酒;含酒精的⽓泡⽔;葡萄酒;⽶酒</t>
  </si>
  <si>
    <t>珑玛庄</t>
  </si>
  <si>
    <t>泛缘（上海）供应链有限公司</t>
  </si>
  <si>
    <t>酒精饮料（啤酒除外）;调制好的葡萄酒鸡尾酒;酒精饮料原汁;加⾹料的热葡萄酒;加烈葡萄酒;含⽔果酒精饮料;葡萄酒;桃红葡萄酒;以葡萄酒为主的饮料;起泡红葡萄酒</t>
  </si>
  <si>
    <t>平安年</t>
  </si>
  <si>
    <t>济南平安年生物科技开发有限公司</t>
  </si>
  <si>
    <t>蒸煮提取物（利⼝酒和烈酒）;酒精饮料原汁;⽩酒;烧酒;烈酒;梨酒;⻩酒;果酒（含酒精）;含⽔果酒精饮料;⽶酒</t>
  </si>
  <si>
    <t>泰迪熊 TEDDY BEAR</t>
  </si>
  <si>
    <t>泰迪熊企业股份有限公司</t>
  </si>
  <si>
    <t>⽩酒;葡萄酒;⽩兰地;梅酒;⻩酒;⽶酒;含酒精的饮料（啤酒除外）;威⼠忌;⾼粱酒;果酒（含酒精）</t>
  </si>
  <si>
    <t>馫醁</t>
  </si>
  <si>
    <t>汪福海</t>
  </si>
  <si>
    <t>果酒（含酒精）;烈酒（饮料）;清酒（⽇本⽶酒）;⽶酒;烧酒;开胃酒;葡萄酒;威⼠忌;酒精饮料（啤酒除外）;⽩酒</t>
  </si>
  <si>
    <t>凤冕</t>
  </si>
  <si>
    <t>朋礼加</t>
  </si>
  <si>
    <t>葡萄酒;⽶酒;烈酒;烧酒;梅酒;果酒（含酒精）;⻩酒;⾼粱酒;露酒;⽩酒</t>
  </si>
  <si>
    <t>彝宾</t>
  </si>
  <si>
    <t>⽩酒;⽶酒;烧酒;烈酒（饮料）;⻩酒;⾼粱酒;露酒;果酒（含酒精）;葡萄酒;⻘稞酒</t>
  </si>
  <si>
    <t>丹曲</t>
  </si>
  <si>
    <t>烧酒;⾼粱酒;餐后酒（利⼝酒和烈酒）;烈酒（饮料）;露酒;葡萄酒;⽩酒;果酒（含酒精）;⻩酒;⽶酒</t>
  </si>
  <si>
    <t>儒孟之家</t>
  </si>
  <si>
    <t>⽶酒;烧酒;⾼粱酒;葡萄酒;烈酒;⻩酒;⽩酒;露酒;梅酒;果酒（含酒精）</t>
  </si>
  <si>
    <t>汇典</t>
  </si>
  <si>
    <t>葡萄酒;烧酒;⽩酒;⾼粱酒;⻩酒;露酒;餐后酒（利⼝酒和烈酒）;果酒（含酒精）;⽶酒;烈酒（饮料）</t>
  </si>
  <si>
    <t>财付官</t>
  </si>
  <si>
    <t>王江波</t>
  </si>
  <si>
    <t>清酒;果酒;葡萄酒;开胃酒;⻩酒;甜酒;⽩酒;⽶酒;⾷⽤酒精;汽酒</t>
  </si>
  <si>
    <t>SANXI</t>
  </si>
  <si>
    <t>交城县三喜化工有限公司</t>
  </si>
  <si>
    <t>⾷⽤酒精;⽼酒（中国蒸馏烈酒）;⾼粱酒;烧酒;露酒;⽩酒;⽩⼲酒（中国⽩酒）;烧酒（烈酒）;由⾕物蒸馏的⽩酒;果酒</t>
  </si>
  <si>
    <t>新芦家街</t>
  </si>
  <si>
    <t>许进禄</t>
  </si>
  <si>
    <t>蒸馏饮料;威⼠忌;开胃酒;利⼝酒;⽶酒;葡萄酒;⽩兰地;烧酒;鸡尾酒;⽩酒</t>
  </si>
  <si>
    <t>猕之醉</t>
  </si>
  <si>
    <t>贵州中铭信息数字科技有限公司</t>
  </si>
  <si>
    <t>威⼠忌;烧酒;酒精饮料（啤酒除外）;含⽔果酒精饮料;⽩酒;鸡尾酒;烈酒（饮料）;开胃酒;清酒（⽇本⽶酒）;果酒（含酒精）</t>
  </si>
  <si>
    <t>跑胡子人</t>
  </si>
  <si>
    <t>于初平</t>
  </si>
  <si>
    <t>烈酒;葡萄酒;⾷⽤酒精;果酒;⽩酒;蒸煮提取物（利⼝酒和烈酒）;梨酒;甜酒;⽶酒;蜂蜜酒</t>
  </si>
  <si>
    <t>亳州市玖伍纪年酒业销售有限公司</t>
  </si>
  <si>
    <t>酒精饮料原汁;预先混合的酒精饮料（以啤酒为主的除外）;烧酒;果酒（含酒精）;酒精饮料（啤酒除外）;茴芹酒（利⼝酒）;烈酒（饮料）;酸酒（低等葡萄酒）;酒精饮料浓缩汁;含⽔果酒精饮料;已调味的⻨芽酿制的酒精饮料（啤酒除外）;蒸馏饮料;威⼠忌</t>
  </si>
  <si>
    <t>鼎誉</t>
  </si>
  <si>
    <t>贵州君品酒业有限责任公司</t>
  </si>
  <si>
    <t>鸡尾酒;果酒（含酒精）;⽶酒;酒精饮料（啤酒除外）;酒精饮料原汁;开胃酒;威⼠忌;⽩酒;烧酒;葡萄酒</t>
  </si>
  <si>
    <t>元斛本草</t>
  </si>
  <si>
    <t>云南品斛堂生物科技有限公司</t>
  </si>
  <si>
    <t>预先混合的酒精饮料（以啤酒为主的除外）;烧酒;⽩兰地;酒精饮料（啤酒除外）;利⼝酒;果酒（含酒精）;清酒（⽇本⽶酒）;含⽔果酒精饮料;⽩酒</t>
  </si>
  <si>
    <t>劳扶我</t>
  </si>
  <si>
    <t>贵州省仁怀市百韧酒业有限公司</t>
  </si>
  <si>
    <t>⽩兰地;⽩酒;薄荷酒;威⼠忌;⻩酒;烈酒（饮料）;⽶酒;果酒（含酒精）;开胃酒;鸡尾酒</t>
  </si>
  <si>
    <t>空余上蜜约</t>
  </si>
  <si>
    <t>嘉兴橙兰广告有限公司</t>
  </si>
  <si>
    <t>⽶酒;⻩酒;果酒（含酒精）;威⼠忌;清酒;鸡尾酒;葡萄酒;烧酒;⽩酒;酒精饮料（啤酒除外）</t>
  </si>
  <si>
    <t>金陵佬厨子</t>
  </si>
  <si>
    <t>南京佬厨子餐饮有限公司</t>
  </si>
  <si>
    <t>⽩酒;葡萄酒;鸡尾酒;预先混合的酒精饮料（以啤酒为主的除外）;蒸馏饮料;烈酒（饮料）;⻩酒;⽶酒;酒精饮料（啤酒除外）;果酒（含酒精）</t>
  </si>
  <si>
    <t>村东头</t>
  </si>
  <si>
    <t>陈荣刚</t>
  </si>
  <si>
    <t>酒精饮料（啤酒除外）;苹果酒;汽酒;清酒;预先混合的酒精饮料（以啤酒为主的除外）;威⼠忌;⽩酒;⽶酒;蒸馏饮料;烈酒</t>
  </si>
  <si>
    <t>海淘易购供应链（广州）有限公司</t>
  </si>
  <si>
    <t>利⼝酒;开胃酒;烈酒（饮料）;⽩兰地;朗姆酒;鸡尾酒;葡萄酒;混合威⼠忌酒;威⼠忌;伏特加酒</t>
  </si>
  <si>
    <t>嘿呃糅</t>
  </si>
  <si>
    <t>东营市东营区千杯少商贸有限责任公司</t>
  </si>
  <si>
    <t>⻩酒;酒精饮料原汁;预先混合的酒精饮料（以啤酒为主的除外）;蒸馏饮料;已调味的蒸馏酒;烧酒;⽶酒;酒精饮料（啤酒除外）;烈酒（饮料）;⽩酒</t>
  </si>
  <si>
    <t>FASSBERG</t>
  </si>
  <si>
    <t>东营法斯堡酒业有限公司</t>
  </si>
  <si>
    <t>葡萄酒;烧酒;清酒;果酒（含酒精）;鸡尾酒;⽩酒;⽩兰地;⻩酒;红葡萄酒;酒精饮料（啤酒除外）</t>
  </si>
  <si>
    <t>桂江山</t>
  </si>
  <si>
    <t>梁小娟</t>
  </si>
  <si>
    <t>清酒（⽇本⽶酒）;⻩酒;葡萄酒;鸡尾酒;果酒（含酒精）;⽩酒;威⼠忌;蜂蜜酒;烈酒（饮料）;⽶酒</t>
  </si>
  <si>
    <t>闻酒</t>
  </si>
  <si>
    <t>南京福助天酒业有限公司</t>
  </si>
  <si>
    <t>开胃酒;利⼝酒;烈酒（饮料）;烧酒;酒精饮料（啤酒除外）;蒸煮提取物（利⼝酒和烈酒）;清酒;苦味酒;蒸馏饮料;⾷⽤酒精</t>
  </si>
  <si>
    <t>绮炫</t>
  </si>
  <si>
    <t>内蒙古伊利实业集团股份有限公司</t>
  </si>
  <si>
    <t>⾕物制蒸馏酒精饮料;酒精饮料（啤酒除外）;开胃酒;蒸馏饮料;⽩酒;利⼝酒;苹果酒;葡萄酒;蜂蜜酒;果酒（含酒精）;⻩酒</t>
  </si>
  <si>
    <t>V50Q GOLD VINE</t>
  </si>
  <si>
    <t>红葡萄酒;葡萄汽酒;⽩葡萄酒;桃红葡萄酒;起泡⽩葡萄酒;葡萄酒;阿蒙蒂拉多⽩葡萄酒;加烈葡萄酒;加⾹料的热葡萄酒;起泡红葡萄酒</t>
  </si>
  <si>
    <t>持鹽把酒</t>
  </si>
  <si>
    <t>大理市鸟窝商贸有限公司</t>
  </si>
  <si>
    <t>⽩酒;葡萄酒;⽶酒;⻘稞酒;⾷⽤酒精;果酒（含酒精）;鸡尾酒;酒精饮料（啤酒除外）;含⽔果酒精饮料;烧酒</t>
  </si>
  <si>
    <t>OXYGEN LAND</t>
  </si>
  <si>
    <t>上海东禾九谷开心农场有限公司</t>
  </si>
  <si>
    <t>烈酒（饮料）;果酒（含酒精）;开胃酒;烧酒;含⽔果酒精饮料;⾕物制蒸馏酒精饮料;⽶酒;酒精饮料（啤酒除外）;酒精饮料原汁;鸡尾酒</t>
  </si>
  <si>
    <t>忠信堂</t>
  </si>
  <si>
    <t>何水丽412721********5442</t>
  </si>
  <si>
    <t>果酒（含酒精）;葡萄酒;⽩酒;鸡尾酒;⾕物制蒸馏酒精饮料;⽶酒;烈酒（饮料）;烧酒;蒸馏饮料;开胃酒</t>
  </si>
  <si>
    <t>瓷雅堂</t>
  </si>
  <si>
    <t>山东省博兴县东文酒业有限公司</t>
  </si>
  <si>
    <t>果酒（含酒精）;⽩兰地;葡萄酒;烧酒;汽酒;⽩酒;⾷⽤酒精;开胃酒;清酒（⽇本⽶酒）;酒精饮料（啤酒除外）</t>
  </si>
  <si>
    <t>麟盏柔酒大师</t>
  </si>
  <si>
    <t>山东万泽企业管理有限公司</t>
  </si>
  <si>
    <t>蒸馏饮料;⾼粱酒;⽼酒（中国蒸馏烈酒）;烧酒;⽩酒;葡萄酒;⽶酒;⽩⼲酒（中国⽩酒）;⾷⽤酒精;果酒（含酒精）</t>
  </si>
  <si>
    <t>彩花匠</t>
  </si>
  <si>
    <t>翟孟佳</t>
  </si>
  <si>
    <t>⾼粱酒;⽶酒;烧酒;果酒;⽩酒;⻩酒;烈酒;⻘稞酒;葡萄酒;鸡尾酒</t>
  </si>
  <si>
    <t>信薹</t>
  </si>
  <si>
    <t>北京工惠商业发展有限公司</t>
  </si>
  <si>
    <t>威⼠忌;蒸煮提取物（利⼝酒和烈酒）;清酒;⽩酒;鸡尾酒;⽶酒;葡萄酒;烈酒（饮料）;酒精饮料（啤酒除外）;果酒（含酒精）</t>
  </si>
  <si>
    <t>汉天尊</t>
  </si>
  <si>
    <t>⻩酒;烧酒（烈酒）;⽩酒;⽶酒;⽩⼲酒（中国⽩酒）;烧酒;利⼝酒;葡萄酒;⾷⽤酒精;烈酒（饮料）</t>
  </si>
  <si>
    <t>佩央 POEON</t>
  </si>
  <si>
    <t>厦门槠旬投资有限公司</t>
  </si>
  <si>
    <t>梅酒;红葡萄酒;⽶酒;⽩酒;⻘梅酒;⽩葡萄酒;⽩兰地;威⼠忌;⾼粱酒;⽼酒（中国蒸馏烈酒）</t>
  </si>
  <si>
    <t>皇津帝王酒</t>
  </si>
  <si>
    <t>⽩兰地;⽩酒;葡萄酒;果酒（含酒精）;汽酒;⽶酒;烧酒;⻩酒;利⼝酒;清酒</t>
  </si>
  <si>
    <t>⽩酒;鸡尾酒;酒精饮料（啤酒除外）;葡萄酒;⻩酒;清酒;烈酒;果酒;烧酒;⽶酒</t>
  </si>
  <si>
    <t>贵貂</t>
  </si>
  <si>
    <t>义乌市圈堂电子商务商行</t>
  </si>
  <si>
    <t>蒸馏饮料;汽酒;⽩酒;葡萄酒;烈酒（饮料）;⻩酒;果酒（含酒精）;酒精饮料（啤酒除外）;鸡尾酒;⽶酒</t>
  </si>
  <si>
    <t>圭洲角</t>
  </si>
  <si>
    <t>江门市新会陈皮村市场股份有限公司</t>
  </si>
  <si>
    <t>酒精饮料（啤酒除外）;含⽔果酒精饮料;蜂蜜酒;预先混合的酒精饮料（以啤酒为主的除外）;薄荷酒;果酒（含酒精）;⽩酒;⽶酒;柑⾹酒;鸡尾酒</t>
  </si>
  <si>
    <t>洞阁</t>
  </si>
  <si>
    <t>⽶酒;含⽔果酒精饮料;预先混合的酒精饮料（以啤酒为主的除外）;柑⾹酒;⽩酒;蜂蜜酒;鸡尾酒;酒精饮料（啤酒除外）;果酒（含酒精）;薄荷酒</t>
  </si>
  <si>
    <t>九子沙</t>
  </si>
  <si>
    <t>⽶酒;含⽔果酒精饮料;酒精饮料（啤酒除外）;柑⾹酒;果酒（含酒精）;鸡尾酒;薄荷酒;蜂蜜酒;⽩酒;预先混合的酒精饮料（以啤酒为主的除外）</t>
  </si>
  <si>
    <t>饮 JY LIVE HOUSE</t>
  </si>
  <si>
    <t>江苏蔚蓝上饮餐饮管理有限公司</t>
  </si>
  <si>
    <t>酒精饮料原汁;烈酒（饮料）;利⼝酒;含⽔果酒精饮料;酒精饮料（啤酒除外）;汽酒;⽩酒;果酒（含酒精）;鸡尾酒;预先混合的酒精饮料（以啤酒为主的除外）</t>
  </si>
  <si>
    <t>谷麦客</t>
  </si>
  <si>
    <t>谷麦客（河南）农业有限公司</t>
  </si>
  <si>
    <t>烈酒（饮料）;酒精饮料（啤酒除外）;葡萄酒;⽩酒;⽶酒;⾷⽤酒精;⻩酒;清酒（⽇本⽶酒）;开胃酒;烧酒</t>
  </si>
  <si>
    <t>订酒兔</t>
  </si>
  <si>
    <t>王清芝</t>
  </si>
  <si>
    <t>蒸馏饮料;⽩酒;清酒（⽇本⽶酒）;酒精饮料（啤酒除外）;⽶酒;烈酒（饮料）;汽酒;⾷⽤酒精;果酒（含酒精）;葡萄酒</t>
  </si>
  <si>
    <t>深吕</t>
  </si>
  <si>
    <t>柑⾹酒;薄荷酒;果酒（含酒精）;⽶酒;⽩酒;蜂蜜酒;预先混合的酒精饮料（以啤酒为主的除外）;含⽔果酒精饮料;鸡尾酒;酒精饮料（啤酒除外）</t>
  </si>
  <si>
    <t>粹域</t>
  </si>
  <si>
    <t>富源臻和农产品开发有限公司</t>
  </si>
  <si>
    <t>伏特加酒;⽩兰地;⻩酒;果酒（含酒精）;苹果酒;鸡尾酒;葡萄酒;杜松⼦酒;威⼠忌;⽩酒;⽶酒;烧酒;朗姆酒;烈酒（饮料）;⻘稞酒</t>
  </si>
  <si>
    <t>金舅</t>
  </si>
  <si>
    <t>常熟市莫城街道倩萱服饰商行（个体工商户）</t>
  </si>
  <si>
    <t>酒精饮料（啤酒除外）;⽩酒;葡萄酒;烈酒（饮料）;⻩酒;⽶酒;烧酒;薄荷酒;清酒（⽇本⽶酒）;果酒（含酒精）</t>
  </si>
  <si>
    <t>闲点乐</t>
  </si>
  <si>
    <t>盛大庆</t>
  </si>
  <si>
    <t>⽩酒;烈酒（饮料）;含⽔果酒精饮料;清酒;烧酒;酒精饮料原汁;鸡尾酒;果酒（含酒精）;蒸馏饮料;威⼠忌</t>
  </si>
  <si>
    <t>土地串</t>
  </si>
  <si>
    <t>柑⾹酒;鸡尾酒;⽶酒;含⽔果酒精饮料;⽩酒;薄荷酒;酒精饮料（啤酒除外）;蜂蜜酒;预先混合的酒精饮料（以啤酒为主的除外）;果酒（含酒精）</t>
  </si>
  <si>
    <t>雷公蒲</t>
  </si>
  <si>
    <t>酒精饮料（啤酒除外）;预先混合的酒精饮料（以啤酒为主的除外）;柑⾹酒;含⽔果酒精饮料;⽩酒;果酒（含酒精）;⽶酒;蜂蜜酒;鸡尾酒;薄荷酒</t>
  </si>
  <si>
    <t>烟右古酿</t>
  </si>
  <si>
    <t>烟台御珍坊酒业有限公司</t>
  </si>
  <si>
    <t>⽩兰地;⽩酒;蒸馏饮料;鸡尾酒;⽶酒;利⼝酒;酒精饮料（啤酒除外）;果酒（含酒精）;葡萄酒;⾷⽤酒精</t>
  </si>
  <si>
    <t>VITASIA</t>
  </si>
  <si>
    <t>历德基金会两合公司</t>
  </si>
  <si>
    <t>烈酒;⾷⽤酒精;酒精饮料（啤酒除外）;葡萄酒;利⼝酒;开胃酒;鸡尾酒;含⽔果酒精饮料;预先混合的酒精饮料（以啤酒为主的除外）</t>
  </si>
  <si>
    <t>央金卓玛</t>
  </si>
  <si>
    <t>⽩酒;五加⽪酒（中国混合烈酒）;⾼粱酒;⽼酒（中国蒸馏烈酒）;⻘稞酒;⽶酒;⻩酒;由⾕物蒸馏的⽩酒;烧酒（烈酒）;葡萄酒</t>
  </si>
  <si>
    <t>玉天易窖</t>
  </si>
  <si>
    <t>新疆平安福酒业有限公司</t>
  </si>
  <si>
    <t>⽩酒;果酒（含酒精）;烧酒;⻩酒;⽩⼲酒（中国⽩酒）;酒精饮料（啤酒除外）;葡萄酒;⻘稞酒;由⾕物蒸馏的⽩酒;烈酒</t>
  </si>
  <si>
    <t>海南省文昌市航天国际影视中心</t>
  </si>
  <si>
    <t>⽩兰地;⽩酒;果酒;含酒精的饮料（啤酒除外）;果酒（含酒精）;由⾕物蒸馏的⽩酒;甜酒;烧酒;⽶酒;⽼酒（中国蒸馏烈酒）</t>
  </si>
  <si>
    <t>博盈台</t>
  </si>
  <si>
    <t>⾼粱酒;烈酒（饮料）;烧酒;由⾕物蒸馏的⽩酒;酒精饮料原汁;蒸馏饮料;⽶酒;⾕物制蒸馏酒精饮料;⻩酒;⽩酒</t>
  </si>
  <si>
    <t>属相</t>
  </si>
  <si>
    <t>贵州十二属相酒业有限公司</t>
  </si>
  <si>
    <t>酒精饮料（啤酒除外）;⾷⽤酒精;果酒（含酒精）;⽶酒;烈酒（饮料）;酒精饮料原汁;⽩酒;烧酒;蒸馏饮料;葡萄酒</t>
  </si>
  <si>
    <t>北方一露 漠恒</t>
  </si>
  <si>
    <t>巴彦淖尔市天联化工有限责任公司</t>
  </si>
  <si>
    <t>果酒;含酒精的饮料（啤酒除外）;烈酒;⽩酒;含酒精⽔果饮料;开胃酒;烧酒（烈酒）;佐餐酒;除啤酒外的酒精饮料;已调味的蒸馏酒</t>
  </si>
  <si>
    <t>两酌</t>
  </si>
  <si>
    <t>遵义市播州区一孚酒酒类经营部（个体工商户）</t>
  </si>
  <si>
    <t>酒精饮料（啤酒除外）;烈酒（饮料）;⽶酒;伏特加酒;葡萄酒;开胃酒;果酒（含酒精）;⻩酒;⽩酒;⽼酒（中国蒸馏烈酒）</t>
  </si>
  <si>
    <t>蓄藏</t>
  </si>
  <si>
    <t>宋元元</t>
  </si>
  <si>
    <t>苹果酒;果酒;葡萄酒;奶油利⼝酒;⽩酒;含酒精的饮料（啤酒除外）;清酒（⽇本⽶酒）;鸡尾酒;烈酒;开胃酒</t>
  </si>
  <si>
    <t>爱和自由</t>
  </si>
  <si>
    <t>王学智</t>
  </si>
  <si>
    <t>葡萄酒;⽩酒;⽶酒;威⼠忌;含酒精的⽓泡⽔;果酒（含酒精）;蜂蜜酒;鸡尾酒;酒精饮料（啤酒除外）;⻩酒</t>
  </si>
  <si>
    <t>连池金樽</t>
  </si>
  <si>
    <t>王丽</t>
  </si>
  <si>
    <t>葡萄酒;果酒（含酒精）;烧酒;⻘稞酒;刺五加酒;蜂蜜酒;⽶酒;⽩⼲酒（中国⽩酒）;⻘梅酒;⽩酒</t>
  </si>
  <si>
    <t>贵州山里捞餐饮服务有限公司</t>
  </si>
  <si>
    <t>果酒（含酒精）;烈酒（饮料）;酒精饮料原汁;烧酒;⽩酒;葡萄酒;⾷⽤酒精;酒精饮料（啤酒除外）;预先混合的酒精饮料（以啤酒为主的除外）;蒸馏饮料</t>
  </si>
  <si>
    <t>BY 布液酒</t>
  </si>
  <si>
    <t>贞丰县布依百液酒坊（个体工商户）</t>
  </si>
  <si>
    <t>含⽔果酒精饮料;⽩酒;⻩酒;烧酒;⽶酒;⾕物制蒸馏酒精饮料;酒精饮料原汁;果酒（含酒精）</t>
  </si>
  <si>
    <t>衡关烧坊</t>
  </si>
  <si>
    <t>许攀峰</t>
  </si>
  <si>
    <t>开胃酒;清酒（⽇本⽶酒）;利⼝酒;葡萄酒;朗姆酒;烧酒;酒精饮料（啤酒除外）;⽩酒;果酒;鸡尾酒</t>
  </si>
  <si>
    <t>⾷⽤酒精;果酒（含酒精）;蒸馏饮料;烈酒（饮料）;酒精饮料（啤酒除外）;烧酒;⽩酒;葡萄酒;酒精饮料原汁;预先混合的酒精饮料（以啤酒为主的除外）</t>
  </si>
  <si>
    <t>QIXIN VISION</t>
  </si>
  <si>
    <t>庄修齐</t>
  </si>
  <si>
    <t>⽩酒;酒精饮料（啤酒除外）;伏特加酒;烈酒（饮料）;果酒（含酒精）;⽶酒;⻩酒;葡萄酒;汽酒;含⽔果酒精饮料</t>
  </si>
  <si>
    <t>藏金蓝</t>
  </si>
  <si>
    <t>西藏金蓝酒业有限公司</t>
  </si>
  <si>
    <t>含⽔果酒精饮料;烈酒（饮料）;⽩⼲酒（中国⽩酒）;葡萄酒;⾼粱酒;由⾕物蒸馏的⽩酒;开胃酒;⽩酒;烧酒;露酒</t>
  </si>
  <si>
    <t>红澧坊</t>
  </si>
  <si>
    <t>泰顺县山澧人生态农业发展有限公司</t>
  </si>
  <si>
    <t>烈酒（饮料）;烧酒;鸡尾酒;葡萄酒;酒精饮料（啤酒除外）;清酒（⽇本⽶酒）;⻩酒;⽶酒;果酒（含酒精）;⽩酒</t>
  </si>
  <si>
    <t>艾六一</t>
  </si>
  <si>
    <t>⽩酒;⻩酒;酒精饮料原汁;⽶酒;烈酒（饮料）;烧酒;果酒（含酒精）;鸡尾酒;含⽔果酒精饮料;蜂蜜酒</t>
  </si>
  <si>
    <t>龙年人</t>
  </si>
  <si>
    <t>郭立中</t>
  </si>
  <si>
    <t>葡萄酒;鸡尾酒;含⽔果酒精饮料;预先混合的酒精饮料（以啤酒为主的除外）;含酒精的⽓泡⽔;果酒（含酒精）;以葡萄酒为主的饮料;烈酒（饮料）;⽩酒;酒精饮料（啤酒除外）</t>
  </si>
  <si>
    <t>钦花令</t>
  </si>
  <si>
    <t>李青</t>
  </si>
  <si>
    <t>⽩兰地;酒精饮料（啤酒除外）;威⼠忌;葡萄酒;⽩酒;果酒（含酒精）;鸡尾酒;酒精饮料原汁;⻩酒;蒸煮提取物（利⼝酒和烈酒）</t>
  </si>
  <si>
    <t>春风江山</t>
  </si>
  <si>
    <t>浙江蓝途文康农旅有限公司</t>
  </si>
  <si>
    <t>清酒;⽩⼲酒（中国⽩酒）;葡萄酒;烧酒;⽩酒;烈酒;⻩酒;果酒;⽼酒（中国蒸馏烈酒）;⽶酒</t>
  </si>
  <si>
    <t>渭水渡</t>
  </si>
  <si>
    <t>⻩酒;果酒（含酒精）;⽩⼲酒（中国⽩酒）;烧酒;⽩酒;酒精饮料（啤酒除外）;葡萄酒;烈酒;鸡尾酒;⽶酒</t>
  </si>
  <si>
    <t>BY 布佰液</t>
  </si>
  <si>
    <t>果酒（含酒精）;含⽔果酒精饮料;⽶酒;⻩酒;⾕物制蒸馏酒精饮料;烧酒;酒精饮料原汁;⽩酒</t>
  </si>
  <si>
    <t>东方缘 银柔大</t>
  </si>
  <si>
    <t>东方缘酿酒股份有限公司</t>
  </si>
  <si>
    <t>烈酒;烧酒;⽩酒;果酒（含酒精）;⻩酒;开胃酒;葡萄酒;酒精饮料（啤酒除外）;⽶酒;清酒（⽇本⽶酒）</t>
  </si>
  <si>
    <t>怀咏烧坊</t>
  </si>
  <si>
    <t>清酒（⽇本⽶酒）;朗姆酒;烧酒;利⼝酒;果酒;开胃酒;酒精饮料（啤酒除外）;葡萄酒;鸡尾酒;⽩酒</t>
  </si>
  <si>
    <t>华仙缘</t>
  </si>
  <si>
    <t>苑修建</t>
  </si>
  <si>
    <t>果酒（含酒精）;⻘稞酒;葡萄酒;清酒（⽇本⽶酒）;烧酒;伏特加酒;⻩酒;⽶酒;⽩酒;酒精饮料（啤酒除外）</t>
  </si>
  <si>
    <t>乖巧宝宝</t>
  </si>
  <si>
    <t>厦门萌力星球网络有限公司</t>
  </si>
  <si>
    <t>⽩酒;烈酒（饮料）;预先混合的酒精饮料（以啤酒为主的除外）;果酒（含酒精）;汽酒;酒精饮料（啤酒除外）;蒸馏饮料;鸡尾酒;葡萄酒;利⼝酒</t>
  </si>
  <si>
    <t>红钤庄</t>
  </si>
  <si>
    <t>⽼酒（中国蒸馏烈酒）;烧酒（烈酒）;⽶酒;⻩酒;⻘稞酒;露酒;果酒;⽩酒;葡萄酒;⾼粱酒</t>
  </si>
  <si>
    <t>唐宫宴</t>
  </si>
  <si>
    <t>深圳市怡亚通深度供应链管理有限公司</t>
  </si>
  <si>
    <t>果酒(含酒精);烈酒;⽩酒;⽶酒;⻩酒;蒸煮提取物(利⼝酒和烈酒);蒸馏饮料;酒精饮料(啤酒除外);⻘稞酒;葡萄酒</t>
  </si>
  <si>
    <t>2022/10/10</t>
  </si>
  <si>
    <t>匠台王府贡</t>
  </si>
  <si>
    <t>2022/10/19</t>
  </si>
  <si>
    <t>时代</t>
  </si>
  <si>
    <t>泸州老窖股份有限公司</t>
  </si>
  <si>
    <t>2022/11/21</t>
  </si>
  <si>
    <t>鄂粮春</t>
  </si>
  <si>
    <t>湖北粮投粮油集团有限公司</t>
  </si>
  <si>
    <t>果酒（含酒精）;⽶酒;⽩兰地;威⼠忌;烈酒（饮料）;酒精饮料（啤酒除外）;葡萄酒;⻩酒;⽩酒;蒸馏饮料</t>
  </si>
  <si>
    <t>2022/11/22</t>
  </si>
  <si>
    <t>杭州杭北农业开发有限公司</t>
  </si>
  <si>
    <t>鸡尾酒;葡萄酒;威⼠忌;含⽔果酒精饮料;⻘梅酒;烧酒;⻩酒;⽩酒;杨梅酒;⽶酒</t>
  </si>
  <si>
    <t>2022/12/09</t>
  </si>
  <si>
    <t>贵和酿人和</t>
  </si>
  <si>
    <t>李奇</t>
  </si>
  <si>
    <t>蒸煮提取物（利⼝酒和烈酒）;利⼝酒;葡萄酒;酒精饮料原汁;⽩酒;⻩酒;果酒（含酒精）;开胃酒;梅酒;酒精饮料（啤酒除外）</t>
  </si>
  <si>
    <t>2022/12/30</t>
  </si>
  <si>
    <t>孟辉</t>
  </si>
  <si>
    <t>果酒（含酒精）;葡萄酒;蜂蜜酒;⽶酒;烧酒;清酒;⻩酒;蒸馏饮料;⻘稞酒;⽩酒</t>
  </si>
  <si>
    <t>2023/02/23</t>
  </si>
  <si>
    <t>FEN DOU ZHI LU</t>
  </si>
  <si>
    <t>杭州奋斗之露品牌管理有限公司</t>
  </si>
  <si>
    <t>由⾕物蒸馏的⽩酒;⽩酒;葡萄酒;果酒（含酒精）;⻩酒;烧酒;⽼酒（中国蒸馏烈酒）;蒸煮提取物（利⼝酒和烈酒）;⽩兰地;⽶酒</t>
  </si>
  <si>
    <t>2023/03/22</t>
  </si>
  <si>
    <t>果酒（含酒精）;由⾕物蒸馏的⽩酒;⾼粱酒;⽶酒;清酒;⻩酒;烧酒;⽩⼲酒（中国⽩酒）;蒸馏饮料;⽩酒</t>
  </si>
  <si>
    <t>2023/03/31</t>
  </si>
  <si>
    <t>合一酒庄</t>
  </si>
  <si>
    <t>董传彦</t>
  </si>
  <si>
    <t>⻩酒;⽶酒;鸡尾酒;果酒（含酒精）;⽩酒;葡萄酒;苹果酒;蜂蜜酒;薄荷酒;苦味酒</t>
  </si>
  <si>
    <t>2023/04/12</t>
  </si>
  <si>
    <t>朴酒阁</t>
  </si>
  <si>
    <t>河南朴之康商贸有限公司</t>
  </si>
  <si>
    <t>⻩酒;烧酒;葡萄酒;⽩兰地;果酒;含⽔果酒精饮料;酒精饮料（啤酒除外）;⽶酒;⽩酒;开胃酒</t>
  </si>
  <si>
    <t>2023/04/20</t>
  </si>
  <si>
    <t>中南梦</t>
  </si>
  <si>
    <t>河南中南仝一珠宝有限公司</t>
  </si>
  <si>
    <t>鸡尾酒;酒精饮料（啤酒除外）;果酒（含酒精）;葡萄酒;⽩兰地;薄荷酒;蒸馏饮料;⻩酒;⽩酒;烈酒（饮料）</t>
  </si>
  <si>
    <t>敬丰玉酿</t>
  </si>
  <si>
    <t>⽶酒;汽酒;⽩酒;果酒（含酒精）;酒精饮料（啤酒除外）;烧酒;蒸馏饮料;预先混合的酒精饮料（以啤酒为主的除外）;⻩酒;葡萄酒</t>
  </si>
  <si>
    <t>八角笼中</t>
  </si>
  <si>
    <t>北京乐开花影业有限公司</t>
  </si>
  <si>
    <t>含⽔果酒精饮料;茴⾹酒;⽼酒（中国蒸馏烈酒）;威⼠忌;烈酒（饮料）;⻩酒;除啤酒外的酒精饮料;葡萄酒;⽩兰地;⽶酒</t>
  </si>
  <si>
    <t>健达升</t>
  </si>
  <si>
    <t>杭州和发信健康科技有限公司</t>
  </si>
  <si>
    <t>果酒（含酒精）;酸酒（低等葡萄酒）;⽶酒;含酒精⽔果饮料;预先混合的酒精饮料（以啤酒为主的除外）;⾷⽤酒精;酒精饮料（啤酒除外）;烈酒（饮料）;蜂蜜酒;含酒精的潘趣酒;含酒精的饮料（啤酒除外）;鸡尾酒;蒸馏饮料</t>
  </si>
  <si>
    <t>2023/05/08</t>
  </si>
  <si>
    <t>龙马酒庄</t>
  </si>
  <si>
    <t>古蔺县久盛投资有限公司</t>
  </si>
  <si>
    <t>⽩酒;果酒（含酒精）;酒精饮料（啤酒除外）;含⽔果酒精饮料;⻩酒;开胃酒;⾷⽤酒精;烧酒;威⼠忌;⽶酒</t>
  </si>
  <si>
    <t>观尊</t>
  </si>
  <si>
    <t>陈超</t>
  </si>
  <si>
    <t>葡萄酒;⽩⼲酒（中国⽩酒）;果酒（含酒精）;⽩酒;⽼酒（中国蒸馏烈酒）;⾷⽤酒精;鸡尾酒;酒精饮料（啤酒除外）;烧酒;⽶酒</t>
  </si>
  <si>
    <t>2023/05/10</t>
  </si>
  <si>
    <t>年古</t>
  </si>
  <si>
    <t>预先混合的酒精饮料（以啤酒为主的除外）;葡萄酒;酒精饮料（啤酒除外）;⽶酒;⽩酒;烧酒;果酒（含酒精）;蒸馏饮料;汽酒;⻩酒</t>
  </si>
  <si>
    <t>禾富</t>
  </si>
  <si>
    <t>比尔耶拉葡萄酒有限公司</t>
  </si>
  <si>
    <t>餐后酒（利⼝酒和烈酒）;加烈葡萄酒;葡萄酒;⽩兰地;葡萄汽酒;⽩酒;起泡红葡萄酒;酒精饮料（啤酒除外）;起泡⽩葡萄酒;烈酒（饮料）</t>
  </si>
  <si>
    <t>2023/05/11</t>
  </si>
  <si>
    <t>MISTRAL</t>
  </si>
  <si>
    <t>智利匹斯克有限公司</t>
  </si>
  <si>
    <t>⽪斯科⽩兰地</t>
  </si>
  <si>
    <t>酒匮</t>
  </si>
  <si>
    <t>广州唯美生物科技有限公司</t>
  </si>
  <si>
    <t>烧酒;⾷⽤酒精;⽩兰地;烈酒（饮料）;开胃酒;蒸煮提取物（利⼝酒和烈酒）;威⼠忌;⽩酒;⽶酒;葡萄酒</t>
  </si>
  <si>
    <t>2023/05/16</t>
  </si>
  <si>
    <t>左公台</t>
  </si>
  <si>
    <t>湘阴县左太傅酒类商行</t>
  </si>
  <si>
    <t>葡萄酒;酒精饮料（啤酒除外）;⽩酒;蒸馏饮料;果酒（含酒精）;清酒（⽇本⽶酒）;⽶酒;烧酒;⻩酒;烈酒（饮料）</t>
  </si>
  <si>
    <t>2023/05/18</t>
  </si>
  <si>
    <t>梁龙酒</t>
  </si>
  <si>
    <t>何飞</t>
  </si>
  <si>
    <t>葡萄酒;⽩酒;⽶酒;⾷⽤酒精;酒精饮料（啤酒除外）;果酒（含酒精）;烈酒（饮料）;烧酒;⽼酒（中国蒸馏烈酒）;⽩⼲酒（中国⽩酒）</t>
  </si>
  <si>
    <t>葡萄酒;⽩兰地;烈酒（饮料）;加烈葡萄酒;酒精饮料（啤酒除外）;⽩酒;餐后酒（利⼝酒和烈酒）;起泡⽩葡萄酒;起泡红葡萄酒;葡萄汽酒</t>
  </si>
  <si>
    <t>大合年份</t>
  </si>
  <si>
    <t>贵州大合知酱酒业有限公司</t>
  </si>
  <si>
    <t>葡萄酒;威⼠忌;酒精饮料（啤酒除外）;烧酒;果酒（含酒精）;鸡尾酒;烈酒（饮料）;⽶酒;⽩酒;⻩酒</t>
  </si>
  <si>
    <t>睿梓源</t>
  </si>
  <si>
    <t>秦辉平</t>
  </si>
  <si>
    <t>烈酒（饮料）;樱桃酒;⻘稞酒;⽶酒;蒸馏饮料;酒精饮料（啤酒除外）;⽩酒;⻩酒;蜂蜜酒;果酒（含酒精）</t>
  </si>
  <si>
    <t>2023/06/07</t>
  </si>
  <si>
    <t>红云金波</t>
  </si>
  <si>
    <t>惠州市启宏鑫贸易有限公司</t>
  </si>
  <si>
    <t>果酒;⾼粱酒;蒸馏饮料;果酒（含酒精）;葡萄酒;⽶酒;⻩酒;威⼠忌;⽩酒;烈酒（饮料）</t>
  </si>
  <si>
    <t>长白森峰</t>
  </si>
  <si>
    <t>长春市森峰农林科技开发有限公司</t>
  </si>
  <si>
    <t>⽶酒;开胃酒;葡萄酒;⾷⽤酒精;⽩酒;果酒（含酒精）;鸡尾酒;⻘稞酒;⻩酒;烧酒</t>
  </si>
  <si>
    <t>当当有礼</t>
  </si>
  <si>
    <t>佛山市运行天下贸易有限公司</t>
  </si>
  <si>
    <t>果酒（含酒精）;苹果酒;烈酒（饮料）;酒精饮料（啤酒除外）;⽩酒;⻩酒;葡萄酒;清酒（⽇本⽶酒）;⽶酒;蒸煮提取物（利⼝酒和烈酒）</t>
  </si>
  <si>
    <t>2023/06/30</t>
  </si>
  <si>
    <t>行走</t>
  </si>
  <si>
    <t>厦门航空传媒科技有限公司</t>
  </si>
  <si>
    <t>葡萄酒;朗姆酒;⽩兰地;威⼠忌;烧酒;清酒;⻘梅酒;⽩酒;伏特加酒;⽶酒</t>
  </si>
  <si>
    <t>川酒红钻</t>
  </si>
  <si>
    <t>四川酒大帅酒业有限公司</t>
  </si>
  <si>
    <t>果酒（含酒精）;⻩酒;⽩兰地;含⽔果酒精饮料;⽩酒;鸡尾酒;烈酒;⽩⼲酒（中国⽩酒）;⾷⽤酒精;烧酒</t>
  </si>
  <si>
    <t>菜鸟</t>
  </si>
  <si>
    <t>钟桥古</t>
  </si>
  <si>
    <t>蒸煮提取物（利⼝酒和烈酒）;⽩酒;烈酒（饮料）;⽶酒;酒精饮料（啤酒除外）;烧酒;⻘稞酒;果酒（含酒精）;葡萄酒;开胃酒</t>
  </si>
  <si>
    <t>HL 昊龙盛世</t>
  </si>
  <si>
    <t>徐扬龙</t>
  </si>
  <si>
    <t>葡萄酒;樱桃酒;杜松⼦酒;利⼝酒;⽩兰地;⽩酒;⾷⽤酒精;蜂蜜酒;酸酒（低等葡萄酒）;烈酒（饮料）</t>
  </si>
  <si>
    <t>2023/07/14</t>
  </si>
  <si>
    <t>虞姬</t>
  </si>
  <si>
    <t>江苏虞姬农业科技有限公司</t>
  </si>
  <si>
    <t>烈酒;⽩⼲酒（中国⽩酒）;由⾕物蒸馏的⽩酒;⽶酒;葡萄酒;酒精饮料（啤酒除外）;⽩酒;烧酒;果酒;⻩酒</t>
  </si>
  <si>
    <t>2023/07/19</t>
  </si>
  <si>
    <t>罗斯柴尔德男爵（山东）酒庄有限公司</t>
  </si>
  <si>
    <t>开胃酒;威⼠忌;鸡尾酒;⽩兰地;利⼝酒;⻩酒;⽩酒;果酒（含酒精）;葡萄酒;朗姆酒</t>
  </si>
  <si>
    <t>2023/07/21</t>
  </si>
  <si>
    <t>沽水韵</t>
  </si>
  <si>
    <t>青岛乡酿酒业有限公司</t>
  </si>
  <si>
    <t>⾷⽤酒精;⽶酒;⻩酒;烧酒;⽩酒;葡萄酒;酒精饮料（啤酒除外）;果酒（含酒精）</t>
  </si>
  <si>
    <t>华人匠</t>
  </si>
  <si>
    <t>贵州国酒门酱香酒酒业有限公司</t>
  </si>
  <si>
    <t>⽩酒;清酒（⽇本⽶酒）;⻘稞酒;葡萄酒;⽶酒;果酒;清酒;鸡尾酒;⻩酒;烧酒</t>
  </si>
  <si>
    <t>2023/07/26</t>
  </si>
  <si>
    <t>环宇仙池</t>
  </si>
  <si>
    <t>安徽仙池酒业有限责任公司</t>
  </si>
  <si>
    <t>烧酒（烈酒）;⻩酒;含⽔果酒精饮料;⽶酒;⾕物制蒸馏酒精饮料;鸡尾酒;⽩酒;汽酒;预调甜酒;葡萄酒</t>
  </si>
  <si>
    <t>2023/07/28</t>
  </si>
  <si>
    <t>有样</t>
  </si>
  <si>
    <t>快乐购有限责任公司</t>
  </si>
  <si>
    <t>酒精饮料（啤酒除外）;⻩酒;果酒（含酒精）;含⽔果酒精饮料;樱桃酒;⽩酒;⻘梅酒;苹果酒;葡萄酒;⽶酒</t>
  </si>
  <si>
    <t>唐崖峒蛮</t>
  </si>
  <si>
    <t>湖北省唐崖峒蛮酒业有限公司</t>
  </si>
  <si>
    <t>酒精饮料（啤酒除外）;⽩酒;含⽔果酒精饮料;⾼粱酒;烧酒;葡萄酒;玫瑰酒;⽶酒;蜂蜜酒;果酒</t>
  </si>
  <si>
    <t>宋红臻酿</t>
  </si>
  <si>
    <t>浙江红石梁集团济公家酒坊有限公司</t>
  </si>
  <si>
    <t>烈酒（饮料）;鸡尾酒;汽酒;米酒;烧酒;果酒（含酒精）;酒精饮料（啤酒除外）;黄酒;白酒;露酒</t>
  </si>
  <si>
    <t>HAN DONG JIU 董氏贵宾 懂生活汉董酒</t>
  </si>
  <si>
    <t>风行商业管理（北京）合伙企业（有限合伙）</t>
  </si>
  <si>
    <t>⽩兰地;⽶酒;⻩酒;薄荷酒;葡萄酒;果酒（含酒精）;鸡尾酒;开胃酒;⽩酒;烧酒</t>
  </si>
  <si>
    <t>英杰</t>
  </si>
  <si>
    <t>梁绍发441224********0333</t>
  </si>
  <si>
    <t>葡萄酒;⻩酒;⽶酒;烈酒;果酒;烈酒（饮料）;烧酒;⽩酒;⾼粱酒;开胃酒</t>
  </si>
  <si>
    <t>2023/08/11</t>
  </si>
  <si>
    <t>半山将客</t>
  </si>
  <si>
    <t>付中超</t>
  </si>
  <si>
    <t>开胃酒;威⼠忌;⽩兰地;酒精饮料原汁;⽶酒;葡萄酒;烧酒;⽩酒;⻩酒;果酒（含酒精）</t>
  </si>
  <si>
    <t>一口仙儿</t>
  </si>
  <si>
    <t>上之出文化（北京）有限公司</t>
  </si>
  <si>
    <t>开胃酒;⽩酒;烧酒;果酒（含酒精）;⽶酒;蒸煮提取物（利⼝酒和烈酒）;酒精饮料（啤酒除外）;⻩酒;⽩兰地;葡萄酒</t>
  </si>
  <si>
    <t>小白度°C开心酒馆</t>
  </si>
  <si>
    <t>贵州小白度酒业有限责任公司</t>
  </si>
  <si>
    <t>果酒（含酒精）;烧酒;含⽔果酒精饮料;汽酒;⾷⽤酒精;薄荷酒;清酒（⽇本⽶酒）;预先混合的酒精饮料（以啤酒为主的除外）;蒸馏饮料;鸡尾酒;酒精饮料原汁;⾕物制蒸馏酒精饮料;⽩酒;酒精饮料（啤酒除外）;⽶酒;烈酒（饮料）</t>
  </si>
  <si>
    <t>龙彩北方烧</t>
  </si>
  <si>
    <t>山西杏花中汾酒业有限公司</t>
  </si>
  <si>
    <t>蒸馏饮料;樱桃酒;⽩酒;蜂蜜酒;⻩酒;酒精饮料（啤酒除外）;烧酒;果酒（含酒精）;⽶酒;烈酒（饮料）</t>
  </si>
  <si>
    <t>赤中水</t>
  </si>
  <si>
    <t>王保林</t>
  </si>
  <si>
    <t>佐餐酒;⽩酒;⽶酒;烈酒;⽼酒（中国蒸馏烈酒）;烧酒（烈酒）;清酒;⻘稞酒;烧酒;果酒</t>
  </si>
  <si>
    <t>2023/08/14</t>
  </si>
  <si>
    <t>丹青瓷酒 DAN QING CI</t>
  </si>
  <si>
    <t>肖永妙</t>
  </si>
  <si>
    <t>⾼粱酒;⻩酒;⽩酒;⽶酒;⾕物制蒸馏酒精饮料;果酒（含酒精）;鸡尾酒;葡萄酒;开胃酒;烧酒</t>
  </si>
  <si>
    <t>2023/08/16</t>
  </si>
  <si>
    <t>一川清流</t>
  </si>
  <si>
    <t>阳城县金典商贸有限公司</t>
  </si>
  <si>
    <t>开胃酒;蒸馏饮料;烧酒;酒精饮料（啤酒除外）;果酒（含酒精）;⽩酒;含⽔果酒精饮料;⾕物制蒸馏酒精饮料;葡萄酒;含酒精⽔果饮料</t>
  </si>
  <si>
    <t>荣古王子 RONGU WANG ZI</t>
  </si>
  <si>
    <t>周鹏鹏</t>
  </si>
  <si>
    <t>⻩酒;果酒;⽩酒;⽼酒（中国蒸馏烈酒）;由⾕物蒸馏的⽩酒;⾼粱酒;清酒;葡萄酒;⽶酒;烧酒</t>
  </si>
  <si>
    <t>德治</t>
  </si>
  <si>
    <t>陕西德治实业集团有限公司</t>
  </si>
  <si>
    <t>烧酒;鸡尾酒;葡萄酒;果酒;酒精饮料（啤酒除外）;蒸馏饮料;汽酒;⽶酒;⽩酒;⽼酒（中国蒸馏烈酒）</t>
  </si>
  <si>
    <t>烈酒（饮料）;餐后酒（利⼝酒和烈酒）;⾼粱酒;由⾕物蒸馏的⽩酒;⾕物制蒸馏酒精饮料;⽩酒;蒸馏饮料;烧酒;⽩⼲酒（中国⽩酒）;⽶酒</t>
  </si>
  <si>
    <t>2023/08/24</t>
  </si>
  <si>
    <t>厚德</t>
  </si>
  <si>
    <t>汽酒;⻩酒;果酒;⽶酒;清酒（⽇本⽶酒）;烧酒;⽼酒（中国蒸馏烈酒）;蒸煮提取物（利⼝酒和烈酒）;⽩酒;酒精饮料（啤酒除外）</t>
  </si>
  <si>
    <t>2023/08/25</t>
  </si>
  <si>
    <t>雪匠</t>
  </si>
  <si>
    <t>湘潭金垣环境科技有限公司</t>
  </si>
  <si>
    <t>酒精饮料（啤酒除外）;⽶酒;⽩酒;果酒（含酒精）;烧酒;含⽔果酒精饮料;预先混合的酒精饮料（以啤酒为主的除外）;清酒（⽇本⽶酒）;⻩酒;葡萄酒</t>
  </si>
  <si>
    <t>金窖川</t>
  </si>
  <si>
    <t>姜浩</t>
  </si>
  <si>
    <t>⽩⼲酒（中国⽩酒）;开胃酒;清酒（⽇本⽶酒）;烈酒（饮料）;梨酒;⽩兰地;烧酒;⽩酒;果酒（含酒精）;⽶酒</t>
  </si>
  <si>
    <t>2023/08/27</t>
  </si>
  <si>
    <t>麦卡伦臻味不凡系列</t>
  </si>
  <si>
    <t>麦卡伦酒厂</t>
  </si>
  <si>
    <t>⾕物制蒸馏酒精饮料;苦味酒;葡萄酒;果酒（含酒精）;⽩兰地;朗姆酒;威⼠忌;利⼝酒;鸡尾酒;酒精饮料（啤酒除外）</t>
  </si>
  <si>
    <t>2023/09/01</t>
  </si>
  <si>
    <t>泌水清花</t>
  </si>
  <si>
    <t>山西龙泉酒业有限公司</t>
  </si>
  <si>
    <t>⽩⼲酒（中国⽩酒）;⻩酒;果酒;烈酒;烧酒（烈酒）;⾼粱酒;⽼酒（中国蒸馏烈酒）;⽩酒;露酒;果酒（含酒精）</t>
  </si>
  <si>
    <t>鸠浅</t>
  </si>
  <si>
    <t>杭州曜隐林场经营有限公司</t>
  </si>
  <si>
    <t>⽩兰地;⾕物制蒸馏酒精饮料;烈酒（饮料）;果酒（含酒精）;⽶酒;酒精饮料（啤酒除外）;威⼠忌;⽩酒;⻩酒;蒸馏饮料</t>
  </si>
  <si>
    <t>2023/09/07</t>
  </si>
  <si>
    <t>东北好山水</t>
  </si>
  <si>
    <t>柳宗伟</t>
  </si>
  <si>
    <t>开胃酒;酒精饮料（啤酒除外）;果酒（含酒精）;烧酒;葡萄酒;⽩酒;蜂蜜酒;⽶酒;伏特加酒;⻩酒</t>
  </si>
  <si>
    <t>2023/09/11</t>
  </si>
  <si>
    <t>邹博士</t>
  </si>
  <si>
    <t>邹石云</t>
  </si>
  <si>
    <t>葡萄酒;果酒（含酒精）;烈酒（饮料）;⽩酒;⻩酒;⽶酒;酒精饮料（啤酒除外）;含⽔果酒精饮料;烧酒;酒精饮料浓缩汁</t>
  </si>
  <si>
    <t>ULIKE</t>
  </si>
  <si>
    <t>杭州由莱科技有限公司</t>
  </si>
  <si>
    <t>威⼠忌;果酒;烈酒;甜酒;⽩酒;清酒;葡萄酒;⽩兰地;⽶酒;含酒精⽔果饮料;⽩葡萄酒;含酒精的饮料（啤酒除外）</t>
  </si>
  <si>
    <t>杏润</t>
  </si>
  <si>
    <t>吕涛</t>
  </si>
  <si>
    <t>⾕物制蒸馏酒精饮料;⽩⼲酒（中国⽩酒）;烧酒;⽩酒;果酒（含酒精）;烈酒;由⾕物蒸馏的⽩酒;酒精饮料原汁;⾷⽤酒精</t>
  </si>
  <si>
    <t>2023/09/20</t>
  </si>
  <si>
    <t>落花泉</t>
  </si>
  <si>
    <t>山东明庆昌酒坊有限公司</t>
  </si>
  <si>
    <t>⽩酒;⾕物制蒸馏酒精饮料;⽼酒（中国蒸馏烈酒）;露酒;烧酒;⾷⽤酒精;⾼粱酒;果酒;蒸馏⽶酒（泡盛酒）;⻩酒</t>
  </si>
  <si>
    <t>2023/09/23</t>
  </si>
  <si>
    <t>马泗飘香</t>
  </si>
  <si>
    <t>李超</t>
  </si>
  <si>
    <t>葡萄酒;清酒（⽇本⽶酒）;伏特加酒;威⼠忌;⽶酒;⽩酒;鸡尾酒;酒精饮料（啤酒除外）;烈酒（饮料）;酒精饮料原汁</t>
  </si>
  <si>
    <t>2023/09/27</t>
  </si>
  <si>
    <t>画学</t>
  </si>
  <si>
    <t>北京燕园同人文化发展有限公司</t>
  </si>
  <si>
    <t>烧酒;果酒;⽩⼲酒（中国⽩酒）;蒸馏饮料;烈性⼲酒;⽔果汽酒;烈酒（饮料）;⻩酒;⽩酒;⽶酒</t>
  </si>
  <si>
    <t>2023/10/07</t>
  </si>
  <si>
    <t>贵州宏声酒业有限责任公司</t>
  </si>
  <si>
    <t>蜂蜜酒;清酒（⽇本⽶酒）;⽶酒;⽩酒;酒精饮料（啤酒除外）;葡萄酒;含⽔果酒精饮料;烧酒;⻩酒;鸡尾酒</t>
  </si>
  <si>
    <t>金樽演绎</t>
  </si>
  <si>
    <t>湖南怀酒集团有限公司</t>
  </si>
  <si>
    <t>⻩酒;鸡尾酒;⽶酒;⽩酒;含⽔果酒精饮料;果酒（含酒精）;⻘稞酒;葡萄酒;威⼠忌;烧酒</t>
  </si>
  <si>
    <t>皇叔</t>
  </si>
  <si>
    <t>酒精饮料（啤酒除外）;⾕物制蒸馏酒精饮料;烧酒;由⾕物蒸馏的⽩酒;葡萄酒;利⼝酒;⻩酒;⽩酒;果酒（含酒精）;烈酒（饮料）</t>
  </si>
  <si>
    <t>飞猫卫士</t>
  </si>
  <si>
    <t>河南飞猫智联技术有限公司</t>
  </si>
  <si>
    <t>家具;软⽊塞;⼯作台;相框边条;未加⼯或半加⼯⽵⼦;⻩琥珀;展⽰板;⾷品⽤塑料装饰品;家养宠物⽤床;软垫</t>
  </si>
  <si>
    <t>2023/10/29</t>
  </si>
  <si>
    <t>若杰塔</t>
  </si>
  <si>
    <t>杨宝全513225********3514</t>
  </si>
  <si>
    <t>烧酒;果酒（含酒精）;葡萄酒;开胃酒;⻘稞酒;⽩兰地;⽩酒;蜂蜜酒;伏特加酒;清酒</t>
  </si>
  <si>
    <t>2023/11/08</t>
  </si>
  <si>
    <t>天山土泥风爆</t>
  </si>
  <si>
    <t>朱丽华</t>
  </si>
  <si>
    <t>⽩酒;果酒（含酒精）;⻩酒;开胃酒;⾷⽤酒精;汽酒;葡萄酒;烧酒;⽶酒;烈酒（饮料）</t>
  </si>
  <si>
    <t>2023/11/24</t>
  </si>
  <si>
    <t>三维标志</t>
  </si>
  <si>
    <t>小腾龙文化创意（广东）有限公司</t>
  </si>
  <si>
    <t>⽶酒;清酒（⽇本⽶酒）;果酒（含酒精）;酒精饮料（啤酒除外）;⻩酒;⻘稞酒;酒精饮料原汁;⾕物制蒸馏酒精饮料;⽩兰地</t>
  </si>
  <si>
    <t>2023/11/28</t>
  </si>
  <si>
    <t>DIOR</t>
  </si>
  <si>
    <t>克里斯蒂昂·迪奥尔服装有限公司</t>
  </si>
  <si>
    <t>照明设备和装置;运载⼯具⽤灯;空⽓净化⽤杀菌灯;烫发⽤灯;煤⽓灯;野餐烧烤⽤⽕⼭岩⽯;烹调⽤装置和设备;冷却装置和机器;空⽓调节装置;头发⽤吹风机;加热装置;舞台烟雾机;供暖装置;装饰喷泉;卫⽣器械和设备;消毒设备;便携式取暖器;⽓体引燃器</t>
  </si>
  <si>
    <t>2023/12/22</t>
  </si>
  <si>
    <t>华夏武当太子贡</t>
  </si>
  <si>
    <t>湖北尊武食品有限公司</t>
  </si>
  <si>
    <t>葡萄酒;⻩酒;⾷⽤酒精;鸡尾酒;开胃酒;⽩酒;⻘稞酒;清酒（⽇本⽶酒）;果酒（含酒精）;⽶酒</t>
  </si>
  <si>
    <t>2024/01/08</t>
  </si>
  <si>
    <t>夜视·WE YOUNG</t>
  </si>
  <si>
    <t>果酒（含酒精）;威⼠忌;⻘稞酒;⽩酒;⾷⽤酒精;蒸馏饮料;⽩兰地;⻩酒;鸡尾酒;开胃酒</t>
  </si>
  <si>
    <t>2024/01/17</t>
  </si>
  <si>
    <t>夜视摇滚之城</t>
  </si>
  <si>
    <t>蒸馏饮料;⻩酒;果酒（含酒精）;威⼠忌;⻘稞酒;⾷⽤酒精;⽩酒;开胃酒;鸡尾酒;⽩兰地</t>
  </si>
  <si>
    <t>TEK-NYAN</t>
  </si>
  <si>
    <t>株式会社捷太格特</t>
  </si>
  <si>
    <t>烧酒;烧酒（烈酒）;⽼酒（中国蒸馏烈酒）;⽩酒;果酒（含酒精）;⻩酒;清酒（⽇本⽶酒）;清酒;烈酒;含酒精⽔果饮料;苦味酒;⽩兰地;威⼠忌</t>
  </si>
  <si>
    <t>2024/01/22</t>
  </si>
  <si>
    <t>京皖</t>
  </si>
  <si>
    <t>中科国宏农业有限公司</t>
  </si>
  <si>
    <t>开胃酒;果酒（含酒精）;葡萄酒;烈酒（饮料）;烧酒;⻩酒;⽩酒;⽶酒;伏特加酒;⽩兰地</t>
  </si>
  <si>
    <t>2024/01/26</t>
  </si>
  <si>
    <t>黔梁陈</t>
  </si>
  <si>
    <t>贵州卫子梦酒业有限公司</t>
  </si>
  <si>
    <t>餐后酒（利⼝酒和烈酒）;蒸馏饮料;⽶酒;果酒（含酒精）;露酒;葡萄酒;烈酒（饮料）;⾕物制蒸馏酒精饮料;⽩酒;苹果酒</t>
  </si>
  <si>
    <t>2024/02/02</t>
  </si>
  <si>
    <t>ANURA PRIVATE CELLAR BOUMA FAMILY WINES</t>
  </si>
  <si>
    <t>阿鲁拉葡萄园私人有限公司</t>
  </si>
  <si>
    <t>酒精饮料（啤酒除外）;葡萄酒</t>
  </si>
  <si>
    <t>西铁名酒城</t>
  </si>
  <si>
    <t>冯桂丽</t>
  </si>
  <si>
    <t>鸡尾酒;⽩兰地;伏特加酒;⻩酒;⽶酒;开胃酒;葡萄酒;⽩酒;烧酒;果酒（含酒精）</t>
  </si>
  <si>
    <t>一亩鲜生</t>
  </si>
  <si>
    <t>厦门一亩鲜生供应链集团有限公司</t>
  </si>
  <si>
    <t>果酒（含酒精）;葡萄酒;威⼠忌;含酒精的鸡尾酒混合饮品;清酒（⽇本⽶酒）;⽶酒;含酒精的充⽓饮料（啤酒除外）;⽩酒;除啤酒外的酒精饮料;蒸馏饮料</t>
  </si>
  <si>
    <t>2024/02/22</t>
  </si>
  <si>
    <t>鑫佳酿</t>
  </si>
  <si>
    <t>北京世纪明福商贸有限公司</t>
  </si>
  <si>
    <t>威⼠忌;⾕物制蒸馏酒精饮料;⽩酒;⻩酒;葡萄酒;酒精饮料（啤酒除外）;⽶酒;烧酒;果酒（含酒精）;酒精饮料原汁</t>
  </si>
  <si>
    <t>2024/02/23</t>
  </si>
  <si>
    <t>全明白小烧</t>
  </si>
  <si>
    <t>范春兰</t>
  </si>
  <si>
    <t>伏特加酒;鸡尾酒;⻩酒;果酒;烈酒（饮料）;⽩酒;果酒（含酒精）;葡萄酒;烧酒;⾷⽤酒精</t>
  </si>
  <si>
    <t>阳春炮</t>
  </si>
  <si>
    <t>阳春三月农业科技有限公司</t>
  </si>
  <si>
    <t>⽩酒;⽶酒;烧酒</t>
  </si>
  <si>
    <t>黔城客</t>
  </si>
  <si>
    <t>杰登利奥食品有限公司</t>
  </si>
  <si>
    <t>果酒（含酒精）;⻩酒;含⽔果酒精饮料;⾷⽤酒精;⽩酒;葡萄酒;酒精饮料（啤酒除外）;⽩兰地;⽶酒;鸡尾酒</t>
  </si>
  <si>
    <t>织音之旅</t>
  </si>
  <si>
    <t>支拜躲</t>
  </si>
  <si>
    <t>杨洞商贸云南有限公司</t>
  </si>
  <si>
    <t>⽩酒;葡萄酒;烧酒;由⾕物蒸馏的⽩酒;⽼酒（中国蒸馏烈酒）;⾼粱酒;果酒;杨梅酒;⽶酒;苦荞酒</t>
  </si>
  <si>
    <t>两夜</t>
  </si>
  <si>
    <t>山东日旭生态农业有限公司</t>
  </si>
  <si>
    <t>威⼠忌;葡萄酒;⽩葡萄酒;鸡尾酒;酒精饮料（啤酒除外）;红葡萄酒;果酒;薄荷酒</t>
  </si>
  <si>
    <t>FUREN PHARMACY 福人药业</t>
  </si>
  <si>
    <t>湖北福人药业股份有限公司</t>
  </si>
  <si>
    <t>含⽔果酒精饮料;⾷⽤酒精;⽩酒;⻩酒;⽶酒;酒精饮料（啤酒除外）;烧酒;开胃酒;葡萄酒;果酒（含酒精）</t>
  </si>
  <si>
    <t>空九</t>
  </si>
  <si>
    <t>赵军</t>
  </si>
  <si>
    <t>果酒（含酒精）;⽩酒;开胃酒;⻩酒;葡萄酒;清酒（⽇本⽶酒）;威⼠忌;酒精饮料（啤酒除外）;鸡尾酒;烈酒</t>
  </si>
  <si>
    <t>口口萃</t>
  </si>
  <si>
    <t>田会选</t>
  </si>
  <si>
    <t>开胃酒;⽶酒;葡萄酒;⻩酒;⽩酒;⾷⽤酒精;果酒;汽酒;甜酒;清酒</t>
  </si>
  <si>
    <t>泰古方</t>
  </si>
  <si>
    <t>吴小艳</t>
  </si>
  <si>
    <t>⽩酒;蒸馏饮料;果酒（含酒精）;酒精饮料（啤酒除外）;鸡尾酒;烈酒（饮料）;葡萄酒;⻩酒;⽶酒;烧酒</t>
  </si>
  <si>
    <t>华醧</t>
  </si>
  <si>
    <t>张新成</t>
  </si>
  <si>
    <t>果酒;烧酒;⾼粱酒;葡萄酒;烈酒;甜酒;清酒;⽶酒;⽩酒;烈酒（饮料）</t>
  </si>
  <si>
    <t>富佳源</t>
  </si>
  <si>
    <t>晋江市富佳源伞业有限责任公司</t>
  </si>
  <si>
    <t>果酒（含酒精）;⻩酒;酒精饮料（啤酒除外）;利⼝酒;烧酒;葡萄酒;烈酒（饮料）;⽶酒;⽩酒;威⼠忌</t>
  </si>
  <si>
    <t>铁匠屯窖</t>
  </si>
  <si>
    <t>李海云</t>
  </si>
  <si>
    <t>烈酒;葡萄酒;⽩酒;果酒（含酒精）;⽶酒;清酒;清酒（⽇本⽶酒）;⻩酒;果酒;露酒</t>
  </si>
  <si>
    <t>绍县令</t>
  </si>
  <si>
    <t>绍兴市越城区同荣酒业经营部（个体工商户）</t>
  </si>
  <si>
    <t>⽩酒;开胃酒;葡萄酒;酒精饮料（啤酒除外）;⽶酒;烈酒（饮料）;烧酒;鸡尾酒;伏特加酒;⻩酒</t>
  </si>
  <si>
    <t>苹果酒;蒸馏饮料;果酒（含酒精）;烈酒（饮料）;餐后酒（利⼝酒和烈酒）;葡萄酒;⾕物制蒸馏酒精饮料;露酒;⽩酒;⽶酒</t>
  </si>
  <si>
    <t>印象旗帜</t>
  </si>
  <si>
    <t>张鹏斌</t>
  </si>
  <si>
    <t>开胃酒;利⼝酒;⻩酒;烈酒（饮料）;酒精饮料（啤酒除外）;果酒（含酒精）;⽩兰地;葡萄酒;清酒（⽇本⽶酒）;⽩酒</t>
  </si>
  <si>
    <t>俏蒙人</t>
  </si>
  <si>
    <t>内蒙古优然牧场农牧业科技发展有限公司</t>
  </si>
  <si>
    <t>已调味的蒸馏酒;⾕物制蒸馏酒精饮料;⽩酒;⾷⽤酒精;烈酒;酒精饮料（啤酒除外）;⻩酒;葡萄酒;⽶酒;果酒（含酒精）</t>
  </si>
  <si>
    <t>问天渡</t>
  </si>
  <si>
    <t>⽩酒;威⼠忌;⽶酒;果酒（含酒精）;⽩兰地;鸡尾酒;酒精饮料（啤酒除外）;烧酒;葡萄酒;烈酒（饮料）</t>
  </si>
  <si>
    <t>金粮基</t>
  </si>
  <si>
    <t>葛晓玲</t>
  </si>
  <si>
    <t>葡萄酒;⽩酒;利⼝酒;威⼠忌;果酒;鸡尾酒;苹果酒;含酒精的饮料（啤酒除外）;朗姆酒（酒精饮料）;开胃酒</t>
  </si>
  <si>
    <t>东极蔓白</t>
  </si>
  <si>
    <t>道礼农业科技（黑龙江）有限公司</t>
  </si>
  <si>
    <t>预先混合的酒精饮料（以啤酒为主的除外）;葡萄酒;⽩兰地;烈酒（饮料）;⻩酒;果酒（含酒精）;酒精饮料（啤酒除外）;⽩酒;烈酒;烧酒</t>
  </si>
  <si>
    <t>糯花香</t>
  </si>
  <si>
    <t>佛山市君嘉琪食品有限公司</t>
  </si>
  <si>
    <t>开胃酒;烈酒;⻩酒;⽩兰地;葡萄酒;果酒（含酒精）;苹果酒;蜂蜜酒;⽶酒;蒸馏饮料</t>
  </si>
  <si>
    <t>韩佳人</t>
  </si>
  <si>
    <t>崔江河</t>
  </si>
  <si>
    <t>⽶酒;清酒;果酒（含酒精）;鸡尾酒;威⼠忌;⻩酒;⽩酒;葡萄酒;酒精饮料（啤酒除外）;⾼粱酒</t>
  </si>
  <si>
    <t>麋香夫人</t>
  </si>
  <si>
    <t>秦莎</t>
  </si>
  <si>
    <t>清酒（⽇本⽶酒）;⽶酒;⽩酒;⽩兰地;⾕物制蒸馏酒精饮料;含⽔果酒精饮料;酒精饮料（啤酒除外）;预先混合的酒精饮料（以啤酒为主的除外）;利⼝酒;⻩酒</t>
  </si>
  <si>
    <t>和平之象</t>
  </si>
  <si>
    <t>泸州中酿润川供应链管理有限公司</t>
  </si>
  <si>
    <t>苹果酒;烈酒（饮料）;⽩酒;开胃酒;餐后酒（利⼝酒和烈酒）;葡萄酒;⽩兰地;威⼠忌;鸡尾酒;清酒（⽇本⽶酒）</t>
  </si>
  <si>
    <t>雅醉江山</t>
  </si>
  <si>
    <t>刘新环</t>
  </si>
  <si>
    <t>⽩酒;⽩⼲酒（中国⽩酒）;⽶酒;⻩酒;⽼酒（中国蒸馏烈酒）;清酒;⾼粱酒;果酒;露酒;烧酒</t>
  </si>
  <si>
    <t>嗨道夫</t>
  </si>
  <si>
    <t>鸡尾酒;威⼠忌;⾼粱酒;⻩酒;⽶酒;酒精饮料（啤酒除外）;清酒;⽩酒;葡萄酒;果酒（含酒精）</t>
  </si>
  <si>
    <t>易长川</t>
  </si>
  <si>
    <t>胡佳伟513023********0012</t>
  </si>
  <si>
    <t>樱桃酒;⾷⽤酒精;蜂蜜酒;汽酒;⽩酒;⽶酒;果酒;含⽔果酒精饮料;清酒（⽇本⽶酒）;⾕物制蒸馏酒精饮料</t>
  </si>
  <si>
    <t>遵拾老</t>
  </si>
  <si>
    <t>谭应波</t>
  </si>
  <si>
    <t>⾼粱酒;威⼠忌;⽩酒;烈酒;酒精饮料（啤酒除外）;⽼酒（中国蒸馏烈酒）;烧酒;鸡尾酒;⽶酒;葡萄酒</t>
  </si>
  <si>
    <t>OLAIJHUA</t>
  </si>
  <si>
    <t>陈春龙</t>
  </si>
  <si>
    <t>威⼠忌;⻩酒;清酒;⽩兰地;鸡尾酒;烧酒;蒸馏饮料;汽酒;葡萄酒;果酒</t>
  </si>
  <si>
    <t>欻拉</t>
  </si>
  <si>
    <t>石林</t>
  </si>
  <si>
    <t>⽶酒;鸡尾酒;酒精饮料（啤酒除外）;⻩酒;烧酒;葡萄酒;开胃酒;果酒;清酒;⽩酒</t>
  </si>
  <si>
    <t>著事顺和</t>
  </si>
  <si>
    <t>杜金柱</t>
  </si>
  <si>
    <t>⽩酒;酒精饮料（啤酒除外）;果酒（含酒精）;葡萄酒;⻩酒;清酒（⽇本⽶酒）;⽶酒;烧酒;含⽔果酒精饮料;烈酒（饮料）</t>
  </si>
  <si>
    <t>吉祥龙</t>
  </si>
  <si>
    <t>四川省崇州市跃洪酒业有限公司</t>
  </si>
  <si>
    <t>预先混合的酒精饮料（以啤酒为主的除外）;⽩⼲酒（中国⽩酒）;清酒（⽇本⽶酒）;⽶酒;⽼酒（中国蒸馏烈酒）;葡萄酒;酒精饮料（啤酒除外）;⾕物制蒸馏酒精饮料;果酒（含酒精）;⽩酒</t>
  </si>
  <si>
    <t>王心承</t>
  </si>
  <si>
    <t>浙江抱嘉村文化传播有限公司</t>
  </si>
  <si>
    <t>⾼粱酒;果酒</t>
  </si>
  <si>
    <t>茗皓恩</t>
  </si>
  <si>
    <t>胡晓</t>
  </si>
  <si>
    <t>威⼠忌;蒸馏饮料;鸡尾酒;烧酒;烈酒（饮料）;酒精饮料原汁;含⽔果酒精饮料;清酒;⽩酒;果酒（含酒精）</t>
  </si>
  <si>
    <t>华贵泰</t>
  </si>
  <si>
    <t>赵伟</t>
  </si>
  <si>
    <t>⽩酒;⽶酒;⻩酒;鸡尾酒;烈酒（饮料）;酒精饮料（啤酒除外）;葡萄酒;果酒（含酒精）;烧酒;蒸馏饮料</t>
  </si>
  <si>
    <t>SUNFEEL</t>
  </si>
  <si>
    <t>深圳市鹰君酒业有限公司</t>
  </si>
  <si>
    <t>⽩兰地;威⼠忌;含⽔果酒精饮料;利⼝酒;葡萄酒;⽩酒;果酒（含酒精）;苹果酒;鸡尾酒;朗姆酒</t>
  </si>
  <si>
    <t>澳利傲袋鼠壹号</t>
  </si>
  <si>
    <t>广东省中易名庄国际进出口贸易有限公司</t>
  </si>
  <si>
    <t>起泡红葡萄酒;⽩⼲酒（中国⽩酒）;⻨芽威⼠忌;含酒精的饮料（啤酒除外）;威⼠忌;⽩兰地;伏特加酒;蒸馏饮料;葡萄酒;烈酒（饮料）</t>
  </si>
  <si>
    <t>博学洽闻</t>
  </si>
  <si>
    <t>罗瑶</t>
  </si>
  <si>
    <t>甜酒;⾼粱酒;烈酒;酒精饮料（啤酒除外）;葡萄酒;清酒;⽩酒;果酒;⻘梅酒;⽩⼲酒（中国⽩酒）</t>
  </si>
  <si>
    <t>蜂道馆</t>
  </si>
  <si>
    <t>吉林蜂道馆健康产业有限公司</t>
  </si>
  <si>
    <t>威⼠忌;清酒（⽇本⽶酒）;⽩酒;果酒（含酒精）;⽶酒;烧酒;葡萄酒;酒精饮料（啤酒除外）;利⼝酒;鸡尾酒</t>
  </si>
  <si>
    <t>鑫隆达一旦酿</t>
  </si>
  <si>
    <t>常玉梅</t>
  </si>
  <si>
    <t>烈酒（饮料）;蒸馏饮料;⽩⼲酒（中国⽩酒）;⻩酒;薄荷酒;⽔果汽酒;果酒（含酒精）;⽩酒;由⾕物蒸馏的⽩酒;⽶酒</t>
  </si>
  <si>
    <t>壹玖道 酒</t>
  </si>
  <si>
    <t>贾儒坤</t>
  </si>
  <si>
    <t>⾕物制蒸馏酒精饮料;⾷⽤酒精;⽩⼲酒（中国⽩酒）;⽩酒;⾼粱酒;露酒;⽶酒;酒精饮料（啤酒除外）;由⾕物蒸馏的⽩酒;果酒（含酒精）</t>
  </si>
  <si>
    <t>暖康黄金圣酒</t>
  </si>
  <si>
    <t>安徽康乐泰农业科技有限公司</t>
  </si>
  <si>
    <t>鸡尾酒;果酒（含酒精）;含⽔果酒精饮料;蒸煮提取物（利⼝酒和烈酒）;⽩酒;葡萄酒;⽩兰地;露酒;威⼠忌;开胃酒</t>
  </si>
  <si>
    <t>天邑鼎</t>
  </si>
  <si>
    <t>河南道子文化传播有限公司</t>
  </si>
  <si>
    <t>⾼粱酒;⽩兰地;餐后酒（利⼝酒和烈酒）;烧酒（烈酒）;威⼠忌;苹果酒;果酒;⽩酒;⽶酒;葡萄酒</t>
  </si>
  <si>
    <t>钦䡨</t>
  </si>
  <si>
    <t>陈国辉</t>
  </si>
  <si>
    <t>果酒（含酒精）;鸡尾酒;葡萄酒;烧酒;烈酒（饮料）;酒精饮料（啤酒除外）;⻩酒;清酒（⽇本⽶酒）;⽶酒;⽩酒</t>
  </si>
  <si>
    <t>AOLIAO KANGAROO</t>
  </si>
  <si>
    <t>伏特加酒;⽩⼲酒（中国⽩酒）;蒸馏饮料;葡萄酒;起泡红葡萄酒;⽩兰地;含酒精的饮料（啤酒除外）;威⼠忌;⻨芽威⼠忌;烈酒（饮料）</t>
  </si>
  <si>
    <t>Z 玛</t>
  </si>
  <si>
    <t>康胜啤酒酿造公司</t>
  </si>
  <si>
    <t>酒精饮料（啤酒除外）;苹果酒;烈酒（饮料）;葡萄酒</t>
  </si>
  <si>
    <t>UP TO THE SKY</t>
  </si>
  <si>
    <t>乐可舒（重庆）品牌管理有限公司</t>
  </si>
  <si>
    <t>酒精饮料（啤酒除外）;⽩酒;⻩酒;⽩兰地;含酒精⽔果饮料;果酒;威⼠忌;蒸馏饮料;葡萄酒;利⼝酒</t>
  </si>
  <si>
    <t>MA</t>
  </si>
  <si>
    <t>一带一路控股集团有限公司</t>
  </si>
  <si>
    <t>伏特加酒;果酒（含酒精）;烧酒;酒精饮料（啤酒除外）;葡萄酒;鸡尾酒;含⽔果酒精饮料;⽩酒;梅酒;⽶酒</t>
  </si>
  <si>
    <t>拉第冈庄园</t>
  </si>
  <si>
    <t>齐丹敬</t>
  </si>
  <si>
    <t>威⼠忌;烈酒;鸡尾酒;开胃酒;清酒（⽇本⽶酒）;酒精饮料（啤酒除外）;⻩酒;葡萄酒;果酒（含酒精）;⽩酒</t>
  </si>
  <si>
    <t>山西大木品牌管理有限公司</t>
  </si>
  <si>
    <t>米酒;黄酒;烈酒（饮料）;果酒（含酒精）;青稞酒;含水果酒精饮料;白酒;酒精饮料（啤酒除外）;汽酒;葡萄酒</t>
  </si>
  <si>
    <t>谦和德</t>
  </si>
  <si>
    <t>王建东</t>
  </si>
  <si>
    <t>⽶酒;烧酒;⽩酒;苹果酒;⽩兰地;樱桃酒;⽩⼲酒（中国⽩酒）;威⼠忌;⻩酒;葡萄酒</t>
  </si>
  <si>
    <t>张府人家</t>
  </si>
  <si>
    <t>新汉力企业管理南通有限公司</t>
  </si>
  <si>
    <t>由⾕物蒸馏的⽩酒;⽼酒（中国蒸馏烈酒）;⾼粱酒;⽩⼲酒（中国⽩酒）;五加⽪酒（中国混合烈酒）;已调味的⻨芽酿制的酒精饮料（啤酒除外）;⽩酒;餐后酒（利⼝酒和烈酒）;以葡萄酒为主的饮料;含酒精的⽓泡⽔</t>
  </si>
  <si>
    <t>不下山二狼山</t>
  </si>
  <si>
    <t>李天卿</t>
  </si>
  <si>
    <t>⻩酒;开胃酒;利⼝酒;⻘稞酒;烈酒（饮料）;烧酒;⽩酒;果酒（含酒精）;葡萄酒;烧酒（烈酒）</t>
  </si>
  <si>
    <t>齐串</t>
  </si>
  <si>
    <t>山东国井控股集团有限公司</t>
  </si>
  <si>
    <t>⽩兰地;烧酒;烧酒（烈酒）;葡萄酒;烈酒;⽶酒;⽼酒（中国蒸馏烈酒）;⽩酒;鸡尾酒;清酒</t>
  </si>
  <si>
    <t>万艾神</t>
  </si>
  <si>
    <t>刘鹏</t>
  </si>
  <si>
    <t>⾼粱酒;烈酒;⻘稞酒;含酒精的饮料（啤酒除外）;由⾕物蒸馏的⽩酒;烧酒;葡萄酒;果酒;⽶酒;⽩酒</t>
  </si>
  <si>
    <t>富贵沟</t>
  </si>
  <si>
    <t>李改改</t>
  </si>
  <si>
    <t>清酒（⽇本⽶酒）;葡萄酒;烈酒（饮料）;威⼠忌;果酒;酒精饮料（啤酒除外）;鸡尾酒;开胃酒;⽩酒;苹果酒</t>
  </si>
  <si>
    <t>单院长</t>
  </si>
  <si>
    <t>贵州单氏酒业有限公司</t>
  </si>
  <si>
    <t>⽩酒;蒸馏饮料;酒精饮料（啤酒除外）;汽酒;甜酒;果酒;开胃酒;葡萄酒;⽶酒;含酒精⽔果饮料</t>
  </si>
  <si>
    <t>陕洛佳酿</t>
  </si>
  <si>
    <t>周希宝</t>
  </si>
  <si>
    <t>利⼝酒;烈酒（饮料）;蒸煮提取物（利⼝酒和烈酒）;⽶酒;果酒（含酒精）;⽩酒;葡萄酒;蜂蜜酒;开胃酒;烧酒</t>
  </si>
  <si>
    <t>黎鳌</t>
  </si>
  <si>
    <t>卢玲玉</t>
  </si>
  <si>
    <t>威⼠忌;伏特加酒;⻩酒;⽩兰地;葡萄酒;清酒;⽶酒;⽩酒;鸡尾酒;⾷⽤酒精</t>
  </si>
  <si>
    <t>五特春</t>
  </si>
  <si>
    <t>贺金林</t>
  </si>
  <si>
    <t>⽶酒;蒸馏饮料;烈酒（饮料）;含⽔果酒精饮料;⽩酒;葡萄酒;酒精饮料（啤酒除外）;烧酒;开胃酒;果酒（含酒精）</t>
  </si>
  <si>
    <t>台之真</t>
  </si>
  <si>
    <t>⽩兰地;⻩酒;威⼠忌;汽酒;清酒;⽩酒;⽶酒;烧酒;葡萄酒;果酒</t>
  </si>
  <si>
    <t>单刀圣手</t>
  </si>
  <si>
    <t>尹立仁</t>
  </si>
  <si>
    <t>果酒（含酒精）;威⼠忌;⽩兰地;⽩酒;⻘稞酒;⽶酒;⻩酒;葡萄酒;汽酒;开胃酒</t>
  </si>
  <si>
    <t>RIYU 日御股份</t>
  </si>
  <si>
    <t>江苏日御光伏新材料股份有限公司</t>
  </si>
  <si>
    <t>威⼠忌;⽩酒;⻘稞酒;含酒精⽔果饮料;⽩兰地;果酒（含酒精）;葡萄酒;鸡尾酒;烧酒;开胃酒</t>
  </si>
  <si>
    <t>多果</t>
  </si>
  <si>
    <t>浙江台州京大生物科技有限公司</t>
  </si>
  <si>
    <t>⾕物制蒸馏酒精饮料;果酒（含酒精）;伏特加酒;⻩酒;亚⼒酒;朗姆酒;⽩酒;烧酒;以葡萄酒为主的饮料;威⼠忌</t>
  </si>
  <si>
    <t>钱酒吴越钱王 WUYUEQIANWANG</t>
  </si>
  <si>
    <t>逸夫科技（集团）有限公司</t>
  </si>
  <si>
    <t>葡萄酒;⽶酒;⻘稞酒;果酒;杨梅酒;⾼粱酒;含酒精的饮料（啤酒除外）;⻩酒;烧酒;⽩酒</t>
  </si>
  <si>
    <t>富贵富</t>
  </si>
  <si>
    <t>鸡尾酒;清酒（⽇本⽶酒）;⽩酒;葡萄酒;威⼠忌;果酒;开胃酒;苹果酒;烈酒（饮料）;酒精饮料（啤酒除外）</t>
  </si>
  <si>
    <t>翡倍</t>
  </si>
  <si>
    <t>南宁市翡倍商贸有限公司</t>
  </si>
  <si>
    <t>⽢蔗汁酿朗姆酒;果酒（含酒精）;⽶酒;利⼝酒;朗姆酒;⻘稞酒;⻩酒;⽩酒;葡萄酒;烧酒</t>
  </si>
  <si>
    <t>中土杏堡烧坊中</t>
  </si>
  <si>
    <t>开胃酒;葡萄酒;利口酒;黄酒;高粱酒;米酒;食用酒精;白酒;烈酒（饮料）;果酒（含酒精）</t>
  </si>
  <si>
    <t>一心三链</t>
  </si>
  <si>
    <t>上海量数供应链管理有限公司</t>
  </si>
  <si>
    <t>蜂蜜酒;果酒;利⼝酒;⽩兰地;开胃酒;酒精饮料（啤酒除外）;葡萄酒;威⼠忌;⻩酒;⽶酒</t>
  </si>
  <si>
    <t>恋如意</t>
  </si>
  <si>
    <t>汤超超</t>
  </si>
  <si>
    <t>开胃酒;⽩酒;鸡尾酒;清酒（⽇本⽶酒）;葡萄酒;烈酒;酒精饮料（啤酒除外）;⻩酒;果酒（含酒精）;威⼠忌</t>
  </si>
  <si>
    <t>LUPAI 鲁派大师</t>
  </si>
  <si>
    <t>济南中糖文化传媒有限公司</t>
  </si>
  <si>
    <t>果酒（含酒精）;果酒;含酒精的饮料（啤酒除外）;葡萄酒;烧酒（烈酒）;⾼粱酒;⽼酒（中国蒸馏烈酒）;⽩酒;露酒;⻩酒</t>
  </si>
  <si>
    <t>威海金基置业有限公司</t>
  </si>
  <si>
    <t>鸡尾酒;⽶酒;烧酒;除啤酒外的酒精饮料;甜酒;⽩兰地;威⼠忌;葡萄酒;⽩酒;⻩酒</t>
  </si>
  <si>
    <t>大运诚小运宝</t>
  </si>
  <si>
    <t>夏慧萍</t>
  </si>
  <si>
    <t>⻩酒;⾷⽤酒精;⽩酒;烈酒（饮料）;含⽔果酒精饮料;汽酒;利⼝酒;蒸馏饮料;酒精饮料原汁;⽶酒</t>
  </si>
  <si>
    <t>维耶曼</t>
  </si>
  <si>
    <t>青岛味蕾精酿酒业有限公司</t>
  </si>
  <si>
    <t>⻨芽威⼠忌;除啤酒外的酒精饮料;樱桃酒;咖啡利⼝酒;⽶酒;⽇式甜⽶酒;甜果酒;利⼝酒;蜂蜜酒;⻘稞酒</t>
  </si>
  <si>
    <t>禛祝</t>
  </si>
  <si>
    <t>河南摘哲酒业有限公司</t>
  </si>
  <si>
    <t>除啤酒外的酒精饮料;果酒;烧酒;⽶酒;⾷⽤酒精;汽酒;⻩酒;葡萄酒;⽩酒;烈酒</t>
  </si>
  <si>
    <t>内蒙古华晟源新能科技发展有限公司</t>
  </si>
  <si>
    <t>烈酒;葡萄酒;伏特加酒;含⽔果酒精饮料;酸酒（低等葡萄酒）;果酒;开胃酒;酒精饮料（啤酒除外）;威⼠忌;亚⼒酒</t>
  </si>
  <si>
    <t>尅倒</t>
  </si>
  <si>
    <t>许传奇</t>
  </si>
  <si>
    <t>⽩酒;酒精饮料（啤酒除外）;烈酒（饮料）;酸酒（低等葡萄酒）;果酒（含酒精）;⽶酒;⾕物制蒸馏酒精饮料;⻩酒;烧酒;清酒（⽇本⽶酒）</t>
  </si>
  <si>
    <t>老尹太太</t>
  </si>
  <si>
    <t>尹海艳</t>
  </si>
  <si>
    <t>⽩酒;樱桃酒;⽶酒;烈酒（饮料）;果酒（含酒精）;烧酒;汽酒;葡萄酒;⽩兰地;酒精饮料（啤酒除外）</t>
  </si>
  <si>
    <t>赤壮士</t>
  </si>
  <si>
    <t>梁长明</t>
  </si>
  <si>
    <t>⽩酒;开胃酒;酒精饮料（啤酒除外）;鸡尾酒;葡萄酒;果酒（含酒精）;清酒（⽇本⽶酒）;威⼠忌;烈酒;⻩酒</t>
  </si>
  <si>
    <t>叫哥</t>
  </si>
  <si>
    <t>河南窖哥酒业有限公司</t>
  </si>
  <si>
    <t>酒精饮料（啤酒除外）;含⽔果酒精饮料;清酒（⽇本⽶酒）;⽩酒;蒸馏饮料;烧酒;伏特加酒;⽶酒;葡萄酒;⻩酒</t>
  </si>
  <si>
    <t>窖中梦</t>
  </si>
  <si>
    <t>林艳青</t>
  </si>
  <si>
    <t>含⽔果酒精饮料;果酒（含酒精）;开胃酒;酒精饮料（啤酒除外）;威⼠忌;蒸馏饮料;⻩酒;薄荷酒;葡萄酒;⽩酒</t>
  </si>
  <si>
    <t>礼唐 668</t>
  </si>
  <si>
    <t>陕西凤玉酒业有限公司</t>
  </si>
  <si>
    <t>清酒;⽩兰地;酒精饮料（啤酒除外）;⻩酒;果酒（含酒精）;烧酒;⻘稞酒;⽶酒;葡萄酒;⽩酒</t>
  </si>
  <si>
    <t>酒心馆福寿</t>
  </si>
  <si>
    <t>株式会社神户酒心馆</t>
  </si>
  <si>
    <t>果酒（含酒精）;果酒;利⼝酒;⽶酒;⻘梅酒;含⽔果酒精饮料;烈酒;⽩酒;清酒;烈酒（饮料）</t>
  </si>
  <si>
    <t>世界馫牌馫</t>
  </si>
  <si>
    <t>开胃酒;⽶酒;⻩酒;⽩酒;烈酒（饮料）;葡萄酒;⾷⽤酒精;果酒（含酒精）;利⼝酒;⾼粱酒</t>
  </si>
  <si>
    <t>HP</t>
  </si>
  <si>
    <t>北京赢酌天下贸易有限公司</t>
  </si>
  <si>
    <t>⽩兰地;⽩酒;伏特加酒;威⼠忌;鸡尾酒;酒精饮料（啤酒除外）;汽酒;⽶酒;葡萄酒;果酒（含酒精）</t>
  </si>
  <si>
    <t>曼荷酒庄</t>
  </si>
  <si>
    <t>郑超文511126********2118</t>
  </si>
  <si>
    <t>酒精饮料原汁;含⽔果酒精饮料;朗姆酒;威⼠忌;⽩兰地;葡萄酒;烈酒（饮料）;⽩酒;汽酒;果酒（含酒精）</t>
  </si>
  <si>
    <t>琼琚醉美神州</t>
  </si>
  <si>
    <t>琚畅</t>
  </si>
  <si>
    <t>⻩酒;烧酒;⽩酒;⽩兰地;以葡萄酒为主的饮料;烈酒（饮料）;汽酒;⾷⽤酒精;果酒（含酒精）;⻘稞酒</t>
  </si>
  <si>
    <t>枫桥夜泊•唐</t>
  </si>
  <si>
    <t>多姆投资有限公司</t>
  </si>
  <si>
    <t>五加⽪酒（中国混合烈酒）;⻘稞酒;葡萄酒;烧酒;果酒;⽶酒;⽩酒;⻩酒;清酒;⾼粱酒</t>
  </si>
  <si>
    <t>义号孤山中</t>
  </si>
  <si>
    <t>果酒（含酒精）;葡萄酒;⻩酒;⽩酒;烈酒（饮料）;开胃酒;利⼝酒;⾷⽤酒精;⽶酒;⾼粱酒</t>
  </si>
  <si>
    <t>两汉风云</t>
  </si>
  <si>
    <t>陕西西凤酒股份有限公司</t>
  </si>
  <si>
    <t>果酒（含酒精）;烈酒（饮料）;蒸馏饮料;含⽔果酒精饮料;含酒精的充⽓饮料（啤酒除外）;酒精饮料原汁;⽩酒;烧酒;⻩酒;葡萄酒</t>
  </si>
  <si>
    <t>女卿</t>
  </si>
  <si>
    <t>江苏佳郅公子设计有限公司</t>
  </si>
  <si>
    <t>含⽔果酒精饮料;⽩酒;蜂蜜酒;苹果酒;⻘稞酒;果酒（含酒精）;酒精饮料浓缩汁;开胃酒;樱桃酒;⽶酒</t>
  </si>
  <si>
    <t>礼唐 688</t>
  </si>
  <si>
    <t>烧酒;清酒;酒精饮料（啤酒除外）;⽩酒;葡萄酒;⽩兰地;果酒（含酒精）;⻘稞酒;⻩酒;⽶酒</t>
  </si>
  <si>
    <t>礼唐 658</t>
  </si>
  <si>
    <t>⻘稞酒;酒精饮料（啤酒除外）;⽩酒;清酒;⻩酒;烧酒;⽶酒;葡萄酒;果酒（含酒精）;⽩兰地</t>
  </si>
  <si>
    <t>一枝凉</t>
  </si>
  <si>
    <t>威海腾森生物科技有限公司</t>
  </si>
  <si>
    <t>葡萄酒;樱桃酒;含⽔果酒精饮料;露酒;⻩酒;⽩酒;鸡尾酒;果酒（含酒精）;清酒（⽇本⽶酒）;⽶酒</t>
  </si>
  <si>
    <t>烟台鸿裕酿酒股份有限公司</t>
  </si>
  <si>
    <t>⽩兰地;伏特加酒;由⾕物蒸馏的⽩酒;餐后酒（利⼝酒和烈酒）;以蒸馏酒为主的开胃酒;威⼠忌;葡萄酒;⾕物制蒸馏酒精饮料;露酒;杜松⼦酒</t>
  </si>
  <si>
    <t>波罗的海啤酒公司</t>
  </si>
  <si>
    <t>酒精饮料浓缩汁;酒精饮料（啤酒除外）;酒精饮料原汁</t>
  </si>
  <si>
    <t>屈艾</t>
  </si>
  <si>
    <t>秭归屈艾艾制品有限公司</t>
  </si>
  <si>
    <t>⽶酒;苦荞酒;薄荷酒;苦味酒;葡萄酒;苦艾酒;果酒;⽔果汽酒;⻩酒;⽩酒;清酒;蜂蜜酒</t>
  </si>
  <si>
    <t>将展宏图</t>
  </si>
  <si>
    <t>蒸馏饮料;⽶酒;⾕物制蒸馏酒精饮料;露酒;餐后酒（利⼝酒和烈酒）;葡萄酒;果酒（含酒精）;烈酒（饮料）;⽩酒;苹果酒</t>
  </si>
  <si>
    <t>JXLDBH 佳信劳德巴赫</t>
  </si>
  <si>
    <t>佳信劳德巴赫（福建）啤酒有限公司</t>
  </si>
  <si>
    <t>果酒（含酒精）;烈酒（饮料）;葡萄酒;清酒（⽇本⽶酒）;蒸馏饮料;⽩酒;⻘稞酒;⻩酒;酒精饮料（啤酒除外）;鸡尾酒</t>
  </si>
  <si>
    <t>贡宴坊</t>
  </si>
  <si>
    <t>利⼝酒;⽶酒;⽩酒;开胃酒;清酒（⽇本⽶酒）;梨酒;⻘稞酒;⻩酒;烧酒;葡萄酒</t>
  </si>
  <si>
    <t>王勇</t>
  </si>
  <si>
    <t>果酒（含酒精）;⽼酒（中国蒸馏烈酒）;⻩酒;蒸馏饮料;利⼝酒;⽶酒;葡萄酒;烧酒;⽩酒;⻘稞酒</t>
  </si>
  <si>
    <t>VINO EUFOLD</t>
  </si>
  <si>
    <t>一只袋鼠（厦门）健康科技有限公司</t>
  </si>
  <si>
    <t>果酒（含酒精）;烈酒（饮料）;葡萄酒;鸡尾酒;威⼠忌;开胃酒;⽩兰地;含⽔果酒精饮料;⽩葡萄酒;含酒精的⽓泡⽔</t>
  </si>
  <si>
    <t>疆巴爷</t>
  </si>
  <si>
    <t>四川老泸金州酒业有限公司</t>
  </si>
  <si>
    <t>果酒（含酒精）;⽩酒;葡萄酒;⻩酒;酒精饮料原汁;烧酒;⽶酒;清酒;威⼠忌;烈酒（饮料）</t>
  </si>
  <si>
    <t>东方神舰</t>
  </si>
  <si>
    <t>殷秋娟</t>
  </si>
  <si>
    <t>葡萄酒;酒精饮料（啤酒除外）;酒精饮料原汁;⽩酒;烈酒（饮料）;清酒（⽇本⽶酒）;⽶酒;威⼠忌;伏特加酒;鸡尾酒</t>
  </si>
  <si>
    <t>京豪</t>
  </si>
  <si>
    <t>赵进</t>
  </si>
  <si>
    <t>⽩酒;⽼酒（中国蒸馏烈酒）;⽩⼲酒（中国⽩酒）;由⾕物蒸馏的⽩酒;⻩酒;⽶酒;烧酒;烧酒（烈酒）;汽酒;烈酒（饮料）</t>
  </si>
  <si>
    <t>蓝图四海</t>
  </si>
  <si>
    <t>果酒（含酒精）;⽶酒;苹果酒;蒸馏饮料;餐后酒（利⼝酒和烈酒）;烈酒（饮料）;葡萄酒;⽩酒;⾕物制蒸馏酒精饮料;露酒</t>
  </si>
  <si>
    <t>荣研</t>
  </si>
  <si>
    <t>香港生命科学研究有限公司</t>
  </si>
  <si>
    <t>果酒（含酒精）;⻩酒;薄荷酒;蒸馏饮料;⽩酒;葡萄酒;威⼠忌;酒精饮料（啤酒除外）;含⽔果酒精饮料;开胃酒</t>
  </si>
  <si>
    <t>怀庄怀君</t>
  </si>
  <si>
    <t>苹果酒;烈酒（饮料）;蒸馏饮料;露酒;餐后酒（利⼝酒和烈酒）;⽶酒;⾕物制蒸馏酒精饮料;⽩酒;果酒（含酒精）;葡萄酒</t>
  </si>
  <si>
    <t>醒曼登</t>
  </si>
  <si>
    <t>龚帆</t>
  </si>
  <si>
    <t>烈酒（饮料）;威⼠忌;蒸馏饮料;果酒（含酒精）;鸡尾酒;⽩酒;酒精饮料原汁;含⽔果酒精饮料;烧酒;清酒</t>
  </si>
  <si>
    <t>筑春匠心酒</t>
  </si>
  <si>
    <t>陕西雨凤酒业有限公司</t>
  </si>
  <si>
    <t>⾼粱酒;⽩⼲酒（中国⽩酒）;⽼酒（中国蒸馏烈酒）;⽩酒;⻩酒;由⾕物蒸馏的⽩酒;果酒;⽶酒;葡萄酒;甜酒</t>
  </si>
  <si>
    <t>赞虎</t>
  </si>
  <si>
    <t>向爱寸</t>
  </si>
  <si>
    <t>威⼠忌;⽶酒;甜果酒;⻩酒;伏特加酒;酒精饮料（啤酒除外）;⽩酒;清酒（⽇本⽶酒）;朗姆酒;葡萄酒</t>
  </si>
  <si>
    <t>捆香液</t>
  </si>
  <si>
    <t>贵州飞香液酒业有限公司</t>
  </si>
  <si>
    <t>烈酒;鸡尾酒;果酒;⻩酒;清酒;⽶酒;葡萄酒;⽩酒;烧酒;汽酒</t>
  </si>
  <si>
    <t>问粮人</t>
  </si>
  <si>
    <t>何杰</t>
  </si>
  <si>
    <t>果酒（含酒精）;威⼠忌;鸡尾酒;葡萄酒;甜酒;⽩兰地;烧酒;⻩酒;⽶酒;⽩酒</t>
  </si>
  <si>
    <t>穿岩九十二</t>
  </si>
  <si>
    <t>耀莱两点时尚（北京）顾问有限公司</t>
  </si>
  <si>
    <t>利⼝酒;威⼠忌;葡萄酒;朗姆酒;酒精饮料（啤酒除外）;⽩酒;鸡尾酒;伏特加酒;果酒;⽩兰地</t>
  </si>
  <si>
    <t>穿岩九十</t>
  </si>
  <si>
    <t>威⼠忌;酒精饮料（啤酒除外）;伏特加酒;⽩酒;葡萄酒;朗姆酒;鸡尾酒;果酒;利⼝酒;⽩兰地</t>
  </si>
  <si>
    <t>穿岩六十五</t>
  </si>
  <si>
    <t>葡萄酒;利⼝酒;威⼠忌;酒精饮料（啤酒除外）;伏特加酒;鸡尾酒;果酒;⽩兰地;朗姆酒;⽩酒</t>
  </si>
  <si>
    <t>拈口 NIANKO</t>
  </si>
  <si>
    <t>张鑫500108********5512</t>
  </si>
  <si>
    <t>陶四哥公文包</t>
  </si>
  <si>
    <t>陆世会</t>
  </si>
  <si>
    <t>河千里一曲</t>
  </si>
  <si>
    <t>山西治能科技有限公司</t>
  </si>
  <si>
    <t>⽶酒;⻩酒;⾷⽤酒精;开胃酒;⻘稞酒;果酒（含酒精）;⽩酒;鸡尾酒;葡萄酒;清酒（⽇本⽶酒）</t>
  </si>
  <si>
    <t>聊心六喜</t>
  </si>
  <si>
    <t>四川聊心酒业集团有限公司</t>
  </si>
  <si>
    <t>烈酒;⾷⽤酒精;⽶酒;⾼粱酒;蒸煮提取物（利⼝酒和烈酒）;烧酒（烈酒）;⽩酒;⽼酒（中国蒸馏烈酒）;果酒（含酒精）;⽩⼲酒（中国⽩酒）</t>
  </si>
  <si>
    <t>古城北老爷爷</t>
  </si>
  <si>
    <t>高佳杰</t>
  </si>
  <si>
    <t>梅酒;⻩酒;⾷⽤酒精;⽩酒;杨梅酒;酒精饮料（啤酒除外）;含⽔果酒精饮料;⽶酒;烧酒;果酒（含酒精）</t>
  </si>
  <si>
    <t>崃白</t>
  </si>
  <si>
    <t>四川酝门酒业有限公司</t>
  </si>
  <si>
    <t>清酒（⽇本⽶酒）;含⽔果酒精饮料;利⼝酒;⽩酒;烧酒;⾷⽤酒精;开胃酒;葡萄酒;烈酒;果酒（含酒精）</t>
  </si>
  <si>
    <t>你无止境</t>
  </si>
  <si>
    <t>贵州酱香酱酒酿造研究院</t>
  </si>
  <si>
    <t>以葡萄酒为主的饮料;果酒;⽶酒;⾼粱酒;酒精饮料浓缩汁;烧酒;⻩酒;⽩酒;苹果酒;由⾕物蒸馏的⽩酒</t>
  </si>
  <si>
    <t>TRAVELING CAMEL BELL</t>
  </si>
  <si>
    <t>上海调笙文化科技有限公司</t>
  </si>
  <si>
    <t>鸡尾酒;葡萄酒;酒精饮料（啤酒除外）;葡萄汽酒;⽩葡萄酒;果酒（含酒精）;果酒;起泡⽩葡萄酒;⽔果汽酒;薄荷酒</t>
  </si>
  <si>
    <t>聚花宙</t>
  </si>
  <si>
    <t>甘肃普膳堂餐饮服务发展有限公司</t>
  </si>
  <si>
    <t>咖啡;茶;茶饮料;糖;蜂蜜;以⽶为主的零⾷⼩吃;主要由⽶制成的冻⼲⾷品;⾕类制品;杂粮⾯条;⾷⽤调味品</t>
  </si>
  <si>
    <t>固鳯酒</t>
  </si>
  <si>
    <t>⽩酒;葡萄酒;开胃酒;果酒;⽶酒;⾼粱酒;烧酒;清酒;烈酒（饮料）;威⼠忌</t>
  </si>
  <si>
    <t>玞柔玕</t>
  </si>
  <si>
    <t>鸡尾酒;酒精饮料（啤酒除外）;含⽔果酒精饮料;⾕物制蒸馏酒精饮料;含酒精的⽓泡⽔;烈酒（饮料）;蒸馏饮料;葡萄酒;以葡萄酒为主的饮料;利⼝酒;果酒（含酒精）</t>
  </si>
  <si>
    <t>KOURTNEE 考特尼</t>
  </si>
  <si>
    <t>烟台塞瑞斯国际酒业有限公司</t>
  </si>
  <si>
    <t>果酒（含酒精）;含酒精的鸡尾酒混合饮品;烈酒;含酒精的充⽓饮料（啤酒除外）;⽩兰地;威⼠忌;混合威⼠忌酒;调制好的葡萄酒鸡尾酒;葡萄酒;朗姆酒</t>
  </si>
  <si>
    <t>喝展</t>
  </si>
  <si>
    <t>安梓熠142228********3519</t>
  </si>
  <si>
    <t>果酒（含酒精）;⻩酒;开胃酒;⽩兰地;⽩酒;烈酒（饮料）;威⼠忌;含⽔果酒精饮料;预先混合的酒精饮料（以啤酒为主的除外）;烧酒</t>
  </si>
  <si>
    <t>穿岩七十四</t>
  </si>
  <si>
    <t>果酒;利⼝酒;威⼠忌;⽩兰地;⽩酒;鸡尾酒;葡萄酒;酒精饮料（啤酒除外）;朗姆酒;伏特加酒</t>
  </si>
  <si>
    <t>银浆池</t>
  </si>
  <si>
    <t>清酒（⽇本⽶酒）;烈酒;⻩酒;威⼠忌;鸡尾酒;果酒（含酒精）;酒精饮料（啤酒除外）;⽩酒;开胃酒;葡萄酒</t>
  </si>
  <si>
    <t>九酩君</t>
  </si>
  <si>
    <t>徐洪兰</t>
  </si>
  <si>
    <t>⽩酒;清酒（⽇本⽶酒）;威⼠忌;烈酒;葡萄酒;⻩酒;酒精饮料（啤酒除外）;鸡尾酒;开胃酒;果酒（含酒精）</t>
  </si>
  <si>
    <t>穿岩九十三</t>
  </si>
  <si>
    <t>果酒;利⼝酒;鸡尾酒;⽩兰地;伏特加酒;葡萄酒;朗姆酒;酒精饮料（啤酒除外）;⽩酒;威⼠忌</t>
  </si>
  <si>
    <t>渭桥仁泰</t>
  </si>
  <si>
    <t>利⼝酒;⽶酒;烧酒;⽩酒;⻩酒;烈酒（饮料）;威⼠忌;葡萄酒;酒精饮料（啤酒除外）;果酒</t>
  </si>
  <si>
    <t>中方圆</t>
  </si>
  <si>
    <t>周口市康之源粮油食品有限公司</t>
  </si>
  <si>
    <t>⽩酒;果酒（含酒精）;酒精饮料（啤酒除外）;开胃酒;葡萄酒;⽶酒;烧酒;汽酒;含⽔果酒精饮料;⻩酒</t>
  </si>
  <si>
    <t>凯艺文化传媒（北京）有限公司</t>
  </si>
  <si>
    <t>开胃酒;含⽔果酒精饮料;蒸馏饮料;餐后酒（利⼝酒和烈酒）;酒精饮料（啤酒除外）;⾕物制蒸馏酒精饮料;⾷⽤酒精;葡萄酒;威⼠忌;果酒（含酒精）</t>
  </si>
  <si>
    <t>名门果</t>
  </si>
  <si>
    <t>贵州宏图九州生态农贸有限公司</t>
  </si>
  <si>
    <t>果酒（含酒精）;⻘稞酒;⾷⽤酒精;⽶酒;含⽔果酒精饮料;烧酒;苹果酒;⽩酒;⻩酒;葡萄酒</t>
  </si>
  <si>
    <t>卢族老</t>
  </si>
  <si>
    <t>贵州欣民农业科技有限公司</t>
  </si>
  <si>
    <t>⽩酒;清酒;果酒（含酒精）;烈酒（饮料）;⽶酒;烧酒;汽酒;葡萄酒;⽼酒（中国蒸馏烈酒）;⾷⽤酒精</t>
  </si>
  <si>
    <t>谓糧</t>
  </si>
  <si>
    <t>宁夏任意购科技有限公司</t>
  </si>
  <si>
    <t>薄荷酒;⻩酒;⽩酒;葡萄酒;酒精饮料（啤酒除外）;蒸馏饮料;含⽔果酒精饮料;开胃酒;威⼠忌;果酒（含酒精）</t>
  </si>
  <si>
    <t>鸡五根</t>
  </si>
  <si>
    <t>河北深情敬梨酒类销售有限公司</t>
  </si>
  <si>
    <t>葡萄酒;酒精饮料（啤酒除外）;⾼粱酒;⽼酒（中国蒸馏烈酒）;⽶酒;露酒;桑葚酒;⽩酒;果酒（含酒精）;⻩酒</t>
  </si>
  <si>
    <t>亨利圣多克</t>
  </si>
  <si>
    <t>安徽木木布帛国际贸易有限公司</t>
  </si>
  <si>
    <t>酒精饮料（啤酒除外）;果酒;⽶酒;葡萄酒;⾷⽤酒精;⽩酒;杨梅酒;梅酒;由⾕物蒸馏的⽩酒;烈酒（饮料）</t>
  </si>
  <si>
    <t>秦直陇塬</t>
  </si>
  <si>
    <t>陕西秦直之路酒业有限公司</t>
  </si>
  <si>
    <t>⻩酒;葡萄酒;⽩酒;果酒（含酒精）;开胃酒;⽶酒;烧酒;⾷⽤酒精;⻘稞酒;⽩兰地</t>
  </si>
  <si>
    <t>中圣贤</t>
  </si>
  <si>
    <t>⽩兰地;⻘稞酒;⽩酒;烧酒;⽶酒;威⼠忌;⻩酒;葡萄酒;烈酒;鸡尾酒</t>
  </si>
  <si>
    <t>黔小度</t>
  </si>
  <si>
    <t>葡萄酒;⾼粱酒;鸡尾酒;酒精饮料（啤酒除外）;⽩酒;⻩酒;果酒（含酒精）;⽶酒;清酒（⽇本⽶酒）;威⼠忌</t>
  </si>
  <si>
    <t>老街小白棍</t>
  </si>
  <si>
    <t>烈性⼲酒;⽶酒;⽩⼲酒（中国⽩酒）;⾷⽤酒精;烧酒;⽼酒（中国蒸馏烈酒）;⻩酒;⾼粱酒;清酒;烈酒;⽩酒;⽢蔗制烈酒;含酒精的饮料（啤酒除外）;露酒</t>
  </si>
  <si>
    <t>钱王涌金窖893</t>
  </si>
  <si>
    <t>葡萄酒;⾼粱酒;梅酒;⽶酒;含酒精的饮料（啤酒除外）;果酒;⻘稞酒;烧酒;⽩酒;⻩酒</t>
  </si>
  <si>
    <t>崀晟</t>
  </si>
  <si>
    <t>徐洪平</t>
  </si>
  <si>
    <t>葡萄酒;果酒（含酒精）;烈酒（饮料）;⻩酒;⾕物制蒸馏酒精饮料;⾷⽤酒精;烧酒;含⽔果酒精饮料;⽶酒;⽩酒</t>
  </si>
  <si>
    <t>小葚林</t>
  </si>
  <si>
    <t>胡海东</t>
  </si>
  <si>
    <t>开胃酒;威⼠忌;清酒（⽇本⽶酒）;鸡尾酒;酒精饮料（啤酒除外）;⻩酒;烈酒;果酒（含酒精）;⽩酒;葡萄酒</t>
  </si>
  <si>
    <t>江壶久</t>
  </si>
  <si>
    <t>⾼粱酒;鸡尾酒;⽩酒;⻩酒;酒精饮料（啤酒除外）;清酒（⽇本⽶酒）;果酒（含酒精）;威⼠忌;葡萄酒;⽶酒</t>
  </si>
  <si>
    <t>爵士先生 JACKSSIR</t>
  </si>
  <si>
    <t>烈酒;鸡尾酒;葡萄酒;开胃酒;果酒（含酒精）;威⼠忌;⻩酒;清酒（⽇本⽶酒）;酒精饮料（啤酒除外）;⽩酒</t>
  </si>
  <si>
    <t>唱喏</t>
  </si>
  <si>
    <t>葡萄酒;威⼠忌;⾕物制蒸馏酒精饮料;⽩酒;⻩酒;鸡尾酒;含⽔果酒精饮料;预先混合的酒精饮料（以啤酒为主的除外）;烧酒;果酒（含酒精）</t>
  </si>
  <si>
    <t>鸡五祖</t>
  </si>
  <si>
    <t>葡萄酒;酒精饮料（啤酒除外）;⽼酒（中国蒸馏烈酒）;⾼粱酒;⻩酒;露酒;⽶酒;果酒（含酒精）;桑葚酒;⽩酒</t>
  </si>
  <si>
    <t>酒奔奔</t>
  </si>
  <si>
    <t>潘宪国</t>
  </si>
  <si>
    <t>⽩酒;⻘稞酒;果酒（含酒精）;葡萄酒;⻩酒;烧酒;鸡尾酒;威⼠忌;酒精饮料（啤酒除外）;清酒</t>
  </si>
  <si>
    <t>念八都</t>
  </si>
  <si>
    <t>相伯乐（杭州）人才服务有限公司</t>
  </si>
  <si>
    <t>⽶酒;⻩酒;烈酒（饮料）;葡萄酒;⾷⽤酒精;⽩酒;果酒（含酒精）;含⽔果酒精饮料;鸡尾酒;酒精饮料（啤酒除外）</t>
  </si>
  <si>
    <t>老椿醴</t>
  </si>
  <si>
    <t>太原市传奇商贸有限公司</t>
  </si>
  <si>
    <t>烈酒（饮料）;烧酒;葡萄酒;⽩兰地;鸡尾酒;⽶酒;⽩酒;果酒;蒸馏饮料;威⼠忌</t>
  </si>
  <si>
    <t>维拉斯巴琳娜</t>
  </si>
  <si>
    <t>马西莫·莫卡加塔的斯巴琳娜酒庄</t>
  </si>
  <si>
    <t>葡萄酒;酒精饮料（啤酒除外）</t>
  </si>
  <si>
    <t>兴马王</t>
  </si>
  <si>
    <t>张迎全</t>
  </si>
  <si>
    <t>⽶酒;烧酒;蒸煮提取物（利⼝酒和烈酒）;酒精饮料（啤酒除外）;⾷⽤酒精;露酒;果酒（含酒精）;葡萄酒;伏特加酒;⽩酒</t>
  </si>
  <si>
    <t>LOUIS NLANC 路易柏朗歌</t>
  </si>
  <si>
    <t>熊兵</t>
  </si>
  <si>
    <t>烈酒（饮料）;果酒（含酒精）;开胃酒;利⼝酒;威⼠忌;酒精饮料（啤酒除外）;⽩兰地;⽩酒;葡萄酒;鸡尾酒</t>
  </si>
  <si>
    <t>状元井</t>
  </si>
  <si>
    <t>四川国拓国际贸易有限公司</t>
  </si>
  <si>
    <t>果酒（含酒精）;⻩酒;⽶酒;清酒;⾷⽤酒精;酒精饮料（啤酒除外）;露酒;⻘梅酒;烧酒（烈酒）;⽩酒</t>
  </si>
  <si>
    <t>少年将</t>
  </si>
  <si>
    <t>杨标东</t>
  </si>
  <si>
    <t>葡萄酒;烈酒;烧酒（烈酒）;酒精饮料（啤酒除外）;⽶酒;清酒（⽇本⽶酒）;⽩酒;果酒;鸡尾酒;⻩酒</t>
  </si>
  <si>
    <t>唂嗳蒙</t>
  </si>
  <si>
    <t>贵州印象美食餐饮有限公司</t>
  </si>
  <si>
    <t>⽶酒;烧酒;⽩酒;⽩兰地;⽩⼲酒（中国⽩酒）;威⼠忌;葡萄酒;⽼酒（中国蒸馏烈酒）;杨梅酒;⾼粱酒</t>
  </si>
  <si>
    <t>福稻银钻</t>
  </si>
  <si>
    <t>清酒（⽇本⽶酒）;⽶酒;⽩酒;⻘稞酒;⾼粱酒;⽩⼲酒（中国⽩酒）;葡萄酒;烧酒;⻩酒;果酒</t>
  </si>
  <si>
    <t>汐凤仙</t>
  </si>
  <si>
    <t>伍晋臣</t>
  </si>
  <si>
    <t>⻩酒;⽶酒;鸡尾酒;⽩兰地;⽩酒;烈酒;威⼠忌;⻘稞酒;烧酒;葡萄酒</t>
  </si>
  <si>
    <t>恒忠徳</t>
  </si>
  <si>
    <t>赵澜晰</t>
  </si>
  <si>
    <t>⻩酒;⽶酒;酒精饮料（啤酒除外）;葡萄酒;甜酒;汽酒;⽩酒;烧酒;烈酒;果酒</t>
  </si>
  <si>
    <t>抖农</t>
  </si>
  <si>
    <t>浙江抖农生态农业有限公司</t>
  </si>
  <si>
    <t>烧酒（烈酒）;红葡萄酒;⽔果汽酒;⾼粱酒;蜂蜜酒;杨梅酒;蝮蛇酒;蒸馏饮料;⻘梅酒;果酒</t>
  </si>
  <si>
    <t>极星星雅</t>
  </si>
  <si>
    <t>浙江极星酒业有限公司</t>
  </si>
  <si>
    <t>果酒（含酒精）;汽酒;葡萄酒;⻩酒;⻘稞酒;⽩酒;薄荷酒;清酒（⽇本⽶酒）;含⽔果酒精饮料;烈酒（饮料）</t>
  </si>
  <si>
    <t>沙曼牌</t>
  </si>
  <si>
    <t>绥芬河市义承经贸有限公司</t>
  </si>
  <si>
    <t>鸡尾酒;清酒（⽇本⽶酒）;⽶酒;清酒;以葡萄酒为主的饮料;⽩酒;葡萄酒;果酒（含酒精）;威⼠忌;酒精饮料（啤酒除外）</t>
  </si>
  <si>
    <t>盏著</t>
  </si>
  <si>
    <t>郭锦龙</t>
  </si>
  <si>
    <t>酒精饮料（啤酒除外）;⻩酒;清酒;烧酒;葡萄酒;⽶酒;⾼粱酒;露酒;⽩酒;果酒</t>
  </si>
  <si>
    <t>越鸟</t>
  </si>
  <si>
    <t>重庆越鸟酒业有限公司</t>
  </si>
  <si>
    <t>蒸馏饮料;葡萄酒;含⽔果酒精饮料;⽩酒;⽩兰地;⾷⽤酒精;果酒（含酒精）;烧酒;⾼粱酒;鸡尾酒</t>
  </si>
  <si>
    <t>联供应星</t>
  </si>
  <si>
    <t>深圳市迪壹点科技有限公司</t>
  </si>
  <si>
    <t>⽩酒;果酒（含酒精）;蜂蜜酒;葡萄酒;鸡尾酒;酒精饮料原汁;⽶酒;⻩酒;威⼠忌;烧酒</t>
  </si>
  <si>
    <t>襄卿台</t>
  </si>
  <si>
    <t>黄小燕</t>
  </si>
  <si>
    <t>⽩酒;⻘梅酒;⽩兰地;⻩酒;烧酒;⽶酒;⽩⼲酒（中国⽩酒）;⽼酒（中国蒸馏烈酒）;烧酒（烈酒）;清酒（⽇本⽶酒）</t>
  </si>
  <si>
    <t>稻品仙</t>
  </si>
  <si>
    <t>邹金辉</t>
  </si>
  <si>
    <t>⽩酒;威⼠忌;葡萄酒;鸡尾酒;⽩兰地;烧酒;果酒（含酒精）;⽶酒;烈酒（饮料）;酒精饮料（啤酒除外）</t>
  </si>
  <si>
    <t>千效堂</t>
  </si>
  <si>
    <t>汽酒;清酒;甜酒;⽶酒;⾷⽤酒精;葡萄酒;果酒;⽩酒;⻩酒;开胃酒</t>
  </si>
  <si>
    <t>福泉山月</t>
  </si>
  <si>
    <t>黄彪</t>
  </si>
  <si>
    <t>⽶酒;威⼠忌;⽩酒;⻩酒;烧酒;⽩兰地;果酒（含酒精）;葡萄酒;⻘稞酒;⾷⽤酒精</t>
  </si>
  <si>
    <t>听赣</t>
  </si>
  <si>
    <t>符轩跃</t>
  </si>
  <si>
    <t>笨良</t>
  </si>
  <si>
    <t>宋立学</t>
  </si>
  <si>
    <t>蒸馏饮料;葡萄酒;威⼠忌;⽶酒;鸡尾酒;果酒（含酒精）;烧酒;⽩兰地;⻩酒;⽩酒</t>
  </si>
  <si>
    <t>宽巷子老万家</t>
  </si>
  <si>
    <t>内蒙古万盛昌食品有限公司</t>
  </si>
  <si>
    <t>开胃酒;蒸馏饮料;烈酒（饮料）;汽酒;烧酒（烈酒）;烈酒;烧酒;葡萄酒;果酒（含酒精）;⽩酒</t>
  </si>
  <si>
    <t>门台宽</t>
  </si>
  <si>
    <t>陈志彬</t>
  </si>
  <si>
    <t>果酒（含酒精）;⽩酒;⻘稞酒;威⼠忌;⻩酒;清酒（⽇本⽶酒）;⽩兰地;葡萄酒;⽶酒;烧酒</t>
  </si>
  <si>
    <t>半天仙</t>
  </si>
  <si>
    <t>⻩酒;烈酒（饮料）;果酒（含酒精）;⽩酒;鸡尾酒;含⽔果酒精饮料;葡萄酒;清酒（⽇本⽶酒）;烧酒;威⼠忌</t>
  </si>
  <si>
    <t>后桩里</t>
  </si>
  <si>
    <t>陕西酒优港商业连锁管理有限公司</t>
  </si>
  <si>
    <t>⽩酒;苹果酒;⽶酒;烧酒;蜂蜜酒;⾼粱酒;由⾕物蒸馏的⽩酒;葡萄酒;露酒</t>
  </si>
  <si>
    <t>维辽</t>
  </si>
  <si>
    <t>高艳丽</t>
  </si>
  <si>
    <t>薄荷酒;茴⾹酒（利⼝酒）;含⽔果酒精饮料;蒸馏饮料;预先混合的酒精饮料（以啤酒为主的除外）;果酒（含酒精）;茴芹酒（利⼝酒）;开胃酒;苹果酒;⽶酒</t>
  </si>
  <si>
    <t>2024/05/20</t>
  </si>
  <si>
    <t>誉掼情</t>
  </si>
  <si>
    <t>东莞市木本粮商贸有限公司</t>
  </si>
  <si>
    <t>⻘稞酒;葡萄酒;蒸馏饮料;烧酒;⽶酒;果酒;烈酒（饮料）;⽩酒;⻩酒;汽酒</t>
  </si>
  <si>
    <t>中薙</t>
  </si>
  <si>
    <t>方耐凤</t>
  </si>
  <si>
    <t>烧酒;⻩酒;⽩酒;⽶酒;佐餐酒;含酒精的饮料（啤酒除外）;果酒;汽酒;⽩⼲酒（中国⽩酒）;葡萄酒</t>
  </si>
  <si>
    <t>刘彻千古一帝</t>
  </si>
  <si>
    <t>王家云</t>
  </si>
  <si>
    <t>⻩酒;⽩酒;⻘稞酒;烧酒;葡萄酒;⽶酒;烈酒;清酒（⽇本⽶酒）;鸡尾酒;烈酒（饮料）</t>
  </si>
  <si>
    <t>酝思格伦吉尔</t>
  </si>
  <si>
    <t>罗思柏丽葡萄酒私人有限公司</t>
  </si>
  <si>
    <t>⽩兰地;餐后酒（利⼝酒和烈酒）;葡萄酒;烈酒（饮料）;起泡⽩葡萄酒;酒精饮料（啤酒除外）;⽩酒;葡萄汽酒;起泡红葡萄酒;加烈葡萄酒</t>
  </si>
  <si>
    <t>醉两汉汉高祖</t>
  </si>
  <si>
    <t>威⼠忌;⻩酒;果酒;⽩酒;酒精饮料（啤酒除外）;⽶酒;葡萄酒;⾷⽤酒精;⾕物制蒸馏酒精饮料;预先混合的酒精饮料（以啤酒为主的除外）</t>
  </si>
  <si>
    <t>伽满</t>
  </si>
  <si>
    <t>湛忠彬</t>
  </si>
  <si>
    <t>⽩酒;烧酒;葡萄酒;果酒（含酒精）;甜酒;清酒;⻩酒;鸡尾酒;烈酒;酒精饮料（啤酒除外）</t>
  </si>
  <si>
    <t>韩君灏</t>
  </si>
  <si>
    <t>韩秀海</t>
  </si>
  <si>
    <t>葡萄酒;杨梅酒;果酒（含酒精）;⽶酒;由⾕物蒸馏的⽩酒;⽢蔗制烈酒;⽢蔗制酒精饮料;⾕物制蒸馏酒精饮料;⾷⽤酒精;⽩酒</t>
  </si>
  <si>
    <t>符融醉</t>
  </si>
  <si>
    <t>仙桃市闵记白酒加工厂</t>
  </si>
  <si>
    <t>酒精饮料（啤酒除外）;⽼酒（中国蒸馏烈酒）;⾼粱酒;⽶酒;⽩⼲酒（中国⽩酒）;⽩酒;⾕物制蒸馏酒精饮料;⻩酒;烧酒;⾷⽤酒精</t>
  </si>
  <si>
    <t>毓秀大唐</t>
  </si>
  <si>
    <t>谢航</t>
  </si>
  <si>
    <t>烈酒（饮料）;葡萄酒;蒸馏饮料;⾕物制蒸馏酒精饮料;苹果酒;⽩酒;⽶酒;餐后酒（利⼝酒和烈酒）;果酒;露酒</t>
  </si>
  <si>
    <t>青天神柱</t>
  </si>
  <si>
    <t>深圳市青人谷酒业供应链有限公司</t>
  </si>
  <si>
    <t>清酒（⽇本⽶酒）;葡萄酒;果酒（含酒精）;⽶酒;⽩酒;鸡尾酒;烧酒;烈酒（饮料）;⻩酒;酒精饮料（啤酒除外）</t>
  </si>
  <si>
    <t>溪山韵</t>
  </si>
  <si>
    <t>张华</t>
  </si>
  <si>
    <t>开胃酒;含⽔果酒精饮料;由⾕物蒸馏的⽩酒;果酒（含酒精）;⽶酒;葡萄酒;⽼酒（中国蒸馏烈酒）;⽩酒;鸡尾酒;苦味酒</t>
  </si>
  <si>
    <t>强门</t>
  </si>
  <si>
    <t>贵州省仁怀市品藏家酒业有限公司</t>
  </si>
  <si>
    <t>⽩酒;含⽔果酒精饮料;烧酒;⻩酒;开胃酒;烈酒（饮料）;葡萄酒;酒精饮料（啤酒除外）;鸡尾酒;⽶酒</t>
  </si>
  <si>
    <t>员格格</t>
  </si>
  <si>
    <t>禧乐(深圳)珠宝品牌管理有限公司</t>
  </si>
  <si>
    <t>以葡萄酒为主的饮料;含⽔果酒精饮料;酒精饮料浓缩汁;威⼠忌;⽶酒;蒸馏饮料;果酒（含酒精）;葡萄酒;⽩酒;⻩酒</t>
  </si>
  <si>
    <t>瑰芈</t>
  </si>
  <si>
    <t>德阳润德品牌管理发展有限公司</t>
  </si>
  <si>
    <t>开胃酒;樱桃酒;蜂蜜酒;鸡尾酒;酒精饮料（啤酒除外）;⽩酒;含⽔果酒精饮料;⽶酒;葡萄酒;果酒（含酒精）</t>
  </si>
  <si>
    <t>宸益</t>
  </si>
  <si>
    <t>李益洪</t>
  </si>
  <si>
    <t>酒精饮料（啤酒除外）;⽶酒;葡萄酒;烈酒;蒸馏饮料;烧酒;⻩酒;⽩酒;⾼粱酒;果酒（含酒精）</t>
  </si>
  <si>
    <t>LYQH LUYIQINGHE LOUIS CHINCH</t>
  </si>
  <si>
    <t>陈晓杰</t>
  </si>
  <si>
    <t>果酒（含酒精）;朗姆酒;利⼝酒;威⼠忌;汽酒;开胃酒;鸡尾酒;⽩兰地;酒精饮料（啤酒除外）;⽔果汽酒</t>
  </si>
  <si>
    <t>钧乡醇</t>
  </si>
  <si>
    <t>赵俊伟</t>
  </si>
  <si>
    <t>⽩酒;果酒;⽼酒（中国蒸馏烈酒）;酒精饮料（啤酒除外）;⾼粱酒;⻩酒;烧酒（烈酒）;⽶酒;烈酒;葡萄酒</t>
  </si>
  <si>
    <t>MAIKALEN WINERY 迈卡仑酒庄</t>
  </si>
  <si>
    <t>曹丹丹</t>
  </si>
  <si>
    <t>果酒（含酒精）;⽩酒;⻩酒;开胃酒;酒精饮料（啤酒除外）;含⽔果酒精饮料;鸡尾酒;葡萄酒;烈酒（饮料）;蒸馏饮料</t>
  </si>
  <si>
    <t>呼蓝贝尔</t>
  </si>
  <si>
    <t>河南省中贸酒业有限公司</t>
  </si>
  <si>
    <t>烈酒（饮料）;开胃酒;烧酒;酒精饮料原汁;⽩酒;⾕物制蒸馏酒精饮料;餐后酒（利⼝酒和烈酒）;葡萄酒;果酒（含酒精）;⽶酒</t>
  </si>
  <si>
    <t>柚祖源</t>
  </si>
  <si>
    <t>上海香柚源企业管理有限公司</t>
  </si>
  <si>
    <t>酒精饮料（啤酒除外）;⽶酒;鸡尾酒;开胃酒;葡萄酒;烈酒（饮料）;酒精饮料原汁;含⽔果酒精饮料;果酒（含酒精）;⽩酒</t>
  </si>
  <si>
    <t>煌承集团 HUANGCHENG GROUP</t>
  </si>
  <si>
    <t>煌承（集团）有限公司</t>
  </si>
  <si>
    <t>⻩酒;蜂蜜酒;⾼粱酒;⽩酒;⻨芽威⼠忌;葡萄酒;果酒;⽩兰地;⽶酒;⽩⼲酒（中国⽩酒）</t>
  </si>
  <si>
    <t>听冰</t>
  </si>
  <si>
    <t>露酒;⾼粱酒;⻩酒;⽩⼲酒（中国⽩酒）;⻘稞酒;⽩酒;烧酒;清酒;⽼酒（中国蒸馏烈酒）;烈酒</t>
  </si>
  <si>
    <t>SATELLITE FLYING YINGZHIXING</t>
  </si>
  <si>
    <t>广州市鹰之星酒业有限公司</t>
  </si>
  <si>
    <t>葡萄酒;烈酒（饮料）;⽩酒;果酒（含酒精）;⽶酒;酒精饮料（啤酒除外）;蜂蜜酒;开胃酒;⻩酒;鸡尾酒</t>
  </si>
  <si>
    <t>陆理达</t>
  </si>
  <si>
    <t>葡萄汽酒;葡萄酒;⻩酒;⽩酒;混合威⼠忌酒;酒精饮料（啤酒除外）;含酒精的饮料（啤酒除外）;杨梅酒;⽩葡萄酒;鸡尾酒;红葡萄酒;起泡⽩葡萄酒;苹果酒;伏特加酒;梅酒;桃红葡萄酒;起泡红葡萄酒;威⼠忌;清酒（⽇本⽶酒）;⽩兰地</t>
  </si>
  <si>
    <t>祥茶联盟</t>
  </si>
  <si>
    <t>厦门华祥豫商贸有限公司</t>
  </si>
  <si>
    <t>蒸馏饮料;酒精饮料原汁;⾷⽤酒精;烧酒;果酒（含酒精）;葡萄酒;烈酒（饮料）;酒精饮料（啤酒除外）;预先混合的酒精饮料（以啤酒为主的除外）;⽩酒</t>
  </si>
  <si>
    <t>越民八贡</t>
  </si>
  <si>
    <t>浙江颂阳明纪念品有限公司</t>
  </si>
  <si>
    <t>果酒;清酒;鸡尾酒;葡萄酒;蝮蛇酒;⻩酒;⽩酒;⾕物制蒸馏酒精饮料;汽酒;⽶酒</t>
  </si>
  <si>
    <t>龟康元</t>
  </si>
  <si>
    <t>泗洪县瑞博农业发展有限公司</t>
  </si>
  <si>
    <t>⽶酒;⽩葡萄酒;露酒;蒸煮提取物（利⼝酒和烈酒）;烧酒（烈酒）;威⼠忌;⽩酒;葡萄酒;由⾕物蒸馏的⽩酒;红葡萄酒</t>
  </si>
  <si>
    <t>南国诗仙醉</t>
  </si>
  <si>
    <t>葡萄酒;梨酒;汽酒;果酒（含酒精）;樱桃酒;⽶酒;烧酒;⽩酒;⻩酒;蜂蜜酒</t>
  </si>
  <si>
    <t>杨金来</t>
  </si>
  <si>
    <t>⽩兰地;⽶酒;⻩酒;⾷⽤酒精;⽩酒;威⼠忌;烧酒;⻘稞酒;葡萄酒;伏特加酒</t>
  </si>
  <si>
    <t>BAR BLANK</t>
  </si>
  <si>
    <t>长沙星城烟雨餐饮管理有限公司</t>
  </si>
  <si>
    <t>威⼠忌;酒精饮料（啤酒除外）;鸡尾酒;杜松⼦酒;葡萄酒;⽩兰地;清酒（⽇本⽶酒）;含⽔果酒精饮料;朗姆酒;伏特加酒</t>
  </si>
  <si>
    <t>巧米匠</t>
  </si>
  <si>
    <t>枝江市四季安生态农业发展有限公司</t>
  </si>
  <si>
    <t>⽩酒;⻩酒;烧酒;酒精饮料（啤酒除外）;⾼粱酒;⽶酒;⾷⽤酒精;果酒（含酒精）;餐后酒（利⼝酒和烈酒）;开胃酒</t>
  </si>
  <si>
    <t>正轩</t>
  </si>
  <si>
    <t>余海兵</t>
  </si>
  <si>
    <t>⻩酒;⽩酒;烧酒（烈酒）;⽩兰地;⽩⼲酒（中国⽩酒）;⻘梅酒;烧酒;清酒（⽇本⽶酒）;⽶酒;⽼酒（中国蒸馏烈酒）</t>
  </si>
  <si>
    <t>高优</t>
  </si>
  <si>
    <t>王爱明</t>
  </si>
  <si>
    <t>含酒精⽔果饮料;蒸馏饮料;⽶酒;汽酒;⻩酒;果酒（含酒精）;⾷⽤酒精;烧酒;葡萄酒;⽩酒</t>
  </si>
  <si>
    <t>伊万爷爷</t>
  </si>
  <si>
    <t>克拉斯纳乌斯夫·依沃塞夫</t>
  </si>
  <si>
    <t>果酒（含酒精）;蜂蜜酒;汽酒;已调味的⻨芽酿制的酒精饮料（啤酒除外）;含酒精的⽓泡⽔;开胃酒;含⽔果酒精饮料;酒精饮料（啤酒除外）;伏特加酒;⾕物制蒸馏酒精饮料</t>
  </si>
  <si>
    <t>万物荣掼蛋</t>
  </si>
  <si>
    <t>北京一川风物酒业有限公司</t>
  </si>
  <si>
    <t>威⼠忌;⻩酒;清酒;酒精饮料（啤酒除外）;⽶酒;⽩酒;烈酒（饮料）;果酒（含酒精）;葡萄酒;⾷⽤酒精</t>
  </si>
  <si>
    <t>耐爽</t>
  </si>
  <si>
    <t>项晓燕</t>
  </si>
  <si>
    <t>果酒（含酒精）;⾕物制蒸馏酒精饮料;苦荞酒;⽩酒;⻩酒;⽢蔗制酒精饮料;⻘稞酒;烧酒;清酒;⾼粱酒</t>
  </si>
  <si>
    <t>回沙王喜洋洋</t>
  </si>
  <si>
    <t>亳州市酒厂有限公司</t>
  </si>
  <si>
    <t>葡萄酒;含⽔果酒精饮料;烧酒;⻩酒;露酒;⽶酒;果酒;⽩酒;烈酒;⾷⽤酒精</t>
  </si>
  <si>
    <t>云普青草</t>
  </si>
  <si>
    <t>青海云普青草食品销售有限责任公司</t>
  </si>
  <si>
    <t>⽶酒;果酒（含酒精）;⻘稞酒;⻩酒;葡萄酒;由⾕物蒸馏的⽩酒;含酒精的鸡尾酒混合饮品;⾼粱酒;⽩酒;含酒精的饮料（啤酒除外）</t>
  </si>
  <si>
    <t>怀庄本味</t>
  </si>
  <si>
    <t>烧酒;果酒（含酒精）;鸡尾酒;葡萄酒;⾷⽤酒精;⽩酒;甜果酒;烈酒（饮料）;⽶酒;酒精饮料（啤酒除外）</t>
  </si>
  <si>
    <t>新垚芯</t>
  </si>
  <si>
    <t>重庆新垚新商贸有限责任公司</t>
  </si>
  <si>
    <t>葡萄酒;果酒（含酒精）;威⼠忌;烈酒（饮料）;烧酒;⽶酒;⽩酒;⻩酒;鸡尾酒;⽩兰地</t>
  </si>
  <si>
    <t>久处酒</t>
  </si>
  <si>
    <t>山西晋商老酒坊文化传播有限公司</t>
  </si>
  <si>
    <t>烧酒;苦荞酒;⾼粱酒;⻘稞酒;红葡萄酒;果酒;⽶酒;清酒;梨酒;⽩酒</t>
  </si>
  <si>
    <t>五醍浆燕舞</t>
  </si>
  <si>
    <t>江苏震洲五醍浆酒业有限公司</t>
  </si>
  <si>
    <t>⻩酒;清酒;⽩酒;酒精饮料（啤酒除外）;含⽔果酒精饮料;葡萄酒;果酒（含酒精）;鸡尾酒;⽶酒;烧酒</t>
  </si>
  <si>
    <t>水仙操</t>
  </si>
  <si>
    <t>上海红桥画廊有限公司</t>
  </si>
  <si>
    <t>⽩兰地;鸡尾酒;清酒（⽇本⽶酒）;伏特加酒;⽶酒;葡萄酒;蒸馏饮料;⻘稞酒;⻩酒;威⼠忌</t>
  </si>
  <si>
    <t>怀庄真味</t>
  </si>
  <si>
    <t>鸡尾酒;甜果酒;⽩酒;⾷⽤酒精;果酒（含酒精）;葡萄酒;烈酒（饮料）;酒精饮料（啤酒除外）;⽶酒;烧酒</t>
  </si>
  <si>
    <t>镂台</t>
  </si>
  <si>
    <t>果酒（含酒精）;⽩酒;⽶酒;烧酒;⾷⽤酒精;葡萄酒;蜂蜜酒;利⼝酒;⻩酒;开胃酒</t>
  </si>
  <si>
    <t>疆珑</t>
  </si>
  <si>
    <t>烟台海恩德庄园葡萄酒有限公司</t>
  </si>
  <si>
    <t>烈酒（饮料）;开胃酒;⽩酒;葡萄酒;⽼酒（中国蒸馏烈酒）;烧酒;⽶酒;利⼝酒;酒精饮料（啤酒除外）;鸡尾酒</t>
  </si>
  <si>
    <t>轻萃大别</t>
  </si>
  <si>
    <t>⽩酒;果酒;⽼酒（中国蒸馏烈酒）;已调味的蒸馏酒;⾕物制蒸馏酒精饮料;葡萄酒;含⽔果酒精饮料;⽶酒;⻩酒;含酒精的饮料（啤酒除外）</t>
  </si>
  <si>
    <t>择中建都</t>
  </si>
  <si>
    <t>汝南县天中山酒行</t>
  </si>
  <si>
    <t>清酒（⽇本⽶酒）;⾷⽤酒精;⻩酒;威⼠忌;⽩酒;⽶酒</t>
  </si>
  <si>
    <t>GLOBAL TRAVELLERS 环球旅享家</t>
  </si>
  <si>
    <t>上海云天美医疗科技有限公司</t>
  </si>
  <si>
    <t>葡萄酒;酒精饮料浓缩汁;酒精饮料（啤酒除外）;⽩酒;⻩酒;⽩兰地;⽶酒;威⼠忌;酒精饮料原汁;果酒（含酒精）</t>
  </si>
  <si>
    <t>东方欢伯</t>
  </si>
  <si>
    <t>广州市太晶国际贸易有限公司</t>
  </si>
  <si>
    <t>开胃酒;蒸馏饮料;果酒（含酒精）;酒精饮料（啤酒除外）;⽩酒;鸡尾酒;⽶酒;葡萄酒;烈酒（饮料）;苹果酒</t>
  </si>
  <si>
    <t>CANDONI FAMILY</t>
  </si>
  <si>
    <t>阿曼多得赞</t>
  </si>
  <si>
    <t>葡萄酒;⾷⽤酒精;果酒;蒸馏饮料;酒精饮料浓缩汁;除啤酒外的酒精饮料;汽酒;酒精饮料原汁;含酒精⽔果饮料;⽩兰地</t>
  </si>
  <si>
    <t>UPLUSLYRICO</t>
  </si>
  <si>
    <t>上海悠纤伽健身服务有限公司</t>
  </si>
  <si>
    <t>鸡尾酒;⽢蔗制烈酒;烧酒;⽶酒;⻩酒;烈酒（饮料）;⽩酒;葡萄酒;酒精饮料（啤酒除外）;果酒（含酒精）</t>
  </si>
  <si>
    <t>医巫闾山</t>
  </si>
  <si>
    <t>杨振兴</t>
  </si>
  <si>
    <t>⽩酒;⽩兰地;⾷⽤酒精;鸡尾酒;烧酒;⽶酒;预先混合的酒精饮料（以啤酒为主的除外）;⾕物制蒸馏酒精饮料;⻩酒;葡萄酒</t>
  </si>
  <si>
    <t>HUGO CLASS</t>
  </si>
  <si>
    <t>杨显杰</t>
  </si>
  <si>
    <t>蜂蜜酒;葡萄酒;酒精饮料（啤酒除外）;烈酒（饮料）;⽩酒;⽶酒;果酒（含酒精）;⻩酒;烧酒;威⼠忌</t>
  </si>
  <si>
    <t>武魂真身</t>
  </si>
  <si>
    <t>马丽英</t>
  </si>
  <si>
    <t>开胃酒;薄荷酒;蒸馏饮料;酒精饮料（啤酒除外）;⽩酒;含⽔果酒精饮料;果酒（含酒精）;葡萄酒;威⼠忌;⻩酒</t>
  </si>
  <si>
    <t>衡昌烧坊领酱</t>
  </si>
  <si>
    <t>⽩酒（酱⾹型）</t>
  </si>
  <si>
    <t>贵战雄鸡</t>
  </si>
  <si>
    <t>李清波</t>
  </si>
  <si>
    <t>⽩⼲酒（中国⽩酒）;果酒;烈酒;烧酒;蜂蜜酒;⽶酒;甜果酒;⾼粱酒;葡萄酒;⽩酒</t>
  </si>
  <si>
    <t>豫钧酒</t>
  </si>
  <si>
    <t>河南森万商贸有限公司</t>
  </si>
  <si>
    <t>⾕物制蒸馏酒精饮料;含⽔果酒精饮料;酒精饮料原汁;蒸馏饮料;预先混合的酒精饮料（以啤酒为主的除外）;蜂蜜酒;烈酒（饮料）;果酒;酒精饮料浓缩汁;利⼝酒</t>
  </si>
  <si>
    <t>英雄望</t>
  </si>
  <si>
    <t>威⼠忌;葡萄酒;⽩酒;果酒;朗姆酒;汽酒;⻩酒;清酒;烧酒;梅酒</t>
  </si>
  <si>
    <t>归孟</t>
  </si>
  <si>
    <t>韦冬涛</t>
  </si>
  <si>
    <t>果酒（含酒精）;开胃酒;鸡尾酒;威⼠忌;⻩酒;酒精饮料（啤酒除外）;⽩酒;葡萄酒;清酒（⽇本⽶酒）;烈酒</t>
  </si>
  <si>
    <t>苍天一滴泪</t>
  </si>
  <si>
    <t>宁夏震湖佳酿酒业有限责任公司</t>
  </si>
  <si>
    <t>⾼粱酒;⽶酒;烧酒;葡萄酒;⻘稞酒;⽩酒;⻩酒;果酒（含酒精）;清酒;蜂蜜酒</t>
  </si>
  <si>
    <t>广货街</t>
  </si>
  <si>
    <t>西安醍醐智库企业管理咨询有限公司</t>
  </si>
  <si>
    <t>酒精饮料（啤酒除外）;⽩酒;酒精饮料原汁;酒精饮料浓缩汁;蒸馏饮料;果酒（含酒精）;葡萄酒;⻩酒;含酒精⽔果饮料;⽶酒</t>
  </si>
  <si>
    <t>ZS ZHAO SHENG</t>
  </si>
  <si>
    <t>贵州兆胜实业有限公司</t>
  </si>
  <si>
    <t>⽩酒;烧酒;烈酒（饮料）;⽶酒;酒精饮料（啤酒除外）;⾷⽤酒精;清酒（⽇本⽶酒）;伏特加酒;⻩酒;⽢蔗制酒精饮料</t>
  </si>
  <si>
    <t>圣艾元</t>
  </si>
  <si>
    <t>河南省圣艾堂生物科技有限公司</t>
  </si>
  <si>
    <t>先医堂</t>
  </si>
  <si>
    <t>先医堂（河北）大健康产业有限公司</t>
  </si>
  <si>
    <t>⽶酒;⻘稞酒;烈酒（饮料）;⻩酒;⽔果汽酒;果酒（含酒精）;葡萄酒;烧酒;⽩酒;佐餐酒</t>
  </si>
  <si>
    <t>陈惜丽</t>
  </si>
  <si>
    <t>鸡尾酒;烈酒（饮料）;利⼝酒;葡萄酒;清酒（⽇本⽶酒）;⽩酒;烧酒;⽶酒;威⼠忌;果酒（含酒精）</t>
  </si>
  <si>
    <t>华夏贺</t>
  </si>
  <si>
    <t>余荣彬</t>
  </si>
  <si>
    <t>⽶酒;烈酒（饮料）;葡萄酒;鸡尾酒;果酒（含酒精）;⽩酒;烧酒;清酒（⽇本⽶酒）;威⼠忌;利⼝酒</t>
  </si>
  <si>
    <t>疆心醉</t>
  </si>
  <si>
    <t>朱坤龙</t>
  </si>
  <si>
    <t>⽶酒;含⽔果酒精饮料;果酒（含酒精）;利⼝酒;酒精饮料原汁;⽼酒（中国蒸馏烈酒）;烈酒（饮料）;朗姆酒;⻘稞酒;⽩酒</t>
  </si>
  <si>
    <t>⽩兰地;⽩酒;烧酒;威⼠忌;⽶酒;⾷⽤酒精;⻘稞酒;⻩酒;葡萄酒;伏特加酒</t>
  </si>
  <si>
    <t>IO SONO FVG</t>
  </si>
  <si>
    <t>“帕可农业食品FVG农业食品与生物经济集群代理机构联盟有限责任公司”简称“集群农业食品FVG联盟有限责任公司”</t>
  </si>
  <si>
    <t>苦味酒;咖啡利⼝酒;奶油利⼝酒;⽩兰地;利⼝酒;葡萄酒;酒精饮料原汁</t>
  </si>
  <si>
    <t>囍爱莱</t>
  </si>
  <si>
    <t>山东喜宴楼餐饮管理有限公司</t>
  </si>
  <si>
    <t>鸡尾酒;⽶酒;葡萄酒;果酒（含酒精）;威⼠忌;清酒（⽇本⽶酒）;烧酒;⻩酒;烈酒（饮料）;⽩酒</t>
  </si>
  <si>
    <t>三禾水</t>
  </si>
  <si>
    <t>袁立伟</t>
  </si>
  <si>
    <t>果酒（含酒精）;酒精饮料（啤酒除外）;⽶酒;⽩酒;利⼝酒;蒸馏饮料;葡萄酒;含⽔果酒精饮料;清酒;汽酒</t>
  </si>
  <si>
    <t>美棘维</t>
  </si>
  <si>
    <t>陈寿佳440982********5898</t>
  </si>
  <si>
    <t>烧酒;⽩酒;威⼠忌;⽶酒;烈酒（饮料）;开胃酒;利⼝酒;清酒（⽇本⽶酒）;⻩酒;果酒（含酒精）</t>
  </si>
  <si>
    <t>含⽔果酒精饮料;酒精饮料（啤酒除外）;含酒精的⽓泡⽔;果酒（含酒精）;以葡萄酒为主的饮料;葡萄酒;鸡尾酒;预先混合的酒精饮料（以啤酒为主的除外）;⽩酒;烈酒（饮料）</t>
  </si>
  <si>
    <t>荣道烧坊</t>
  </si>
  <si>
    <t>鸡尾酒;朗姆酒;酒精饮料（啤酒除外）;利⼝酒;烧酒;清酒（⽇本⽶酒）;果酒;⽩酒;葡萄酒;开胃酒</t>
  </si>
  <si>
    <t>旱季</t>
  </si>
  <si>
    <t>北京国品文化遗产工程技术研究院</t>
  </si>
  <si>
    <t>烧酒;⽶酒;鸡尾酒;汽酒;⽩酒;酒精饮料（啤酒除外）;果酒;葡萄酒;烈酒（饮料）;清酒（⽇本⽶酒）</t>
  </si>
  <si>
    <t>川水情</t>
  </si>
  <si>
    <t>⻘稞酒;⻩酒;烧酒;果酒（含酒精）;⽩酒;酒精饮料（啤酒除外）;葡萄酒;⽶酒;伏特加酒;清酒（⽇本⽶酒）</t>
  </si>
  <si>
    <t>零惠选</t>
  </si>
  <si>
    <t>杨秀强</t>
  </si>
  <si>
    <t>⽶酒;清酒（⽇本⽶酒）;酒精饮料（啤酒除外）;烧酒;烈酒（饮料）;⻩酒;果酒（含酒精）;鸡尾酒;⽩酒;葡萄酒</t>
  </si>
  <si>
    <t>青绿新安</t>
  </si>
  <si>
    <t>歙县新安江乡村发展有限公司</t>
  </si>
  <si>
    <t>⻩酒;⽩酒;烈酒（饮料）;酒精饮料原汁;以葡萄酒为主的饮料;含⽔果酒精饮料;果酒（含酒精）;梨酒;开胃酒;⽶酒</t>
  </si>
  <si>
    <t>东方缘 红柔大</t>
  </si>
  <si>
    <t>葡萄酒;⻩酒;清酒（⽇本⽶酒）;⽶酒;烈酒;酒精饮料（啤酒除外）;烧酒;⽩酒;开胃酒;果酒（含酒精）</t>
  </si>
  <si>
    <t>寿百赞</t>
  </si>
  <si>
    <t>果酒（含酒精）;⽶酒;烈酒（饮料）;⽩酒;烧酒;⻩酒;开胃酒;清酒（⽇本⽶酒）;蜂蜜酒;苦味酒</t>
  </si>
  <si>
    <t>凰扬台</t>
  </si>
  <si>
    <t>⽩兰地;含酒精的⽓泡⽔;含酒精⽔果饮料;甜酒;⾷⽤酒精;果酒（含酒精）;⽩⼲酒（中国⽩酒）;⽼酒（中国蒸馏烈酒）;⽩酒;除啤酒外的酒精饮料</t>
  </si>
  <si>
    <t>棕鹿赣酿</t>
  </si>
  <si>
    <t>江西大公鸡酒业有限公司</t>
  </si>
  <si>
    <t>⽩⼲酒（中国⽩酒）;⽩酒;清酒;⻘稞酒;朗姆酒（酒精饮料）;⽶酒;利⼝酒;⽩葡萄酒;酒精饮料（啤酒除外）;葡萄酒</t>
  </si>
  <si>
    <t>成高烧坊</t>
  </si>
  <si>
    <t>果酒;利⼝酒;烧酒;⽩酒;开胃酒;鸡尾酒;清酒（⽇本⽶酒）;朗姆酒;酒精饮料（啤酒除外）;葡萄酒</t>
  </si>
  <si>
    <t>活力方程</t>
  </si>
  <si>
    <t>张俊洋</t>
  </si>
  <si>
    <t>开胃酒;甜酒;⽶酒;⾷⽤酒精;⻩酒;⽩酒;葡萄酒;汽酒;清酒;果酒</t>
  </si>
  <si>
    <t>东方缘 金柔大</t>
  </si>
  <si>
    <t>⽶酒;清酒（⽇本⽶酒）;酒精饮料（啤酒除外）;果酒（含酒精）;葡萄酒;烈酒;烧酒;开胃酒;⽩酒;⻩酒</t>
  </si>
  <si>
    <t>缘老大</t>
  </si>
  <si>
    <t>果酒（含酒精）;开胃酒;清酒（⽇本⽶酒）;酒精饮料（啤酒除外）;葡萄酒;⽶酒;⻩酒;烈酒;烧酒;⽩酒</t>
  </si>
  <si>
    <t>酣醉河</t>
  </si>
  <si>
    <t>葡萄酒;鸡尾酒;开胃酒;清酒（⽇本⽶酒）;利⼝酒;酒精饮料（啤酒除外）;⽩酒;果酒;烧酒;朗姆酒</t>
  </si>
  <si>
    <t>定成</t>
  </si>
  <si>
    <t>茂煕投资（云南）有限公司</t>
  </si>
  <si>
    <t>⽩酒;⾼粱酒;露酒;清酒;⽼酒（中国蒸馏烈酒）;⾕物制蒸馏酒精饮料;⾷⽤酒精;⽩⼲酒（中国⽩酒）;酒精饮料（啤酒除外）;葡萄酒</t>
  </si>
  <si>
    <t>共进黔</t>
  </si>
  <si>
    <t>山西汾力特酒业股份有限公司</t>
  </si>
  <si>
    <t>⽩酒;果酒（含酒精）;由⾕物蒸馏的⽩酒;酒精饮料（啤酒除外）;露酒;⽶酒;预先混合的酒精饮料（以啤酒为主的除外）;烈酒;含⽔果酒精饮料;葡萄酒</t>
  </si>
  <si>
    <t>兴昶票庄</t>
  </si>
  <si>
    <t>山西永兴昶科技有限公司</t>
  </si>
  <si>
    <t>⻩酒;果酒（含酒精）;葡萄酒;⽶酒;烧酒;⾼粱酒;蜂蜜酒;⽩酒;酒精饮料（啤酒除外）;⻘稞酒</t>
  </si>
  <si>
    <t>迷人琼</t>
  </si>
  <si>
    <t>浙江荆山酒业有限公司</t>
  </si>
  <si>
    <t>鸡尾酒;⻩酒;梅酒;烈酒;烧酒;葡萄酒;⽶酒;清酒（⽇本⽶酒）;⽩酒;酒精饮料（啤酒除外）</t>
  </si>
  <si>
    <t>JISON</t>
  </si>
  <si>
    <t>⽩兰地;朗姆酒;葡萄酒;伏特加酒;酒精饮料（啤酒除外）;⽩酒;鸡尾酒;利⼝酒;威⼠忌;烈酒</t>
  </si>
  <si>
    <t>徽宫</t>
  </si>
  <si>
    <t>朗姆酒;酒精饮料（啤酒除外）;⽩酒;鸡尾酒;利⼝酒;烧酒;葡萄酒;开胃酒;果酒;清酒（⽇本⽶酒）</t>
  </si>
  <si>
    <t>酝父</t>
  </si>
  <si>
    <t>葡萄酒;鸡尾酒;清酒（⽇本⽶酒）;烧酒;利⼝酒;开胃酒;果酒;朗姆酒;酒精饮料（啤酒除外）;⽩酒</t>
  </si>
  <si>
    <t>泸顺和</t>
  </si>
  <si>
    <t>张菊</t>
  </si>
  <si>
    <t>蜂蜜酒;鸡尾酒;⽶酒;烧酒;果酒（含酒精）;葡萄酒;⽩酒;含⽔果酒精饮料;开胃酒;酒精饮料原汁</t>
  </si>
  <si>
    <t>刘云贵</t>
  </si>
  <si>
    <t>鸡尾酒;葡萄酒;⽼酒（中国蒸馏烈酒）;⽶酒;果酒;烧酒;⽩⼲酒（中国⽩酒）;⻩酒;⽩酒;果酒（含酒精）</t>
  </si>
  <si>
    <t>中福门</t>
  </si>
  <si>
    <t>利⼝酒;葡萄酒;清酒（⽇本⽶酒）;果酒;朗姆酒;鸡尾酒;开胃酒;酒精饮料（啤酒除外）;⽩酒;烧酒</t>
  </si>
  <si>
    <t>山海炮</t>
  </si>
  <si>
    <t>秦涛</t>
  </si>
  <si>
    <t>烈酒（饮料）;⻩酒;⽩酒;⽶酒;预先混合的酒精饮料（以啤酒为主的除外）;⾼粱酒;烧酒;葡萄酒;果酒（含酒精）;酒精饮料（啤酒除外）</t>
  </si>
  <si>
    <t>珫</t>
  </si>
  <si>
    <t>魏正泰</t>
  </si>
  <si>
    <t>⽩酒;含⽔果酒精饮料;烈酒（饮料）;烧酒;⽶酒;酒精饮料（啤酒除外）;葡萄酒;露酒;清酒（⽇本⽶酒）;伏特加酒</t>
  </si>
  <si>
    <t>百藏玉兰花开</t>
  </si>
  <si>
    <t>⽶酒;⻩酒;⽩酒;以葡萄酒为主的饮料;含⽔果酒精饮料;⽩⼲酒（中国⽩酒）;烧酒;果酒（含酒精）;⽼酒（中国蒸馏烈酒）;清酒（⽇本⽶酒）</t>
  </si>
  <si>
    <t>帝森 DS</t>
  </si>
  <si>
    <t>河南帝森酒业有限公司</t>
  </si>
  <si>
    <t>含⽔果酒精饮料;⽩酒;⽩葡萄酒;葡萄酒;烈酒（饮料）;⻩酒;红葡萄酒;以葡萄酒为主的饮料;果酒（含酒精）;酒精饮料（啤酒除外）</t>
  </si>
  <si>
    <t>LONGRUN WINERY</t>
  </si>
  <si>
    <t>云南甘来酒业有限公司</t>
  </si>
  <si>
    <t>⽩⼲酒（中国⽩酒）;由⾕物蒸馏的⽩酒;⽩酒</t>
  </si>
  <si>
    <t>景泰岁月</t>
  </si>
  <si>
    <t>葡萄酒;餐后酒（利⼝酒和烈酒）;⽩酒;苹果酒;⾕物制蒸馏酒精饮料;果酒（含酒精）;烈酒（饮料）;⽶酒;蒸馏饮料;露酒</t>
  </si>
  <si>
    <t>KAI LUYAN</t>
  </si>
  <si>
    <t>贵州凯路宴汽车服务有限公司</t>
  </si>
  <si>
    <t>鸡尾酒;果酒（含酒精）;葡萄酒;⽶酒;⽩酒</t>
  </si>
  <si>
    <t>连莞商浆</t>
  </si>
  <si>
    <t>惠州市联和塑胶装饰制品有限公司</t>
  </si>
  <si>
    <t>⽩兰地;烧酒;威⼠忌;露酒;⽩酒;⾼粱酒;果酒;⽶酒;葡萄酒;⻩酒</t>
  </si>
  <si>
    <t>连鹏商浆</t>
  </si>
  <si>
    <t>⽩兰地;⾼粱酒;露酒;⻩酒;果酒;葡萄酒;⽩酒;⽶酒;烧酒;威⼠忌</t>
  </si>
  <si>
    <t>张碧婷</t>
  </si>
  <si>
    <t>张瑞</t>
  </si>
  <si>
    <t>果酒（含酒精）;威⼠忌;⽩酒;烈酒（饮料）;⾷⽤酒精;餐后酒（利⼝酒和烈酒）;酒精饮料（啤酒除外）;烧酒;含酒精的⽓泡⽔;含⽔果酒精饮料</t>
  </si>
  <si>
    <t>地球颂</t>
  </si>
  <si>
    <t>孙悦雅</t>
  </si>
  <si>
    <t>酒精饮料（啤酒除外）;⽩酒;清酒（⽇本⽶酒）;葡萄酒;利⼝酒;开胃酒;鸡尾酒;朗姆酒;烧酒;果酒</t>
  </si>
  <si>
    <t>蟹蟹渔</t>
  </si>
  <si>
    <t>东山县祥仁水产贸易有限公司</t>
  </si>
  <si>
    <t>果酒（含酒精）;酒精饮料（啤酒除外）;⾷⽤酒精;⽩酒;⻩酒;烈酒（饮料）;威⼠忌;含⽔果酒精饮料;⽶酒;葡萄酒</t>
  </si>
  <si>
    <t>得悦</t>
  </si>
  <si>
    <t>智选（天津）供应链管理有限公司</t>
  </si>
  <si>
    <t>⽩兰地;含⽔果酒精饮料;以葡萄酒为主的饮料;果酒（含酒精）;利⼝酒;葡萄酒;威⼠忌;苹果酒;朗姆酒;鸡尾酒</t>
  </si>
  <si>
    <t>武泉黑土粮屯</t>
  </si>
  <si>
    <t>孙成雷</t>
  </si>
  <si>
    <t>葡萄酒;⽩兰地;烧酒;威⼠忌;蒸煮提取物（利⼝酒和烈酒）;朗姆酒;汽酒;⻩酒;⽩酒;⽶酒</t>
  </si>
  <si>
    <t>炎黄序</t>
  </si>
  <si>
    <t>果酒（含酒精）;烈酒（饮料）;鸡尾酒;清酒（⽇本⽶酒）;⻩酒;葡萄酒;利⼝酒;⽩酒;⻘稞酒;⽶酒</t>
  </si>
  <si>
    <t>文中壹品</t>
  </si>
  <si>
    <t>汽酒;⻘稞酒;果酒（含酒精）;酒精饮料（啤酒除外）;⻩酒;酒精饮料原汁;蒸馏饮料;酒精饮料浓缩汁;⽩酒;⽶酒</t>
  </si>
  <si>
    <t>海利尔黑土粮屯</t>
  </si>
  <si>
    <t>葡萄酒;汽酒;蒸煮提取物（利⼝酒和烈酒）;烧酒;⽩兰地;威⼠忌;⽶酒;朗姆酒;⻩酒;⽩酒</t>
  </si>
  <si>
    <t>蒋府家宴</t>
  </si>
  <si>
    <t>广州海呐百村饮食管理服务有限公司</t>
  </si>
  <si>
    <t>烧酒;果酒（含酒精）;开胃酒;⽶酒;葡萄酒;⽩兰地;清酒（⽇本⽶酒）;⻩酒;⾷⽤酒精;⽩酒</t>
  </si>
  <si>
    <t>飞火流星</t>
  </si>
  <si>
    <t>四川三者利酒业有限公司</t>
  </si>
  <si>
    <t>含⽔果酒精饮料;⽩酒;含酒精的饮料（啤酒除外）;五加⽪酒（中国混合烈酒）;酒精饮料（啤酒除外）;蒸馏饮料;⽩⼲酒（中国⽩酒）;烧酒;果酒;⾕物制蒸馏酒精饮料</t>
  </si>
  <si>
    <t>听京花</t>
  </si>
  <si>
    <t>龚启木</t>
  </si>
  <si>
    <t>⻩酒;薄荷酒;果酒（含酒精）;酒精饮料（啤酒除外）;苹果酒;鸡尾酒;⽩酒;蜂蜜酒;酒精饮料浓缩汁;蒸馏饮料</t>
  </si>
  <si>
    <t>连广商浆</t>
  </si>
  <si>
    <t>果酒;⻩酒;⽶酒;威⼠忌;⽩兰地;⽩酒;烧酒;⾼粱酒;露酒;葡萄酒</t>
  </si>
  <si>
    <t>连穗商浆</t>
  </si>
  <si>
    <t>⽩酒;威⼠忌;⽩兰地;果酒;葡萄酒;烧酒;⾼粱酒;露酒;⽶酒;⻩酒</t>
  </si>
  <si>
    <t>连中商浆</t>
  </si>
  <si>
    <t>露酒;威⼠忌;⽩兰地;⻩酒;葡萄酒;⽩酒;烧酒;⾼粱酒;果酒;⽶酒</t>
  </si>
  <si>
    <t>JUSON</t>
  </si>
  <si>
    <t>葡萄酒;利⼝酒;鸡尾酒;威⼠忌;⽩酒;⽩兰地;伏特加酒;烈酒;朗姆酒;酒精饮料（啤酒除外）</t>
  </si>
  <si>
    <t>䒕亰庄</t>
  </si>
  <si>
    <t>寿阳县京庄黄酒厂</t>
  </si>
  <si>
    <t>⻩酒;⾕物制蒸馏酒精饮料;烈酒;已调味的蒸馏酒;露酒;果酒（含酒精）;烧酒;蒸煮提取物（利⼝酒和烈酒）;⽩酒;葡萄酒</t>
  </si>
  <si>
    <t>仝社</t>
  </si>
  <si>
    <t>罗媛婷</t>
  </si>
  <si>
    <t>蒸馏饮料;威⼠忌;⽶酒;果酒（含酒精）;汽酒;⾕物制蒸馏酒精饮料;葡萄酒;清酒（⽇本⽶酒）;烧酒;酒精饮料原汁</t>
  </si>
  <si>
    <t>JVSON</t>
  </si>
  <si>
    <t>威⼠忌;烈酒;⽩兰地;朗姆酒;⽩酒;葡萄酒;利⼝酒;酒精饮料（啤酒除外）;伏特加酒;鸡尾酒</t>
  </si>
  <si>
    <t>明方向 交知己</t>
  </si>
  <si>
    <t>贵州方己酒业有限公司</t>
  </si>
  <si>
    <t>⾼粱酒;烧酒;葡萄酒;酒精饮料（啤酒除外）;⽩酒;⽼酒（中国蒸馏烈酒）;果酒（含酒精）;烈酒;杨梅酒;⽶酒</t>
  </si>
  <si>
    <t>HAIYUE</t>
  </si>
  <si>
    <t>贵州海悦酒业集团有限公司</t>
  </si>
  <si>
    <t>含⽔果酒精饮料;⽶酒;果酒（含酒精）;酒精饮料（啤酒除外）;烈酒;红葡萄酒;酒精饮料原汁;烧酒;⻩酒;⽩酒</t>
  </si>
  <si>
    <t>连籍商浆</t>
  </si>
  <si>
    <t>果酒;⽩酒;⾼粱酒;⽩兰地;威⼠忌;⻩酒;⽶酒;烧酒;葡萄酒;露酒</t>
  </si>
  <si>
    <t>连河商浆</t>
  </si>
  <si>
    <t>⻩酒;露酒;⽶酒;烧酒;⽩兰地;⽩酒;威⼠忌;⾼粱酒;果酒;葡萄酒</t>
  </si>
  <si>
    <t>佐补</t>
  </si>
  <si>
    <t>郭子文</t>
  </si>
  <si>
    <t>蒸馏饮料;酒精饮料（啤酒除外）;⽶酒;⽼酒（中国蒸馏烈酒）;⽩酒;烈酒（饮料）;葡萄酒;⾼粱酒;露酒;果酒（含酒精）</t>
  </si>
  <si>
    <t>边塞状元坊</t>
  </si>
  <si>
    <t>⽩酒;葡萄酒;清酒（⽇本⽶酒）;酒精饮料（啤酒除外）;利⼝酒;烧酒;朗姆酒;鸡尾酒;开胃酒;果酒</t>
  </si>
  <si>
    <t>赤滘</t>
  </si>
  <si>
    <t>开胃酒;烈酒;葡萄酒;清酒（⽇本⽶酒）;酒精饮料（啤酒除外）;鸡尾酒;⽩酒;果酒（含酒精）;⻩酒;威⼠忌</t>
  </si>
  <si>
    <t>千葛万葛</t>
  </si>
  <si>
    <t>房县白鹤炎文生态农业家庭农场</t>
  </si>
  <si>
    <t>葡萄酒;开胃酒;鸡尾酒;蜂蜜酒;⽩酒;烈酒（饮料）;⽶酒;⻩酒;烧酒;⻘稞酒</t>
  </si>
  <si>
    <t>歧龙劲</t>
  </si>
  <si>
    <t>广州市北岸驿站商业管理有限公司</t>
  </si>
  <si>
    <t>烧酒;葡萄酒;蝮蛇酒;鸡尾酒;酒精饮料（啤酒除外）;含⽔果酒精饮料;⻩酒;⽩酒;烈酒（饮料）;清酒</t>
  </si>
  <si>
    <t>战国封邑</t>
  </si>
  <si>
    <t>米健</t>
  </si>
  <si>
    <t>酒精饮料（啤酒除外）;⽶酒;⽩酒;含⽔果酒精饮料;预先混合的酒精饮料（以啤酒为主的除外）;烧酒;葡萄酒;清酒（⽇本⽶酒）;⻩酒;果酒（含酒精）</t>
  </si>
  <si>
    <t>粮心言</t>
  </si>
  <si>
    <t>海口美兰火焰侠贸易商行（个体工商户）</t>
  </si>
  <si>
    <t>⽶酒;酒精饮料（啤酒除外）;烧酒;⽩⼲酒（中国⽩酒）;⽩酒;果酒（含酒精）;樱桃酒;⻘稞酒;葡萄酒;⾼粱酒</t>
  </si>
  <si>
    <t>哈喽牛牛</t>
  </si>
  <si>
    <t>烧酒;苹果酒;利⼝酒;⽶酒;果酒（含酒精）;⾼粱酒;薄荷酒;鸡尾酒;汽酒;⽩酒</t>
  </si>
  <si>
    <t>美愿</t>
  </si>
  <si>
    <t>李璐</t>
  </si>
  <si>
    <t>果酒（含酒精）;⻘稞酒;⾼粱酒;烧酒;露酒;酒精饮料（啤酒除外）;⽶酒;⻩酒;⽩酒;葡萄酒</t>
  </si>
  <si>
    <t>呼白</t>
  </si>
  <si>
    <t>酒精饮料（啤酒除外）;⽶酒;⽩酒;烧酒;⻩酒;蒸馏饮料;⻘稞酒;果酒（含酒精）;开胃酒;烈酒（饮料）</t>
  </si>
  <si>
    <t>开胃酒;烈酒（饮料）;⽶酒;酒精饮料（啤酒除外）;⻩酒;⽩酒;果酒（含酒精）;烧酒;蒸馏饮料;⻘稞酒</t>
  </si>
  <si>
    <t>查干娜</t>
  </si>
  <si>
    <t>内蒙古查干娜生物科技有限公司</t>
  </si>
  <si>
    <t>酒精饮料（啤酒除外）;⽶酒;⽩酒;果酒（含酒精）;⾷⽤酒精;葡萄酒;含⽔果酒精饮料;⻩酒;鸡尾酒;烧酒</t>
  </si>
  <si>
    <t>很南不乐</t>
  </si>
  <si>
    <t>袁晓丹</t>
  </si>
  <si>
    <t>葡萄酒;⻩酒;清酒（⽇本⽶酒）;烈酒;酒精饮料（啤酒除外）;⽩酒;鸡尾酒;威⼠忌;开胃酒;果酒（含酒精）</t>
  </si>
  <si>
    <t>麦田控股集团有限公司</t>
  </si>
  <si>
    <t>薄荷酒;葡萄酒;清酒（⽇本⽶酒）;以葡萄酒为主的饮料;鸡尾酒;⽩酒;⾼粱酒;果酒（含酒精）;甜酒;⻩酒</t>
  </si>
  <si>
    <t>观溯</t>
  </si>
  <si>
    <t>烈酒（饮料）;伏特加酒;朗姆酒;酒精饮料原汁;威⼠忌;预先混合的酒精饮料（以啤酒为主的除外）;清酒（⽇本⽶酒）;⽶酒;利⼝酒;⽩兰地</t>
  </si>
  <si>
    <t>御小君</t>
  </si>
  <si>
    <t>路畅</t>
  </si>
  <si>
    <t>清酒（⽇本⽶酒）;果酒（含酒精）;⽩酒;酒精饮料（啤酒除外）;含⽔果酒精饮料;葡萄酒;⽶酒;伏特加酒;威⼠忌;⻩酒</t>
  </si>
  <si>
    <t>酒精饮料（啤酒除外）;烧酒;⽩酒;蒸馏饮料;⻘稞酒;果酒（含酒精）;开胃酒;烈酒（饮料）;⽶酒;⻩酒</t>
  </si>
  <si>
    <t>州顺酒</t>
  </si>
  <si>
    <t>贵州顺酒酒业有限公司</t>
  </si>
  <si>
    <t>⻩酒;⽶酒;⾼粱酒;⽩酒;果酒;⽩兰地;威⼠忌;露酒;烧酒;葡萄酒</t>
  </si>
  <si>
    <t>河南德商商贸有限公司</t>
  </si>
  <si>
    <t>⽩酒;烈酒;⾕物制蒸馏酒精饮料;葡萄酒;⻩酒;⽶酒;酒精饮料（啤酒除外）;烧酒;鸡尾酒;果酒（含酒精）</t>
  </si>
  <si>
    <t>毛水乡</t>
  </si>
  <si>
    <t>李食权</t>
  </si>
  <si>
    <t>⻩酒;开胃酒;威⼠忌;烈酒;果酒（含酒精）;酒精饮料（啤酒除外）;⽩酒;清酒（⽇本⽶酒）;鸡尾酒;葡萄酒</t>
  </si>
  <si>
    <t>榆 慷桐榆</t>
  </si>
  <si>
    <t>河北慷桐榆商贸有限公司</t>
  </si>
  <si>
    <t>含酒精的⽓泡⽔;酒精饮料原汁;鸡尾酒;葡萄酒;朗姆酒;⽩酒;以葡萄酒为主的饮料;⻩酒;苹果酒;含⽔果酒精饮料</t>
  </si>
  <si>
    <t>利心泉</t>
  </si>
  <si>
    <t>马飞</t>
  </si>
  <si>
    <t>⽩兰地;⽩酒;清酒;⽶酒;鸡尾酒;⻩酒;葡萄酒;烧酒（烈酒）;伏特加酒;果酒</t>
  </si>
  <si>
    <t>鸠字号</t>
  </si>
  <si>
    <t>安徽和道农业发展有限公司</t>
  </si>
  <si>
    <t>鸡尾酒;酒精饮料（啤酒除外）;⻩酒;朗姆酒（酒精饮料）;汽酒;果酒（含酒精）;蒸馏⽶酒（泡盛酒）;含酒精的⽓泡⽔;葡萄酒;烈酒（饮料）</t>
  </si>
  <si>
    <t>独稻</t>
  </si>
  <si>
    <t>白雪娇</t>
  </si>
  <si>
    <t>果酒（含酒精）;葡萄酒;⽶酒;⻘稞酒;⽩酒;⾼粱酒;露酒;酒精饮料（啤酒除外）;烧酒;⻩酒</t>
  </si>
  <si>
    <t>大醉商周</t>
  </si>
  <si>
    <t>⽩酒;⽶酒;樱桃酒;酒精饮料（啤酒除外）;烧酒;⽩⼲酒（中国⽩酒）;果酒（含酒精）;鸡尾酒;葡萄酒;⻘稞酒</t>
  </si>
  <si>
    <t>乌弋山离</t>
  </si>
  <si>
    <t>新疆普拉纳广告有限公司</t>
  </si>
  <si>
    <t>酒精饮料（啤酒除外）;果酒（含酒精）;清酒;⻩酒;⽶酒;⽩酒;葡萄酒;酒精饮料原汁;⾷⽤酒精;汽酒</t>
  </si>
  <si>
    <t>唤歌行</t>
  </si>
  <si>
    <t>洪湖风</t>
  </si>
  <si>
    <t>清酒（⽇本⽶酒）;⽶酒;烈酒;酒精饮料（啤酒除外）;烧酒;⻩酒;果酒（含酒精）;鸡尾酒;葡萄酒;⽩酒</t>
  </si>
  <si>
    <t>不谓仙</t>
  </si>
  <si>
    <t>⻩酒;烧酒;酒精饮料（啤酒除外）;葡萄酒;烈酒;果酒（含酒精）;⽶酒;⽩酒;鸡尾酒;清酒（⽇本⽶酒）</t>
  </si>
  <si>
    <t>蒸馏饮料;⻩酒;⽶酒;烧酒;⽩酒;开胃酒;酒精饮料（啤酒除外）;果酒（含酒精）;⻘稞酒;烈酒（饮料）</t>
  </si>
  <si>
    <t>果酒（含酒精）;烈酒（饮料）;蒸馏饮料;⻩酒;⽶酒;开胃酒;烧酒;⻘稞酒;酒精饮料（啤酒除外）;⽩酒</t>
  </si>
  <si>
    <t>开胃酒;酒精饮料（啤酒除外）;⻩酒;⽶酒;蒸馏饮料;⽩酒;果酒（含酒精）;烧酒;烈酒（饮料）;⻘稞酒</t>
  </si>
  <si>
    <t>456</t>
  </si>
  <si>
    <t>鈊和一品</t>
  </si>
  <si>
    <t>长春迈卡文化传媒有限公司</t>
  </si>
  <si>
    <t>鸡尾酒;葡萄酒;威⼠忌;烧酒;⽶酒;⽩酒;⽼酒（中国蒸馏烈酒）;果酒（含酒精）;⽩兰地;含⽔果酒精饮料</t>
  </si>
  <si>
    <t>品郎中</t>
  </si>
  <si>
    <t>葡萄酒;酒精饮料（啤酒除外）;⽶酒;果酒（含酒精）;烧酒;⻘稞酒;⽩酒;樱桃酒;⽩⼲酒（中国⽩酒）;鸡尾酒</t>
  </si>
  <si>
    <t>品上仙</t>
  </si>
  <si>
    <t>⽶酒;⻘稞酒;⽩⼲酒（中国⽩酒）;果酒（含酒精）;酒精饮料（啤酒除外）;烧酒;葡萄酒;鸡尾酒;樱桃酒;⽩酒</t>
  </si>
  <si>
    <t>结富</t>
  </si>
  <si>
    <t>福迩纸制品（宁波）有限公司</t>
  </si>
  <si>
    <t>果酒（含酒精）;酒精饮料（啤酒除外）;含⽔果酒精饮料;⽩酒;杨梅酒;樱桃酒;⽶酒;葡萄酒;⻩酒;开胃酒</t>
  </si>
  <si>
    <t>ZITAI</t>
  </si>
  <si>
    <t>贵州省仁怀市自台酒业有限公司</t>
  </si>
  <si>
    <t>果酒;烧酒;威⼠忌;⽩酒;利⼝酒;⽶酒;鸡尾酒;葡萄酒;⻘稞酒;⻩酒</t>
  </si>
  <si>
    <t>果酒（含酒精）;烈酒（饮料）;蒸馏饮料;⽩酒;⻘稞酒;⻩酒;开胃酒;酒精饮料（啤酒除外）;⽶酒;烧酒</t>
  </si>
  <si>
    <t>葛兰格</t>
  </si>
  <si>
    <t>烟台蓝图酒业有限公司</t>
  </si>
  <si>
    <t>威⼠忌;伏特加酒;⻩酒;⽶酒;鸡尾酒;朗姆酒;果酒;葡萄酒;⽩酒;⽩兰地</t>
  </si>
  <si>
    <t>龙吟客</t>
  </si>
  <si>
    <t>酒精饮料（啤酒除外）;伏特加酒;清酒（⽇本⽶酒）;含⽔果酒精饮料;果酒（含酒精）;⻩酒;⽩酒;葡萄酒;威⼠忌;⽶酒</t>
  </si>
  <si>
    <t>羚羊妈妈</t>
  </si>
  <si>
    <t>威海双好贸易有限公司</t>
  </si>
  <si>
    <t>烧酒;葡萄酒;⽶酒;预先混合的酒精饮料（以啤酒为主的除外）;已调味的蒸馏酒;露酒;果酒（含酒精）;⻩酒;⾼粱酒;⽩酒</t>
  </si>
  <si>
    <t>世盛九三</t>
  </si>
  <si>
    <t>高锦欣</t>
  </si>
  <si>
    <t>威⼠忌;⽶酒;⾷⽤酒精;⽩兰地;酒精饮料（啤酒除外）;果酒（含酒精）;⽩酒;露酒;鸡尾酒;葡萄酒</t>
  </si>
  <si>
    <t>唐尖</t>
  </si>
  <si>
    <t>开胃酒;威⼠忌;⽶酒;伏特加酒;⽩酒;果酒（含酒精）;葡萄酒;⾼粱酒;鸡尾酒;⻘稞酒</t>
  </si>
  <si>
    <t>凤之尊宝石酒</t>
  </si>
  <si>
    <t>陕西凤香之尊酒业有限公司</t>
  </si>
  <si>
    <t>⽼酒（中国蒸馏烈酒）;⻩酒;烧酒;烈酒;⽩⼲酒（中国⽩酒）;⽩酒;烧酒（烈酒）;果酒（含酒精）;⾷⽤酒精;⽩兰地</t>
  </si>
  <si>
    <t>开胃酒;⻩酒;酒精饮料（啤酒除外）;⽩酒;烈酒（饮料）;⽶酒;⻘稞酒;果酒（含酒精）;烧酒;蒸馏饮料</t>
  </si>
  <si>
    <t>ARMONTA</t>
  </si>
  <si>
    <t>含⽔果酒精饮料;⻩酒;烈酒（饮料）;果酒（含酒精）;⽩兰地;梨酒;葡萄酒;⽶酒;⽩酒;威⼠忌</t>
  </si>
  <si>
    <t>MAYPHOLLY</t>
  </si>
  <si>
    <t>葡萄酒;烈酒（饮料）;⽶酒;烧酒;汽酒;⾕物制蒸馏酒精饮料;清酒（⽇本⽶酒）;⻩酒;⽩酒;果酒</t>
  </si>
  <si>
    <t>印关山</t>
  </si>
  <si>
    <t>程平</t>
  </si>
  <si>
    <t>⽶酒;葡萄酒;烈酒（饮料）;清酒（⽇本⽶酒）;蒸馏饮料;汽酒;果酒（含酒精）;⾷⽤酒精;酒精饮料（啤酒除外）;⽩酒</t>
  </si>
  <si>
    <t>熹花</t>
  </si>
  <si>
    <t>周敏婷</t>
  </si>
  <si>
    <t>⻩酒;开胃酒;清酒（⽇本⽶酒）;威⼠忌;葡萄酒;鸡尾酒;果酒（含酒精）;⽩酒;酒精饮料（啤酒除外）;烈酒</t>
  </si>
  <si>
    <t>上海外滩老建筑投资发展有限公司</t>
  </si>
  <si>
    <t>⽩兰地;以葡萄酒为主的饮料;威⼠忌;⽶酒;鸡尾酒;薄荷酒;果酒（含酒精）;葡萄酒;⻩酒;含酒精的⽓泡⽔</t>
  </si>
  <si>
    <t>玖洲道</t>
  </si>
  <si>
    <t>贵州宗昌电子商务有限公司</t>
  </si>
  <si>
    <t>威⼠忌;⻩酒;⻘稞酒;⽶酒;烈酒（饮料）;⽩酒;葡萄酒;果酒（含酒精）;⽩兰地;鸡尾酒</t>
  </si>
  <si>
    <t>ZYQ 无形利剑</t>
  </si>
  <si>
    <t>钟永金</t>
  </si>
  <si>
    <t>⽩酒;果酒（含酒精）;⽩兰地;清酒;⾷⽤酒精;葡萄酒;⽶酒;⻩酒;酒精饮料（啤酒除外）;⻘稞酒</t>
  </si>
  <si>
    <t>徽长卿</t>
  </si>
  <si>
    <t>王宇</t>
  </si>
  <si>
    <t>烧酒;⽩酒;果酒;⽩⼲酒（中国⽩酒）;⻩酒;葡萄酒;⻘稞酒;酒精饮料（啤酒除外）;⾼粱酒;⽶酒</t>
  </si>
  <si>
    <t>执梦</t>
  </si>
  <si>
    <t>北京森实科技有限公司</t>
  </si>
  <si>
    <t>葡萄酒;开胃酒;鸡尾酒;⽩兰地;烧酒;⽩酒;清酒（⽇本⽶酒）;酒精饮料（啤酒除外）;果酒（含酒精）;蒸煮提取物（利⼝酒和烈酒）</t>
  </si>
  <si>
    <t>义守匠心</t>
  </si>
  <si>
    <t>陈超522130********7239</t>
  </si>
  <si>
    <t>果酒;葡萄酒;⻩酒;⻘稞酒;⽶酒;⽩酒;鸡尾酒;威⼠忌;烧酒;利⼝酒</t>
  </si>
  <si>
    <t>雄奇皮姐</t>
  </si>
  <si>
    <t>南京百夫长酒业有限公司</t>
  </si>
  <si>
    <t>⽼酒（中国蒸馏烈酒）;由⾕物蒸馏的⽩酒;⾼粱酒;⽩⼲酒（中国⽩酒）;⻩酒;朗姆酒;⽩酒;红葡萄酒;伏特加酒;⽶酒</t>
  </si>
  <si>
    <t>今醉康</t>
  </si>
  <si>
    <t>贵州醉康酒业销售有限公司</t>
  </si>
  <si>
    <t>⽩酒;露酒;烈酒（饮料）;⾕物制蒸馏酒精饮料;餐后酒（利⼝酒和烈酒）;苹果酒;蒸馏饮料;葡萄酒;⽶酒;果酒（含酒精）</t>
  </si>
  <si>
    <t>MADAME HELOISE</t>
  </si>
  <si>
    <t>广州乐富酒业有限公司</t>
  </si>
  <si>
    <t>⽩兰地;酒精饮料（啤酒除外）;鸡尾酒;汽酒;威⼠忌;葡萄酒;⽶酒;⽩酒;含⽔果酒精饮料;果酒（含酒精）</t>
  </si>
  <si>
    <t>秦邮百夫长</t>
  </si>
  <si>
    <t>⽶酒;朗姆酒;⻩酒;由⾕物蒸馏的⽩酒;红葡萄酒;⽩酒;⽼酒（中国蒸馏烈酒）;⽩⼲酒（中国⽩酒）;⾼粱酒;伏特加酒</t>
  </si>
  <si>
    <t>赤厂长</t>
  </si>
  <si>
    <t>⽩酒;烧酒;葡萄酒;鸡尾酒;酒精饮料（啤酒除外）;朗姆酒;利⼝酒;清酒（⽇本⽶酒）;果酒;开胃酒</t>
  </si>
  <si>
    <t>沙鉴</t>
  </si>
  <si>
    <t>⽩酒;开胃酒;烧酒;葡萄酒;利⼝酒;果酒;酒精饮料（啤酒除外）;鸡尾酒;朗姆酒;清酒（⽇本⽶酒）</t>
  </si>
  <si>
    <t>詹旺</t>
  </si>
  <si>
    <t>陈首彬</t>
  </si>
  <si>
    <t>梨酒;烈酒（饮料）;葡萄酒;苹果酒;⽩酒;⻩酒;果酒（含酒精）;⽶酒</t>
  </si>
  <si>
    <t>黄二娘野粮醇</t>
  </si>
  <si>
    <t>眉山市黄牛泥窖酒业有限公司</t>
  </si>
  <si>
    <t>蒸煮提取物（利⼝酒和烈酒）;烧酒;⽩⼲酒（中国⽩酒）;果酒;烈酒;⽼酒（中国蒸馏烈酒）;⾼粱酒;⽩酒;葡萄酒;由⾕物蒸馏的⽩酒</t>
  </si>
  <si>
    <t>果果小欢喜</t>
  </si>
  <si>
    <t>⽶酒;甜果酒;含⽔果酒精饮料;开胃酒;果酒（含酒精）;果酒;⻩酒;露酒;预先混合的酒精饮料（以啤酒为主的除外）;⽩酒</t>
  </si>
  <si>
    <t>桃姑娘</t>
  </si>
  <si>
    <t>叙永县传统酿酒科技馆</t>
  </si>
  <si>
    <t>⽶酒;果酒;⻩酒;清酒;甜酒;汽酒;含酒精的饮料（啤酒除外）;⽩酒;露酒;葡萄酒</t>
  </si>
  <si>
    <t>春江韶华</t>
  </si>
  <si>
    <t>葡萄酒;烈酒（饮料）;果酒（含酒精）;清酒（⽇本⽶酒）;酒精饮料（啤酒除外）;汽酒;蒸馏饮料;⽶酒;⾷⽤酒精;⽩酒</t>
  </si>
  <si>
    <t>宾客叙</t>
  </si>
  <si>
    <t>贵州国翁酒业有限公司</t>
  </si>
  <si>
    <t>⽶酒;⽩酒;⾼粱酒;果酒（含酒精）;⾕物制蒸馏酒精饮料;烈酒（饮料）;苹果酒;葡萄酒;梨酒;⽢蔗制烈酒;由⾕物蒸馏的⽩酒</t>
  </si>
  <si>
    <t>裕澜台</t>
  </si>
  <si>
    <t>⽩兰地;烈酒;威⼠忌;⽩酒;⻩酒;鸡尾酒;葡萄酒;⻘稞酒;烧酒;⽶酒</t>
  </si>
  <si>
    <t>银标财</t>
  </si>
  <si>
    <t>财酒有限公司</t>
  </si>
  <si>
    <t>果酒;葡萄酒;酒精饮料（啤酒除外）;⽶酒;烧酒;梅酒;⻩酒;⾷⽤酒精;⽩酒;清酒</t>
  </si>
  <si>
    <t>竹满堂</t>
  </si>
  <si>
    <t>山西汾谷粮源农业开发有限公司</t>
  </si>
  <si>
    <t>盂城百夫长</t>
  </si>
  <si>
    <t>⽼酒（中国蒸馏烈酒）;由⾕物蒸馏的⽩酒;红葡萄酒;⻩酒;⽩⼲酒（中国⽩酒）;⾼粱酒;伏特加酒;⽩酒;朗姆酒;⽶酒</t>
  </si>
  <si>
    <t>杜张氏世藏</t>
  </si>
  <si>
    <t>由⾕物蒸馏的⽩酒;⽶酒;烈酒;露酒;⾼粱酒;烧酒;⽩酒;⽩⼲酒（中国⽩酒）;⽼酒（中国蒸馏烈酒）;⻩酒</t>
  </si>
  <si>
    <t>金醉康</t>
  </si>
  <si>
    <t>果酒（含酒精）;蒸馏饮料;餐后酒（利⼝酒和烈酒）;⾕物制蒸馏酒精饮料;⽩酒;烈酒（饮料）;⽶酒;露酒;葡萄酒;苹果酒</t>
  </si>
  <si>
    <t>塞戈维斯</t>
  </si>
  <si>
    <t>王万里</t>
  </si>
  <si>
    <t>⽩酒;葡萄酒;威⼠忌;清酒（⽇本⽶酒）;⽩兰地;⻘稞酒;果酒;鸡尾酒;⻩酒;烧酒</t>
  </si>
  <si>
    <t>里庐</t>
  </si>
  <si>
    <t>江西和庐生态农业有限公司</t>
  </si>
  <si>
    <t>清酒（⽇本⽶酒）;甜酒;⽩酒;⽶酒;烧酒;⻩酒;果酒（含酒精）;酒精饮料（啤酒除外）;葡萄酒;烈酒（饮料）</t>
  </si>
  <si>
    <t>欢迎来龙</t>
  </si>
  <si>
    <t>北京梦将军影业有限公司</t>
  </si>
  <si>
    <t>⽩酒;酒精饮料浓缩汁;⽶酒;朗姆酒;伏特加酒;⻩酒;含⽔果酒精饮料;葡萄酒;威⼠忌;⽩兰地</t>
  </si>
  <si>
    <t>金标财</t>
  </si>
  <si>
    <t>葡萄酒;⽩酒;梅酒;果酒;⻩酒;⾷⽤酒精;清酒;⽶酒;烧酒;酒精饮料（啤酒除外）</t>
  </si>
  <si>
    <t>袁酿</t>
  </si>
  <si>
    <t>湖南袁酿酒业有限公司</t>
  </si>
  <si>
    <t>⻩酒;鸡尾酒;⽶酒;⻘稞酒;⽩酒;酒精饮料（啤酒除外）;酒精饮料原汁;果酒;葡萄酒;烧酒</t>
  </si>
  <si>
    <t>崴柏</t>
  </si>
  <si>
    <t>四川省崴柏生态农业科技发展有限公司</t>
  </si>
  <si>
    <t>酸酒（低等葡萄酒）;烧酒;⽩酒;含⽔果酒精饮料;葡萄酒;⽢蔗制酒精饮料;果酒（含酒精）;以葡萄酒为主的饮料;酒精饮料（啤酒除外）;⽶酒</t>
  </si>
  <si>
    <t>照鉴</t>
  </si>
  <si>
    <t>河南日月酒窖品牌管理有限公司</t>
  </si>
  <si>
    <t>鸡尾酒;清酒（⽇本⽶酒）;酒精饮料（啤酒除外）;⽶酒;⽩酒;果酒（含酒精）;葡萄酒;烈酒（饮料）;⻩酒;烧酒</t>
  </si>
  <si>
    <t>维扬百夫长</t>
  </si>
  <si>
    <t>朗姆酒;⻩酒;⽩酒;由⾕物蒸馏的⽩酒;⾼粱酒;⽼酒（中国蒸馏烈酒）;红葡萄酒;⽶酒;伏特加酒;⽩⼲酒（中国⽩酒）</t>
  </si>
  <si>
    <t>民谣清花</t>
  </si>
  <si>
    <t>威⼠忌;⽩酒;⻩酒;汽酒;清酒;⽶酒;烧酒;葡萄酒;果酒;⽩兰地</t>
  </si>
  <si>
    <t>虢沁</t>
  </si>
  <si>
    <t>淄博到金商贸有限公司</t>
  </si>
  <si>
    <t>果酒（含酒精）;薄荷酒;酒精饮料原汁;⽩酒;葡萄酒;鸡尾酒;烈酒（饮料）;预先混合的酒精饮料（以啤酒为主的除外）;含⽔果酒精饮料;开胃酒</t>
  </si>
  <si>
    <t>金礼宾牌礼宾红 礼宾牌礼宾红</t>
  </si>
  <si>
    <t>烧酒;烈酒;葡萄酒;⽶酒;清酒;果酒;酒精饮料（啤酒除外）;⻩酒;⽼酒（中国蒸馏烈酒）;⽩酒</t>
  </si>
  <si>
    <t>龙舟百夫长</t>
  </si>
  <si>
    <t>⽶酒;伏特加酒;⽩酒;⽼酒（中国蒸馏烈酒）;红葡萄酒;⻩酒;⽩⼲酒（中国⽩酒）;由⾕物蒸馏的⽩酒;⾼粱酒;朗姆酒</t>
  </si>
  <si>
    <t>阐云</t>
  </si>
  <si>
    <t>贵州千方百惠贸易有限公司</t>
  </si>
  <si>
    <t>由⾕物蒸馏的⽩酒;⾼粱酒;烧酒（烈酒）;蒸煮提取物（利⼝酒和烈酒）;⽼酒（中国蒸馏烈酒）;⽩酒;⽶酒;果酒;⽩⼲酒（中国⽩酒）;⻩酒</t>
  </si>
  <si>
    <t>索栗皇</t>
  </si>
  <si>
    <t>吉林省酥西施餐饮管理有限公司</t>
  </si>
  <si>
    <t>⻩酒;酒精饮料（啤酒除外）;苦味酒;⽩酒;威⼠忌;含⽔果酒精饮料;⽶酒;开胃酒;蜂蜜酒;葡萄酒</t>
  </si>
  <si>
    <t>弼元堂 BI YUAN TONG</t>
  </si>
  <si>
    <t>泉州泰吉尔企业管理有限公司</t>
  </si>
  <si>
    <t>酒精饮料（啤酒除外）;含酒精的⽓泡⽔;除啤酒外的酒精饮料;⾕物制蒸馏酒精饮料;以葡萄酒为主的饮料;⽼酒（中国蒸馏烈酒）;餐后酒（利⼝酒和烈酒）;⽩酒;葡萄酒;含⽔果酒精饮料;⽶酒</t>
  </si>
  <si>
    <t>言武台</t>
  </si>
  <si>
    <t>葡萄酒;⽩酒;鸡尾酒;⽩兰地;烈酒;⻘稞酒;烧酒;⻩酒;⽶酒;威⼠忌</t>
  </si>
  <si>
    <t>鸿溪黔王</t>
  </si>
  <si>
    <t>吴毅522601********4418</t>
  </si>
  <si>
    <t>果酒（含酒精）;酒精饮料（啤酒除外）;葡萄酒;烈酒（饮料）;清酒（⽇本⽶酒）;⻩酒;⽩酒;鸡尾酒;⽶酒;烧酒</t>
  </si>
  <si>
    <t>高瑟国际贸易(北京)有限公司</t>
  </si>
  <si>
    <t>葡萄酒;红葡萄酒;开胃酒;鸡尾酒;蒸煮提取物（利⼝酒和烈酒）;烈酒（饮料）;果酒（含酒精）;酸酒（低等葡萄酒）;清酒;⽩兰地</t>
  </si>
  <si>
    <t>醉乡炉</t>
  </si>
  <si>
    <t>邓广广</t>
  </si>
  <si>
    <t>⽶酒;果酒（含酒精）;葡萄酒;威⼠忌;烈酒（饮料）;开胃酒;蜂蜜酒;含⽔果酒精饮料;鸡尾酒;⽩酒</t>
  </si>
  <si>
    <t>盏纯</t>
  </si>
  <si>
    <t>梁康</t>
  </si>
  <si>
    <t>开胃酒;酒精饮料（啤酒除外）;鸡尾酒;葡萄酒;威⼠忌;⻩酒;烈酒;果酒（含酒精）;清酒（⽇本⽶酒）;⽩酒</t>
  </si>
  <si>
    <t>将武台</t>
  </si>
  <si>
    <t>烧酒;烈酒;⻩酒;鸡尾酒;⽩酒;⽩兰地;威⼠忌;⻘稞酒;⽶酒;葡萄酒</t>
  </si>
  <si>
    <t>秢鲜</t>
  </si>
  <si>
    <t>宁夏金谷网农业开发有限公司</t>
  </si>
  <si>
    <t>⻩酒;果酒（含酒精）;葡萄酒;清酒（⽇本⽶酒）;⽶酒;⾷⽤酒精;烧酒;⽩酒;酒精饮料（啤酒除外）;威⼠忌</t>
  </si>
  <si>
    <t>德兴市富农种植专业合作社</t>
  </si>
  <si>
    <t>果酒（含酒精）;酒精饮料（啤酒除外）;葡萄酒;烧酒;烈酒（饮料）;开胃酒;⽩酒;含⽔果酒精饮料;⽶酒;蜂蜜酒</t>
  </si>
  <si>
    <t>黄智能</t>
  </si>
  <si>
    <t>威⼠忌;⻩酒;伏特加酒;⽩兰地;⽶酒;鸡尾酒;朗姆酒;烈酒（饮料）;⽩酒;葡萄酒</t>
  </si>
  <si>
    <t>尊宏溪</t>
  </si>
  <si>
    <t>杨力新</t>
  </si>
  <si>
    <t>烧酒;清酒;烈酒（饮料）;酒精饮料原汁;鸡尾酒;果酒（含酒精）;含⽔果酒精饮料;威⼠忌;蒸馏饮料;⽩酒</t>
  </si>
  <si>
    <t>一方寸一</t>
  </si>
  <si>
    <t>刘硕</t>
  </si>
  <si>
    <t>伏特加酒;酒精饮料（啤酒除外）;⾕物制蒸馏酒精饮料;清酒（⽇本⽶酒）;威⼠忌;烈酒（饮料）;酒精饮料原汁;葡萄酒;⽶酒;鸡尾酒</t>
  </si>
  <si>
    <t>情醉风林</t>
  </si>
  <si>
    <t>贵州省仁怀市五祥酒业有限公司</t>
  </si>
  <si>
    <t>红葡萄酒;⽩酒;果酒;烧酒（烈酒）;⽩⼲酒（中国⽩酒）;⻩酒;烈酒;⽶酒;⽼酒（中国蒸馏烈酒）;威⼠忌</t>
  </si>
  <si>
    <t>CUP OF TIME</t>
  </si>
  <si>
    <t>深圳市中喜酒业有限公司</t>
  </si>
  <si>
    <t>梨酒;烧酒;酒精饮料（啤酒除外）;葡萄酒;⻩酒;⽩酒;鸡尾酒;清酒（⽇本⽶酒）;⽶酒;果酒（含酒精）</t>
  </si>
  <si>
    <t>传艺人</t>
  </si>
  <si>
    <t>贵州金慎酱酒酒业有限公司</t>
  </si>
  <si>
    <t>⽶酒;蒸馏饮料;⽩⼲酒（中国⽩酒）;烈酒（饮料）;⽩酒</t>
  </si>
  <si>
    <t>A</t>
  </si>
  <si>
    <t>青岛九九汇国际贸易有限公司</t>
  </si>
  <si>
    <t>开胃酒;葡萄酒;酸酒（低等葡萄酒）;伏特加酒;威⼠忌;果酒（含酒精）;鸡尾酒;苹果酒;蜂蜜酒;⽩酒</t>
  </si>
  <si>
    <t>醇粹华品</t>
  </si>
  <si>
    <t>红葡萄酒;⽩酒;⽼酒（中国蒸馏烈酒）;果酒;⽶酒;烈酒;威⼠忌;烧酒（烈酒）;⽩⼲酒（中国⽩酒）;⻩酒</t>
  </si>
  <si>
    <t>⽶酒;樱桃酒;⽩酒;梨酒;葡萄酒;开胃酒;鸡尾酒;果酒;苹果酒;⽩兰地</t>
  </si>
  <si>
    <t>FANGSHANYINXIANG</t>
  </si>
  <si>
    <t>北京思源蓝鑫商贸有限公司</t>
  </si>
  <si>
    <t>⽶酒;含酒精⽔果饮料;清酒;蒸馏饮料;以葡萄酒为主的饮料;果酒（含酒精）;⽩酒;果酒;预先混合的酒精饮料（以啤酒为主的除外）;葡萄酒</t>
  </si>
  <si>
    <t>詹家红高汗</t>
  </si>
  <si>
    <t>瑞安市詹家红白酒小作坊</t>
  </si>
  <si>
    <t>葡萄酒;果酒（含酒精）;甜酒;⽶酒;酒精饮料（啤酒除外）;含⽔果酒精饮料;烈酒（饮料）;鸡尾酒;⽩酒;⾼粱酒</t>
  </si>
  <si>
    <t>衡昌烧坊旭友会</t>
  </si>
  <si>
    <t>蒸煮提取物（利⼝酒和烈酒）;⾼粱酒;⽶酒;⽩酒;含⽔果酒精饮料;⻘稞酒;烧酒（烈酒）;⽩⼲酒（中国⽩酒）;开胃酒;⻩酒</t>
  </si>
  <si>
    <t>敬鉴</t>
  </si>
  <si>
    <t>徐州传品酒业有限公司</t>
  </si>
  <si>
    <t>⻘稞酒;开胃酒;梨酒;清酒（⽇本⽶酒）;⽩酒;葡萄酒;威⼠忌;⻩酒;烧酒;利⼝酒</t>
  </si>
  <si>
    <t>贵君台</t>
  </si>
  <si>
    <t>余昌浪</t>
  </si>
  <si>
    <t>开胃酒;⽩酒;⽶酒;果酒（含酒精）;清酒（⽇本⽶酒）;⾕物制蒸馏酒精饮料;葡萄酒;酒精饮料（啤酒除外）;烧酒;烈酒（饮料）</t>
  </si>
  <si>
    <t>淝江情</t>
  </si>
  <si>
    <t>德化县起众象百货商行</t>
  </si>
  <si>
    <t>蒸馏饮料;⽶酒;⽩酒;果酒（含酒精）;⾕物制蒸馏酒精饮料;⽩⼲酒（中国⽩酒）;鸡尾酒;酒精饮料（啤酒除外）;烧酒;清酒（⽇本⽶酒）</t>
  </si>
  <si>
    <t>郭家偈盛酒号</t>
  </si>
  <si>
    <t>杨贵锋</t>
  </si>
  <si>
    <t>⽼酒（中国蒸馏烈酒）;⽩酒;⽩⼲酒（中国⽩酒）;果酒;鸡尾酒;烈酒;⾼粱酒;葡萄酒;烈酒（饮料）;酒精饮料（啤酒除外）</t>
  </si>
  <si>
    <t>瓦格蒂</t>
  </si>
  <si>
    <t>德化县空友悦百货商行</t>
  </si>
  <si>
    <t>朗姆酒;威⼠忌;⻩酒;鸡尾酒;⽩酒;清酒（⽇本⽶酒）;葡萄酒;开胃酒;果酒（含酒精）;酒精饮料（啤酒除外）</t>
  </si>
  <si>
    <t>蓝板紫坛</t>
  </si>
  <si>
    <t>蜀品侯</t>
  </si>
  <si>
    <t>德化县古妙要百货商行</t>
  </si>
  <si>
    <t>鸡尾酒;酒精饮料（啤酒除外）;⽩酒;⽩⼲酒（中国⽩酒）;果酒（含酒精）;清酒（⽇本⽶酒）;⽶酒;⾕物制蒸馏酒精饮料;烧酒;蒸馏饮料</t>
  </si>
  <si>
    <t>酉选</t>
  </si>
  <si>
    <t>智享佳（山东）品牌运营有限公司</t>
  </si>
  <si>
    <t>鸡尾酒;烈酒（饮料）;威⼠忌;⽶酒;烈酒;果酒;含⽔果酒精饮料;⽩酒;⽩兰地;烧酒</t>
  </si>
  <si>
    <t>忆粮人</t>
  </si>
  <si>
    <t>徐恒</t>
  </si>
  <si>
    <t>果酒（含酒精）;⽩兰地;威⼠忌;烧酒;⽩酒;鸡尾酒;葡萄酒;⽶酒;⻩酒;蒸馏饮料</t>
  </si>
  <si>
    <t>独尊华</t>
  </si>
  <si>
    <t>广东华枝春酒业有限公司</t>
  </si>
  <si>
    <t>⽩兰地;⽶酒;葡萄酒;含酒精⽔果饮料;蒸馏饮料;鸡尾酒;预调甜酒;烈酒（饮料）;⽩酒;果酒（含酒精）</t>
  </si>
  <si>
    <t>秋瑞鹿</t>
  </si>
  <si>
    <t>唐蒙恩</t>
  </si>
  <si>
    <t>威⼠忌;蒸馏饮料;⽩酒;鸡尾酒;烧酒;果酒（含酒精）;清酒;烈酒（饮料）;酒精饮料原汁;含⽔果酒精饮料</t>
  </si>
  <si>
    <t>弘鉴</t>
  </si>
  <si>
    <t>清酒（⽇本⽶酒）;威⼠忌;烧酒;利⼝酒;⻩酒;梨酒;⻘稞酒;⽩酒;葡萄酒;开胃酒</t>
  </si>
  <si>
    <t>雯玺</t>
  </si>
  <si>
    <t>广州市雯玺酒业发展有限公司</t>
  </si>
  <si>
    <t>⽢蔗制烈酒;⽩⼲酒（中国⽩酒）;⽼酒（中国蒸馏烈酒）;⾼粱酒;⻩酒;烧酒;汽酒;预先混合的酒精饮料（以啤酒为主的除外）;葡萄酒;酒精饮料浓缩汁</t>
  </si>
  <si>
    <t>湘桔湘缘</t>
  </si>
  <si>
    <t>洞口县省级农业科技园区管理委员会</t>
  </si>
  <si>
    <t>⽶酒;柑⾹酒;果酒（含酒精）;含⽔果酒精饮料;⾷⽤酒精;蜂蜜酒;⽩兰地;酒精饮料（啤酒除外）;以葡萄酒为主的饮料;⽩酒</t>
  </si>
  <si>
    <t>汏兴</t>
  </si>
  <si>
    <t>烧酒;⻘稞酒;甜酒;果酒;烈酒;酒精饮料原汁;葡萄酒;⽶酒;⽩酒;鸡尾酒</t>
  </si>
  <si>
    <t>猎虎韵邑</t>
  </si>
  <si>
    <t>邓婉文</t>
  </si>
  <si>
    <t>汽酒;蒸煮提取物（利⼝酒和烈酒）;葡萄酒;鸡尾酒;⽩兰地;⽶酒;⻩酒;⽩酒;酒精饮料（啤酒除外）;果酒（含酒精）</t>
  </si>
  <si>
    <t>庞老稻</t>
  </si>
  <si>
    <t>庞文坦</t>
  </si>
  <si>
    <t>伏特加酒;烈酒（饮料）;酒精饮料原汁;白酒;清酒（日本米酒）;威士忌;鸡尾酒;酒精饮料（啤酒除外）;葡萄酒;米酒</t>
  </si>
  <si>
    <t>湘乐康</t>
  </si>
  <si>
    <t>湖南省湘乐康大药房有限公司</t>
  </si>
  <si>
    <t>⽶酒;⻩酒;烧酒;汽酒;⻘稞酒;⽩酒;葡萄酒;含⽔果酒精饮料;烈酒（饮料）;⾷⽤酒精</t>
  </si>
  <si>
    <t>寻宁礼</t>
  </si>
  <si>
    <t>宁夏小野食品有限公司</t>
  </si>
  <si>
    <t>⽶酒;⾷⽤酒精;葡萄酒;酒精饮料原汁;⾕物制蒸馏酒精饮料;⻘稞酒;蜂蜜酒;樱桃酒;果酒（含酒精）;⻩酒</t>
  </si>
  <si>
    <t>稻盛来</t>
  </si>
  <si>
    <t>未亮亮</t>
  </si>
  <si>
    <t>威⼠忌;含⽔果酒精饮料;⽩兰地;⽩酒;蒸馏饮料;⾼粱酒;烈酒（饮料）;开胃酒;⽶酒;⻩酒</t>
  </si>
  <si>
    <t>金绢</t>
  </si>
  <si>
    <t>昆山市玉山镇邻家春色食品商行（个体工商户）</t>
  </si>
  <si>
    <t>烈酒（饮料）;⽩酒;果酒（含酒精）;清酒（⽇本⽶酒）;⻩酒;葡萄酒;酒精饮料（啤酒除外）;⽶酒;烧酒;薄荷酒</t>
  </si>
  <si>
    <t>KAKSZ 卡克斯金</t>
  </si>
  <si>
    <t>海南亿丰联合实业有限公司</t>
  </si>
  <si>
    <t>⻩酒;蒸馏饮料;葡萄酒;⽶酒;鸡尾酒;酒精饮料原汁;酒精饮料（啤酒除外）;⽩酒;果酒（含酒精）;清酒</t>
  </si>
  <si>
    <t>天望溪</t>
  </si>
  <si>
    <t>普定厚载茗泉酒业有限公司</t>
  </si>
  <si>
    <t>果酒（含酒精）;葡萄酒;开胃酒;⽶酒;预调甜酒;鸡尾酒;⽩酒;⽼酒（中国蒸馏烈酒）;蒸馏饮料;酒精饮料（啤酒除外）</t>
  </si>
  <si>
    <t>芸熙妈妈</t>
  </si>
  <si>
    <t>李宜平</t>
  </si>
  <si>
    <t>⽶酒;蒸馏⽶酒（泡盛酒）;清酒;由⾕物蒸馏的⽩酒;⽩⼲酒（中国⽩酒）;⽩酒;⽼酒（中国蒸馏烈酒）;五加⽪酒（中国混合烈酒）;⾷⽤酒精;烧酒</t>
  </si>
  <si>
    <t>郭氏偈盛酒号</t>
  </si>
  <si>
    <t>⽼酒（中国蒸馏烈酒）;葡萄酒;⾼粱酒;果酒;烈酒;烈酒（饮料）;鸡尾酒;⽩酒;⽩⼲酒（中国⽩酒）;酒精饮料（啤酒除外）</t>
  </si>
  <si>
    <t>华复生HUAFUSHEGN</t>
  </si>
  <si>
    <t>烧酒;⽩酒;烈酒（饮料）;含⽔果酒精饮料;蜂蜜酒;果酒（含酒精）;开胃酒;酒精饮料（啤酒除外）;葡萄酒;⽶酒</t>
  </si>
  <si>
    <t>天青华</t>
  </si>
  <si>
    <t>含酒精⽔果饮料;果酒（含酒精）;⽩酒;蒸馏饮料;预调甜酒;烈酒（饮料）;⽩兰地;⽶酒;葡萄酒;鸡尾酒</t>
  </si>
  <si>
    <t>上海艺和策文化创意集团有限公司</t>
  </si>
  <si>
    <t>葡萄酒;由⾕物蒸馏的⽩酒;⽩兰地;威⼠忌;刺五加酒;⻩酒;果酒（含酒精）;⽩酒;混合威⼠忌酒;酒精饮料（啤酒除外）</t>
  </si>
  <si>
    <t>如圣丹</t>
  </si>
  <si>
    <t>蜂蜜酒;含⽔果酒精饮料;⻩酒;果酒（含酒精）;⾼粱酒;烧酒;⽼酒（中国蒸馏烈酒）;苹果酒;⽩酒;葡萄酒</t>
  </si>
  <si>
    <t>魂无忌</t>
  </si>
  <si>
    <t>凤翔创艺玻璃有限公司</t>
  </si>
  <si>
    <t>葡萄酒;果酒（含酒精）;烧酒;⻩酒;含⽔果酒精饮料;⽩兰地;⽶酒;预先混合的酒精饮料（以啤酒为主的除外）;⽩酒;鸡尾酒</t>
  </si>
  <si>
    <t>太极动力派对</t>
  </si>
  <si>
    <t>河南家风文化科技有限公司</t>
  </si>
  <si>
    <t>⽩酒;苦荞酒;露酒;⽶酒;烧酒;⻩酒;⻘梅酒;果酒（含酒精）;威⼠忌;以葡萄酒为主的开胃酒</t>
  </si>
  <si>
    <t>LANBENVIL</t>
  </si>
  <si>
    <t>伏特加酒;冷冻凝胶状的鸡尾酒;⽩兰地;葡萄酒;朗姆潘趣酒;⻩酒;烈酒;起泡⽩葡萄酒;⽩酒;⽶酒</t>
  </si>
  <si>
    <t>陵源生</t>
  </si>
  <si>
    <t>张家界市武陵源农业旅游开发有限公司</t>
  </si>
  <si>
    <t>葡萄酒;利⼝酒;威⼠忌;⽩酒;烧酒;⽩兰地;⻩酒;苹果酒;⽶酒;果酒（含酒精）</t>
  </si>
  <si>
    <t>戴德姆</t>
  </si>
  <si>
    <t>林铭珍</t>
  </si>
  <si>
    <t>⽩酒;威⼠忌;烈酒;酒精饮料（啤酒除外）;葡萄酒;开胃酒;清酒（⽇本⽶酒）;鸡尾酒;果酒;⻩酒</t>
  </si>
  <si>
    <t>超宏公文包</t>
  </si>
  <si>
    <t>柳州市灰鲸食品有限公司</t>
  </si>
  <si>
    <t>⽶酒;⽩酒;酒精饮料（啤酒除外）;含⽔果酒精饮料;⻩酒;烧酒;葡萄酒;苹果酒;果酒（含酒精）;汽酒</t>
  </si>
  <si>
    <t>门内智慧</t>
  </si>
  <si>
    <t>令狐昌炯</t>
  </si>
  <si>
    <t>⽶酒;蒸馏饮料;酒精饮料（啤酒除外）;烧酒;烈酒（饮料）;⽩酒;葡萄酒;果酒（含酒精）;鸡尾酒;⻩酒</t>
  </si>
  <si>
    <t>中赢</t>
  </si>
  <si>
    <t>田思宇</t>
  </si>
  <si>
    <t>果酒;已调味的蒸馏酒;⾼粱酒;含酒精的饮料（啤酒除外）;烧酒（烈酒）;由⾕物蒸馏的⽩酒;酒精饮料（啤酒除外）;⽼酒（中国蒸馏烈酒）;⽩酒;⽩⼲酒（中国⽩酒）</t>
  </si>
  <si>
    <t>葡萄酒;烈酒（饮料）;⽩酒;蒸馏饮料;⽶酒;果酒（含酒精）;烧酒;⻩酒;鸡尾酒;酒精饮料（啤酒除外）</t>
  </si>
  <si>
    <t>VIDU</t>
  </si>
  <si>
    <t>天津晟焱阁文化传播有限公司</t>
  </si>
  <si>
    <t>⽩酒;果酒;⽩兰地;朗姆酒;鸡尾酒;威⼠忌;汽酒;⽶酒;葡萄酒;酒精饮料（啤酒除外）</t>
  </si>
  <si>
    <t>DEFENG TANG</t>
  </si>
  <si>
    <t>北京那美生物科技有限公司</t>
  </si>
  <si>
    <t>烧酒;鸡尾酒;⾼粱酒;⽶酒;⽩酒;葡萄酒;酒精饮料（啤酒除外）;威⼠忌;烈酒（饮料）;果酒（含酒精）</t>
  </si>
  <si>
    <t>VIVIFYING 桑色昕</t>
  </si>
  <si>
    <t>上海夫渚食品有限公司</t>
  </si>
  <si>
    <t>果酒（含酒精）;酒精饮料（啤酒除外）;⽩酒;⾷⽤酒精;蒸馏饮料;酒精饮料原汁;含⽔果酒精饮料;葡萄酒;鸡尾酒;蒸煮提取物（利⼝酒和烈酒）</t>
  </si>
  <si>
    <t>E-WITTA 益维塔</t>
  </si>
  <si>
    <t>无锡铭润医疗科技有限公司</t>
  </si>
  <si>
    <t>茴芹酒（利⼝酒）;烈酒（饮料）;⽶酒;酒精饮料原汁;酒精饮料浓缩汁;预先混合的酒精饮料（以啤酒为主的除外）;酸酒（低等葡萄酒）;果酒（含酒精）;含⽔果酒精饮料;酒精饮料（啤酒除外）</t>
  </si>
  <si>
    <t>五羊穗醇</t>
  </si>
  <si>
    <t>广州鼎翎咨询服务有限公司</t>
  </si>
  <si>
    <t>红葡萄酒;⽶酒;⾕物制蒸馏酒精饮料;⽩⼲酒（中国⽩酒）;蒸煮提取物（利⼝酒和烈酒）;⽼酒（中国蒸馏烈酒）;果酒;含酒精的饮料（啤酒除外）;威⼠忌;⽩酒</t>
  </si>
  <si>
    <t>东站院子</t>
  </si>
  <si>
    <t>郑州苏夫餐饮服务有限公司</t>
  </si>
  <si>
    <t>果酒（含酒精）;蒸馏饮料;苹果酒;烧酒;葡萄酒;⾼粱酒;烈酒（饮料）;果酒;含酒精的鸡尾酒混合饮品;⽶酒</t>
  </si>
  <si>
    <t>ZIBVV</t>
  </si>
  <si>
    <t>果酒（含酒精）;威⼠忌;酒精饮料原汁;蒸馏饮料;⽩酒;⻩酒;葡萄酒;酒精饮料（啤酒除外）;烧酒;⽶酒</t>
  </si>
  <si>
    <t>星辰长庚</t>
  </si>
  <si>
    <t>星辰长庚（深圳）科技有限公司</t>
  </si>
  <si>
    <t>果酒（含酒精）;薄荷酒;⽩酒;利⼝酒;樱桃酒;⽶酒;鸡尾酒;茴芹酒（利⼝酒）;开胃酒;清酒（⽇本⽶酒）</t>
  </si>
  <si>
    <t>云中草原春坤</t>
  </si>
  <si>
    <t>内蒙古秦鼎酒业有限公司</t>
  </si>
  <si>
    <t>⾷⽤酒精;鸡尾酒;葡萄酒;酒精饮料（啤酒除外）;果酒;⽩酒;蒸煮提取物（利⼝酒和烈酒）;蒸馏饮料;含⽔果酒精饮料;⽩兰地</t>
  </si>
  <si>
    <t>豫宛刘集</t>
  </si>
  <si>
    <t>余新雷</t>
  </si>
  <si>
    <t>⽶酒;葡萄酒;酒精饮料原汁;鸡尾酒;⾷⽤酒精;含⽔果酒精饮料;威⼠忌;⻩酒;⽩酒;烧酒</t>
  </si>
  <si>
    <t>谭氏弘农堂</t>
  </si>
  <si>
    <t>四川千淘电子商务有限公司</t>
  </si>
  <si>
    <t>果酒（含酒精）;鸡尾酒;⽶酒;含酒精的⽓泡⽔;葡萄酒;⻩酒;烧酒;开胃酒;⽩酒;酒精饮料（啤酒除外）</t>
  </si>
  <si>
    <t>冀承人</t>
  </si>
  <si>
    <t>吴锋</t>
  </si>
  <si>
    <t>⽩酒;葡萄酒;酒精饮料（啤酒除外）;⻩酒;威⼠忌;果酒（含酒精）;开胃酒;鸡尾酒;清酒（⽇本⽶酒）;烈酒</t>
  </si>
  <si>
    <t>祥瑞华夏</t>
  </si>
  <si>
    <t>卢卫星</t>
  </si>
  <si>
    <t>⽩⼲酒（中国⽩酒）</t>
  </si>
  <si>
    <t>役志论</t>
  </si>
  <si>
    <t>河南省明福塔酿酒有限公司</t>
  </si>
  <si>
    <t>⻩酒;⾼粱酒;⽩酒;苹果酒;以葡萄酒为主的饮料;⽶酒;烧酒;由⾕物蒸馏的⽩酒;酒精饮料浓缩汁;果酒</t>
  </si>
  <si>
    <t>炎黄客</t>
  </si>
  <si>
    <t>丁琼花</t>
  </si>
  <si>
    <t>果酒（含酒精）;威⼠忌;⽩酒;葡萄酒;除啤酒外的酒精饮料;烧酒;鸡尾酒;⽶酒;⻩酒;蒸馏饮料</t>
  </si>
  <si>
    <t>天曲寿</t>
  </si>
  <si>
    <t>郭爱民</t>
  </si>
  <si>
    <t>⽩兰地;⻩酒;葡萄酒;⽩酒;⽶酒;汽酒;威⼠忌;果酒;蒸馏饮料;含酒精的饮料（啤酒除外）</t>
  </si>
  <si>
    <t>阿克陶县汇泽圆水利建设投资开发有限责任公司</t>
  </si>
  <si>
    <t>酒精饮料浓缩汁;⾕物制蒸馏酒精饮料;餐后酒（利⼝酒和烈酒）;含酒精⽔果饮料;⽩酒;酒精饮料原汁;酒精饮料（啤酒除外）;含⽔果酒精饮料;以葡萄酒为主的饮料;烧酒</t>
  </si>
  <si>
    <t>持敬·雅君</t>
  </si>
  <si>
    <t>华夏龙文(北京)国学文化研究院</t>
  </si>
  <si>
    <t>烧酒（烈酒）;⽼酒（中国蒸馏烈酒）;⽩酒;烈酒（饮料）;⻩酒;葡萄酒;酒精饮料（啤酒除外）;⽶酒;含酒精⽔果饮料;以葡萄酒为主的饮料</t>
  </si>
  <si>
    <t>智变赢乾</t>
  </si>
  <si>
    <t>威⼠忌;酒精饮料原汁;⽶酒;蒸馏饮料;⻩酒;⽩酒;果酒（含酒精）;葡萄酒;酒精饮料（啤酒除外）;烧酒</t>
  </si>
  <si>
    <t>ZIBAA</t>
  </si>
  <si>
    <t>⽶酒;果酒（含酒精）;⽩酒;葡萄酒;烧酒;酒精饮料原汁;酒精饮料（啤酒除外）;⻩酒;蒸馏饮料;威⼠忌</t>
  </si>
  <si>
    <t>富贵族</t>
  </si>
  <si>
    <t>罗善</t>
  </si>
  <si>
    <t>鸡尾酒;烧酒;开胃酒;⽩酒;⽶酒;烈酒（饮料）;利⼝酒;⻩酒;葡萄酒;含⽔果酒精饮料</t>
  </si>
  <si>
    <t>诺布膏</t>
  </si>
  <si>
    <t>西安智美睿生物科技有限公司</t>
  </si>
  <si>
    <t>烈酒（饮料）;⽩酒;果酒;葡萄酒;⻩酒;含酒精的鸡尾酒混合饮品;烈酒;开胃酒;烧酒;⽩兰地</t>
  </si>
  <si>
    <t>五五至尊</t>
  </si>
  <si>
    <t>新疆五五酒业有限公司</t>
  </si>
  <si>
    <t>⾷⽤酒精;烈酒（饮料）;⽩酒;酒精饮料原汁;⾕物制蒸馏酒精饮料;⽼酒（中国蒸馏烈酒）;果酒（含酒精）;葡萄酒;酒精饮料（啤酒除外）;烧酒</t>
  </si>
  <si>
    <t>龙再春</t>
  </si>
  <si>
    <t>潍坊天利投资集团有限公司</t>
  </si>
  <si>
    <t>果酒（含酒精）;烈酒（饮料）;⽶酒;葡萄酒;预先混合的酒精饮料（以啤酒为主的除外）;⻩酒;烧酒;蒸馏饮料;酒精饮料（啤酒除外）;汽酒</t>
  </si>
  <si>
    <t>禹州市博物馆</t>
  </si>
  <si>
    <t>果酒（含酒精）;利⼝酒;酒精饮料（啤酒除外）;葡萄酒;⽩酒;鸡尾酒;烈酒（饮料）;⻩酒;蜂蜜酒;樱桃酒</t>
  </si>
  <si>
    <t>姜斗斗</t>
  </si>
  <si>
    <t>沈阳福宝隆商务信息咨询有限公司</t>
  </si>
  <si>
    <t>果酒（含酒精）;烈酒（饮料）;⾷⽤酒精;⽩酒;伏特加酒;⽩兰地;⻩酒;酒精饮料（啤酒除外）;威⼠忌;葡萄酒</t>
  </si>
  <si>
    <t>息</t>
  </si>
  <si>
    <t>息酒（睢县）品牌管理有限公司</t>
  </si>
  <si>
    <t>古蜀酿川酒坊</t>
  </si>
  <si>
    <t>古蜀酿酒业（天津）有限公司</t>
  </si>
  <si>
    <t>葡萄酒;清酒（⽇本⽶酒）;⾷⽤酒精;⽶酒;烧酒;蒸馏饮料;⻘稞酒;⽩酒;果酒（含酒精）;酒精饮料（啤酒除外）</t>
  </si>
  <si>
    <t>清谷酩鉴</t>
  </si>
  <si>
    <t>邢仙琴</t>
  </si>
  <si>
    <t>葡萄酒;威⼠忌;⾷⽤酒精;烈酒（饮料）;⽩兰地;酒精饮料（啤酒除外）;⻩酒;伏特加酒;⾕物制蒸馏酒精饮料;果酒（含酒精）</t>
  </si>
  <si>
    <t>YIN YE RIVER</t>
  </si>
  <si>
    <t>海丰县真源酒业有限公司</t>
  </si>
  <si>
    <t>⽢蔗制烈酒;⾼粱酒;由⾕物蒸馏的⽩酒;⾷⽤酒精;果酒;⽩酒;⽶酒;露酒;⻩酒;甜酒</t>
  </si>
  <si>
    <t>智变赢道</t>
  </si>
  <si>
    <t>果酒（含酒精）;烧酒;蒸馏饮料;葡萄酒;⽩酒;⻩酒;酒精饮料原汁;酒精饮料（啤酒除外）;⽶酒;威⼠忌</t>
  </si>
  <si>
    <t>智变赢坤</t>
  </si>
  <si>
    <t>果酒（含酒精）;蒸馏饮料;酒精饮料原汁;酒精饮料（啤酒除外）;葡萄酒;威⼠忌;烧酒;⽩酒;⻩酒;⽶酒</t>
  </si>
  <si>
    <t>大同代王红</t>
  </si>
  <si>
    <t>大同市华标贸易有限公司</t>
  </si>
  <si>
    <t>果酒（含酒精）;鸡尾酒;⽶酒;⻩酒;⽩酒;酒精饮料（啤酒除外）;威⼠忌;含⽔果酒精饮料;葡萄酒;红葡萄酒</t>
  </si>
  <si>
    <t>铁冠东坡</t>
  </si>
  <si>
    <t>蓝城绿居建设科技有限公司</t>
  </si>
  <si>
    <t>酒精饮料（啤酒除外）;葡萄酒;⽩酒;⾷⽤酒精;⻩酒;⽶酒;⽩兰地;威⼠忌;鸡尾酒;预先混合的酒精饮料（以啤酒为主的除外）</t>
  </si>
  <si>
    <t>渝涵</t>
  </si>
  <si>
    <t>重庆市奇融食品有限公司</t>
  </si>
  <si>
    <t>威⼠忌;⽶酒;⻩酒;葡萄酒;⽩酒;清酒（⽇本⽶酒）;烧酒;果酒（含酒精）;酒精饮料（啤酒除外）;烈酒（饮料）</t>
  </si>
  <si>
    <t>宁波李家唐企业管理有限公司</t>
  </si>
  <si>
    <t>ZIBVA</t>
  </si>
  <si>
    <t>葡萄酒;蒸馏饮料;酒精饮料（啤酒除外）;果酒（含酒精）;⽩酒;酒精饮料原汁;⽶酒;烧酒;⻩酒;威⼠忌</t>
  </si>
  <si>
    <t>LEKILIKE</t>
  </si>
  <si>
    <t>周魁</t>
  </si>
  <si>
    <t>鸡尾酒;清酒（⽇本⽶酒）;⽶酒;樱桃酒;葡萄酒;果酒（含酒精）;酒精饮料（啤酒除外）;⽩酒;烧酒;⻩酒</t>
  </si>
  <si>
    <t>怀庄手礼</t>
  </si>
  <si>
    <t>⽶酒;⽩酒;开胃酒;葡萄酒;酒精饮料（啤酒除外）;烈酒;蒸馏饮料;预先混合的酒精饮料（以啤酒为主的除外）;果酒;烧酒</t>
  </si>
  <si>
    <t>茶渡初饮</t>
  </si>
  <si>
    <t>张杰</t>
  </si>
  <si>
    <t>烧酒;⽩兰地;预先混合的酒精饮料（以啤酒为主的除外）;威⼠忌;鸡尾酒;酒精饮料浓缩汁;开胃酒;烈酒（饮料）;⽩酒;果酒（含酒精）</t>
  </si>
  <si>
    <t>鹏萱铭</t>
  </si>
  <si>
    <t>吴克财</t>
  </si>
  <si>
    <t>⽼酒（中国蒸馏烈酒）;酒精饮料（啤酒除外）;果酒（含酒精）;⽩酒;鸡尾酒;调制好的葡萄酒鸡尾酒;⾼粱酒;蒸煮提取物（利⼝酒和烈酒）;预先混合的酒精饮料（以啤酒为主的除外）;葡萄酒</t>
  </si>
  <si>
    <t>玺尊煌</t>
  </si>
  <si>
    <t>黑龙江鹿旗堂商贸有限公司</t>
  </si>
  <si>
    <t>葡萄酒;蒸馏饮料;烧酒;酒精饮料（啤酒除外）;蒸煮提取物（利⼝酒和烈酒）;⽶酒;含⽔果酒精饮料;清酒（⽇本⽶酒）;⽩酒;果酒（含酒精）</t>
  </si>
  <si>
    <t>怀抱鱼</t>
  </si>
  <si>
    <t>威⼠忌;烧酒;⽩⼲酒（中国⽩酒）;烧酒（烈酒）;果酒;⻩酒;⽩酒;鸡尾酒;⾼粱酒;葡萄酒</t>
  </si>
  <si>
    <t>苏州叠纸网络科技股份有限公司</t>
  </si>
  <si>
    <t>酒精饮料（啤酒除外）;威⼠忌;清酒（⽇本⽶酒）;⽩酒;⾷⽤酒精;葡萄酒;烈酒（饮料）;果酒（含酒精）;鸡尾酒;蒸馏饮料</t>
  </si>
  <si>
    <t>龙岗河</t>
  </si>
  <si>
    <t>烈酒;烧酒;⻩酒;⽼酒（中国蒸馏烈酒）;⽩⼲酒（中国⽩酒）;⽶酒;露酒;⽩酒;⾼粱酒;由⾕物蒸馏的⽩酒</t>
  </si>
  <si>
    <t>商景元</t>
  </si>
  <si>
    <t>周炜</t>
  </si>
  <si>
    <t>蜂蜜酒;清酒（⽇本⽶酒）;开胃酒;果酒（含酒精）;鸡尾酒;葡萄酒;⻩酒;⽩酒;⽶酒;烈酒</t>
  </si>
  <si>
    <t>邻田加</t>
  </si>
  <si>
    <t>加美珍品（北京）商贸有限公司</t>
  </si>
  <si>
    <t>果酒（含酒精）;葡萄酒;⽶酒;含酒精⽔果饮料;⽩酒;开胃酒;烧酒;清酒;酒精饮料（啤酒除外）;汽酒</t>
  </si>
  <si>
    <t>与</t>
  </si>
  <si>
    <t>莫凌风</t>
  </si>
  <si>
    <t>⻘稞酒;茴芹酒（利⼝酒）;⽩酒;⾷⽤酒精;果酒（含酒精）;薄荷酒;烧酒;⻩酒;苦味酒;酒精饮料（啤酒除外）</t>
  </si>
  <si>
    <t>怀庄君系列</t>
  </si>
  <si>
    <t>⽶酒;葡萄酒;烈酒（饮料）;⾕物制蒸馏酒精饮料;蒸馏饮料;⽩酒;露酒;果酒（含酒精）;苹果酒;餐后酒（利⼝酒和烈酒）</t>
  </si>
  <si>
    <t>文承</t>
  </si>
  <si>
    <t>四川省文承酒业有限公司</t>
  </si>
  <si>
    <t>⽩酒;伏特加酒;烈酒（饮料）;⾷⽤酒精;⻘稞酒;葡萄酒;酒精饮料（啤酒除外）;果酒（含酒精）;烧酒;威⼠忌</t>
  </si>
  <si>
    <t>淄齐小镇</t>
  </si>
  <si>
    <t>冯振波37030********5591X</t>
  </si>
  <si>
    <t>葡萄酒;鸡尾酒;⽶酒;⻩酒;威⼠忌;⽩兰地;烧酒;⽩酒;果酒（含酒精）;烈酒（饮料）</t>
  </si>
  <si>
    <t>怀庄首礼</t>
  </si>
  <si>
    <t>果酒;⽶酒;⽩酒;开胃酒;烧酒;酒精饮料（啤酒除外）;蒸馏饮料;烈酒;预先混合的酒精饮料（以啤酒为主的除外）;葡萄酒</t>
  </si>
  <si>
    <t>神州清花</t>
  </si>
  <si>
    <t>⽩酒;⻩酒;开胃酒;苹果酒;清酒（⽇本⽶酒）;鸡尾酒;葡萄酒;利⼝酒;烈酒（饮料）;果酒（含酒精）</t>
  </si>
  <si>
    <t>哈小郑</t>
  </si>
  <si>
    <t>哈工大郑州研究院</t>
  </si>
  <si>
    <t>薄荷酒;葡萄酒;酒精饮料（啤酒除外）;酒精饮料原汁;烧酒;清酒（⽇本⽶酒）;⻩酒;鸡尾酒;⽩酒;果酒（含酒精）</t>
  </si>
  <si>
    <t>斯巴奴</t>
  </si>
  <si>
    <t>赵亚君</t>
  </si>
  <si>
    <t>⾼粱酒;⽶酒;果酒（含酒精）;烈酒（饮料）;⽼酒（中国蒸馏烈酒）;⽩酒;烧酒;含⽔果酒精饮料;葡萄酒;酒精饮料（啤酒除外）</t>
  </si>
  <si>
    <t>凌水子</t>
  </si>
  <si>
    <t>世代（辽宁）建材有限公司</t>
  </si>
  <si>
    <t>含⽔果酒精饮料;⽶酒;烈酒（饮料）;⽩酒;⻘稞酒;烧酒;⻩酒;威⼠忌;果酒（含酒精）;⾷⽤酒精</t>
  </si>
  <si>
    <t>誉上好</t>
  </si>
  <si>
    <t>青岛闪找科技有限公司</t>
  </si>
  <si>
    <t>果酒（含酒精）;红葡萄酒;⽼酒（中国蒸馏烈酒）;苹果酒;烧酒（烈酒）;⻩酒;樱桃酒;⽩酒;甜酒;葡萄酒</t>
  </si>
  <si>
    <t>TLC</t>
  </si>
  <si>
    <t>安徽荣光农业科技有限公司</t>
  </si>
  <si>
    <t>伏特加酒;含酒精⽔果饮料;甜酒;⽩酒;⽩⼲酒（中国⽩酒）;威⼠忌;梨酒;⽩兰地;果酒（含酒精）;⾼粱酒</t>
  </si>
  <si>
    <t>雅克哈德</t>
  </si>
  <si>
    <t>四川省雅克哈德酒店管理有限公司</t>
  </si>
  <si>
    <t>酒精饮料浓缩汁;⽶酒;⾕物制蒸馏酒精饮料;⻘稞酒;⽩酒;开胃酒;⻩酒;鸡尾酒;葡萄酒;果酒（含酒精）</t>
  </si>
  <si>
    <t>四方聚</t>
  </si>
  <si>
    <t>罗光平500230********7714</t>
  </si>
  <si>
    <t>⾼粱酒;烧酒;⽩⼲酒（中国⽩酒）;⽩酒;⽶酒;烈酒;果酒;露酒;蒸煮提取物（利⼝酒和烈酒）;酒精饮料（啤酒除外）</t>
  </si>
  <si>
    <t>龙福恋曲</t>
  </si>
  <si>
    <t>南京龙福恋曲商贸有限公司</t>
  </si>
  <si>
    <t>葡萄酒;鸡尾酒;⽢蔗制烈酒;果酒（含酒精）;烧酒;烈酒（饮料）;⻩酒;⽩酒;⽶酒;酒精饮料（啤酒除外）</t>
  </si>
  <si>
    <t>沽水坊</t>
  </si>
  <si>
    <t>梁保峰342126********9017</t>
  </si>
  <si>
    <t>⽩酒;⾷⽤酒精;烈酒（饮料）;⽶酒;烈性⼲酒;烈酒;⻩酒;清酒（⽇本⽶酒）;⽩⼲酒（中国⽩酒）;果酒</t>
  </si>
  <si>
    <t>闻酩千里</t>
  </si>
  <si>
    <t>葡萄酒;开胃酒;鸡尾酒;⻩酒;烈酒;清酒（⽇本⽶酒）;⽩酒;果酒（含酒精）;酒精饮料（啤酒除外）;威⼠忌</t>
  </si>
  <si>
    <t>T</t>
  </si>
  <si>
    <t>上海馥临门酒业有限公司</t>
  </si>
  <si>
    <t>清酒（⽇本⽶酒）;⽶酒;葡萄酒;⽩酒;⻩酒</t>
  </si>
  <si>
    <t>宫窑小清花</t>
  </si>
  <si>
    <t>山西杏花杏汾国酒股份有限公司</t>
  </si>
  <si>
    <t>朗姆酒;鸡尾酒;葡萄酒;⽩兰地;伏特加酒;⻩酒;烧酒;果酒（含酒精）;⽩酒;威⼠忌</t>
  </si>
  <si>
    <t>贡御润</t>
  </si>
  <si>
    <t>郑州古之林商贸有限公司</t>
  </si>
  <si>
    <t>酒精饮料（啤酒除外）;⻩酒;葡萄酒;汽酒;鸡尾酒;⽶酒;烈酒;清酒;威⼠忌;果酒（含酒精）</t>
  </si>
  <si>
    <t>氿桶</t>
  </si>
  <si>
    <t>厦门圣洋嘉管理咨询有限公司</t>
  </si>
  <si>
    <t>果酒;烧酒;葡萄酒;烈酒;清酒;⾷⽤酒精;⽩酒;蜂蜜酒;开胃酒;⻩酒</t>
  </si>
  <si>
    <t>老酒巷基酒</t>
  </si>
  <si>
    <t>亳州市酒巷酒业有限责任公司</t>
  </si>
  <si>
    <t>⻩酒;⽩酒;⽶酒;⽼酒（中国蒸馏烈酒）;⾷⽤酒精;露酒;葡萄酒;烧酒;果酒;酒精饮料（啤酒除外）</t>
  </si>
  <si>
    <t>开心鬼</t>
  </si>
  <si>
    <t>烈酒（饮料）;⽩酒;烈酒;梅酒;果酒;⽶酒;烧酒（烈酒）;酒精饮料浓缩汁;含⽔果酒精饮料;烈性⼲酒</t>
  </si>
  <si>
    <t>施州清溪</t>
  </si>
  <si>
    <t>曲风雷</t>
  </si>
  <si>
    <t>⽶酒;红葡萄酒;梅酒;烧酒;甜酒;苦荞酒;果酒（含酒精）;⽩酒;葡萄酒;⻩酒</t>
  </si>
  <si>
    <t>穿岩九十四</t>
  </si>
  <si>
    <t>利⼝酒;朗姆酒;伏特加酒;⽩兰地;酒精饮料（啤酒除外）;⽩酒;果酒;威⼠忌;葡萄酒;鸡尾酒</t>
  </si>
  <si>
    <t>穿岩六十九</t>
  </si>
  <si>
    <t>⽩兰地;葡萄酒;⽩酒;伏特加酒;鸡尾酒;果酒;酒精饮料（啤酒除外）;利⼝酒;威⼠忌;朗姆酒</t>
  </si>
  <si>
    <t>穿岩七十一</t>
  </si>
  <si>
    <t>利⼝酒;⽩酒;果酒;伏特加酒;威⼠忌;葡萄酒;酒精饮料（啤酒除外）;朗姆酒;⽩兰地;鸡尾酒</t>
  </si>
  <si>
    <t>穿岩九十五</t>
  </si>
  <si>
    <t>葡萄酒;朗姆酒;⽩酒;果酒;伏特加酒;⽩兰地;酒精饮料（啤酒除外）;利⼝酒;威⼠忌;鸡尾酒</t>
  </si>
  <si>
    <t>穿岩七十七</t>
  </si>
  <si>
    <t>⽩酒;果酒;⽩兰地;葡萄酒;朗姆酒;伏特加酒;利⼝酒;鸡尾酒;酒精饮料（啤酒除外）;威⼠忌</t>
  </si>
  <si>
    <t>雍灵</t>
  </si>
  <si>
    <t>陕西西凤露酒有限公司</t>
  </si>
  <si>
    <t>苹果酒;天然汽酒;葡萄酒;⽩酒;薄荷酒;果酒（含酒精）;清酒（⽇本⽶酒）;露酒;鸡尾酒;烧酒</t>
  </si>
  <si>
    <t>心醉长安</t>
  </si>
  <si>
    <t>陕西茶花酿酒业有限公司</t>
  </si>
  <si>
    <t>清酒（⽇本⽶酒）;⽩兰地;果酒（含酒精）;烈酒;葡萄酒;⽩酒;⽶酒;⻘稞酒;烧酒;威⼠忌</t>
  </si>
  <si>
    <t>赋能元清花</t>
  </si>
  <si>
    <t>清酒（⽇本⽶酒）;⽩酒;葡萄酒;威⼠忌;烧酒;果酒（含酒精）;开胃酒;⽶酒;鸡尾酒;含⽔果酒精饮料</t>
  </si>
  <si>
    <t>酩兄烧坊</t>
  </si>
  <si>
    <t>鸡尾酒;葡萄酒;开胃酒;威⼠忌;烈酒;⻩酒;果酒（含酒精）;⽩酒;清酒（⽇本⽶酒）;酒精饮料（啤酒除外）</t>
  </si>
  <si>
    <t>铜人名堂</t>
  </si>
  <si>
    <t>⻩酒;⽩酒;果酒（含酒精）;酒精饮料（啤酒除外）;汽酒;伏特加酒;杨梅酒;甜酒;⽶酒;烧酒</t>
  </si>
  <si>
    <t>柯洋仙</t>
  </si>
  <si>
    <t>厦门市同安区福纳百砖瓷砖经营部</t>
  </si>
  <si>
    <t>⽶酒;烧酒;佐餐酒;威⼠忌;⾼粱酒;由⾕物蒸馏的⽩酒;葡萄酒;⻩酒;果酒;⽩酒</t>
  </si>
  <si>
    <t>穿岩六十七</t>
  </si>
  <si>
    <t>果酒;威⼠忌;⽩兰地;朗姆酒;利⼝酒;酒精饮料（啤酒除外）;伏特加酒;⽩酒;葡萄酒;鸡尾酒</t>
  </si>
  <si>
    <t>长百宁</t>
  </si>
  <si>
    <t>重庆万展星医药科技有限公司</t>
  </si>
  <si>
    <t>苦味酒;⽩⼲酒（中国⽩酒）;烈酒;蒸煮提取物（利⼝酒和烈酒）;烧酒;⾼粱酒;烧酒（烈酒）;⽼酒（中国蒸馏烈酒）;⽩酒;⻘梅酒</t>
  </si>
  <si>
    <t>黔祖师</t>
  </si>
  <si>
    <t>葡萄酒;⻩酒;烧酒;⻘稞酒;⽶酒;烈酒;⽩兰地;威⼠忌;⽩酒;鸡尾酒</t>
  </si>
  <si>
    <t>混合威⼠忌酒;蒸馏饮料;红葡萄酒;含酒精⽔果饮料;伏特加酒;⽩酒;含酒精的饮料（啤酒除外）;烧酒;以葡萄酒为主的开胃酒;由⾕物蒸馏的⽩酒</t>
  </si>
  <si>
    <t>穿岩八十九</t>
  </si>
  <si>
    <t>果酒;⽩兰地;⽩酒;伏特加酒;葡萄酒;酒精饮料（啤酒除外）;朗姆酒;威⼠忌;鸡尾酒;利⼝酒</t>
  </si>
  <si>
    <t>穿岩八十四</t>
  </si>
  <si>
    <t>⽩酒;⽩兰地;酒精饮料（啤酒除外）;葡萄酒;鸡尾酒;伏特加酒;果酒;利⼝酒;威⼠忌;朗姆酒</t>
  </si>
  <si>
    <t>深圳市赛凌伟业科技有限公司</t>
  </si>
  <si>
    <t>果酒（含酒精）;预先混合的酒精饮料（以啤酒为主的除外）;含⽔果酒精饮料;蒸馏饮料;葡萄酒;⽶酒;⾷⽤酒精;开胃酒;除啤酒外的酒精饮料;酒精饮料浓缩汁</t>
  </si>
  <si>
    <t>赤源镇</t>
  </si>
  <si>
    <t>贵州尧台酒业有限公司</t>
  </si>
  <si>
    <t>果酒（含酒精）;开胃酒;蒸馏饮料;烈酒（饮料）;烧酒;葡萄酒;利⼝酒;酒精饮料（啤酒除外）;⽩酒;⽶酒</t>
  </si>
  <si>
    <t>渝荐</t>
  </si>
  <si>
    <t>冯志明</t>
  </si>
  <si>
    <t>酒精饮料（啤酒除外）;汽酒;果酒（含酒精）;⽶酒;清酒;葡萄酒;烧酒;⻩酒;⽩酒;蒸馏饮料</t>
  </si>
  <si>
    <t>穿岩一百</t>
  </si>
  <si>
    <t>利⼝酒;朗姆酒;⽩酒;威⼠忌;酒精饮料（啤酒除外）;⽩兰地;鸡尾酒;果酒;葡萄酒;伏特加酒</t>
  </si>
  <si>
    <t>穿岩九十六</t>
  </si>
  <si>
    <t>⽩酒;伏特加酒;朗姆酒;鸡尾酒;威⼠忌;果酒;利⼝酒;酒精饮料（啤酒除外）;⽩兰地;葡萄酒</t>
  </si>
  <si>
    <t>包尔棒的朋友</t>
  </si>
  <si>
    <t>武米洋</t>
  </si>
  <si>
    <t>葡萄酒;酒精饮料（啤酒除外）;烧酒;⻩酒;威⼠忌;⽩兰地;⽶酒;⾷⽤酒精;果酒（含酒精）;⽩酒</t>
  </si>
  <si>
    <t>聊心福</t>
  </si>
  <si>
    <t>⾼粱酒;⽼酒（中国蒸馏烈酒）;⾷⽤酒精;⽩酒;烧酒（烈酒）;蒸煮提取物（利⼝酒和烈酒）;⽩⼲酒（中国⽩酒）;果酒（含酒精）;⽶酒;烈酒</t>
  </si>
  <si>
    <t>高夫老</t>
  </si>
  <si>
    <t>广西鸿伟资源有限公司</t>
  </si>
  <si>
    <t>威⼠忌;⽩酒;鸡尾酒;果酒;清酒;⽶酒;伏特加酒;烧酒;朗姆酒;葡萄酒</t>
  </si>
  <si>
    <t>金大柱</t>
  </si>
  <si>
    <t>七台河市茄子河区恒越酒坊</t>
  </si>
  <si>
    <t>果酒（含酒精）;樱桃酒;烧酒;⽶酒;⾷⽤酒精;⽩酒;⻩酒;开胃酒;苹果酒;鸡尾酒</t>
  </si>
  <si>
    <t>山云寄</t>
  </si>
  <si>
    <t>内蒙古噶豆爱宠生物科技有限公司</t>
  </si>
  <si>
    <t>葡萄酒;果酒（含酒精）;⽩酒;⻩酒;预先混合的酒精饮料（以啤酒为主的除外）;酒精饮料原汁;⽶酒;含酒精的⽓泡⽔;清酒;鸡尾酒</t>
  </si>
  <si>
    <t>尧督缘</t>
  </si>
  <si>
    <t>陈同雷</t>
  </si>
  <si>
    <t>果酒;⽶酒;梨酒;清酒（⽇本⽶酒）;烧酒;葡萄酒;⽼酒（中国蒸馏烈酒）;⽩酒;⻩酒;利⼝酒</t>
  </si>
  <si>
    <t>穿岩八十五</t>
  </si>
  <si>
    <t>朗姆酒;⽩酒;葡萄酒;酒精饮料（啤酒除外）;利⼝酒;果酒;⽩兰地;威⼠忌;鸡尾酒;伏特加酒</t>
  </si>
  <si>
    <t>弢钤</t>
  </si>
  <si>
    <t>⽩⼲酒（中国⽩酒）;⻩酒;烧酒（烈酒）;⽼酒（中国蒸馏烈酒）;烈酒浓缩汁;烧酒;烈酒;五加⽪酒（中国混合烈酒）;⾼粱酒;⽩酒</t>
  </si>
  <si>
    <t>汤沟井号</t>
  </si>
  <si>
    <t>江苏汤沟两相和酒业有限公司</t>
  </si>
  <si>
    <t>果酒（含酒精）;⽶酒;⻩酒;⽩酒;葡萄酒;酒精饮料（啤酒除外）;⽩⼲酒（中国⽩酒）;蒸煮提取物（利⼝酒和烈酒）;开胃酒;⾷⽤酒精</t>
  </si>
  <si>
    <t>穿岩七十</t>
  </si>
  <si>
    <t>⽩酒;朗姆酒;果酒;利⼝酒;葡萄酒;鸡尾酒;酒精饮料（啤酒除外）;⽩兰地;伏特加酒;威⼠忌</t>
  </si>
  <si>
    <t>穿岩八十</t>
  </si>
  <si>
    <t>利⼝酒;葡萄酒;果酒;⽩兰地;伏特加酒;鸡尾酒;⽩酒;威⼠忌;酒精饮料（啤酒除外）;朗姆酒</t>
  </si>
  <si>
    <t>路邑康尼</t>
  </si>
  <si>
    <t>⽩酒;⽩兰地;伏特加酒;烧酒;威⼠忌;烈酒（饮料）;⽶酒;果酒（含酒精）;葡萄酒;⻩酒</t>
  </si>
  <si>
    <t>九洲著</t>
  </si>
  <si>
    <t>刘国庆</t>
  </si>
  <si>
    <t>⽩酒;⾼粱酒;⽶酒;清酒;果酒;⻩酒;葡萄酒;酒精饮料（啤酒除外）;露酒;烧酒</t>
  </si>
  <si>
    <t>恋泸佳酿</t>
  </si>
  <si>
    <t>重庆铃木电梯销售有限公司</t>
  </si>
  <si>
    <t>烧酒;⽼酒（中国蒸馏烈酒）;果酒;⻘梅酒;葡萄酒;苦荞酒;⾼粱酒;烈酒;杨梅酒;⽩酒</t>
  </si>
  <si>
    <t>穿岩八十八</t>
  </si>
  <si>
    <t>鸡尾酒;伏特加酒;⽩兰地;朗姆酒;利⼝酒;果酒;酒精饮料（啤酒除外）;威⼠忌;葡萄酒;⽩酒</t>
  </si>
  <si>
    <t>铧镕橘耀</t>
  </si>
  <si>
    <t>铧镕橘耀（重庆）大健康管理有限公司</t>
  </si>
  <si>
    <t>⽩酒;开胃酒;果酒（含酒精）;酒精饮料（啤酒除外）;鸡尾酒;烈酒（饮料）;威⼠忌;⽩兰地;柑⾹酒;预先混合的酒精饮料（以啤酒为主的除外）</t>
  </si>
  <si>
    <t>乎艺人</t>
  </si>
  <si>
    <t>贵州长鑫酒业有限公司</t>
  </si>
  <si>
    <t>烈性⼲酒;由⾕物蒸馏的⽩酒;蒸煮提取物（利⼝酒和烈酒）;含酒精的⽓泡⽔;⾷⽤酒精;⻩酒;⽩⼲酒（中国⽩酒）;烧酒（烈酒）;⽼酒（中国蒸馏烈酒）;⽩酒</t>
  </si>
  <si>
    <t>当嘉</t>
  </si>
  <si>
    <t>当阳市春瀚果酒有限公司</t>
  </si>
  <si>
    <t>烧酒;⽶酒;⽼酒（中国蒸馏烈酒）;⻩酒;苦荞酒;葡萄酒;⾼粱酒;⽩酒;⽩⼲酒（中国⽩酒）;烈酒</t>
  </si>
  <si>
    <t>魅力巴韵</t>
  </si>
  <si>
    <t>巫溪县薯光农业科技开发有限公司</t>
  </si>
  <si>
    <t>共创名</t>
  </si>
  <si>
    <t>贵州省仁怀市天淳酒业有限公司</t>
  </si>
  <si>
    <t>⽶酒;烈酒（饮料）;蒸煮提取物（利⼝酒和烈酒）;⽩兰地;烧酒;含酒精的充⽓饮料（啤酒除外）;利⼝酒;⾷⽤酒精;葡萄酒;⽩酒</t>
  </si>
  <si>
    <t>黔绍君</t>
  </si>
  <si>
    <t>葡萄酒;⽶酒;鸡尾酒;威⼠忌;⽩兰地;⻩酒;烈酒;⽩酒;烧酒;⻘稞酒</t>
  </si>
  <si>
    <t>穿岩八十三</t>
  </si>
  <si>
    <t>葡萄酒;朗姆酒;威⼠忌;鸡尾酒;伏特加酒;果酒;酒精饮料（啤酒除外）;利⼝酒;⽩兰地;⽩酒</t>
  </si>
  <si>
    <t>云洲征程</t>
  </si>
  <si>
    <t>陈小洪</t>
  </si>
  <si>
    <t>果酒;烈酒;⽩酒;烧酒（烈酒）;⻩酒;蒸煮提取物（利⼝酒和烈酒）;⽼酒（中国蒸馏烈酒）;酒精饮料（啤酒除外）;⽶酒;烧酒</t>
  </si>
  <si>
    <t>穿岩九十八</t>
  </si>
  <si>
    <t>朗姆酒;利⼝酒;威⼠忌;酒精饮料（啤酒除外）;⽩兰地;伏特加酒;葡萄酒;⽩酒;果酒;鸡尾酒</t>
  </si>
  <si>
    <t>角声</t>
  </si>
  <si>
    <t>广州爱联科技有限公司</t>
  </si>
  <si>
    <t>鸡尾酒;⽩酒;⽶酒;伏特加酒;⻩酒;葡萄酒;果酒（含酒精）;威⼠忌;酒精饮料（啤酒除外）;烧酒</t>
  </si>
  <si>
    <t>穿岩九十一</t>
  </si>
  <si>
    <t>朗姆酒;伏特加酒;⽩兰地;威⼠忌;葡萄酒;鸡尾酒;酒精饮料（啤酒除外）;⽩酒;果酒;利⼝酒</t>
  </si>
  <si>
    <t>穿岩七十九</t>
  </si>
  <si>
    <t>穿岩七十六</t>
  </si>
  <si>
    <t>葡萄酒;酒精饮料（啤酒除外）;朗姆酒;⽩酒;⽩兰地;利⼝酒;鸡尾酒;威⼠忌;伏特加酒;果酒</t>
  </si>
  <si>
    <t>穿岩七十二</t>
  </si>
  <si>
    <t>⽩兰地;朗姆酒;葡萄酒;酒精饮料（啤酒除外）;鸡尾酒;果酒;利⼝酒;⽩酒;威⼠忌;伏特加酒</t>
  </si>
  <si>
    <t>内蒙古青山根酒业有限责任公司</t>
  </si>
  <si>
    <t>果酒（含酒精）;⻘稞酒;葡萄酒;由⾕物蒸馏的⽩酒;⽩⼲酒（中国⽩酒）;⽩酒;⾷⽤酒精;⾼粱酒</t>
  </si>
  <si>
    <t>聊心财</t>
  </si>
  <si>
    <t>⽼酒（中国蒸馏烈酒）;⽶酒;⽩⼲酒（中国⽩酒）;⾼粱酒;蒸煮提取物（利⼝酒和烈酒）;烈酒;⾷⽤酒精;果酒（含酒精）;烧酒（烈酒）;⽩酒</t>
  </si>
  <si>
    <t>粮梦令</t>
  </si>
  <si>
    <t>开胃酒;清酒（⽇本⽶酒）;酒精饮料（啤酒除外）;葡萄酒;⻩酒;威⼠忌;鸡尾酒;⽩酒;果酒（含酒精）;烈酒</t>
  </si>
  <si>
    <t>帝弗伦斯</t>
  </si>
  <si>
    <t>广州薇天商贸有限公司</t>
  </si>
  <si>
    <t>葡萄酒;黄酒;白兰地;梨酒;樱桃酒;烧酒;白酒;开胃酒;鸡尾酒;米酒</t>
  </si>
  <si>
    <t>YAYA FIRE</t>
  </si>
  <si>
    <t>汇中泰德投资有限公司</t>
  </si>
  <si>
    <t>果酒;⽇式甜⽶酒;甜果酒;⽶酒;烈酒（饮料）;伏特加酒;清酒（⽇本⽶酒）;甜酒;朝鲜族⽶酒;⽼酒（中国蒸馏烈酒）;⽩酒;⾼粱酒;含⽔果酒精饮料;露酒</t>
  </si>
  <si>
    <t>八有</t>
  </si>
  <si>
    <t>邓建洪</t>
  </si>
  <si>
    <t>烈酒（饮料）;汽酒;⽩酒;露酒;餐后酒（利⼝酒和烈酒）;柑⾹酒;⽶酒;⻩酒;果酒（含酒精）;开胃酒</t>
  </si>
  <si>
    <t>媄芙师 MFS</t>
  </si>
  <si>
    <t>广东伽怡生物科技有限公司</t>
  </si>
  <si>
    <t>烧酒;⻩酒;⽩酒;⽼酒（中国蒸馏烈酒）;伏特加酒;果酒（含酒精）;葡萄酒;威⼠忌;⽶酒;清酒</t>
  </si>
  <si>
    <t>乒弹球魂</t>
  </si>
  <si>
    <t>福建省丝促集团有限公司</t>
  </si>
  <si>
    <t>预先混合的酒精饮料（以啤酒为主的除外）;葡萄酒;果酒（含酒精）;威⼠忌;⽩酒;⽶酒;伏特加酒;烈酒（饮料）;⽩兰地;鸡尾酒</t>
  </si>
  <si>
    <t>山东骏晨劳务有限公司</t>
  </si>
  <si>
    <t>利⼝酒;烈酒（饮料）;⽶酒;烧酒;苹果酒;含⽔果酒精饮料;⻩酒;⽩酒;开胃酒;⾷⽤酒精</t>
  </si>
  <si>
    <t>峪酿春</t>
  </si>
  <si>
    <t>张建厂</t>
  </si>
  <si>
    <t>烈酒（饮料）;酒精饮料原汁;酒精饮料浓缩汁;酒精饮料（啤酒除外）;⽩酒;烧酒;果酒（含酒精）;蒸馏饮料;⽶酒;⻩酒</t>
  </si>
  <si>
    <t>蜀剑</t>
  </si>
  <si>
    <t>四川省绵竹市蜀剑曲酒厂</t>
  </si>
  <si>
    <t>烧酒;葡萄酒;⽩酒;⻩酒;鸡尾酒;烈酒（饮料）;含⽔果酒精饮料;⽶酒;开胃酒;果酒（含酒精）</t>
  </si>
  <si>
    <t>DIFLSI</t>
  </si>
  <si>
    <t>鸡尾酒;⻩酒;⽩酒;樱桃酒;烧酒;梨酒;⽶酒;开胃酒;葡萄酒;⽩兰地</t>
  </si>
  <si>
    <t>共玺</t>
  </si>
  <si>
    <t>威⼠忌;利⼝酒;⻘稞酒;开胃酒;⻩酒;梨酒;清酒（⽇本⽶酒）;烧酒;⽩酒;葡萄酒</t>
  </si>
  <si>
    <t>⽩酒;鸡尾酒;预先混合的酒精饮料（以啤酒为主的除外）;威⼠忌;开胃酒;⽩兰地;烈酒（饮料）;柑⾹酒;果酒（含酒精）;酒精饮料（啤酒除外）</t>
  </si>
  <si>
    <t>虔府</t>
  </si>
  <si>
    <t>果酒（含酒精）;⽩酒;酒精饮料（啤酒除外）;⽶酒;⻩酒;伏特加酒;葡萄酒;清酒（⽇本⽶酒）;⻘稞酒;烧酒</t>
  </si>
  <si>
    <t>穿岩九十九</t>
  </si>
  <si>
    <t>果酒;鸡尾酒;葡萄酒;伏特加酒;⽩兰地;酒精饮料（啤酒除外）;朗姆酒;⽩酒;利⼝酒;威⼠忌</t>
  </si>
  <si>
    <t>穿岩九十七</t>
  </si>
  <si>
    <t>果酒;朗姆酒;利⼝酒;⽩兰地;伏特加酒;⽩酒;葡萄酒;酒精饮料（啤酒除外）;威⼠忌;鸡尾酒</t>
  </si>
  <si>
    <t>欣月神画</t>
  </si>
  <si>
    <t>滨海县欣月家庭农场</t>
  </si>
  <si>
    <t>葡萄酒;汽酒;⽶酒;清酒;⻘梅酒;烧酒;⻘稞酒;⽩酒;果酒（含酒精）;杨梅酒</t>
  </si>
  <si>
    <t>东莞市仁通酒业有限公司</t>
  </si>
  <si>
    <t>酒精饮料原汁;葡萄酒;蒸馏饮料;利⼝酒;果酒;鸡尾酒;⽩酒;苦味酒;开胃酒;⻩酒</t>
  </si>
  <si>
    <t>贵滨来</t>
  </si>
  <si>
    <t>烈酒;⽩酒;清酒（⽇本⽶酒）;果酒（含酒精）;鸡尾酒;威⼠忌;葡萄酒;开胃酒;酒精饮料（啤酒除外）;⻩酒</t>
  </si>
  <si>
    <t>丑勒观</t>
  </si>
  <si>
    <t>广州艾丝缇卡服装有限公司</t>
  </si>
  <si>
    <t>薄荷酒;利⼝酒;⽶酒;苦味酒;⽩兰地;⽩酒;酒精饮料（啤酒除外）;威⼠忌;葡萄酒;鸡尾酒</t>
  </si>
  <si>
    <t>岐天下</t>
  </si>
  <si>
    <t>甘肃岐黄恒烽食品科技发展有限公司</t>
  </si>
  <si>
    <t>果酒（含酒精）;开胃酒;酒精饮料浓缩汁;酒精饮料（啤酒除外）;预先混合的酒精饮料（以啤酒为主的除外）;蒸馏饮料;⽩酒;⻩酒;烈酒（饮料）;含⽔果酒精饮料</t>
  </si>
  <si>
    <t>龟背潭</t>
  </si>
  <si>
    <t>姚德柱</t>
  </si>
  <si>
    <t>利⼝酒;烧酒;含酒精的饮料（啤酒除外）;蜂蜜酒;葡萄酒;⽶酒;⽩酒;⻩酒;杨梅酒;果酒（含酒精）</t>
  </si>
  <si>
    <t>大山鹿</t>
  </si>
  <si>
    <t>贵州源茂农业开发有限公司</t>
  </si>
  <si>
    <t>清酒（⽇本⽶酒）;开胃酒;葡萄酒;露酒;⻩酒;烈酒;果酒（含酒精）;烧酒;⽩酒;除啤酒外的酒精饮料</t>
  </si>
  <si>
    <t>胖东来</t>
  </si>
  <si>
    <t>许昌市胖东来商贸集团有限公司</t>
  </si>
  <si>
    <t>葡萄酒;烧酒;⻩酒;⾷⽤酒精;伏特加酒;薄荷酒;烈酒（饮料）;清酒（⽇本⽶酒）;含⽔果酒精饮料;朗姆酒;果酒（含酒精）;鸡尾酒;汽酒;⻘稞酒;开胃酒;⽩酒;⽩兰地;⽶酒</t>
  </si>
  <si>
    <t>四叶久</t>
  </si>
  <si>
    <t>广州市灏洋水处理材料有限公司</t>
  </si>
  <si>
    <t>开胃酒;⽶酒;酒精饮料（啤酒除外）;⻩酒;利⼝酒;⽩兰地;⽩酒;葡萄酒;烧酒;果酒（含酒精）</t>
  </si>
  <si>
    <t>小巨兽</t>
  </si>
  <si>
    <t>第四波浪葡萄酒合伙人私人有限公司</t>
  </si>
  <si>
    <t>听竹观海</t>
  </si>
  <si>
    <t>山东万圣公酒业有限公司</t>
  </si>
  <si>
    <t>酒精饮料（啤酒除外）;⾷⽤酒精;烧酒;威⼠忌;⽩酒;葡萄酒;⽩兰地;⻩酒;⽶酒;酒精饮料原汁</t>
  </si>
  <si>
    <t>穿岩七十五</t>
  </si>
  <si>
    <t>⽩酒;威⼠忌;鸡尾酒;果酒;伏特加酒;⽩兰地;酒精饮料（啤酒除外）;朗姆酒;葡萄酒;利⼝酒</t>
  </si>
  <si>
    <t>百艸煜坤</t>
  </si>
  <si>
    <t>山西煜坤百草中药材开发有限公司</t>
  </si>
  <si>
    <t>果酒（含酒精）;葡萄酒;利⼝酒;⽶酒;酒精饮料（啤酒除外）;鸡尾酒;⽩兰地;清酒（⽇本⽶酒）;⽩酒;⻘稞酒</t>
  </si>
  <si>
    <t>待子归</t>
  </si>
  <si>
    <t>仁怀市昵莫醉酒业销售有限公司</t>
  </si>
  <si>
    <t>葡萄酒;威⼠忌;⽩酒;烧酒;⻘稞酒;⻩酒;⾼粱酒;露酒;清酒（⽇本⽶酒）;⽶酒</t>
  </si>
  <si>
    <t>仁德美</t>
  </si>
  <si>
    <t>袁龙</t>
  </si>
  <si>
    <t>⻩酒;果酒（含酒精）;烧酒;餐后酒（利⼝酒和烈酒）;⾼粱酒;烈酒;葡萄酒;⽶酒;露酒;⽩酒</t>
  </si>
  <si>
    <t>穿岩七十八</t>
  </si>
  <si>
    <t>酒精饮料（啤酒除外）;伏特加酒;鸡尾酒;葡萄酒;⽩兰地;果酒;威⼠忌;朗姆酒;利⼝酒;⽩酒</t>
  </si>
  <si>
    <t>韩大爷</t>
  </si>
  <si>
    <t>初阳台酒业股份有限公司</t>
  </si>
  <si>
    <t>⽩⼲酒（中国⽩酒）;⽢蔗汁酿朗姆酒;⽼酒（中国蒸馏烈酒）;烧酒;葡萄酒;⾼粱酒;烈酒;五加⽪酒（中国混合烈酒）;⽶酒;⻩酒</t>
  </si>
  <si>
    <t>智原荷酒</t>
  </si>
  <si>
    <t>河南智原酿酝科技有限公司</t>
  </si>
  <si>
    <t>烧酒;⾕物制蒸馏酒精饮料;葡萄酒;蒸馏饮料;已调味的⻨芽酿制的酒精饮料（啤酒除外）;威⼠忌;果酒（含酒精）;⽩兰地;预先混合的酒精饮料（以啤酒为主的除外）;烈酒（饮料）</t>
  </si>
  <si>
    <t>十里义脉</t>
  </si>
  <si>
    <t>李志浩</t>
  </si>
  <si>
    <t>葡萄酒;⽩兰地;果酒（含酒精）;⽩酒;⻩酒;鸡尾酒;酒精饮料（啤酒除外）;⽶酒;预先混合的酒精饮料（以啤酒为主的除外）;威⼠忌</t>
  </si>
  <si>
    <t>省摘</t>
  </si>
  <si>
    <t>付廷军</t>
  </si>
  <si>
    <t>⽩酒;鸡尾酒;酒精饮料（啤酒除外）;露酒;果酒;汽酒;⻩酒;葡萄酒;⽶酒;甜酒</t>
  </si>
  <si>
    <t>彭郡</t>
  </si>
  <si>
    <t>蔡永锋</t>
  </si>
  <si>
    <t>烧酒;⽩⼲酒（中国⽩酒）;⽩酒;⽼酒（中国蒸馏烈酒）;⻩酒;烧酒（烈酒）;⾼粱酒;⽶酒;果酒;烈酒</t>
  </si>
  <si>
    <t>冀杏春</t>
  </si>
  <si>
    <t>何立兵</t>
  </si>
  <si>
    <t>葡萄酒;⽶酒;⽼酒（中国蒸馏烈酒）;果酒;果酒（含酒精）;⽩酒;蜂蜜酒;烧酒;⻩酒;烧酒（烈酒）</t>
  </si>
  <si>
    <t>穿岩八十七</t>
  </si>
  <si>
    <t>⽩酒;⽩兰地;利⼝酒;葡萄酒;朗姆酒;果酒;威⼠忌;鸡尾酒;酒精饮料（啤酒除外）;伏特加酒</t>
  </si>
  <si>
    <t>穿岩八十六</t>
  </si>
  <si>
    <t>果酒;⽩兰地;伏特加酒;⽩酒;葡萄酒;酒精饮料（啤酒除外）;朗姆酒;利⼝酒;威⼠忌;鸡尾酒</t>
  </si>
  <si>
    <t>固鳯香</t>
  </si>
  <si>
    <t>烈酒（饮料）;⽩酒;果酒;烧酒;开胃酒;威⼠忌;⾼粱酒;⽶酒;葡萄酒;清酒</t>
  </si>
  <si>
    <t>娜年时光</t>
  </si>
  <si>
    <t>李娜青</t>
  </si>
  <si>
    <t>果酒（含酒精）;开胃酒;烈酒（饮料）;酒精饮料（啤酒除外）;⻩酒;烧酒;⽩酒;蒸煮提取物（利⼝酒和烈酒）;葡萄酒;⽶酒</t>
  </si>
  <si>
    <t>穿岩六十六</t>
  </si>
  <si>
    <t>⽩酒;果酒;⽩兰地;威⼠忌;朗姆酒;利⼝酒;鸡尾酒;酒精饮料（啤酒除外）;伏特加酒;葡萄酒</t>
  </si>
  <si>
    <t>己洽</t>
  </si>
  <si>
    <t>广州市天河区容倩商贸店</t>
  </si>
  <si>
    <t>烈酒（饮料）;果酒（含酒精）;鸡尾酒;葡萄酒;烧酒;威⼠忌;酒精饮料（啤酒除外）;蒸馏饮料;⽶酒;⽩酒</t>
  </si>
  <si>
    <t>板尚</t>
  </si>
  <si>
    <t>广州大洋国际货运代理有限公司</t>
  </si>
  <si>
    <t>葡萄酒;⽶酒;⽩酒;鸡尾酒;⽩兰地;汽酒;威⼠忌;果酒（含酒精）;⻩酒;⾼粱酒</t>
  </si>
  <si>
    <t>红沉</t>
  </si>
  <si>
    <t>青岛伍酒汇酒行有限公司</t>
  </si>
  <si>
    <t>果酒;⻩酒;葡萄酒;烧酒;⽶酒;鸡尾酒;蜂蜜酒;酒精饮料（啤酒除外）;⽩酒;⻘稞酒</t>
  </si>
  <si>
    <t>阿尼仔</t>
  </si>
  <si>
    <t>诏安县三顾食品有限公司</t>
  </si>
  <si>
    <t>全兴烧坊·明</t>
  </si>
  <si>
    <t>四川全兴酒业有限公司</t>
  </si>
  <si>
    <t>酒精饮料原汁;酒精饮料（啤酒除外）;⽼酒（中国蒸馏烈酒）;含⽔果酒精饮料;烈酒;烧酒;伏特加酒;蒸煮提取物（利⼝酒和烈酒）;⽩酒;果酒（含酒精）</t>
  </si>
  <si>
    <t>刺益生</t>
  </si>
  <si>
    <t>六枝特区农旅投（集团）有限责任公司</t>
  </si>
  <si>
    <t>⽩酒;露酒;蒸馏饮料;⽶酒;苹果酒;烈酒（饮料）;餐后酒（利⼝酒和烈酒）;⾕物制蒸馏酒精饮料;果酒（含酒精）;葡萄酒</t>
  </si>
  <si>
    <t>埃莱尼科 EILENIKO</t>
  </si>
  <si>
    <t>朴赢国际贸易（上海）有限公司</t>
  </si>
  <si>
    <t>酒精饮料（啤酒除外）;开胃酒;威⼠忌;烈酒（饮料）;葡萄酒;果酒（含酒精）;鸡尾酒;伏特加酒;⽩兰地;烧酒</t>
  </si>
  <si>
    <t>西河诗酒赋</t>
  </si>
  <si>
    <t>张飞</t>
  </si>
  <si>
    <t>露酒;蜂蜜酒;⽶酒;烈酒（饮料）;蒸馏饮料;葡萄酒;果酒;⽩酒;⻩酒;烧酒</t>
  </si>
  <si>
    <t>古郸顺</t>
  </si>
  <si>
    <t>邯郸市漳东酒业有限公司</t>
  </si>
  <si>
    <t>⽩酒;⽶酒;酒精饮料（啤酒除外）;⾷⽤酒精;⻩酒;预先混合的酒精饮料（以啤酒为主的除外）;开胃酒;烧酒;果酒（含酒精）;⽼酒（中国蒸馏烈酒）</t>
  </si>
  <si>
    <t>赣昌天工</t>
  </si>
  <si>
    <t>进贤县莲塘酒厂</t>
  </si>
  <si>
    <t>葡萄酒;⻩酒;酒精饮料（啤酒除外）;餐后酒（利⼝酒和烈酒）;⽩酒;⾷⽤酒精;⽶酒;果酒（含酒精）;⻘稞酒;朗姆酒</t>
  </si>
  <si>
    <t>信酒仙</t>
  </si>
  <si>
    <t>葡萄酒;梨酒;⽩酒;利⼝酒;⻘稞酒;开胃酒;清酒（⽇本⽶酒）;⻩酒;烧酒;⽶酒</t>
  </si>
  <si>
    <t>酉曲中求</t>
  </si>
  <si>
    <t>⽶酒;以葡萄酒为主的饮料;果酒;⻘稞酒;⻩酒;含酒精⽔果饮料;⽩酒;薄荷酒;果酒（含酒精）;含酒精的⽓泡⽔</t>
  </si>
  <si>
    <t>辛克勒</t>
  </si>
  <si>
    <t>酒精饮料浓缩汁;烈酒（饮料）;⽩兰地;烧酒;酒精饮料原汁;酒精饮料（啤酒除外）;果酒（含酒精）;威⼠忌;蒸馏饮料;蒸煮提取物（利⼝酒和烈酒）</t>
  </si>
  <si>
    <t>金液不回</t>
  </si>
  <si>
    <t>张理波</t>
  </si>
  <si>
    <t>利⼝酒;果酒（含酒精）;⾕物制蒸馏酒精饮料;葡萄酒;烈酒（饮料）;⻩酒;伏特加酒;⽩酒;餐后酒（利⼝酒和烈酒）;蜂蜜酒</t>
  </si>
  <si>
    <t>醉黔婚</t>
  </si>
  <si>
    <t>葡萄酒;开胃酒;果酒;鸡尾酒;烧酒;清酒（⽇本⽶酒）;酒精饮料（啤酒除外）;⽩酒;朗姆酒;利⼝酒</t>
  </si>
  <si>
    <t>RBU</t>
  </si>
  <si>
    <t>山东林海庄园葡萄酒业有限公司</t>
  </si>
  <si>
    <t>含⽔果酒精饮料;葡萄酒;蒸馏饮料;威⼠忌;烧酒;⽩酒;⽶酒;鸡尾酒;⽩兰地;果酒</t>
  </si>
  <si>
    <t>芦农</t>
  </si>
  <si>
    <t>唐山幺酒酒业有限公司</t>
  </si>
  <si>
    <t>⽩酒;⽶酒;威⼠忌;葡萄酒;开胃酒;⽩兰地;酒精饮料（啤酒除外）;含⽔果酒精饮料;烧酒;果酒（含酒精）</t>
  </si>
  <si>
    <t>荣峰酒庄</t>
  </si>
  <si>
    <t>姜国锋</t>
  </si>
  <si>
    <t>⾼粱酒;⽶酒;⻩酒;⽩酒;⽼酒（中国蒸馏烈酒）;利⼝酒;葡萄酒;酒精饮料（啤酒除外）;汽酒;果酒</t>
  </si>
  <si>
    <t>漠窖玺</t>
  </si>
  <si>
    <t>西咸新区空港新城磊洋诺百货店(个体工商户)</t>
  </si>
  <si>
    <t>葡萄酒;⽶酒;烧酒;⽩酒;果酒（含酒精）;⾷⽤酒精;酒精饮料浓缩汁;酒精饮料（啤酒除外）;蒸煮提取物（利⼝酒和烈酒）;⽼酒（中国蒸馏烈酒）</t>
  </si>
  <si>
    <t>东魏年份玉液</t>
  </si>
  <si>
    <t>安徽御玖醇酒业有限责任公司</t>
  </si>
  <si>
    <t>⾷⽤酒精;⽩酒;预先混合的酒精饮料（以啤酒为主的除外）;由⾕物蒸馏的⽩酒;⽼酒（中国蒸馏烈酒）;烧酒（烈酒）;果酒（含酒精）;葡萄酒;蒸煮提取物（利⼝酒和烈酒）;露酒</t>
  </si>
  <si>
    <t>臻行者</t>
  </si>
  <si>
    <t>熊湘凝</t>
  </si>
  <si>
    <t>松叶酒;甜果酒;⽶酒;烈酒（饮料）;烧酒;葡萄酒;⻩酒;⽩酒;⾼粱酒;含⽔果酒精饮料</t>
  </si>
  <si>
    <t>学道嵯峨</t>
  </si>
  <si>
    <t>北京茅友圈商贸有限公司</t>
  </si>
  <si>
    <t>烧酒;梨酒;⽩酒;葡萄酒;开胃酒;果酒（含酒精）;⾷⽤酒精;蒸馏饮料;烈酒（饮料）;酒精饮料（啤酒除外）</t>
  </si>
  <si>
    <t>曹老九</t>
  </si>
  <si>
    <t>重庆玉峡液酒业有限责任公司</t>
  </si>
  <si>
    <t>⽼酒（中国蒸馏烈酒）;⻘梅酒;葡萄酒;杨梅酒;苦荞酒;烈酒;果酒;⽩酒;⾼粱酒;烧酒</t>
  </si>
  <si>
    <t>贵弘裕</t>
  </si>
  <si>
    <t>酒精饮料（啤酒除外）;蒸煮提取物（利⼝酒和烈酒）;⽶酒;⾷⽤酒精;果酒（含酒精）;⽩酒;烧酒;清酒;葡萄酒;酒精饮料浓缩汁</t>
  </si>
  <si>
    <t>⽩酒;⻘稞酒;葡萄酒;利⼝酒;烈酒（饮料）;鸡尾酒;⻩酒;果酒（含酒精）;烧酒;开胃酒</t>
  </si>
  <si>
    <t>2</t>
  </si>
  <si>
    <t>南京锋之润文化传媒有限公司</t>
  </si>
  <si>
    <t>鸡尾酒;葡萄酒;⽩酒;⽶酒;预先混合的酒精饮料（以啤酒为主的除外）;果酒（含酒精）;酒精饮料（啤酒除外）;烈酒（饮料）;威⼠忌;含⽔果酒精饮料</t>
  </si>
  <si>
    <t>羿王</t>
  </si>
  <si>
    <t>陈庆忠</t>
  </si>
  <si>
    <t>葡萄酒;⽩酒;果酒（含酒精）;开胃酒;⽼酒（中国蒸馏烈酒）;酒精饮料原汁;清酒;利⼝酒;烧酒;⻩酒</t>
  </si>
  <si>
    <t>忠宴</t>
  </si>
  <si>
    <t>徐州世家酿酒业有限公司</t>
  </si>
  <si>
    <t>开胃酒;威⼠忌;利⼝酒;⽩酒;⻩酒;葡萄酒;清酒（⽇本⽶酒）;梨酒;⻘稞酒;烧酒</t>
  </si>
  <si>
    <t>大金锤</t>
  </si>
  <si>
    <t>上海找玖科技有限公司</t>
  </si>
  <si>
    <t>葡萄酒;⽩酒;酒精饮料（啤酒除外）;伏特加酒;威⼠忌;鸡尾酒;果酒（含酒精）;含⽔果酒精饮料;⽩兰地;烈酒（饮料）</t>
  </si>
  <si>
    <t>乡里舍茂</t>
  </si>
  <si>
    <t>陈实</t>
  </si>
  <si>
    <t>含酒精⽔果饮料;⽩酒;葡萄酒;含⽔果酒精饮料;开胃酒;果酒;酒精饮料原汁;酒精饮料（啤酒除外）;⽶酒;预先混合的酒精饮料（以啤酒为主的除外）</t>
  </si>
  <si>
    <t>泰迪控股有限公司</t>
  </si>
  <si>
    <t>清酒（⽇本⽶酒）;威⼠忌;鸡尾酒;果酒（含酒精）;⽩酒;⾷⽤酒精;葡萄酒;酒精饮料（啤酒除外）;烈酒（饮料）;⽩兰地</t>
  </si>
  <si>
    <t>重庆谋中谋网络科技有限公司</t>
  </si>
  <si>
    <t>果酒（含酒精）;预先混合的酒精饮料（以啤酒为主的除外）;汽酒;⽩兰地;酒精饮料浓缩汁;葡萄酒;苹果酒;含⽔果酒精饮料;樱桃酒;⽩酒</t>
  </si>
  <si>
    <t>保崝</t>
  </si>
  <si>
    <t>红河保植林商贸有限公司</t>
  </si>
  <si>
    <t>餐后酒（利口酒和烈酒）;白酒;烧酒;葡萄酒;由谷物蒸馏的白酒;果酒（含酒精）;米酒;高粱酒;青稞酒;蜂蜜酒</t>
  </si>
  <si>
    <t>风铃鱼</t>
  </si>
  <si>
    <t>上海虎能环保科技有限公司</t>
  </si>
  <si>
    <t>葡萄酒;鸡尾酒;开胃酒;含⽔果酒精饮料;烧酒;酒精饮料（啤酒除外）;⻩酒;烈酒（饮料）;⽩酒;⽶酒</t>
  </si>
  <si>
    <t>古文明</t>
  </si>
  <si>
    <t>丁茂梅</t>
  </si>
  <si>
    <t>⽩酒;⻩酒;果酒（含酒精）;烈酒（饮料）;⽩⼲酒（中国⽩酒）;葡萄酒;酒精饮料（啤酒除外）;清酒;甜果酒;烧酒</t>
  </si>
  <si>
    <t>泓茶书院</t>
  </si>
  <si>
    <t>果酒（含酒精）;⽼酒（中国蒸馏烈酒）;⾷⽤酒精;蒸馏饮料;葡萄酒;烧酒;烈酒（饮料）;⽶酒;鸡尾酒;⽩酒</t>
  </si>
  <si>
    <t>春大师</t>
  </si>
  <si>
    <t>陈欢</t>
  </si>
  <si>
    <t>果酒（含酒精）;苹果酒;⽩酒;含⽔果酒精饮料;鸡尾酒;⽶酒;⻩酒;烧酒;酒精饮料（啤酒除外）;开胃酒</t>
  </si>
  <si>
    <t>河之弯曲</t>
  </si>
  <si>
    <t>葡萄酒;⽶酒;鸡尾酒;⾷⽤酒精;⽩酒;开胃酒;⻘稞酒;⻩酒;清酒（⽇本⽶酒）;果酒（含酒精）</t>
  </si>
  <si>
    <t>传颂德</t>
  </si>
  <si>
    <t>⻩酒;⾼粱酒;餐后酒（利⼝酒和烈酒）;烧酒;⽩酒;烈酒;露酒;果酒（含酒精）;⽶酒;葡萄酒</t>
  </si>
  <si>
    <t>喜定祥康</t>
  </si>
  <si>
    <t>山东祥康酒业有限公司</t>
  </si>
  <si>
    <t>果酒;⽩酒;清酒;⻩酒;鸡尾酒;烧酒;烈酒;⽩兰地;葡萄酒;⽶酒</t>
  </si>
  <si>
    <t>创客梅哩</t>
  </si>
  <si>
    <t>宋佳</t>
  </si>
  <si>
    <t>烧酒;果酒（含酒精）;葡萄酒;含⽔果酒精饮料;威⼠忌;⽩酒;⻩酒;酒精饮料（啤酒除外）;烈酒（饮料）;苹果酒</t>
  </si>
  <si>
    <t>荆城荷畔</t>
  </si>
  <si>
    <t>荆城荷畔（荆州）酒业有限公司</t>
  </si>
  <si>
    <t>葡萄酒;⽶酒;⽩⼲酒（中国⽩酒）;果酒（含酒精）;⽩酒;烈酒（饮料）;柑⾹酒;⾼粱酒;烧酒;鸡尾酒</t>
  </si>
  <si>
    <t>四川三江融创文化传媒有限公司</t>
  </si>
  <si>
    <t>酒精饮料原汁;⾷⽤酒精;⽩酒;⽶酒;烧酒;鸡尾酒;烈酒（饮料）;含⽔果酒精饮料;开胃酒;果酒（含酒精）</t>
  </si>
  <si>
    <t>棘途</t>
  </si>
  <si>
    <t>大同市垚娃儿商贸有限公司</t>
  </si>
  <si>
    <t>⽩酒;柑⾹酒;⽶酒;朗姆酒;果酒（含酒精）;威⼠忌;伏特加酒;⻩酒;烧酒;鸡尾酒</t>
  </si>
  <si>
    <t>BUNBUNX</t>
  </si>
  <si>
    <t>酒精饮料原汁;含⽔果酒精饮料;⽶酒;开胃酒;⾷⽤酒精;⻩酒;伏特加酒;蒸馏饮料;葡萄酒;果酒（含酒精）</t>
  </si>
  <si>
    <t>华利泰(山东)商贸经销有限公司</t>
  </si>
  <si>
    <t>果酒（含酒精）;葡萄酒;⽶酒;蒸馏饮料;⻩酒;⽩酒;鸡尾酒;威⼠忌;烧酒;⽩兰地</t>
  </si>
  <si>
    <t>东魏名</t>
  </si>
  <si>
    <t>蒸煮提取物（利⼝酒和烈酒）;⽼酒（中国蒸馏烈酒）;⽩酒;葡萄酒;果酒（含酒精）;烧酒（烈酒）;预先混合的酒精饮料（以啤酒为主的除外）;⾷⽤酒精;由⾕物蒸馏的⽩酒;露酒</t>
  </si>
  <si>
    <t>马慕林</t>
  </si>
  <si>
    <t>苹果酒;⽩兰地;开胃酒;蜂蜜酒;⽩酒;鸡尾酒;葡萄酒;威⼠忌;烈酒（饮料）;果酒（含酒精）</t>
  </si>
  <si>
    <t>晋酝帝</t>
  </si>
  <si>
    <t>酒精饮料浓缩汁;果酒（含酒精）;⽼酒（中国蒸馏烈酒）;蒸煮提取物（利⼝酒和烈酒）;酒精饮料（啤酒除外）;⽶酒;⽩酒;烧酒;⾷⽤酒精;葡萄酒</t>
  </si>
  <si>
    <t>浔粮河</t>
  </si>
  <si>
    <t>陈友涛</t>
  </si>
  <si>
    <t>烈酒;开胃酒;鸡尾酒;葡萄酒;威⼠忌;⻩酒;⽩酒;果酒（含酒精）;清酒（⽇本⽶酒）;酒精饮料（啤酒除外）</t>
  </si>
  <si>
    <t>橄榄球</t>
  </si>
  <si>
    <t>上海棋语贸易有限公司</t>
  </si>
  <si>
    <t>⽩兰地;⽶酒;⻩酒;烧酒;⽩酒;葡萄酒;开胃酒;威⼠忌;酒精饮料（啤酒除外）;烈酒（饮料）</t>
  </si>
  <si>
    <t>仁帝怀</t>
  </si>
  <si>
    <t>酒精饮料（啤酒除外）;⽶酒;⾕物制蒸馏酒精饮料;葡萄酒;清酒（⽇本⽶酒）;开胃酒;烈酒（饮料）;⽩酒;果酒（含酒精）;烧酒</t>
  </si>
  <si>
    <t>亿凤缘</t>
  </si>
  <si>
    <t>河南亿凤缘酒业有限公司</t>
  </si>
  <si>
    <t>⽔果汽酒;烧酒;鸡尾酒;果酒（含酒精）;⽶酒;开胃酒;⽩酒;威⼠忌;⻩酒;葡萄酒</t>
  </si>
  <si>
    <t>火囍棠</t>
  </si>
  <si>
    <t>艾全达</t>
  </si>
  <si>
    <t>鸡尾酒;烈酒（饮料）;伏特加酒;⽩酒;葡萄酒;清酒;朗姆酒（酒精饮料）;汽酒;果酒（含酒精）;混合威⼠忌酒</t>
  </si>
  <si>
    <t>醉匠情</t>
  </si>
  <si>
    <t>清酒（⽇本⽶酒）;朗姆酒;烧酒;⽩酒;鸡尾酒;开胃酒;果酒;酒精饮料（啤酒除外）;利⼝酒;葡萄酒</t>
  </si>
  <si>
    <t>梅心鸡</t>
  </si>
  <si>
    <t>烧酒;⽩酒;葡萄酒;酒精饮料（啤酒除外）;⻩酒;烈酒（饮料）;开胃酒;鸡尾酒;⽶酒;含⽔果酒精饮料</t>
  </si>
  <si>
    <t>酒都涂老头</t>
  </si>
  <si>
    <t>葡萄酒;汽酒;烧酒（烈酒）;⽶酒;清酒;含⽔果酒精饮料;⽼酒（中国蒸馏烈酒）;五加⽪酒（中国混合烈酒）;⽩酒;果酒</t>
  </si>
  <si>
    <t>东魏年份贡酒</t>
  </si>
  <si>
    <t>⾷⽤酒精;露酒;蒸煮提取物（利⼝酒和烈酒）;⽼酒（中国蒸馏烈酒）;预先混合的酒精饮料（以啤酒为主的除外）;⽩酒;烧酒（烈酒）;葡萄酒;果酒（含酒精）;由⾕物蒸馏的⽩酒</t>
  </si>
  <si>
    <t>商掌道</t>
  </si>
  <si>
    <t>⽩酒;⻘稞酒;烧酒;果酒（含酒精）;葡萄酒;鸡尾酒;烈酒（饮料）;利⼝酒;开胃酒;⻩酒</t>
  </si>
  <si>
    <t>张氏梁</t>
  </si>
  <si>
    <t>汝南县张亲酒业坊（个体工商户）</t>
  </si>
  <si>
    <t>⽩兰地;葡萄酒;果酒（含酒精）;朗姆酒;⽩酒;威⼠忌;烧酒;⾼粱酒;⻩酒;⽶酒</t>
  </si>
  <si>
    <t>韬玥情怀</t>
  </si>
  <si>
    <t>山东子韬商贸有限公司</t>
  </si>
  <si>
    <t>除啤酒外的酒精饮料;烧酒;酒精饮料原汁;果酒（含酒精）;烧酒（烈酒）;⽶酒;葡萄酒;餐后酒（利⼝酒和烈酒）;⻩酒;⽩酒</t>
  </si>
  <si>
    <t>梦溪涧</t>
  </si>
  <si>
    <t>杨敬</t>
  </si>
  <si>
    <t>⽩酒;酒精饮料（啤酒除外）;⽶酒;⽩⼲酒（中国⽩酒）;由⾕物蒸馏的⽩酒;⽼酒（中国蒸馏烈酒）;⾼粱酒;果酒;烧酒（烈酒）;⻩酒</t>
  </si>
  <si>
    <t>红骄阳</t>
  </si>
  <si>
    <t>烈酒;鸡尾酒;葡萄酒;威⼠忌;清酒（⽇本⽶酒）;⻩酒;⽩酒;果酒（含酒精）;开胃酒;酒精饮料（啤酒除外）</t>
  </si>
  <si>
    <t>黄金古</t>
  </si>
  <si>
    <t>康晓峰</t>
  </si>
  <si>
    <t>烧酒;蒸煮提取物（利⼝酒和烈酒）;⽩酒;尼⽡（以⽢蔗为主的酒精饮料）;⽼酒（中国蒸馏烈酒）;预先混合的酒精饮料（以啤酒为主的除外）;果酒（含酒精）;⻘稞酒;⻩酒;烈酒</t>
  </si>
  <si>
    <t>巡禾坊</t>
  </si>
  <si>
    <t>威⼠忌;果酒（含酒精）;开胃酒;鸡尾酒;清酒（⽇本⽶酒）;酒精饮料（啤酒除外）;⻩酒;烈酒;⽩酒;葡萄酒</t>
  </si>
  <si>
    <t>小豫北</t>
  </si>
  <si>
    <t>河南省禹志建设工程有限公司</t>
  </si>
  <si>
    <t>烈酒（饮料）;烧酒;酒精饮料（啤酒除外）;⽩酒;烈性⼲酒;⻩酒;⾼粱酒;果酒;⽶酒;葡萄酒</t>
  </si>
  <si>
    <t>仅又</t>
  </si>
  <si>
    <t>动机构建（深圳）教育集团有限公司</t>
  </si>
  <si>
    <t>⻩酒;⾕物制蒸馏酒精饮料;果酒（含酒精）;烧酒;酒精饮料（啤酒除外）;含⽔果酒精饮料;以葡萄酒为主的饮料;⽩酒;⾷⽤酒精;鸡尾酒</t>
  </si>
  <si>
    <t>云坛乡</t>
  </si>
  <si>
    <t>刘秀丽</t>
  </si>
  <si>
    <t>⻩酒;烈酒;开胃酒;鸡尾酒;⽶酒;⽼酒（中国蒸馏烈酒）;⽩酒;⽩⼲酒（中国⽩酒）;烧酒;葡萄酒</t>
  </si>
  <si>
    <t>敬醉欢</t>
  </si>
  <si>
    <t>沈红云</t>
  </si>
  <si>
    <t>⾷⽤酒精;酒精饮料浓缩汁;酒精饮料（啤酒除外）;葡萄酒;烧酒;果酒（含酒精）;清酒;⽶酒;蒸煮提取物（利⼝酒和烈酒）;⽩酒</t>
  </si>
  <si>
    <t>小哪吒</t>
  </si>
  <si>
    <t>河南哪吒电子商务有限公司</t>
  </si>
  <si>
    <t>⽩兰地;以葡萄酒为主的饮料;⻩酒;清酒（⽇本⽶酒）;果酒（含酒精）;威⼠忌;含⽔果酒精饮料;⽩酒;⻘稞酒;蜂蜜酒</t>
  </si>
  <si>
    <t>爱梵蔻</t>
  </si>
  <si>
    <t>广州金樽酒业销售有限公司</t>
  </si>
  <si>
    <t>果酒（含酒精）;葡萄酒;威⼠忌;⻩酒;含⽔果酒精饮料;薄荷酒;开胃酒;蒸馏饮料;酒精饮料（啤酒除外）;⽩酒</t>
  </si>
  <si>
    <t>天酿川</t>
  </si>
  <si>
    <t>⽩酒;酒精饮料（啤酒除外）;果酒（含酒精）;烧酒;⽩⼲酒（中国⽩酒）;烈酒（饮料）;⻩酒;清酒;甜果酒;葡萄酒</t>
  </si>
  <si>
    <t>贵烧裕</t>
  </si>
  <si>
    <t>⾷⽤酒精;葡萄酒;⽶酒;烧酒;果酒（含酒精）;烈酒;酒精饮料浓缩汁;酒精饮料（啤酒除外）;蒸煮提取物（利⼝酒和烈酒）;⽩酒</t>
  </si>
  <si>
    <t>听悦</t>
  </si>
  <si>
    <t>曾奕飞</t>
  </si>
  <si>
    <t>预先混合的酒精饮料（以啤酒为主的除外）;葡萄酒;⽶酒;汽酒;含⽔果酒精饮料;⽩酒;果酒（含酒精）;开胃酒;烈酒（饮料）;⻩酒</t>
  </si>
  <si>
    <t>湘荐</t>
  </si>
  <si>
    <t>李锦</t>
  </si>
  <si>
    <t>酒精饮料（啤酒除外）;⽶酒;⻩酒;⽩酒;烧酒;蒸馏饮料;清酒;汽酒;葡萄酒;果酒（含酒精）</t>
  </si>
  <si>
    <t>福粮令</t>
  </si>
  <si>
    <t>李本云</t>
  </si>
  <si>
    <t>⽶酒;⽩酒;葡萄酒;果酒（含酒精）;蒸馏饮料;鸡尾酒;烈酒（饮料）;烧酒;⻩酒;酒精饮料（啤酒除外）</t>
  </si>
  <si>
    <t>掌道匠</t>
  </si>
  <si>
    <t>葡萄酒;⽩酒;⻘稞酒;烈酒（饮料）;烧酒;鸡尾酒;利⼝酒;开胃酒;⻩酒;果酒（含酒精）</t>
  </si>
  <si>
    <t>汝口香</t>
  </si>
  <si>
    <t>烧酒;朗姆酒;⻩酒;⾼粱酒;葡萄酒;威⼠忌;果酒（含酒精）;⽩兰地;⽶酒;⽩酒</t>
  </si>
  <si>
    <t>鼎酒仙</t>
  </si>
  <si>
    <t>开胃酒;梨酒;烧酒;葡萄酒;⻘稞酒;利⼝酒;⽩酒;⻩酒;威⼠忌;清酒（⽇本⽶酒）</t>
  </si>
  <si>
    <t>川苗醇</t>
  </si>
  <si>
    <t>陶光贵</t>
  </si>
  <si>
    <t>⽩酒;烈酒（饮料）;⽶酒;果酒（含酒精）;⻩酒;葡萄酒;开胃酒;马格利酒（朝鲜传统⽶酒）;烧酒;鸡尾酒</t>
  </si>
  <si>
    <t>雪儿达瓦</t>
  </si>
  <si>
    <t>西藏雪娃商贸有限公司</t>
  </si>
  <si>
    <t>葡萄酒;⾷⽤酒精;⽩酒;鸡尾酒;⾼粱酒;开胃酒;⻘稞酒;⻘梅酒;甜酒;天然汽酒</t>
  </si>
  <si>
    <t>云上记翼</t>
  </si>
  <si>
    <t>重庆云上记翼科技有限公司</t>
  </si>
  <si>
    <t>葡萄酒;⽶酒;甜酒;⾷⽤酒精;⻩酒;果酒（含酒精）;⾼粱酒;梅酒;蒸馏饮料;⽩酒</t>
  </si>
  <si>
    <t>井山河</t>
  </si>
  <si>
    <t>酒精饮料（啤酒除外）;烧酒;清酒;酒精饮料浓缩汁;葡萄酒;⽩酒;果酒（含酒精）;⾷⽤酒精;⽶酒;蒸煮提取物（利⼝酒和烈酒）</t>
  </si>
  <si>
    <t>翊钧</t>
  </si>
  <si>
    <t>张会朋</t>
  </si>
  <si>
    <t>甜酒;预先混合的酒精饮料（以啤酒为主的除外）;红葡萄酒;酒精饮料（啤酒除外）;⽩⼲酒（中国⽩酒）;烧酒（烈酒）;⻩酒;威⼠忌;含酒精的⽔果鸡尾酒饮料;⽩酒</t>
  </si>
  <si>
    <t>四叶九</t>
  </si>
  <si>
    <t>利⼝酒;⻩酒;⽩兰地;酒精饮料（啤酒除外）;果酒（含酒精）;⽩酒;葡萄酒;烧酒;开胃酒;⽶酒</t>
  </si>
  <si>
    <t>亚禾西</t>
  </si>
  <si>
    <t>贠新平</t>
  </si>
  <si>
    <t>⽩酒;薄荷酒;⾷⽤酒精;⻩酒;⻘稞酒;葡萄酒;鸡尾酒;开胃酒;烧酒;⽶酒</t>
  </si>
  <si>
    <t>邯临</t>
  </si>
  <si>
    <t>聚盛源</t>
  </si>
  <si>
    <t>吉林省百年和龙酒业有限公司</t>
  </si>
  <si>
    <t>葡萄酒;烈酒（饮料）;果酒（含酒精）;酒精饮料（啤酒除外）;⽶酒;⽩酒;蒸馏饮料;⻩酒;烧酒;利⼝酒</t>
  </si>
  <si>
    <t>传承信</t>
  </si>
  <si>
    <t>葡萄酒;⾼粱酒;烧酒;⽩酒;烈酒;果酒（含酒精）;餐后酒（利⼝酒和烈酒）;⽶酒;⻩酒;露酒</t>
  </si>
  <si>
    <t>KEIL BAROSSA</t>
  </si>
  <si>
    <t>广东领汇融通供应链有限公司</t>
  </si>
  <si>
    <t>⽩兰地;威⼠忌;葡萄酒;酒精饮料（啤酒除外）;清酒（⽇本⽶酒）;开胃酒;果酒（含酒精）;烈酒（饮料）;酸酒（低等葡萄酒）;以葡萄酒为主的饮料</t>
  </si>
  <si>
    <t>十胜川</t>
  </si>
  <si>
    <t>樱吉株式会社</t>
  </si>
  <si>
    <t>⽩兰地;清酒（⽇本⽶酒）;烧酒;威⼠忌;⻨芽威⼠忌;混合威⼠忌酒;果酒;⽇本梅⼦酒;清酒;⽇式甜⽶酒</t>
  </si>
  <si>
    <t>驿禾田</t>
  </si>
  <si>
    <t>李英英</t>
  </si>
  <si>
    <t>鸡尾酒;果酒（含酒精）;⻩酒;⽩酒;烈酒（饮料）;⽢蔗制烈酒;葡萄酒;酒精饮料（啤酒除外）;烧酒;⽶酒</t>
  </si>
  <si>
    <t>JNUERS</t>
  </si>
  <si>
    <t>⽶酒;威⼠忌;⽩⼲酒（中国⽩酒）;烧酒（烈酒）;⻩酒;鸡尾酒;⽩酒;⽩兰地;果酒;葡萄酒</t>
  </si>
  <si>
    <t>状元红麒麟</t>
  </si>
  <si>
    <t>浙江古越龙山绍兴酒股份有限公司</t>
  </si>
  <si>
    <t>烈酒（饮料）;葡萄酒;甜酒;⽶酒;⽩酒;蒸煮提取物（利⼝酒和烈酒）;⻩酒;清酒（⽇本⽶酒）;烧酒;果酒（含酒精）</t>
  </si>
  <si>
    <t>GHAMMER 大金锤</t>
  </si>
  <si>
    <t>果酒（含酒精）;⽩酒;威⼠忌;⽩兰地;酒精饮料（啤酒除外）;含⽔果酒精饮料;鸡尾酒;伏特加酒;烈酒（饮料）;葡萄酒</t>
  </si>
  <si>
    <t>四叶玖</t>
  </si>
  <si>
    <t>果酒（含酒精）;开胃酒;⽩兰地;⽩酒;烧酒;⽶酒;⻩酒;利⼝酒;葡萄酒;酒精饮料（啤酒除外）</t>
  </si>
  <si>
    <t>甘宾度</t>
  </si>
  <si>
    <t>练信生</t>
  </si>
  <si>
    <t>蒸馏饮料;含⽔果酒精饮料;清酒;果酒（含酒精）;鸡尾酒;威⼠忌;酒精饮料原汁;⽩酒;烈酒（饮料）;烧酒</t>
  </si>
  <si>
    <t>全兴烧坊.元</t>
  </si>
  <si>
    <t>果酒（含酒精）;酒精饮料原汁;烈酒;酒精饮料（啤酒除外）;⽼酒（中国蒸馏烈酒）;伏特加酒;蒸煮提取物（利⼝酒和烈酒）;⽩酒;烧酒;含⽔果酒精饮料</t>
  </si>
  <si>
    <t>贵州云遵酒业有限公司</t>
  </si>
  <si>
    <t>果酒;由⾕物蒸馏的⽩酒;⾼粱酒;酒精饮料（啤酒除外）;⽩酒;⾷⽤酒精;烧酒;葡萄酒;威⼠忌;鸡尾酒</t>
  </si>
  <si>
    <t>酒郡台</t>
  </si>
  <si>
    <t>烧酒;⽩酒;果酒（含酒精）;酒精饮料浓缩汁;蒸煮提取物（利⼝酒和烈酒）;⽶酒;清酒;酒精饮料（啤酒除外）;⾷⽤酒精;葡萄酒</t>
  </si>
  <si>
    <t>炎裳</t>
  </si>
  <si>
    <t>高瑞霞</t>
  </si>
  <si>
    <t>葡萄酒;鸡尾酒;利⼝酒;开胃酒;果酒（含酒精）;⻩酒;威⼠忌;⽩酒;蒸馏饮料;⽶酒</t>
  </si>
  <si>
    <t>INFINITE FIELD</t>
  </si>
  <si>
    <t>无囿食品科技(上海)有限公司</t>
  </si>
  <si>
    <t>果酒（含酒精）;酒精饮料（啤酒除外）;⽩酒;⽶酒;威⼠忌;露酒;鸡尾酒;葡萄酒;清酒（⽇本⽶酒）;梅酒</t>
  </si>
  <si>
    <t>小金锤</t>
  </si>
  <si>
    <t>果酒（含酒精）;⽩酒;含⽔果酒精饮料;⽩兰地;威⼠忌;烈酒（饮料）;酒精饮料（啤酒除外）;葡萄酒;伏特加酒;鸡尾酒</t>
  </si>
  <si>
    <t>一见乐七彩</t>
  </si>
  <si>
    <t>黄玉华</t>
  </si>
  <si>
    <t>烈酒;⽩酒;⽩兰地;⽶酒;伏特加酒;鸡尾酒;葡萄酒;烧酒;含酒精⽔果饮料;威⼠忌</t>
  </si>
  <si>
    <t>杜松⼦酒;威⼠忌;⽶酒;果酒（含酒精）;鸡尾酒;伏特加酒;⽩酒;葡萄酒;利⼝酒;⽩兰地</t>
  </si>
  <si>
    <t>天碧</t>
  </si>
  <si>
    <t>贵州天碧酒业有限公司</t>
  </si>
  <si>
    <t>⽶酒;⾷⽤酒精;⽩酒;烈酒（饮料）;葡萄酒;酒精饮料原汁;⽩兰地;果酒（含酒精）;烧酒;酒精饮料（啤酒除外）</t>
  </si>
  <si>
    <t>赐允</t>
  </si>
  <si>
    <t>杨得俊</t>
  </si>
  <si>
    <t>果酒（含酒精）;威⼠忌;酒精饮料（啤酒除外）;⽩酒;清酒（⽇本⽶酒）;葡萄酒;⻩酒;烈酒;开胃酒;鸡尾酒</t>
  </si>
  <si>
    <t>癸台</t>
  </si>
  <si>
    <t>果酒（含酒精）;烈酒（饮料）;⽶酒;⽩酒;⻩酒;以葡萄酒为主的饮料;⾷⽤酒精;⾕物制蒸馏酒精饮料;烧酒;葡萄酒</t>
  </si>
  <si>
    <t>聃台仙</t>
  </si>
  <si>
    <t>⽩酒;果酒（含酒精）;⽶酒;含酒精⽔果饮料;含酒精的⽓泡⽔;果酒;薄荷酒;⻩酒;⻘稞酒;以葡萄酒为主的饮料</t>
  </si>
  <si>
    <t>易可好</t>
  </si>
  <si>
    <t>李健民</t>
  </si>
  <si>
    <t>果酒（含酒精）;葡萄酒;烧酒（烈酒）;朗姆酒;甜酒;⽩酒;⽶酒;⽩兰地;餐后酒（利⼝酒和烈酒）;威⼠忌</t>
  </si>
  <si>
    <t>赤玖伍</t>
  </si>
  <si>
    <t>刘恒</t>
  </si>
  <si>
    <t>⾷⽤酒精;⽩⼲酒（中国⽩酒）;⽼酒（中国蒸馏烈酒）;烈酒（饮料）;烧酒;由⾕物蒸馏的⽩酒;⾕物制蒸馏酒精饮料;清酒（⽇本⽶酒）;⾼粱酒;⽩酒</t>
  </si>
  <si>
    <t>冀元自在坊</t>
  </si>
  <si>
    <t>衡水江源酒业有限公司</t>
  </si>
  <si>
    <t>利⼝酒;含⽔果酒精饮料;⽼酒（中国蒸馏烈酒）;红葡萄酒;⽩⼲酒（中国⽩酒）;果酒;鸡尾酒;预先混合的酒精饮料（以啤酒为主的除外）;烧酒;⽩酒</t>
  </si>
  <si>
    <t>老蒲家</t>
  </si>
  <si>
    <t>四川老蒲家酒业有限公司</t>
  </si>
  <si>
    <t>烈酒（饮料）;⾷⽤酒精;⽶酒;⽩酒;酒精饮料（啤酒除外）;烧酒;葡萄酒;蒸馏饮料;利⼝酒;⻩酒</t>
  </si>
  <si>
    <t>如恋</t>
  </si>
  <si>
    <t>张优优</t>
  </si>
  <si>
    <t>⻩酒;⽩酒;威⼠忌;葡萄酒;果酒（含酒精）;酒精饮料（啤酒除外）;鸡尾酒;开胃酒;烈酒;清酒（⽇本⽶酒）</t>
  </si>
  <si>
    <t>关泾泾茯春</t>
  </si>
  <si>
    <t>内蒙古黄金家族酒业有限公司</t>
  </si>
  <si>
    <t>⻩酒;⻘稞酒;⽩⼲酒（中国⽩酒）;烈酒;⽼酒（中国蒸馏烈酒）;⾷⽤酒精;⽶酒;⽩酒;露酒;果酒</t>
  </si>
  <si>
    <t>禄祖烧坊</t>
  </si>
  <si>
    <t>开胃酒;梨酒;烧酒;清酒（⽇本⽶酒）;威⼠忌;利⼝酒;⽩酒;⻩酒;葡萄酒;⻘稞酒</t>
  </si>
  <si>
    <t>守技烧坊</t>
  </si>
  <si>
    <t>葡萄酒;梨酒;威⼠忌;开胃酒;⽩酒;烧酒;⻩酒;清酒（⽇本⽶酒）;利⼝酒;⻘稞酒</t>
  </si>
  <si>
    <t>冲山来</t>
  </si>
  <si>
    <t>腾冲栖牛餐饮文化有限责任公司</t>
  </si>
  <si>
    <t>清酒;含酒精的鸡尾酒混合饮品;混合威⼠忌酒;甜酒;⽩酒;⻘梅酒;⽶酒;果酒（含酒精）;⾕物制蒸馏酒精饮料;含⽔果酒精饮料</t>
  </si>
  <si>
    <t>特兴人</t>
  </si>
  <si>
    <t>烧酒;⽶酒;鸡尾酒;⽩酒;清酒（⽇本⽶酒）;果酒（含酒精）;葡萄酒;酒精饮料（啤酒除外）;⻩酒;烈酒（饮料）</t>
  </si>
  <si>
    <t>湘忠</t>
  </si>
  <si>
    <t>湖南省源匠酒业有限公司</t>
  </si>
  <si>
    <t>三章醇</t>
  </si>
  <si>
    <t>广州市番禺区玉雨商贸有限公司</t>
  </si>
  <si>
    <t>果酒;甜酒;酒精饮料（啤酒除外）;⽶酒;⻩酒;葡萄酒;烧酒;烈酒;汽酒;⽩酒</t>
  </si>
  <si>
    <t>赤淮</t>
  </si>
  <si>
    <t>由⾕物蒸馏的⽩酒;⾕物制蒸馏酒精饮料;⾷⽤酒精;烈酒（饮料）;⽼酒（中国蒸馏烈酒）;⽩⼲酒（中国⽩酒）;清酒（⽇本⽶酒）;⽩酒;烧酒;⾼粱酒</t>
  </si>
  <si>
    <t>什刹山水</t>
  </si>
  <si>
    <t>北京蓟城山水投资管理集团有限公司</t>
  </si>
  <si>
    <t>由⾕物蒸馏的⽩酒;⽩⼲酒（中国⽩酒）;⽩酒</t>
  </si>
  <si>
    <t>赤际</t>
  </si>
  <si>
    <t>清酒（⽇本⽶酒）;⾼粱酒;⽩⼲酒（中国⽩酒）;⾷⽤酒精;烈酒（饮料）;⽩酒;⽼酒（中国蒸馏烈酒）;由⾕物蒸馏的⽩酒;⾕物制蒸馏酒精饮料;烧酒</t>
  </si>
  <si>
    <t>朝辞帝</t>
  </si>
  <si>
    <t>酒精饮料（啤酒除外）;威⼠忌;清酒（⽇本⽶酒）;烈酒;⻩酒;果酒（含酒精）;⽩酒;开胃酒;鸡尾酒;葡萄酒</t>
  </si>
  <si>
    <t>鸳鸯走马楼</t>
  </si>
  <si>
    <t>湖南省丰森农牧有限公司</t>
  </si>
  <si>
    <t>⻩酒;⾼粱酒;苹果酒;果酒;烧酒;甜酒;红葡萄酒;⽶酒;⽼酒（中国蒸馏烈酒）;烈酒</t>
  </si>
  <si>
    <t>汪晴高</t>
  </si>
  <si>
    <t>⻩酒;开胃酒;葡萄酒;苹果酒;⽩酒;⽶酒;鸡尾酒;烈酒（饮料）;汽酒;烧酒</t>
  </si>
  <si>
    <t>义山峦</t>
  </si>
  <si>
    <t>贵州衡君烧坊酒业有限公司</t>
  </si>
  <si>
    <t>烈酒（饮料）;白干酒（中国白酒）;葡萄酒;酒精饮料（啤酒除外）;高粱酒;烈酒;鸡尾酒;白酒;果酒;老酒（中国蒸馏烈酒）</t>
  </si>
  <si>
    <t>褚家沟</t>
  </si>
  <si>
    <t>北京电商科技有限公司</t>
  </si>
  <si>
    <t>⽩⼲酒（中国⽩酒）;酒精饮料（啤酒除外）;烈酒;⽶酒;果酒（含酒精）;烈酒（饮料）;含⽔果酒精饮料;⻩酒</t>
  </si>
  <si>
    <t>翠状元</t>
  </si>
  <si>
    <t>广西灵山县益天下农业有限公司</t>
  </si>
  <si>
    <t>鸡尾酒;葡萄酒;酒精饮料（啤酒除外）;烧酒;果酒（含酒精）;烈酒（饮料）;清酒（⽇本⽶酒）;⻩酒;⽩酒;⽶酒</t>
  </si>
  <si>
    <t>美闺快美</t>
  </si>
  <si>
    <t>柳沣城</t>
  </si>
  <si>
    <t>酒精饮料（啤酒除外）;⽶酒;蒸馏饮料;⽩酒;威⼠忌;甜酒;葡萄酒;⻩酒;甜果酒;⾼粱酒</t>
  </si>
  <si>
    <t>中健昊天</t>
  </si>
  <si>
    <t>贵州中健昊天企业管理咨询有限公司</t>
  </si>
  <si>
    <t>⽶酒;烈酒;⾼粱酒;果酒（含酒精）;⽩酒;含酒精的饮料（啤酒除外）;⽼酒（中国蒸馏烈酒）;烧酒;杨梅酒;葡萄酒</t>
  </si>
  <si>
    <t>神洲共庆</t>
  </si>
  <si>
    <t>贵州省仁怀市朋来酒业销售有限公司</t>
  </si>
  <si>
    <t>葡萄酒;果酒;以朗姆酒为主的饮料;⽶酒;清酒;⾼粱酒;威⼠忌;⽩酒;含酒精的饮料（啤酒除外）;餐后酒（利⼝酒和烈酒）</t>
  </si>
  <si>
    <t>小市儿 BAR ETC.</t>
  </si>
  <si>
    <t>北京小市儿餐饮管理有限责任公司</t>
  </si>
  <si>
    <t>⽶酒;清酒（⽇本⽶酒）;⽇本梅⼦酒;杜松⼦酒;威⼠忌;朗姆酒;预先混合的酒精饮料（以啤酒为主的除外）;⽩兰地;伏特加酒;鸡尾酒</t>
  </si>
  <si>
    <t>众客福</t>
  </si>
  <si>
    <t>薛晓峰</t>
  </si>
  <si>
    <t>⾷⽤酒精;⽩酒;果酒（含酒精）;开胃酒;⻩酒;⾼粱酒;鸡尾酒;葡萄酒;烈酒（饮料）;伏特加酒</t>
  </si>
  <si>
    <t>玉华珑</t>
  </si>
  <si>
    <t>贵州胜于蓝酒业有限公司</t>
  </si>
  <si>
    <t>⾼粱酒;利⼝酒;烧酒;烧酒（烈酒）;鸡尾酒;葡萄酒;⽩酒;由⾕物蒸馏的⽩酒;⽩⼲酒（中国⽩酒）;果酒（含酒精）</t>
  </si>
  <si>
    <t>户外彬</t>
  </si>
  <si>
    <t>蒙阴彬走天下酒业有限公司</t>
  </si>
  <si>
    <t>酒精饮料（啤酒除外）;⻩酒;烈酒（饮料）;果酒（含酒精）;蜂蜜酒;⽶酒;⽩酒;鸡尾酒;葡萄酒;汽酒</t>
  </si>
  <si>
    <t>员台</t>
  </si>
  <si>
    <t>贵州仁怀煞贡酒业有限公司</t>
  </si>
  <si>
    <t>⾷⽤酒精;烈酒;利⼝酒;⽩酒;清酒;由⾕物蒸馏的⽩酒;蒸馏饮料;葡萄酒;⾕物制蒸馏酒精饮料;⽶酒</t>
  </si>
  <si>
    <t>圣毅芳</t>
  </si>
  <si>
    <t>北京圣毅芳科技有限公司</t>
  </si>
  <si>
    <t>威⼠忌;⾷⽤酒精;鸡尾酒;葡萄酒;⽩酒;酒精饮料（啤酒除外）;含⽔果酒精饮料;⽶酒;⻘稞酒;⻩酒</t>
  </si>
  <si>
    <t>晋粱嘉宴</t>
  </si>
  <si>
    <t>赵利军</t>
  </si>
  <si>
    <t>烧酒;⽶酒;鸡尾酒;烈酒（饮料）;⻩酒;⽩酒;清酒（⽇本⽶酒）;果酒（含酒精）;葡萄酒;酒精饮料（啤酒除外）</t>
  </si>
  <si>
    <t>广州鼎艺科技有限公司</t>
  </si>
  <si>
    <t>⾷⽤酒精;⽩酒;葡萄酒;⻩酒;含⽔果酒精饮料;果酒（含酒精）;烧酒;⾕物制蒸馏酒精饮料;烈酒（饮料）;酒精饮料（啤酒除外）</t>
  </si>
  <si>
    <t>何草不黄</t>
  </si>
  <si>
    <t>青壶注碗</t>
  </si>
  <si>
    <t>贵州青壶酒业有限公司</t>
  </si>
  <si>
    <t>烧酒;酒精饮料（啤酒除外）;⾼粱酒;⽼酒（中国蒸馏烈酒）;⽩⼲酒（中国⽩酒）;⽩酒;⻩酒;葡萄酒;果酒;⽶酒</t>
  </si>
  <si>
    <t>衡昌鸿运</t>
  </si>
  <si>
    <t>开胃酒;⽩⼲酒（中国⽩酒）;⾼粱酒;由⾕物蒸馏的⽩酒;五加⽪酒（中国混合烈酒）;烧酒;⻘稞酒;⻩酒;⽩酒;蒸煮提取物（利⼝酒和烈酒）</t>
  </si>
  <si>
    <t>柳西河畔</t>
  </si>
  <si>
    <t>袁雪梅</t>
  </si>
  <si>
    <t>⽶酒;⽢蔗制酒精饮料;果酒（含酒精）;葡萄酒;清酒（⽇本⽶酒）;⽩酒;⻩酒;鸡尾酒;酒精饮料（啤酒除外）;汽酒</t>
  </si>
  <si>
    <t>⽶酒;烈酒（饮料）;酒精饮料（啤酒除外）;果酒;预先混合的酒精饮料（以啤酒为主的除外）;含⽔果酒精饮料;⽩酒;烧酒;蜂蜜酒;清酒</t>
  </si>
  <si>
    <t>坤旺丹</t>
  </si>
  <si>
    <t>果酒（含酒精）;烧酒;鸡尾酒;⽩酒;烈酒（饮料）;⽢蔗制烈酒;酒精饮料（啤酒除外）;葡萄酒;⽶酒;⻩酒</t>
  </si>
  <si>
    <t>杭东坡</t>
  </si>
  <si>
    <t>⻘稞酒;⾕物制蒸馏酒精饮料;烈酒（饮料）;烧酒;果酒（含酒精）;⽶酒;蜂蜜酒;⽩酒;酒精饮料（啤酒除外）;⻩酒</t>
  </si>
  <si>
    <t>LOCKE BLUE</t>
  </si>
  <si>
    <t>洛克菲尔股份有限公司</t>
  </si>
  <si>
    <t>葡萄酒;果酒（含酒精）;鸡尾酒;含⽔果酒精饮料;酒精饮料（啤酒除外）;朗姆酒;⽩酒;烈酒（饮料）;开胃酒;威⼠忌</t>
  </si>
  <si>
    <t>馥福</t>
  </si>
  <si>
    <t>广州市乐养园医学科技有限公司</t>
  </si>
  <si>
    <t>葡萄酒;苹果酒;清酒（⽇本⽶酒）;汽酒;果酒（含酒精）;⽩酒;酒精饮料（啤酒除外）;鸡尾酒;蒸煮提取物（利⼝酒和烈酒）;烧酒</t>
  </si>
  <si>
    <t>万缶藏</t>
  </si>
  <si>
    <t>⽼酒（中国蒸馏烈酒）;果酒;⽩酒;烧酒;⽶酒;烈酒（饮料）;葡萄酒;⻘稞酒;酒精饮料（啤酒除外）;⾼粱酒</t>
  </si>
  <si>
    <t>灜稼 WONDERFUL CHONGMING</t>
  </si>
  <si>
    <t>贵之缘茶业(上海)有限公司</t>
  </si>
  <si>
    <t>威⼠忌;酒精饮料（啤酒除外）;⻩酒;开胃酒;葡萄酒;⽩酒;薄荷酒;含⽔果酒精饮料;果酒（含酒精）;蒸馏饮料</t>
  </si>
  <si>
    <t>欲君饮</t>
  </si>
  <si>
    <t>双鸭山市泽兴商贸有限公司</t>
  </si>
  <si>
    <t>已调味的⻨芽酿制的酒精饮料（啤酒除外）;烈酒（饮料）;⾕物制蒸馏酒精饮料;果酒（含酒精）;⻩酒;⾷⽤酒精;⽶酒;葡萄酒;⽩酒;开胃酒</t>
  </si>
  <si>
    <t>乌撒戴家酒</t>
  </si>
  <si>
    <t>代永章</t>
  </si>
  <si>
    <t>⾕物制蒸馏酒精饮料;烧酒（烈酒）;由⾕物蒸馏的⽩酒;⻩酒;利⼝酒;⽩酒;葡萄酒;果酒（含酒精）;蜂蜜酒;⽶酒</t>
  </si>
  <si>
    <t>碧春礼宾</t>
  </si>
  <si>
    <t>贵州碧春酒业有限公司</t>
  </si>
  <si>
    <t>葡萄酒;露酒;⽩酒;餐后酒（利⼝酒和烈酒）;烈酒（饮料）;蒸馏饮料;⽶酒;⾕物制蒸馏酒精饮料;苹果酒;果酒（含酒精）</t>
  </si>
  <si>
    <t>饨饨见</t>
  </si>
  <si>
    <t>欧丽青</t>
  </si>
  <si>
    <t>烧酒;葡萄酒;果酒;⽩兰地;酒精饮料（啤酒除外）;蒸馏饮料;汽酒;利⼝酒;烈酒（饮料）;⽶酒</t>
  </si>
  <si>
    <t>贵品胜</t>
  </si>
  <si>
    <t>贵品胜农业科技（湖北）有限公司</t>
  </si>
  <si>
    <t>酒精饮料原汁;⾼粱酒;果酒;葡萄酒;烧酒（烈酒）;含⽔果酒精饮料;⽶酒;⻩酒;⽼酒（中国蒸馏烈酒）;⽩酒</t>
  </si>
  <si>
    <t>广州竞技体育服务有限公司</t>
  </si>
  <si>
    <t>餐后酒（利⼝酒和烈酒）;⽩酒;蒸馏饮料;清酒（⽇本⽶酒）;樱桃酒;果酒（含酒精）;⽩兰地;烈酒（饮料）;威⼠忌;预先混合的酒精饮料（以啤酒为主的除外）</t>
  </si>
  <si>
    <t>喜仙原</t>
  </si>
  <si>
    <t>王国辉</t>
  </si>
  <si>
    <t>伏特加酒;果酒（含酒精）;⽶酒;清酒（⽇本⽶酒）;⻩酒;葡萄酒;鸡尾酒;朗姆酒;⽔果汽酒;⽩酒</t>
  </si>
  <si>
    <t>绿波玖</t>
  </si>
  <si>
    <t>遵化市八方逢贵商贸有限公司</t>
  </si>
  <si>
    <t>鸡尾酒;烈酒（饮料）;含⽔果酒精饮料;烧酒;⽩酒;果酒（含酒精）;开胃酒;葡萄酒;威⼠忌;⻩酒</t>
  </si>
  <si>
    <t>征之家</t>
  </si>
  <si>
    <t>三亚索亚特咨询服务有限公司</t>
  </si>
  <si>
    <t>⽶酒;清酒;⽩酒;烧酒;葡萄酒;鸡尾酒;果酒（含酒精）;酒精饮料（啤酒除外）;烈酒（饮料）;威⼠忌</t>
  </si>
  <si>
    <t>琼粱台</t>
  </si>
  <si>
    <t>⾼粱酒;⽶酒;⽩酒;烧酒;果酒（含酒精）;酒精饮料浓缩汁;酒精饮料（啤酒除外）;蒸煮提取物（利⼝酒和烈酒）;葡萄酒;⾷⽤酒精</t>
  </si>
  <si>
    <t>高倍</t>
  </si>
  <si>
    <t>露酒;⾼粱酒;⽩酒;烧酒;⻩酒;⽼酒（中国蒸馏烈酒）;⻘稞酒;清酒;烈酒;⽩⼲酒（中国⽩酒）</t>
  </si>
  <si>
    <t>深州市诚毅声学工程有限公司</t>
  </si>
  <si>
    <t>⽩酒;烧酒;葡萄酒;⻘稞酒;⽩⼲酒（中国⽩酒）;⽶酒;伏特加酒;⾕物制蒸馏酒精饮料;朗姆酒;酒精饮料（啤酒除外）</t>
  </si>
  <si>
    <t>飘福</t>
  </si>
  <si>
    <t>贵州润升园生物科技有限公司</t>
  </si>
  <si>
    <t>⾼粱酒;⽩⼲酒（中国⽩酒）;蒸馏饮料;⻩酒;烈酒（饮料）;⽩酒;⽶酒;果酒（含酒精）</t>
  </si>
  <si>
    <t>她心</t>
  </si>
  <si>
    <t>刘赵兵</t>
  </si>
  <si>
    <t>蜂蜜酒;⽼酒（中国蒸馏烈酒）;清酒;⽶酒;⽩酒;⾼粱酒;烈酒;露酒;果酒;松叶酒</t>
  </si>
  <si>
    <t>馥拉图</t>
  </si>
  <si>
    <t>含⽔果酒精饮料;伏特加酒;葡萄酒;酒精饮料（啤酒除外）;威⼠忌;鸡尾酒;清酒（⽇本⽶酒）;朗姆酒;⽩酒;果酒（含酒精）</t>
  </si>
  <si>
    <t>EYTEYL</t>
  </si>
  <si>
    <t>东莞优漫网络科技有限公司</t>
  </si>
  <si>
    <t>⻩酒;威⼠忌;果酒（含酒精）;伏特加酒;葡萄酒;鸡尾酒;⽩酒;烧酒;⾷⽤酒精;⽶酒</t>
  </si>
  <si>
    <t>九五气概</t>
  </si>
  <si>
    <t>威⼠忌;⽩酒;葡萄酒;果酒;清酒;⽶酒;汽酒;烧酒;⻩酒;⽩兰地</t>
  </si>
  <si>
    <t>君逸美</t>
  </si>
  <si>
    <t>汽酒;烈酒（饮料）;⽩酒;蒸馏饮料;⽶酒;葡萄酒;果酒（含酒精）;⾷⽤酒精;清酒（⽇本⽶酒）;酒精饮料（啤酒除外）</t>
  </si>
  <si>
    <t>安徽省雾峰茶业有限公司</t>
  </si>
  <si>
    <t>果酒（含酒精）;葡萄酒;酒精饮料（啤酒除外）;烈酒（饮料）;⾷⽤酒精;开胃酒;⽩酒;⻩酒;烧酒;⽶酒</t>
  </si>
  <si>
    <t>郑添宝农业</t>
  </si>
  <si>
    <t>郑名维</t>
  </si>
  <si>
    <t>蜂蜜酒;梨酒;⽩酒;酒精饮料浓缩汁;果酒（含酒精）;⻩酒;烧酒;薄荷酒;酒精饮料原汁;樱桃酒</t>
  </si>
  <si>
    <t>瑶三岁</t>
  </si>
  <si>
    <t>郑智琼</t>
  </si>
  <si>
    <t>酒精饮料原汁;酒精饮料（啤酒除外）;含酒精蛋奶酒;酒精饮料浓缩汁;⾕物制蒸馏酒精饮料;开胃酒;⽶酒</t>
  </si>
  <si>
    <t>谷酣仙</t>
  </si>
  <si>
    <t>烧酒;酒精饮料（啤酒除外）;⽼酒（中国蒸馏烈酒）;蒸煮提取物（利⼝酒和烈酒）;果酒（含酒精）;⾷⽤酒精;酒精饮料浓缩汁;葡萄酒;⽶酒;⽩酒</t>
  </si>
  <si>
    <t>贝纶汀</t>
  </si>
  <si>
    <t>沃族（蓬莱）葡萄酒庄有限公司</t>
  </si>
  <si>
    <t>果酒（含酒精）;餐后酒（利⼝酒和烈酒）;开胃酒;鸡尾酒;朗姆酒;葡萄酒;烈酒（饮料）;伏特加酒;苹果酒;⽩兰地</t>
  </si>
  <si>
    <t>瀛稼</t>
  </si>
  <si>
    <t>蒸馏饮料;葡萄酒;威⼠忌;含⽔果酒精饮料;果酒（含酒精）;开胃酒;酒精饮料（啤酒除外）;⻩酒;⽩酒;薄荷酒</t>
  </si>
  <si>
    <t>高原姑娘 PLATEAU GIRL</t>
  </si>
  <si>
    <t>吴铁彪</t>
  </si>
  <si>
    <t>果酒（含酒精）;烧酒;含⽔果酒精饮料;开胃酒;⾷⽤酒精;⻩酒;⻘稞酒;⽩酒;⽶酒;葡萄酒</t>
  </si>
  <si>
    <t>曾沅</t>
  </si>
  <si>
    <t>蜂蜜酒;葡萄酒;⽶酒;清酒（⽇本⽶酒）;含⽔果酒精饮料;鸡尾酒;⽩酒;酒精饮料（啤酒除外）;汽酒;烧酒</t>
  </si>
  <si>
    <t>坤全坤</t>
  </si>
  <si>
    <t>果酒（含酒精）;酒精饮料（啤酒除外）;⽢蔗制烈酒;⽩酒;葡萄酒;烧酒;⻩酒;鸡尾酒;烈酒（饮料）;⽶酒</t>
  </si>
  <si>
    <t>涵概</t>
  </si>
  <si>
    <t>胡斌</t>
  </si>
  <si>
    <t>⻩酒;烈酒（饮料）;葡萄酒;鸡尾酒;⽶酒;威⼠忌;果酒（含酒精）;烧酒;⽩酒;⾼粱酒</t>
  </si>
  <si>
    <t>进得福</t>
  </si>
  <si>
    <t>由⾕物蒸馏的⽩酒;⽩酒;酒精饮料原汁;蒸煮提取物（利⼝酒和烈酒）;葡萄酒;⽩⼲酒（中国⽩酒）;果酒（含酒精）;⻩酒;⽼酒（中国蒸馏烈酒）;烧酒</t>
  </si>
  <si>
    <t>夏日挚友</t>
  </si>
  <si>
    <t>白文秀</t>
  </si>
  <si>
    <t>酒精饮料原汁;⽩酒;⽩兰地;威⼠忌;⽶酒;蒸馏饮料;鸡尾酒;葡萄酒;果酒;甜酒</t>
  </si>
  <si>
    <t>她情</t>
  </si>
  <si>
    <t>露酒;⾼粱酒;果酒;葡萄酒;烈酒;清酒;⽩酒;⽼酒（中国蒸馏烈酒）;蜂蜜酒;⽶酒</t>
  </si>
  <si>
    <t>黔六毛</t>
  </si>
  <si>
    <t>赵芹</t>
  </si>
  <si>
    <t>鸡尾酒;⽶酒;酒精饮料（啤酒除外）;威⼠忌;葡萄酒;⽩酒;⾷⽤酒精;果酒;红葡萄酒;⽩兰地</t>
  </si>
  <si>
    <t>女儿街</t>
  </si>
  <si>
    <t>宫双六</t>
  </si>
  <si>
    <t>⻩酒;果酒;⽩⼲酒（中国⽩酒）;⽩酒;⽶酒;梅酒;葡萄酒;⻘稞酒;烧酒;⾼粱酒</t>
  </si>
  <si>
    <t>瑞品家</t>
  </si>
  <si>
    <t>合肥市瑞品川酒业有限公司</t>
  </si>
  <si>
    <t>⽩⼲酒（中国⽩酒）;葡萄酒;苦艾酒;红葡萄酒;果酒（含酒精）;烧酒（烈酒）;烈酒;甜酒;⽩酒;烧酒</t>
  </si>
  <si>
    <t>绿亲青</t>
  </si>
  <si>
    <t>贵州荣恒酒业有限责任公司</t>
  </si>
  <si>
    <t>烧酒;烈酒;⽩酒;葡萄酒;除啤酒外的酒精饮料;清酒（⽇本⽶酒）;⽶酒;茴⾹酒（利⼝酒）;蒸煮提取物（利⼝酒和烈酒）;利⼝酒</t>
  </si>
  <si>
    <t>无名初食</t>
  </si>
  <si>
    <t>安徽省和同装饰设计有限公司</t>
  </si>
  <si>
    <t>葡萄酒;伏特加酒;⾷⽤酒精;烈酒（饮料）;清酒（⽇本⽶酒）;⽶酒;⻘稞酒;⽩酒;果酒（含酒精）;⻩酒</t>
  </si>
  <si>
    <t>铜香思</t>
  </si>
  <si>
    <t>谢贵其</t>
  </si>
  <si>
    <t>果酒（含酒精）;甜果酒;露酒;⽩酒;酒精饮料（啤酒除外）;葡萄酒;除啤酒外的酒精饮料;烧酒;⽶酒;⻩酒</t>
  </si>
  <si>
    <t>牛名香</t>
  </si>
  <si>
    <t>王富龙</t>
  </si>
  <si>
    <t>清酒（⽇本⽶酒）;果酒（含酒精）;鸡尾酒;葡萄酒;⽶酒;⽩酒;烧酒;烈酒（饮料）;酒精饮料（啤酒除外）;⻩酒</t>
  </si>
  <si>
    <t>德夯幻境</t>
  </si>
  <si>
    <t>吉首市矮寨奇观旅游开发有限责任公司</t>
  </si>
  <si>
    <t>⽶酒;清酒;⻩酒;⻘稞酒;烧酒;果酒（含酒精）;⽢蔗制酒精饮料;⾕物制蒸馏酒精饮料;葡萄酒;⽩兰地;鸡尾酒;酒精饮料（啤酒除外）;酒精饮料原汁;含⽔果酒精饮料;⽩酒</t>
  </si>
  <si>
    <t>金钩1号</t>
  </si>
  <si>
    <t>贵州浩望酒业供应链管理有限公司</t>
  </si>
  <si>
    <t>⽩酒;蒸馏饮料;酒精饮料（啤酒除外）;鸡尾酒;蒸煮提取物（利⼝酒和烈酒）;烧酒;⽶酒;果酒（含酒精）;烈酒;利⼝酒</t>
  </si>
  <si>
    <t>双诚隆春醉</t>
  </si>
  <si>
    <t>聂春生</t>
  </si>
  <si>
    <t>⾷⽤酒精;葡萄酒;果酒（含酒精）;⽶酒;烧酒;⾕物制蒸馏酒精饮料;⻩酒;⽩酒;已调味的蒸馏酒;酒精饮料（啤酒除外）</t>
  </si>
  <si>
    <t>芬小妮</t>
  </si>
  <si>
    <t>孙芬妮</t>
  </si>
  <si>
    <t>薄荷酒;蒸馏饮料;⽩酒;开胃酒;葡萄酒;含⽔果酒精饮料;威⼠忌;⻩酒;果酒（含酒精）;酒精饮料（啤酒除外）</t>
  </si>
  <si>
    <t>太平家乐福</t>
  </si>
  <si>
    <t>四川金盆地（集团）有限公司</t>
  </si>
  <si>
    <t>她意</t>
  </si>
  <si>
    <t>烈酒;露酒;⾼粱酒;果酒;⽶酒;⽩酒;清酒;⽼酒（中国蒸馏烈酒）;蜂蜜酒;松叶酒</t>
  </si>
  <si>
    <t>DREAM SNOW</t>
  </si>
  <si>
    <t>赵光鑫</t>
  </si>
  <si>
    <t>果酒（含酒精）;杜松⼦酒;⽩兰地;⽶酒;威⼠忌;⽩酒;鸡尾酒;葡萄酒;利⼝酒;伏特加酒</t>
  </si>
  <si>
    <t>缘常叙</t>
  </si>
  <si>
    <t>蔡回敏</t>
  </si>
  <si>
    <t>红葡萄酒;烧酒;⽶酒;⾼粱酒;烧酒（烈酒）;⽼酒（中国蒸馏烈酒）;烈酒;果酒;⽩酒;⾷⽤酒精</t>
  </si>
  <si>
    <t>回艺天作</t>
  </si>
  <si>
    <t>贵州粮源商贸发展有限公司</t>
  </si>
  <si>
    <t>葡萄酒;烈酒（饮料）;⻩酒;⽩酒;⽶酒;鸡尾酒;酒精饮料（啤酒除外）;果酒（含酒精）;清酒（⽇本⽶酒）;烧酒</t>
  </si>
  <si>
    <t>东泉对河老谢家 DONGQUANDUIHE</t>
  </si>
  <si>
    <t>谢德尧</t>
  </si>
  <si>
    <t>利⼝酒;⻩酒;烧酒;葡萄酒;⽶酒;果酒（含酒精）;清酒（⽇本⽶酒）;酒精饮料（啤酒除外）;⽩酒;蒸煮提取物（利⼝酒和烈酒）</t>
  </si>
  <si>
    <t>鼎酒梦</t>
  </si>
  <si>
    <t>葡萄酒;清酒（⽇本⽶酒）;威⼠忌;开胃酒;利⼝酒;烧酒;⽩酒;⻘稞酒;⻩酒;梨酒</t>
  </si>
  <si>
    <t>进得财</t>
  </si>
  <si>
    <t>⻩酒;葡萄酒;蒸煮提取物（利⼝酒和烈酒）;烧酒;⽼酒（中国蒸馏烈酒）;⽩酒;酒精饮料原汁;由⾕物蒸馏的⽩酒;果酒（含酒精）;⽩⼲酒（中国⽩酒）</t>
  </si>
  <si>
    <t>也程</t>
  </si>
  <si>
    <t>程新子</t>
  </si>
  <si>
    <t>鸡尾酒;威⼠忌;清酒;⽩酒;⽶酒;开胃酒;酒精饮料（啤酒除外）;葡萄酒;⻩酒;果酒</t>
  </si>
  <si>
    <t>雅善阁</t>
  </si>
  <si>
    <t>蒋飞翔</t>
  </si>
  <si>
    <t>⽶酒;葡萄酒;⻩酒;汽酒;⾷⽤酒精;果酒（含酒精）;酒精饮料（啤酒除外）;⽩酒;烧酒;⾕物制蒸馏酒精饮料</t>
  </si>
  <si>
    <t>SANBAOKAOROU</t>
  </si>
  <si>
    <t>西安叁宝实业集团有限公司</t>
  </si>
  <si>
    <t>果酒（含酒精）;鸡尾酒;烈酒;佐餐酒;威⼠忌;开胃酒;⽶酒;葡萄酒;含⽔果酒精饮料;含酒精的饮料（啤酒除外）</t>
  </si>
  <si>
    <t>ROCK SWEET</t>
  </si>
  <si>
    <t>广州采菁化妆品有限公司</t>
  </si>
  <si>
    <t>⽩酒;⻩酒;含⽔果酒精饮料;酒精饮料（啤酒除外）;烧酒;果酒（含酒精）;葡萄酒;清酒（⽇本⽶酒）;利⼝酒;⽶酒</t>
  </si>
  <si>
    <t>皇矣</t>
  </si>
  <si>
    <t>大至极简</t>
  </si>
  <si>
    <t>江苏梦一酒业股份有限公司</t>
  </si>
  <si>
    <t>鸡尾酒;⻩酒;烧酒;⽩酒;酒精饮料（啤酒除外）;⾷⽤酒精;果酒（含酒精）;⽶酒;酒精饮料原汁;葡萄酒</t>
  </si>
  <si>
    <t>远舵</t>
  </si>
  <si>
    <t>汽酒;⻩酒;⽩酒;⾕物制蒸馏酒精饮料;⾷⽤酒精;烧酒;含⽔果酒精饮料;酒精饮料（啤酒除外）;⻘稞酒;⽶酒</t>
  </si>
  <si>
    <t>刘彻甘美之</t>
  </si>
  <si>
    <t>贵州省国枸酒文化研究院</t>
  </si>
  <si>
    <t>酒精饮料原汁;酒精饮料（啤酒除外）;⽩酒;果酒（含酒精）;⻩酒;开胃酒;酒精饮料浓缩汁;⽶酒;烧酒;汽酒</t>
  </si>
  <si>
    <t>ALEUX</t>
  </si>
  <si>
    <t>上海思嵊贸易有限公司</t>
  </si>
  <si>
    <t>已调味的蒸馏酒;清酒;烧酒;露酒;⾼粱酒;甜果酒;⻩酒;烈性⼲酒;⽩酒;⽶酒</t>
  </si>
  <si>
    <t>凡客知音</t>
  </si>
  <si>
    <t>张成纲320827********6253</t>
  </si>
  <si>
    <t>⻩酒;⽶酒;酒精饮料（啤酒除外）;果酒（含酒精）;⽩酒;露酒;烧酒;葡萄酒;鸡尾酒;汽酒</t>
  </si>
  <si>
    <t>铁鸟</t>
  </si>
  <si>
    <t>战鹰（广东）商贸有限公司</t>
  </si>
  <si>
    <t>含⽔果酒精饮料;⽩酒;果酒;酒精饮料（啤酒除外）;⽶酒;⻩酒;汽酒;⾷⽤酒精;鸡尾酒;葡萄酒</t>
  </si>
  <si>
    <t>以酌</t>
  </si>
  <si>
    <t>贵州青案台酒业有限公司</t>
  </si>
  <si>
    <t>⽩酒;⽶酒;⻩酒;葡萄酒;⽩兰地;开胃酒;烈酒;果酒;烧酒;⽩⼲酒（中国⽩酒）</t>
  </si>
  <si>
    <t>廖大斌</t>
  </si>
  <si>
    <t>湖北瑞源种业科技有限公司</t>
  </si>
  <si>
    <t>开胃酒;酒精饮料（啤酒除外）;含酒精的⽔果鸡尾酒饮料;已调味的⻨芽酿制的酒精饮料（啤酒除外）;⽩酒;含酒精的⽓泡⽔;果酒（含酒精）;烈酒;由⾕物蒸馏的⽩酒;酒精饮料原汁</t>
  </si>
  <si>
    <t>寿龟康</t>
  </si>
  <si>
    <t>南宁市玉尚书众合投资合伙企业（有限合伙）</t>
  </si>
  <si>
    <t>威⼠忌;酒精饮料（啤酒除外）;果酒（含酒精）;薄荷酒;葡萄酒;蒸馏饮料;⻩酒;⽩酒;含⽔果酒精饮料;开胃酒</t>
  </si>
  <si>
    <t>醍桶聚</t>
  </si>
  <si>
    <t>蔚杨坤</t>
  </si>
  <si>
    <t>开胃酒;朗姆酒;果酒（含酒精）;利⼝酒;含⽔果酒精饮料;伏特加酒;混合威⼠忌酒;含酒精的鸡尾酒混合饮品;鸡尾酒;⽩兰地</t>
  </si>
  <si>
    <t>耆太君</t>
  </si>
  <si>
    <t>佘静怡</t>
  </si>
  <si>
    <t>⽩酒;⾷⽤酒精;葡萄酒;酒精饮料（啤酒除外）;⻩酒;含酒精的⽓泡⽔;烈酒（饮料）;威⼠忌;酒精饮料原汁;开胃酒</t>
  </si>
  <si>
    <t>穿岩七十三</t>
  </si>
  <si>
    <t>朗姆酒;伏特加酒;⽩酒;酒精饮料（啤酒除外）;利⼝酒;威⼠忌;鸡尾酒;葡萄酒;果酒;⽩兰地</t>
  </si>
  <si>
    <t>穿岩六十八</t>
  </si>
  <si>
    <t>鸡尾酒;威⼠忌;葡萄酒;果酒;利⼝酒;朗姆酒;伏特加酒;⽩兰地;⽩酒;酒精饮料（啤酒除外）</t>
  </si>
  <si>
    <t>黔仲吟</t>
  </si>
  <si>
    <t>葡萄酒;⽶酒;烈酒;⻩酒;烧酒;⻘稞酒;⽩酒;⽩兰地;威⼠忌;鸡尾酒</t>
  </si>
  <si>
    <t>穿岩八十二</t>
  </si>
  <si>
    <t>⽩兰地;威⼠忌;酒精饮料（啤酒除外）;果酒;伏特加酒;鸡尾酒;⽩酒;葡萄酒;朗姆酒;利⼝酒</t>
  </si>
  <si>
    <t>穿岩八十一</t>
  </si>
  <si>
    <t>利⼝酒;⽩兰地;鸡尾酒;朗姆酒;葡萄酒;酒精饮料（啤酒除外）;伏特加酒;⽩酒;威⼠忌;果酒</t>
  </si>
  <si>
    <t>路邑苏威</t>
  </si>
  <si>
    <t>果酒（含酒精）;伏特加酒;⻩酒;烧酒;威⼠忌;烈酒（饮料）;葡萄酒;⽩兰地;⽶酒;⽩酒</t>
  </si>
  <si>
    <t>聊心喜</t>
  </si>
  <si>
    <t>⽩酒;⽶酒;烧酒（烈酒）;⽼酒（中国蒸馏烈酒）;蒸煮提取物（利⼝酒和烈酒）;果酒（含酒精）;⽩⼲酒（中国⽩酒）;⾼粱酒;烈酒;⾷⽤酒精</t>
  </si>
  <si>
    <t>珠海市斗门区白蕉镇辰童服饰厂</t>
  </si>
  <si>
    <t>⽇式甜⽶酒;⽩酒;以蒸馏酒为主的开胃酒;含酒精的⽔果鸡尾酒饮料;⽩兰地;天然汽酒;已调味的蒸馏酒;由⾕物蒸馏的⽩酒;朗姆酒（酒精饮料）;以葡萄酒为主的开胃酒;含酒精的鸡尾酒混合饮品;含⽜奶的鸡尾酒;含酒精⽔果饮料;含奶油利⼝酒;果酒（含酒精）;朗姆酒;含酒精的饮料（啤酒除外）;⾼粱酒;以朗姆酒为主的饮料;蒸煮提取物（利⼝...</t>
  </si>
  <si>
    <t>同行致远</t>
  </si>
  <si>
    <t>上海易可吉农业科技有限公司</t>
  </si>
  <si>
    <t>⽩葡萄酒;果酒;鸡尾酒;桃红葡萄酒;⽩兰地;加烈葡萄酒;葡萄酒;红葡萄酒;起泡红葡萄酒;起泡⽩葡萄酒</t>
  </si>
  <si>
    <t>缸鼓</t>
  </si>
  <si>
    <t>冯城府宴</t>
  </si>
  <si>
    <t>刘桂香</t>
  </si>
  <si>
    <t>果酒（含酒精）;⽶酒;⾷⽤酒精;利⼝酒;烧酒;⽩酒;葡萄酒;烈酒（饮料）;⾕物制蒸馏酒精饮料;酒精饮料原汁</t>
  </si>
  <si>
    <t>锦华天宝</t>
  </si>
  <si>
    <t>北京万邦德民商贸有限公司</t>
  </si>
  <si>
    <t>葡萄酒;⻩酒;果酒（含酒精）;鸡尾酒;酒精饮料（啤酒除外）;⽩酒;杜松⼦酒;烈酒（饮料）;威⼠忌;清酒（⽇本⽶酒）</t>
  </si>
  <si>
    <t>恒湖7存</t>
  </si>
  <si>
    <t>果酒（含酒精）;⾷⽤酒精;⽩酒;酒精饮料（啤酒除外）;蜂蜜酒;蒸馏饮料;葡萄酒;⽶酒;烧酒;⻩酒</t>
  </si>
  <si>
    <t>致远同行</t>
  </si>
  <si>
    <t>加烈葡萄酒;⽩葡萄酒;起泡⽩葡萄酒;起泡红葡萄酒;⽩兰地;葡萄酒;果酒;红葡萄酒;桃红葡萄酒;鸡尾酒</t>
  </si>
  <si>
    <t>宸发富一方</t>
  </si>
  <si>
    <t>汤向红</t>
  </si>
  <si>
    <t>含⽔果酒精饮料;⽶酒;果酒（含酒精）;鸡尾酒;烧酒;⻘稞酒;⻩酒;⽩酒;葡萄酒;威⼠忌</t>
  </si>
  <si>
    <t>聊心禄</t>
  </si>
  <si>
    <t>⾷⽤酒精;果酒（含酒精）;蒸煮提取物（利⼝酒和烈酒）;⽩酒;烈酒;⽼酒（中国蒸馏烈酒）;⾼粱酒;⽩⼲酒（中国⽩酒）;烧酒（烈酒）;⽶酒</t>
  </si>
  <si>
    <t>炫彩丹霞宴</t>
  </si>
  <si>
    <t>蒸煮提取物（利⼝酒和烈酒）;除啤酒外的酒精饮料;清酒（⽇本⽶酒）;⽶酒;茴⾹酒（利⼝酒）;烧酒;⽩酒;葡萄酒;利⼝酒;烈酒</t>
  </si>
  <si>
    <t>聊心寿</t>
  </si>
  <si>
    <t>⾼粱酒;果酒（含酒精）;烧酒（烈酒）;⽩酒;⾷⽤酒精;⽶酒;⽩⼲酒（中国⽩酒）;⽼酒（中国蒸馏烈酒）;烈酒;蒸煮提取物（利⼝酒和烈酒）</t>
  </si>
  <si>
    <t>炫彩丹霞情</t>
  </si>
  <si>
    <t>清酒（⽇本⽶酒）;⽩酒;葡萄酒;除啤酒外的酒精饮料;茴⾹酒（利⼝酒）;烧酒;蒸煮提取物（利⼝酒和烈酒）;烈酒;⽶酒;利⼝酒</t>
  </si>
  <si>
    <t>红太阳感兴泉</t>
  </si>
  <si>
    <t>酒精饮料（啤酒除外）;⾷⽤酒精;⽶酒;蒸煮提取物（利⼝酒和烈酒）;果酒（含酒精）;⻩酒;葡萄酒;烈酒（饮料）;烧酒;⽩酒</t>
  </si>
  <si>
    <t>九代酒师郑家</t>
  </si>
  <si>
    <t>蜂蜜酒;⽩⼲酒（中国⽩酒）;⽶酒;⻩酒;葡萄酒;烈酒（饮料）;鸡尾酒;烧酒;蒸馏饮料;⽩酒</t>
  </si>
  <si>
    <t>巡天万家</t>
  </si>
  <si>
    <t>张晓光</t>
  </si>
  <si>
    <t>清酒（⽇本⽶酒）;酒精饮料（啤酒除外）;葡萄酒;鸡尾酒;⽶酒;威⼠忌;伏特加酒;烈酒（饮料）;⽩酒;酒精饮料原汁</t>
  </si>
  <si>
    <t>州烧坊郑家</t>
  </si>
  <si>
    <t>⽩酒;蒸馏饮料;葡萄酒;鸡尾酒;⻩酒;⽩⼲酒（中国⽩酒）;烈酒（饮料）;蜂蜜酒;⽶酒;烧酒</t>
  </si>
  <si>
    <t>韦思科</t>
  </si>
  <si>
    <t>中浦耐杯（北京）贸易有限公司</t>
  </si>
  <si>
    <t>蒸煮提取物（利⼝酒和烈酒）;酒精饮料（啤酒除外）;混合威⼠忌酒;伏特加酒;烈酒;烈性⼲酒;威⼠忌;烈酒（饮料）;杜松⼦酒;朗姆酒</t>
  </si>
  <si>
    <t>阗野</t>
  </si>
  <si>
    <t>刘贺</t>
  </si>
  <si>
    <t>含⽔果酒精饮料;葡萄酒;酒精饮料（啤酒除外）;鸡尾酒;清酒（⽇本⽶酒）;烧酒;⽩酒;⽶酒;果酒（含酒精）;烈酒（饮料）</t>
  </si>
  <si>
    <t>奇强王</t>
  </si>
  <si>
    <t>吴红娟</t>
  </si>
  <si>
    <t>鸡尾酒;露酒;葡萄酒;⻩酒;⽩酒;果酒;酒精饮料（啤酒除外）;威⼠忌;清酒（⽇本⽶酒）;伏特加酒</t>
  </si>
  <si>
    <t>崟鹿有你</t>
  </si>
  <si>
    <t>贵州茅台集团健康产业有限公司</t>
  </si>
  <si>
    <t>蒸馏饮料;酒精饮料原汁;葡萄酒;⽩酒;开胃酒;酒精饮料浓缩汁;酒精饮料（啤酒除外）;含⽔果酒精饮料;苹果酒;果酒（含酒精）</t>
  </si>
  <si>
    <t>崟鹿向前</t>
  </si>
  <si>
    <t>酒精饮料浓缩汁;苹果酒;开胃酒;葡萄酒;果酒（含酒精）;酒精饮料原汁;酒精饮料（啤酒除外）;蒸馏饮料;含⽔果酒精饮料;⽩酒</t>
  </si>
  <si>
    <t>顾博</t>
  </si>
  <si>
    <t>广东康惠宝实业有限公司</t>
  </si>
  <si>
    <t>果酒（含酒精）;⽩酒;威⼠忌;开胃酒;除啤酒外的酒精饮料;⻩酒;葡萄酒;烧酒;⾕物制蒸馏酒精饮料;⽶酒</t>
  </si>
  <si>
    <t>贵锦鸿玉</t>
  </si>
  <si>
    <t>贵州锦鸿玉食品有限公司</t>
  </si>
  <si>
    <t>含⽔果酒精饮料;烧酒;⻘稞酒;梨酒;⽶酒;⻩酒;⾷⽤酒精;烈酒（饮料）;果酒（含酒精）;⽩酒</t>
  </si>
  <si>
    <t>金之辉情满中南</t>
  </si>
  <si>
    <t>深圳市灵宇慧通贸易有限公司</t>
  </si>
  <si>
    <t>开胃酒;⻘稞酒;⻩酒;葡萄酒;⽶酒;酒精饮料(啤酒除外);烧酒;⽩兰地;⽩酒;⾕物制蒸馏酒精饮料</t>
  </si>
  <si>
    <t>金礼黔</t>
  </si>
  <si>
    <t>葡萄酒;烧酒;鸡尾酒;开胃酒;利⼝酒;酒精饮料（啤酒除外）;清酒（⽇本⽶酒）;⽩酒;朗姆酒;果酒</t>
  </si>
  <si>
    <t>九仙爷</t>
  </si>
  <si>
    <t>清酒（⽇本⽶酒）;酒精饮料（啤酒除外）;⻩酒;⽶酒;⾼粱酒;葡萄酒;鸡尾酒;⽩酒;果酒（含酒精）;威⼠忌</t>
  </si>
  <si>
    <t>谷重</t>
  </si>
  <si>
    <t>海南谷重企业发展集团有限公司</t>
  </si>
  <si>
    <t>⽩兰地;⽩酒;果酒（含酒精）;清酒（⽇本⽶酒）;威⼠忌;酒精饮料原汁;葡萄酒;伏特加酒;朗姆酒;鸡尾酒</t>
  </si>
  <si>
    <t>至伟</t>
  </si>
  <si>
    <t>葡萄酒;⻩酒;⽩酒;⾼粱酒;果酒;酒精饮料（啤酒除外）;⽶酒;露酒;烧酒（烈酒）;蒸煮提取物（利⼝酒和烈酒）</t>
  </si>
  <si>
    <t>玫梦堡</t>
  </si>
  <si>
    <t>孙西振</t>
  </si>
  <si>
    <t>果酒（含酒精）;⽩酒;鸡尾酒;葡萄酒;威⼠忌;酒精饮料（啤酒除外）;清酒（⽇本⽶酒）;朗姆酒;伏特加酒;含⽔果酒精饮料</t>
  </si>
  <si>
    <t>鹿走花溪</t>
  </si>
  <si>
    <t>⽩酒;苹果酒;蒸馏饮料;葡萄酒;酒精饮料浓缩汁;果酒（含酒精）;含⽔果酒精饮料;开胃酒;酒精饮料原汁;酒精饮料（啤酒除外）</t>
  </si>
  <si>
    <t>贵森</t>
  </si>
  <si>
    <t>广州贵仁初酒业贸易有限公司</t>
  </si>
  <si>
    <t>开胃酒;葡萄酒;酒精饮料（啤酒除外）;⽶酒;⽩酒;威⼠忌;果酒（含酒精）;清酒（⽇本⽶酒）;烧酒;烈酒（饮料）</t>
  </si>
  <si>
    <t>威克罗</t>
  </si>
  <si>
    <t>伏特加酒;鸡尾酒;含⽔果酒精饮料;果酒（含酒精）;葡萄酒;⽩酒;朗姆酒;威⼠忌;清酒（⽇本⽶酒）;酒精饮料（啤酒除外）</t>
  </si>
  <si>
    <t>峻北</t>
  </si>
  <si>
    <t>保定峻北商贸有限公司</t>
  </si>
  <si>
    <t>果酒（含酒精）;蒸馏饮料;鸡尾酒;⾷⽤酒精;葡萄酒;酒精饮料（啤酒除外）;⻘稞酒;⽶酒</t>
  </si>
  <si>
    <t>HONGGAOZHOU</t>
  </si>
  <si>
    <t>高县国有资产经营管理有限责任公司</t>
  </si>
  <si>
    <t>果酒（含酒精）;⽩⼲酒（中国⽩酒）;蜂蜜酒;葡萄酒;⾼粱酒;酒精饮料原汁;酒精饮料（啤酒除外）;⽶酒;⾕物制蒸馏酒精饮料;⽩酒</t>
  </si>
  <si>
    <t>凌昆翱翔</t>
  </si>
  <si>
    <t>润安（广东）供应链管理有限责任公司</t>
  </si>
  <si>
    <t>开胃酒;预先混合的酒精饮料（以啤酒为主的除外）;汽酒;⻩酒;葡萄酒;⻘稞酒;酒精饮料（啤酒除外）;烈酒（饮料）;⽩酒;⾕物制蒸馏酒精饮料</t>
  </si>
  <si>
    <t>金醉酣</t>
  </si>
  <si>
    <t>烧酒;葡萄酒;开胃酒;清酒（⽇本⽶酒）;利⼝酒;鸡尾酒;果酒;朗姆酒;酒精饮料（啤酒除外）;⽩酒</t>
  </si>
  <si>
    <t>崟鹿前行</t>
  </si>
  <si>
    <t>开胃酒;酒精饮料原汁;酒精饮料（啤酒除外）;苹果酒;⽩酒;葡萄酒;酒精饮料浓缩汁;含⽔果酒精饮料;果酒（含酒精）;蒸馏饮料</t>
  </si>
  <si>
    <t>九澈</t>
  </si>
  <si>
    <t>驻马店九澈酒业有限公司</t>
  </si>
  <si>
    <t>⻩酒;葡萄酒;⽶酒;果酒（含酒精）;清酒;烧酒;酒精饮料（啤酒除外）;⽩酒;鸡尾酒;开胃酒</t>
  </si>
  <si>
    <t>悟于心</t>
  </si>
  <si>
    <t>蒸馏饮料;⽩酒;葡萄酒;⾕物制蒸馏酒精饮料;餐后酒（利⼝酒和烈酒）;苹果酒;烈酒（饮料）;⽶酒;露酒;果酒（含酒精）</t>
  </si>
  <si>
    <t>竹满清</t>
  </si>
  <si>
    <t>胡佳</t>
  </si>
  <si>
    <t>葡萄酒;⻩酒;⽩兰地;⽶酒;含⽔果酒精饮料;酒精饮料（啤酒除外）;鸡尾酒;⾷⽤酒精;果酒（含酒精）;⽩酒</t>
  </si>
  <si>
    <t>晋阳宗</t>
  </si>
  <si>
    <t>张运富</t>
  </si>
  <si>
    <t>果酒（含酒精）;鸡尾酒;清酒（⽇本⽶酒）;酒精饮料（啤酒除外）;烧酒;⻩酒;⽩酒;烈酒（饮料）;葡萄酒;⽶酒</t>
  </si>
  <si>
    <t>金礼喜</t>
  </si>
  <si>
    <t>果酒;⽩酒;葡萄酒;鸡尾酒;利⼝酒;开胃酒;朗姆酒;酒精饮料（啤酒除外）;烧酒;清酒（⽇本⽶酒）</t>
  </si>
  <si>
    <t>乌日罕</t>
  </si>
  <si>
    <t>通辽市泰蓝科技有限公司</t>
  </si>
  <si>
    <t>⽩酒;由⾕物蒸馏的⽩酒;⽩⼲酒（中国⽩酒）</t>
  </si>
  <si>
    <t>兴勋</t>
  </si>
  <si>
    <t>葡萄酒;烧酒（烈酒）;露酒;⾼粱酒;⻩酒;果酒;⽩酒;酒精饮料（啤酒除外）;⽶酒;蒸煮提取物（利⼝酒和烈酒）</t>
  </si>
  <si>
    <t>洱海留香</t>
  </si>
  <si>
    <t>云南省粮食产业集团有限公司</t>
  </si>
  <si>
    <t>清酒（⽇本⽶酒）;⽩酒;⽶酒;酒精饮料原汁;果酒（含酒精）;酒精饮料（啤酒除外）;蒸煮提取物（利⼝酒和烈酒）;⾷⽤酒精;葡萄酒;烈酒（饮料）</t>
  </si>
  <si>
    <t>蒙得小福酒</t>
  </si>
  <si>
    <t>崔鹏150302********2074</t>
  </si>
  <si>
    <t>⽩兰地;⽩酒;酒精饮料（啤酒除外）;威⼠忌;葡萄酒;朗姆酒;蒸馏饮料;果酒（含酒精）;利⼝酒;含⽔果酒精饮料</t>
  </si>
  <si>
    <t>兴马</t>
  </si>
  <si>
    <t>酒精饮料（啤酒除外）;⽩酒;⾷⽤酒精;烧酒;蒸煮提取物（利⼝酒和烈酒）;葡萄酒;⽶酒;伏特加酒;果酒（含酒精）;露酒</t>
  </si>
  <si>
    <t>宅女花园</t>
  </si>
  <si>
    <t>张旭冉</t>
  </si>
  <si>
    <t>⽔果汽酒;烈酒;⽩酒;果酒（含酒精）;⻩酒;⽩葡萄酒;⻘稞酒;清酒（⽇本⽶酒）;薄荷酒;杨梅酒</t>
  </si>
  <si>
    <t>潻香</t>
  </si>
  <si>
    <t>咸安区香香种植家庭农场（个体工商户）</t>
  </si>
  <si>
    <t>烧酒;汽酒;⻩酒;葡萄酒;樱桃酒;⾷⽤酒精;⻘稞酒;⽩酒;果酒（含酒精）;⽶酒</t>
  </si>
  <si>
    <t>虾吃虾喝</t>
  </si>
  <si>
    <t>湖北三国酒业有限公司</t>
  </si>
  <si>
    <t>⽩酒;⽩兰地;果酒;⻩酒;⽼酒（中国蒸馏烈酒）;⾷⽤酒精;烧酒;⽶酒;果酒（含酒精）;烈酒（饮料）</t>
  </si>
  <si>
    <t>BEAUPAPE</t>
  </si>
  <si>
    <t>广州红颜容酒业有限公司</t>
  </si>
  <si>
    <t>起泡红葡萄酒;除啤酒外的酒精饮料;以葡萄酒为主的饮料;加烈葡萄酒;葡萄酒;桃红葡萄酒;葡萄汽酒;⽩葡萄酒;红葡萄酒;葡萄潘趣酒</t>
  </si>
  <si>
    <t>SANTO GRAU</t>
  </si>
  <si>
    <t>奥斯本集团股份有限公司</t>
  </si>
  <si>
    <t>卡沙萨酒</t>
  </si>
  <si>
    <t>ELIXIR DU PAPE</t>
  </si>
  <si>
    <t>⽩葡萄酒;红葡萄酒;以葡萄酒为主的饮料;桃红葡萄酒;葡萄潘趣酒;起泡红葡萄酒;葡萄汽酒;除啤酒外的酒精饮料;加烈葡萄酒;葡萄酒</t>
  </si>
  <si>
    <t>光良致敬者</t>
  </si>
  <si>
    <t>四川光良酒业有限公司</t>
  </si>
  <si>
    <t>果酒;开胃酒;甜酒;梅酒;⽩酒;⻘稞酒;甜果酒;烧酒;⽶酒;葡萄酒</t>
  </si>
  <si>
    <t>名门冰</t>
  </si>
  <si>
    <t>苹果酒;烧酒;⻘稞酒;⽩酒;含⽔果酒精饮料;葡萄酒;⻩酒;⽶酒;果酒（含酒精）;⾷⽤酒精</t>
  </si>
  <si>
    <t>华洋舰</t>
  </si>
  <si>
    <t>贵州省华洋进出口集团有限责任公司</t>
  </si>
  <si>
    <t>含⽔果酒精饮料;⻩酒;开胃酒;⾕物制蒸馏酒精饮料;⽩酒;以葡萄酒为主的饮料;含酒精的鸡尾酒混合饮品;⽩兰地;葡萄酒;威⼠忌</t>
  </si>
  <si>
    <t>兴窖焕文</t>
  </si>
  <si>
    <t>陈媛</t>
  </si>
  <si>
    <t>酒精饮料（啤酒除外）;⾷⽤酒精;果酒;鸡尾酒;⽩⼲酒（中国⽩酒）;烈酒;烧酒;⽩酒;葡萄酒;⽇本梅⼦酒</t>
  </si>
  <si>
    <t>葫芦湖</t>
  </si>
  <si>
    <t>涂小彬</t>
  </si>
  <si>
    <t>含⽔果酒精饮料;⽩酒;酒精饮料（啤酒除外）;清酒;预先混合的酒精饮料（以啤酒为主的除外）;烧酒;酒精饮料原汁;红葡萄酒;⽶酒;⻩酒</t>
  </si>
  <si>
    <t>月城田记老酒坊</t>
  </si>
  <si>
    <t>田光阳</t>
  </si>
  <si>
    <t>⾼粱酒;⽼酒（中国蒸馏烈酒）;苦荞酒;⻘梅酒;烧酒（烈酒）;⽩葡萄酒;杨梅酒;由⾕物蒸馏的⽩酒;⽶酒;果酒</t>
  </si>
  <si>
    <t>藏贺</t>
  </si>
  <si>
    <t>果酒（含酒精）;⽶酒;⾼粱酒;鸡尾酒;清酒（⽇本⽶酒）;威⼠忌;⽩酒;酒精饮料（啤酒除外）;葡萄酒;⻩酒</t>
  </si>
  <si>
    <t>坊合宴</t>
  </si>
  <si>
    <t>陕西憬奕商贸有限公司</t>
  </si>
  <si>
    <t>葡萄酒;⽩兰地;烧酒;⽶酒;⽩酒;苹果酒;⻩酒;烈酒（饮料）;威⼠忌;果酒（含酒精）</t>
  </si>
  <si>
    <t>镇龙弟</t>
  </si>
  <si>
    <t>韦永获</t>
  </si>
  <si>
    <t>酒精饮料（啤酒除外）;烈酒（饮料）;⽩酒;威⼠忌;果酒（含酒精）;葡萄酒;杜松⼦酒;清酒（⽇本⽶酒）;鸡尾酒;⻩酒</t>
  </si>
  <si>
    <t>山东召德酒业有限公司</t>
  </si>
  <si>
    <t>鸡尾酒;⽩兰地;酒精饮料原汁;⽶酒;⻩酒;葡萄酒;露酒;果酒（含酒精）;威⼠忌;⽩酒</t>
  </si>
  <si>
    <t>恩久子念慈</t>
  </si>
  <si>
    <t>邹丽</t>
  </si>
  <si>
    <t>⽩酒;⽶酒;伏特加酒;⾷⽤酒精;鸡尾酒;⽩兰地;葡萄酒;烧酒;威⼠忌;含⽔果酒精饮料</t>
  </si>
  <si>
    <t>有度而非</t>
  </si>
  <si>
    <t>亳州市徽酒国粮商贸有限公司</t>
  </si>
  <si>
    <t>露酒;⽩酒;酒精饮料（啤酒除外）;果酒（含酒精）;鸡尾酒;威⼠忌;烧酒;苹果酒;葡萄酒;⻘稞酒</t>
  </si>
  <si>
    <t>煜稀康美</t>
  </si>
  <si>
    <t>泉州煜烯康美健康管理有限公司</t>
  </si>
  <si>
    <t>樱桃酒;鸡尾酒;葡萄酒;开胃酒;烧酒;⽶酒;蒸馏饮料;⽩兰地;威⼠忌;⽩酒</t>
  </si>
  <si>
    <t>文绉</t>
  </si>
  <si>
    <t>河南大掼潮文化科技有限责任公司</t>
  </si>
  <si>
    <t>⽩酒;开胃酒;鸡尾酒;⽶酒;⻩酒;葡萄酒;蒸馏饮料;⾕物制蒸馏酒精饮料;烈酒（饮料）;⽩兰地</t>
  </si>
  <si>
    <t>凤仙瑶</t>
  </si>
  <si>
    <t>鸡尾酒;⽩酒;⻩酒;⽩兰地;葡萄酒;⽶酒;烈酒;⻘稞酒;烧酒;威⼠忌</t>
  </si>
  <si>
    <t>⻩酒;⾷⽤酒精;露酒;⽶酒;酒精饮料（啤酒除外）;⽩酒;⻘梅酒;烧酒（烈酒）;果酒（含酒精）;清酒</t>
  </si>
  <si>
    <t>龙淳昭德</t>
  </si>
  <si>
    <t>徐子俏</t>
  </si>
  <si>
    <t>预先混合的酒精饮料（以啤酒为主的除外）;葡萄酒;烈酒（饮料）;⻩酒;酒精饮料浓缩汁;开胃酒;⽩酒;果酒（含酒精）;含⽔果酒精饮料;烧酒</t>
  </si>
  <si>
    <t>SOMERSBY</t>
  </si>
  <si>
    <t>嘉士伯啤酒厂有限公司</t>
  </si>
  <si>
    <t>蒸馏饮料;利⼝酒;酒精饮料（啤酒除外）;含⽔果酒精饮料;薄荷酒;果酒（含酒精）;预先混合的酒精饮料（以啤酒为主的除外）;葡萄酒;烈酒（饮料）;⽓泡酒;苹果酒;苦味酒;鸡尾酒</t>
  </si>
  <si>
    <t>清越惜凤</t>
  </si>
  <si>
    <t>果酒（含酒精）;酒精饮料（啤酒除外）;⻩酒;烧酒;葡萄酒;烈酒（饮料）;苹果酒;⽶酒;⽩酒;鸡尾酒</t>
  </si>
  <si>
    <t>喜凤贤</t>
  </si>
  <si>
    <t>⽩酒;葡萄酒;⽶酒;烈酒;⻩酒;烧酒;鸡尾酒;⽩兰地;⻘稞酒;威⼠忌</t>
  </si>
  <si>
    <t>冀翼宴</t>
  </si>
  <si>
    <t>河北朝凯博发科技有限公司</t>
  </si>
  <si>
    <t>⽶酒;⽩兰地;鸡尾酒;烧酒;⽩酒;葡萄酒;烈酒（饮料）;⾼粱酒;果酒;⻩酒</t>
  </si>
  <si>
    <t>普拉图</t>
  </si>
  <si>
    <t>何金敏</t>
  </si>
  <si>
    <t>果酒（含酒精）;蒸馏饮料;葡萄酒;烈酒（饮料）;⾷⽤酒精;⻩酒;酒精饮料（啤酒除外）;⽶酒;⽩酒;鸡尾酒</t>
  </si>
  <si>
    <t>晋丰庆</t>
  </si>
  <si>
    <t>山西杏花老作坊酒厂有限责任公司</t>
  </si>
  <si>
    <t>果酒;含酒精的饮料（啤酒除外）;⽶酒;⽩酒;烈酒;⻩酒;葡萄酒;烧酒;⾼粱酒;⾷⽤酒精</t>
  </si>
  <si>
    <t>曾文炜</t>
  </si>
  <si>
    <t>葡萄酒;果酒（含酒精）;酒精饮料（啤酒除外）;⾷⽤酒精;⽶酒;鸡尾酒;⽼酒（中国蒸馏烈酒）;⽩酒;茴芹酒（利⼝酒）;杨梅酒</t>
  </si>
  <si>
    <t>情醉红尘</t>
  </si>
  <si>
    <t>果酒（含酒精）;酒精饮料原汁;⽶酒;鸡尾酒;蒸馏饮料;烈酒（饮料）;烧酒;⽩酒;葡萄酒;伏特加酒</t>
  </si>
  <si>
    <t>金醉颂</t>
  </si>
  <si>
    <t>⽩酒;清酒（⽇本⽶酒）;朗姆酒;利⼝酒;烧酒;果酒;鸡尾酒;开胃酒;酒精饮料（啤酒除外）;葡萄酒</t>
  </si>
  <si>
    <t>绝地风谷</t>
  </si>
  <si>
    <t>四川丁点儿食品开发股份有限公司</t>
  </si>
  <si>
    <t>葡萄酒;果酒（含酒精）;烧酒;⾷⽤酒精;开胃酒;⽩酒;利⼝酒;蒸馏饮料;烈酒（饮料）;酒精饮料（啤酒除外）</t>
  </si>
  <si>
    <t>KK兔</t>
  </si>
  <si>
    <t>深圳市黛山科技有限公司</t>
  </si>
  <si>
    <t>鸡尾酒;葡萄酒;预先混合的酒精饮料（以啤酒为主的除外）;⽩酒;⻩酒;⽶酒;果酒（含酒精）;威⼠忌;酒精饮料（啤酒除外）;蒸馏饮料</t>
  </si>
  <si>
    <t>醉杏决</t>
  </si>
  <si>
    <t>果酒;烧酒;蒸煮提取物（利⼝酒和烈酒）;⽩酒;⽶酒;酒精饮料（啤酒除外）;⾷⽤酒精;酒精饮料浓缩汁;葡萄酒;果酒（含酒精）</t>
  </si>
  <si>
    <t>宫心酒</t>
  </si>
  <si>
    <t>⽩酒;鸡尾酒;清酒;⽶酒;烧酒;⻩酒;除啤酒外的酒精饮料;果酒;烈酒;葡萄酒</t>
  </si>
  <si>
    <t>一鹿生花</t>
  </si>
  <si>
    <t>酒精饮料浓缩汁;含⽔果酒精饮料;苹果酒;果酒（含酒精）;⽩酒;蒸馏饮料;酒精饮料原汁;开胃酒;葡萄酒;酒精饮料（啤酒除外）</t>
  </si>
  <si>
    <t>鹿行枫林</t>
  </si>
  <si>
    <t>果酒（含酒精）;酒精饮料（啤酒除外）;开胃酒;蒸馏饮料;酒精饮料原汁;酒精饮料浓缩汁;含⽔果酒精饮料;⽩酒;葡萄酒;苹果酒</t>
  </si>
  <si>
    <t>LOUIS TRANI 路易特拉尼</t>
  </si>
  <si>
    <t>王新雨</t>
  </si>
  <si>
    <t>烈酒（饮料）;威⼠忌;开胃酒;⽩酒;⽩兰地;利⼝酒;果酒（含酒精）;鸡尾酒;酒精饮料（啤酒除外）;葡萄酒</t>
  </si>
  <si>
    <t>黄河谱</t>
  </si>
  <si>
    <t>⾼粱酒;果酒（含酒精）;⽩酒;烈酒;⽶酒;⽼酒（中国蒸馏烈酒）;葡萄酒;⻩酒;烧酒;清酒</t>
  </si>
  <si>
    <t>香山小伙</t>
  </si>
  <si>
    <t>刘金海</t>
  </si>
  <si>
    <t>甜酒;鸡尾酒;⽩酒;⻩酒;梅酒;⽶酒;烧酒（烈酒）;酒精饮料浓缩汁;⾼粱酒;葡萄酒</t>
  </si>
  <si>
    <t>棠龙邑池</t>
  </si>
  <si>
    <t>南京市八两酒酒业有限公司</t>
  </si>
  <si>
    <t>蜂蜜酒;烧酒;⻩酒;⾷⽤酒精;⽩⼲酒（中国⽩酒）;酒精饮料（啤酒除外）;⽶酒;⽩酒;葡萄酒;⾼粱酒</t>
  </si>
  <si>
    <t>岁度</t>
  </si>
  <si>
    <t>鸡尾酒;酒精饮料（啤酒除外）;⽩酒;威⼠忌;⽶酒;清酒（⽇本⽶酒）;⻩酒;果酒（含酒精）;葡萄酒;⾼粱酒</t>
  </si>
  <si>
    <t>VINAESTHE</t>
  </si>
  <si>
    <t>起泡红葡萄酒;葡萄潘趣酒;以葡萄酒为主的饮料;加烈葡萄酒;葡萄酒;除啤酒外的酒精饮料;桃红葡萄酒;葡萄汽酒;红葡萄酒;⽩葡萄酒</t>
  </si>
  <si>
    <t>广合远</t>
  </si>
  <si>
    <t>山西易牛科技有限公司</t>
  </si>
  <si>
    <t>⽩酒;含⽔果酒精饮料;⽢蔗汁酿朗姆酒;含酒精的饮料（啤酒除外）;汽酒;⽩⼲酒（中国⽩酒）;清酒;酒精饮料原汁;酒精饮料（啤酒除外）;⽼酒（中国蒸馏烈酒）</t>
  </si>
  <si>
    <t>秦沂食品</t>
  </si>
  <si>
    <t>贵州秦纪煌食品有限公司</t>
  </si>
  <si>
    <t>⽶酒;以葡萄酒为主的饮料;果酒（含酒精）;梨酒;⾼粱酒;⾕物制蒸馏酒精饮料;杨梅酒;果酒;酒精饮料（啤酒除外）;⽩酒</t>
  </si>
  <si>
    <t>汤沟西游</t>
  </si>
  <si>
    <t>果酒（含酒精）;酒精饮料（啤酒除外）;⽶酒;蒸煮提取物（利⼝酒和烈酒）;葡萄酒;⽩酒;开胃酒;⾷⽤酒精;⻩酒;⽩⼲酒（中国⽩酒）</t>
  </si>
  <si>
    <t>中师爷</t>
  </si>
  <si>
    <t>⻩酒;⽶酒;鸡尾酒;葡萄酒;烧酒;⽩兰地;威⼠忌;⻘稞酒;⽩酒;烈酒</t>
  </si>
  <si>
    <t>米小闹</t>
  </si>
  <si>
    <t>米小闹（杭州）企业管理有限公司</t>
  </si>
  <si>
    <t>葡萄酒;酒精饮料（啤酒除外）;朗姆酒;⽩酒;威⼠忌;⻩酒;利⼝酒;果酒（含酒精）;⽩兰地;清酒（⽇本⽶酒）</t>
  </si>
  <si>
    <t>从前现在</t>
  </si>
  <si>
    <t>河南钧中容实业有限公司</t>
  </si>
  <si>
    <t>烧酒;开胃酒;清酒（⽇本⽶酒）;葡萄酒;⽶酒;⻩酒;威⼠忌;烈酒（饮料）;⽩酒;鸡尾酒</t>
  </si>
  <si>
    <t>重庆市江津区多种经营技术推广中心</t>
  </si>
  <si>
    <t>蒸煮提取物（利⼝酒和烈酒）;威⼠忌;已调味的蒸馏酒;利⼝酒;含⽔果酒精饮料;烧酒;朝鲜烧酒;⾼粱酒;樱桃酒;⽶酒</t>
  </si>
  <si>
    <t>蚁力神</t>
  </si>
  <si>
    <t>开胃酒;餐后酒（利⼝酒和烈酒）;⾕物制蒸馏酒精饮料;已调味的⻨芽酿制的酒精饮料（啤酒除外）;鸡尾酒;预先混合的酒精饮料（以啤酒为主的除外）;以葡萄酒为主的饮料;酒精饮料（啤酒除外）;蒸馏饮料;蜂蜜酒</t>
  </si>
  <si>
    <t>金槐湾</t>
  </si>
  <si>
    <t>六安金槐农业发展有限公司</t>
  </si>
  <si>
    <t>⽶酒;⻘稞酒;鸡尾酒;苹果酒;酒精饮料（啤酒除外）;葡萄酒;酒精饮料原汁;⽩酒;果酒（含酒精）;开胃酒</t>
  </si>
  <si>
    <t>福稻水晶钻</t>
  </si>
  <si>
    <t>清酒（⽇本⽶酒）;⻘稞酒;⽶酒;⽩酒;⽩⼲酒（中国⽩酒）;葡萄酒;烧酒;⻩酒;果酒;⾼粱酒</t>
  </si>
  <si>
    <t>果酒（含酒精）;酒精饮料（啤酒除外）;⻘梅酒;烧酒（烈酒）;清酒;露酒;⻩酒;⽶酒;⾷⽤酒精;⽩酒</t>
  </si>
  <si>
    <t>百里归途</t>
  </si>
  <si>
    <t>海口秀英轻籁贸易商行（个体工商户）</t>
  </si>
  <si>
    <t>⾼粱酒;酒精饮料原汁;酒精饮料（啤酒除外）;清酒;烈酒;⻩酒;⽩酒;烧酒;⽶酒;除啤酒外的酒精饮料</t>
  </si>
  <si>
    <t>ZMJSTY</t>
  </si>
  <si>
    <t>泉州中闽嘉生态农业有限公司</t>
  </si>
  <si>
    <t>果酒;以葡萄酒为主的饮料;⾼粱酒;苹果酒;烧酒;⽶酒;由⾕物蒸馏的⽩酒;⽩酒;酒精饮料浓缩汁;⻩酒</t>
  </si>
  <si>
    <t>高球岛</t>
  </si>
  <si>
    <t>利⼝酒;⽩兰地;⽶酒;葡萄酒;威⼠忌;酒精饮料（啤酒除外）;鸡尾酒;⻩酒;⽩酒;果酒</t>
  </si>
  <si>
    <t>谢皇记</t>
  </si>
  <si>
    <t>安康银盾科技有限公司</t>
  </si>
  <si>
    <t>鸡尾酒;烈酒（饮料）;酒精饮料（啤酒除外）;⽶酒;蒸馏饮料;⽩酒;果酒（含酒精）;葡萄酒;烧酒;⻩酒</t>
  </si>
  <si>
    <t>乾裕魁</t>
  </si>
  <si>
    <t>渠福宏</t>
  </si>
  <si>
    <t>⽶酒;含酒精的鸡尾酒混合饮品;开胃酒;烧酒;烈酒（饮料）;⽩酒;⽩⼲酒（中国⽩酒）;果酒（含酒精）;葡萄酒;⻩酒</t>
  </si>
  <si>
    <t>金醉赋</t>
  </si>
  <si>
    <t>朗姆酒;利⼝酒;鸡尾酒;果酒;烧酒;开胃酒;⽩酒;清酒（⽇本⽶酒）;酒精饮料（啤酒除外）;葡萄酒</t>
  </si>
  <si>
    <t>裕粮帝</t>
  </si>
  <si>
    <t>鸡尾酒;葡萄酒;⻩酒;⾼粱酒;威⼠忌;⽶酒;清酒（⽇本⽶酒）;酒精饮料（啤酒除外）;⽩酒;果酒（含酒精）</t>
  </si>
  <si>
    <t>SALINISSIMA</t>
  </si>
  <si>
    <t>LOUIS LYDIA 路易莱迪亚</t>
  </si>
  <si>
    <t>果酒（含酒精）;⽩兰地;烈酒（饮料）;威⼠忌;葡萄酒;利⼝酒;鸡尾酒;⽩酒;酒精饮料（啤酒除外）;开胃酒</t>
  </si>
  <si>
    <t>吴衡珍</t>
  </si>
  <si>
    <t>葡萄酒;烧酒;⽩酒;烈酒（饮料）;预先混合的酒精饮料（以啤酒为主的除外）;⽶酒;果酒（含酒精）;⻩酒;利⼝酒;威⼠忌</t>
  </si>
  <si>
    <t>蒙得崔家小酒</t>
  </si>
  <si>
    <t>利⼝酒;朗姆酒;葡萄酒;蒸馏饮料;⽩酒;含⽔果酒精饮料;酒精饮料（啤酒除外）;威⼠忌;⽩兰地;果酒（含酒精）</t>
  </si>
  <si>
    <t>罗戈扁</t>
  </si>
  <si>
    <t>王双萍</t>
  </si>
  <si>
    <t>果酒（含酒精）;开胃酒;葡萄酒;烈酒（饮料）;酒精饮料（啤酒除外）;⽩酒;⾕物制蒸馏酒精饮料;清酒（⽇本⽶酒）;⽶酒;烧酒</t>
  </si>
  <si>
    <t>倍德洛 DEDELO</t>
  </si>
  <si>
    <t>浙江倍德洛管道科技有限公司</t>
  </si>
  <si>
    <t>烈酒（饮料）;⾷⽤酒精;⽩酒;果酒;⻩酒;清酒;葡萄酒;⻘稞酒;⽶酒;烧酒</t>
  </si>
  <si>
    <t>牡膳堂</t>
  </si>
  <si>
    <t>山东国花牡丹健康产业有限公司</t>
  </si>
  <si>
    <t>威⼠忌;草莓酒;⽶酒;⽩⼲酒（中国⽩酒）;苹果酒;⾼粱酒;朗姆酒;梅酒;红葡萄酒;⽩酒</t>
  </si>
  <si>
    <t>美·逍遥</t>
  </si>
  <si>
    <t>上海酉米酒业有限公司</t>
  </si>
  <si>
    <t>葡萄酒;伏特加酒;⾷⽤酒精;朗姆酒;⽩兰地;威⼠忌;果酒（含酒精）;烈酒（饮料）;⻩酒;⽩酒</t>
  </si>
  <si>
    <t>梦凝香</t>
  </si>
  <si>
    <t>杨辉群</t>
  </si>
  <si>
    <t>⾼粱酒;⻘稞酒;蒸煮提取物（利⼝酒和烈酒）;由⾕物蒸馏的⽩酒;⽩酒;果酒;以蒸馏酒为主的开胃酒;五加⽪酒（中国混合烈酒）;烧酒（烈酒）;⽼酒（中国蒸馏烈酒）</t>
  </si>
  <si>
    <t>松鲸</t>
  </si>
  <si>
    <t>河南莫纳柯卫浴有限公司</t>
  </si>
  <si>
    <t>果酒;鸡尾酒;⽶酒;⾷⽤酒精;⻩酒;烈酒;⽩酒;葡萄酒;烧酒;清酒</t>
  </si>
  <si>
    <t>美人耀 MEIREN SHOW</t>
  </si>
  <si>
    <t>严春桂</t>
  </si>
  <si>
    <t>烈酒（饮料）;果酒（含酒精）;⻩酒;鸡尾酒;葡萄酒;蜂蜜酒;威⼠忌;⽩酒;清酒（⽇本⽶酒）;⽶酒</t>
  </si>
  <si>
    <t>买宜份</t>
  </si>
  <si>
    <t>张维妮</t>
  </si>
  <si>
    <t>果酒;汽酒;甜酒;⽩酒;葡萄酒;清酒;⽶酒;⾷⽤酒精;开胃酒;⻩酒</t>
  </si>
  <si>
    <t>冯六公</t>
  </si>
  <si>
    <t>冯奕宏</t>
  </si>
  <si>
    <t>⽩兰地;威⼠忌;烈酒（饮料）;⽩酒;⽶酒;鸡尾酒;酒精饮料（啤酒除外）;开胃酒;苦味酒;葡萄酒</t>
  </si>
  <si>
    <t>宇芳缘</t>
  </si>
  <si>
    <t>福建华茅福台国际贸易有限公司</t>
  </si>
  <si>
    <t>⽩兰地;清酒（⽇本⽶酒）;烧酒;⽩酒;⻩酒;酒精饮料（啤酒除外）;⽶酒;红葡萄酒;预先混合的酒精饮料（以啤酒为主的除外）;果酒</t>
  </si>
  <si>
    <t>MEIMEI MAN</t>
  </si>
  <si>
    <t>东莞市天木三农业科技有限公司</t>
  </si>
  <si>
    <t>果酒（含酒精）;葡萄酒;威⼠忌;酒精饮料浓缩汁;⽶酒;含⽔果酒精饮料;鸡尾酒;开胃酒;酒精饮料原汁;酒精饮料（啤酒除外）</t>
  </si>
  <si>
    <t>罗碧勤</t>
  </si>
  <si>
    <t>⽶酒;果酒;鸡尾酒;葡萄酒;蒸馏饮料;酒精饮料（啤酒除外）;⽩酒;烧酒;烈酒（饮料）;威⼠忌</t>
  </si>
  <si>
    <t>洪福霖门</t>
  </si>
  <si>
    <t>王洪松</t>
  </si>
  <si>
    <t>除啤酒外的酒精饮料;⽶酒;⽩酒;果酒（含酒精）;甜酒;⽼酒（中国蒸馏烈酒）;鸡尾酒;⽩兰地;⽩⼲酒（中国⽩酒）;⾷⽤酒精</t>
  </si>
  <si>
    <t>吴宫泛</t>
  </si>
  <si>
    <t>苏州府酒酒业有限公司</t>
  </si>
  <si>
    <t>果酒（含酒精）;⻩酒;烧酒;⽩酒;⽶酒;甜酒;烈酒（饮料）;清酒（⽇本⽶酒）;酒精饮料（啤酒除外）;葡萄酒</t>
  </si>
  <si>
    <t>恬颜悦色</t>
  </si>
  <si>
    <t>刘嘉豪</t>
  </si>
  <si>
    <t>汽酒;葡萄酒;⻩酒;果酒;⽩酒;⾷⽤酒精;开胃酒;清酒;甜酒;⽶酒</t>
  </si>
  <si>
    <t>车桥头文阿</t>
  </si>
  <si>
    <t>泉州车桥头文阿餐饮有限公司</t>
  </si>
  <si>
    <t>果酒;葡萄酒;⽶酒;伏特加酒;酒精饮料原汁;⽩兰地;威⼠忌;蜂蜜酒;⽩酒;清酒</t>
  </si>
  <si>
    <t>港窖王子</t>
  </si>
  <si>
    <t>⾕物制蒸馏酒精饮料;餐后酒（利⼝酒和烈酒）;露酒;果酒（含酒精）;⽩酒;烈酒（饮料）;⽶酒;苹果酒;蒸馏饮料;葡萄酒</t>
  </si>
  <si>
    <t>蓓兰斯</t>
  </si>
  <si>
    <t>美夏国际贸易（上海）有限公司</t>
  </si>
  <si>
    <t>含⽔果酒精饮料;酸酒（低等葡萄酒）;汽酒;果酒（含酒精）;酒精饮料原汁;酒精饮料（啤酒除外）;葡萄酒;烈酒（饮料）;⽩兰地;酒精饮料浓缩汁</t>
  </si>
  <si>
    <t>绵悦</t>
  </si>
  <si>
    <t>烧酒;酒精饮料（啤酒除外）;烈酒（饮料）;⻩酒;果酒（含酒精）;酒精饮料浓缩汁;葡萄酒;含⽔果酒精饮料;⽩酒;⽶酒</t>
  </si>
  <si>
    <t>百嘉晟</t>
  </si>
  <si>
    <t>四川科创智领医疗科技有限公司</t>
  </si>
  <si>
    <t>烧酒;⾼粱酒;开胃酒;酒精饮料（啤酒除外）;⽩酒;由⾕物蒸馏的⽩酒;葡萄酒;⽩⼲酒（中国⽩酒）;⽼酒（中国蒸馏烈酒）;蒸煮提取物（利⼝酒和烈酒）</t>
  </si>
  <si>
    <t>HEADLAND OF THE GREAT SEAS</t>
  </si>
  <si>
    <t>艾德菲酿酒厂有限公司</t>
  </si>
  <si>
    <t>威⼠忌;酒精饮料（啤酒除外）;利⼝酒;烈酒</t>
  </si>
  <si>
    <t>祝堰欢</t>
  </si>
  <si>
    <t>史新房</t>
  </si>
  <si>
    <t>葡萄酒;⾼粱酒;威⼠忌;⽩酒;含酒精的充⽓饮料（啤酒除外）;果酒;⽶酒;⻘稞酒;⽼酒（中国蒸馏烈酒）;⻩酒</t>
  </si>
  <si>
    <t>汇超道</t>
  </si>
  <si>
    <t>内江市诚酿商贸有限公司</t>
  </si>
  <si>
    <t>烈酒;开胃酒;葡萄酒;⻘稞酒;酒精饮料原汁;威⼠忌;⽩酒;果酒;烧酒;清酒（⽇本⽶酒）</t>
  </si>
  <si>
    <t>邮乐优选 ULE.COM</t>
  </si>
  <si>
    <t>⾷⽤酒精;⻩酒;含酒精的充⽓饮料（啤酒除外）;⾼粱酒;⽶酒;以葡萄酒为主的饮料;⽩酒;葡萄酒;⽩葡萄酒;鸡尾酒</t>
  </si>
  <si>
    <t>俄吉娅</t>
  </si>
  <si>
    <t>黑龙江省七号库经贸有限责任公司</t>
  </si>
  <si>
    <t>果酒（含酒精）;烈酒（饮料）;酒精饮料原汁;⽶酒;⽩兰地;⽩酒;葡萄酒;朗姆酒;伏特加酒;烧酒</t>
  </si>
  <si>
    <t>重丘会盟</t>
  </si>
  <si>
    <t>茌平县亿昌商贸有限责任公司</t>
  </si>
  <si>
    <t>葡萄酒;⽩⼲酒（中国⽩酒）;⽩葡萄酒;除啤酒外的酒精饮料;⻩酒;汽酒;⽩兰地;⽩酒;⽶酒;烧酒</t>
  </si>
  <si>
    <t>STAR SOURCE</t>
  </si>
  <si>
    <t>上海真玖供应链管理有限公司</t>
  </si>
  <si>
    <t>果酒;清酒（⽇本⽶酒）;葡萄酒;⽩酒;⻩酒;酒精饮料（啤酒除外）;开胃酒;烧酒;⽩葡萄酒;⽶酒</t>
  </si>
  <si>
    <t>萂苜</t>
  </si>
  <si>
    <t>大连柯莱枫丹生物科技有限公司</t>
  </si>
  <si>
    <t>果酒（含酒精）;葡萄酒;⽶酒;⽩酒;清酒（⽇本⽶酒）;烧酒;⻩酒;⾷⽤酒精;汽酒;酒精饮料（啤酒除外）</t>
  </si>
  <si>
    <t>青泉冈</t>
  </si>
  <si>
    <t>杨智彬</t>
  </si>
  <si>
    <t>⽩酒;葡萄汽酒;汽酒;⾼粱酒;⾕物制蒸馏酒精饮料;⻘稞酒;⽶酒;苦荞酒;⾷⽤酒精;果酒（含酒精）</t>
  </si>
  <si>
    <t>七霉香</t>
  </si>
  <si>
    <t>刘国忠</t>
  </si>
  <si>
    <t>利⼝酒;酒精饮料原汁;⽶酒;烧酒（烈酒）;⽩酒;葡萄酒;烈酒（饮料）;清酒;梅酒;烧酒</t>
  </si>
  <si>
    <t>幸运之光龙洞泉</t>
  </si>
  <si>
    <t>江苏轩宇豪成信息科技有限公司</t>
  </si>
  <si>
    <t>薄荷酒;开胃酒;⻩酒;酒精饮料（啤酒除外）;含⽔果酒精饮料;蒸馏饮料;葡萄酒;威⼠忌;⽩酒;果酒（含酒精）</t>
  </si>
  <si>
    <t>孙唐</t>
  </si>
  <si>
    <t>上海添猫云企业发展有限公司</t>
  </si>
  <si>
    <t>⽶酒;汽酒;⻩酒;果酒（含酒精）;⾷⽤酒精;烈酒（饮料）;酒精饮料（啤酒除外）;葡萄酒;清酒（⽇本⽶酒）;烧酒</t>
  </si>
  <si>
    <t>朝钦坊</t>
  </si>
  <si>
    <t>泉州市壹贰玖捌柒酒业有限公司</t>
  </si>
  <si>
    <t>含⽔果酒精饮料;⾷⽤酒精;酒精饮料（啤酒除外）;葡萄酒;酒精饮料原汁;果酒（含酒精）;⽶酒;⽩酒;蒸馏饮料;威⼠忌</t>
  </si>
  <si>
    <t>匠贰伍</t>
  </si>
  <si>
    <t>刘华</t>
  </si>
  <si>
    <t>⽩酒;⽼酒（中国蒸馏烈酒）;⾼粱酒;烈酒;⽶酒;由⾕物蒸馏的⽩酒;⾕物制蒸馏酒精饮料;果酒;⾷⽤酒精;清酒</t>
  </si>
  <si>
    <t>真真美美</t>
  </si>
  <si>
    <t>⻩酒;开胃酒;含⽔果酒精饮料;⽶酒;烧酒;酒精饮料（啤酒除外）;⽩酒;葡萄酒;果酒（含酒精）;烈酒</t>
  </si>
  <si>
    <t>爻乾</t>
  </si>
  <si>
    <t>重庆市旗晟惠扬商贸有限公司</t>
  </si>
  <si>
    <t>酒精饮料（啤酒除外）;⽼酒（中国蒸馏烈酒）;果酒;⻘稞酒;⽶酒;⻩酒;葡萄酒;烧酒;清酒;⽩酒</t>
  </si>
  <si>
    <t>菩华友人</t>
  </si>
  <si>
    <t>贵州醇鼎富酱酒业有限公司</t>
  </si>
  <si>
    <t>⽩酒;⻘稞酒;鸡尾酒;酒精饮料（啤酒除外）;汽酒;烈酒;⾕物制蒸馏酒精饮料;酒精饮料原汁;果酒（含酒精）;葡萄酒</t>
  </si>
  <si>
    <t>PUHUA PIPA</t>
  </si>
  <si>
    <t>⾕物制蒸馏酒精饮料;葡萄酒;酒精饮料原汁;果酒（含酒精）;汽酒;⻘稞酒;⽩酒;酒精饮料（啤酒除外）;鸡尾酒;烈酒</t>
  </si>
  <si>
    <t>依开心</t>
  </si>
  <si>
    <t>东营二合聚材料科技有限公司</t>
  </si>
  <si>
    <t>果酒（含酒精）;烧酒;⽩酒;⻩酒;苦荞酒;⽶酒;⽼酒（中国蒸馏烈酒）;⾼粱酒;⽩⼲酒（中国⽩酒）;葡萄酒</t>
  </si>
  <si>
    <t>陇三和粮液</t>
  </si>
  <si>
    <t>葡萄酒;烧酒;开胃酒;鸡尾酒;⻩酒;果酒（含酒精）;利⼝酒;⽩酒;⻘稞酒;烈酒（饮料）</t>
  </si>
  <si>
    <t>三晋陈</t>
  </si>
  <si>
    <t>烈酒（饮料）;⽼酒（中国蒸馏烈酒）;⽩酒;⽶酒;鸡尾酒;酒精饮料（啤酒除外）;⻩酒;烧酒;果酒（含酒精）;葡萄酒</t>
  </si>
  <si>
    <t>煮梦</t>
  </si>
  <si>
    <t>鸡尾酒;⻩酒;威⼠忌;⽶酒;露酒;葡萄酒;⽩兰地;伏特加酒;⽩酒;果酒（含酒精）</t>
  </si>
  <si>
    <t>今振九洲</t>
  </si>
  <si>
    <t>酒精饮料（啤酒除外）;葡萄酒;露酒;⽶酒;⽩酒;清酒;⻩酒;果酒;烧酒;⾼粱酒</t>
  </si>
  <si>
    <t>大疆苍哥</t>
  </si>
  <si>
    <t>陈金苍</t>
  </si>
  <si>
    <t>蒸馏饮料;葡萄酒;烈酒（饮料）;⾷⽤酒精;⽩兰地;果酒（含酒精）;酒精饮料原汁;酒精饮料（啤酒除外）;烧酒;⽩酒</t>
  </si>
  <si>
    <t>农老头</t>
  </si>
  <si>
    <t>内蒙古农老头农业发展有限公司</t>
  </si>
  <si>
    <t>烈酒（饮料）;烧酒;酒精饮料原汁;预先混合的酒精饮料（以啤酒为主的除外）;葡萄酒;果酒（含酒精）;⻩酒;⽩酒;⽶酒;蒸煮提取物（利⼝酒和烈酒）</t>
  </si>
  <si>
    <t>禧有缘</t>
  </si>
  <si>
    <t>康生</t>
  </si>
  <si>
    <t>果酒（含酒精）;⻩酒;⽩酒;清酒（⽇本⽶酒）;酒精饮料（啤酒除外）;鸡尾酒;葡萄酒;烈酒;开胃酒;威⼠忌</t>
  </si>
  <si>
    <t>台者王家</t>
  </si>
  <si>
    <t>杜军</t>
  </si>
  <si>
    <t>烧酒;⽩酒;鸡尾酒;烈酒（饮料）;⽼酒（中国蒸馏烈酒）;果酒（含酒精）;烈酒;⽶酒;威⼠忌;酒精饮料（啤酒除外）</t>
  </si>
  <si>
    <t>道旭古渡</t>
  </si>
  <si>
    <t>山东欣旺酒业有限公司</t>
  </si>
  <si>
    <t>葡萄酒;蜂蜜酒;⽶酒;果酒（含酒精）;⽩酒;烧酒;以蒸馏酒为主的开胃酒;⻩酒;五加⽪酒（中国混合烈酒）;⽩兰地</t>
  </si>
  <si>
    <t>君规</t>
  </si>
  <si>
    <t>罗国友</t>
  </si>
  <si>
    <t>葡萄酒;烧酒;果酒（含酒精）;⻩酒;清酒;烈酒;⽶酒;⾼粱酒;⽩酒;⾷⽤酒精</t>
  </si>
  <si>
    <t>崇赏</t>
  </si>
  <si>
    <t>⻩酒;⽩酒;⽩兰地;⽶酒;葡萄酒;威⼠忌;果酒（含酒精）;开胃酒;蒸煮提取物（利⼝酒和烈酒）;蒸馏饮料</t>
  </si>
  <si>
    <t>仙览</t>
  </si>
  <si>
    <t>⽩酒;葡萄酒;⽶酒;开胃酒;威⼠忌;蒸馏饮料;蒸煮提取物（利⼝酒和烈酒）;⽩兰地;果酒（含酒精）;⻩酒</t>
  </si>
  <si>
    <t>蒙扎赉</t>
  </si>
  <si>
    <t>王跃春</t>
  </si>
  <si>
    <t>葡萄酒;蒸煮提取物（利⼝酒和烈酒）;清酒;⽩酒;⽼酒（中国蒸馏烈酒）;⽩兰地;果酒;威⼠忌;⻩酒;⽶酒</t>
  </si>
  <si>
    <t>逍遥楼颜真卿</t>
  </si>
  <si>
    <t>王老福集团股份有限公司</t>
  </si>
  <si>
    <t>⽶酒;清酒（⽇本⽶酒）;威⼠忌;⾷⽤酒精;⻩酒;⽩酒</t>
  </si>
  <si>
    <t>桑基黄露</t>
  </si>
  <si>
    <t>刘海英</t>
  </si>
  <si>
    <t>威⼠忌;⽩酒;葡萄酒;烈酒;鸡尾酒;清酒（⽇本⽶酒）;酒精饮料（啤酒除外）;⻩酒;果酒（含酒精）;开胃酒</t>
  </si>
  <si>
    <t>MORTLACH LEGENDARY SIX</t>
  </si>
  <si>
    <t>黛尔吉奥苏格兰有限公司</t>
  </si>
  <si>
    <t>名花瓷</t>
  </si>
  <si>
    <t>杨峰610427********0011</t>
  </si>
  <si>
    <t>含⽔果酒精饮料;⽩酒;⽢蔗制酒精饮料;⾕物制蒸馏酒精饮料;⽼酒（中国蒸馏烈酒）;清酒（⽇本⽶酒）;葡萄汽酒;果酒（含酒精）;利⼝酒;威⼠忌</t>
  </si>
  <si>
    <t>康善心瑞</t>
  </si>
  <si>
    <t>淄博星聚商贸有限公司</t>
  </si>
  <si>
    <t>威⼠忌;⻩酒;开胃酒;鸡尾酒;酒精饮料（啤酒除外）;⽶酒;果酒（含酒精）;⽩酒;烈酒（饮料）;葡萄酒</t>
  </si>
  <si>
    <t>富喜神州</t>
  </si>
  <si>
    <t>黎华胜</t>
  </si>
  <si>
    <t>果酒（含酒精）;酒精饮料（啤酒除外）;蒸馏饮料;⽶酒;葡萄酒;⽩酒;⽩兰地;⾼粱酒;⾷⽤酒精;露酒</t>
  </si>
  <si>
    <t>隐地</t>
  </si>
  <si>
    <t>凌云玉</t>
  </si>
  <si>
    <t>开胃酒;⽶酒;⾷⽤酒精;甜酒;⽩酒;⻩酒;果酒;汽酒;清酒;葡萄酒</t>
  </si>
  <si>
    <t>继断</t>
  </si>
  <si>
    <t>枣庄美围服装有限公司</t>
  </si>
  <si>
    <t>⽶酒;⽩酒;⽼酒（中国蒸馏烈酒）;已调味的⻨芽酿制的酒精饮料（啤酒除外）;红葡萄酒;果酒;甜酒;烧酒（烈酒）;⽩⼲酒（中国⽩酒）;含酒精的⽓泡⽔;⻩酒;烈酒;⾼粱酒</t>
  </si>
  <si>
    <t>哔哔爱弗</t>
  </si>
  <si>
    <t>云南哔哔爱弗娱乐有限公司</t>
  </si>
  <si>
    <t>果酒（含酒精）;烧酒（烈酒）;葡萄酒;利⼝酒;刺五加酒;⽩兰地;⽩酒;威⼠忌;伏特加酒;鸡尾酒</t>
  </si>
  <si>
    <t>力士金龙船</t>
  </si>
  <si>
    <t>东莞圣佰利酒业有限公司</t>
  </si>
  <si>
    <t>⽩兰地;⽩酒;⽶酒;烧酒;威⼠忌;葡萄酒;朗姆酒;伏特加酒;⻩酒;鸡尾酒</t>
  </si>
  <si>
    <t>墨越</t>
  </si>
  <si>
    <t>绍兴大海网络科技有限公司</t>
  </si>
  <si>
    <t>果酒（含酒精）;果酒;⽶酒;⽩酒;⻩酒;梅酒;⽼酒（中国蒸馏烈酒）;⻘梅酒;杨梅酒;含⽔果酒精饮料</t>
  </si>
  <si>
    <t>臣壶老</t>
  </si>
  <si>
    <t>许海剑</t>
  </si>
  <si>
    <t>威⼠忌;⽶酒;烧酒;⻩酒;葡萄酒;⽩酒;⽩兰地;清酒;鸡尾酒;果酒（含酒精）</t>
  </si>
  <si>
    <t>志造</t>
  </si>
  <si>
    <t>王金辉</t>
  </si>
  <si>
    <t>甜酒;⾷⽤酒精;汽酒;⽶酒;清酒;⻩酒;开胃酒;⽩酒;果酒;葡萄酒</t>
  </si>
  <si>
    <t>淄块淄</t>
  </si>
  <si>
    <t>鸡尾酒;烈酒（饮料）;威⼠忌;葡萄酒;烧酒;⽶酒;⻩酒;⽩兰地;⽩酒;果酒（含酒精）</t>
  </si>
  <si>
    <t>⻩酒;果酒（含酒精）;烧酒;⽩酒;蜂蜜酒;⽩兰地;⽶酒;五加⽪酒（中国混合烈酒）;以蒸馏酒为主的开胃酒;葡萄酒</t>
  </si>
  <si>
    <t>五彩川</t>
  </si>
  <si>
    <t>刘承亮</t>
  </si>
  <si>
    <t>烈酒;⻩酒;葡萄酒;酒精饮料（啤酒除外）;⽩酒;⽼酒（中国蒸馏烈酒）;果酒;⽶酒;预先混合的酒精饮料（以啤酒为主的除外）;烧酒</t>
  </si>
  <si>
    <t>港窖窖龄</t>
  </si>
  <si>
    <t>果酒（含酒精）;烈酒（饮料）;餐后酒（利⼝酒和烈酒）;露酒;葡萄酒;⾕物制蒸馏酒精饮料;⽩酒;苹果酒;蒸馏饮料;⽶酒</t>
  </si>
  <si>
    <t>雪蓬牌</t>
  </si>
  <si>
    <t>王允柯</t>
  </si>
  <si>
    <t>清酒（⽇本⽶酒）;烧酒;⽩酒;果酒（含酒精）;酒精饮料（啤酒除外）;⻩酒;鸡尾酒;烈酒（饮料）;⽶酒;葡萄酒</t>
  </si>
  <si>
    <t>顺玺清醇</t>
  </si>
  <si>
    <t>宁城县八里罕瑞福酒业有限公司</t>
  </si>
  <si>
    <t>果酒（含酒精）;开胃酒;蒸煮提取物（利⼝酒和烈酒）;葡萄酒;含⽔果酒精饮料;蜂蜜酒;烈酒（饮料）;烧酒;酒精饮料（啤酒除外）;利⼝酒</t>
  </si>
  <si>
    <t>同福亿达 TFYD</t>
  </si>
  <si>
    <t>陈福强</t>
  </si>
  <si>
    <t>⽩酒;清酒;鸡尾酒;⽩兰地;⽶酒;葡萄酒;⻩酒;含⽔果酒精饮料;⽼酒（中国蒸馏烈酒）;⽩⼲酒（中国⽩酒）</t>
  </si>
  <si>
    <t>打包秋天</t>
  </si>
  <si>
    <t>黑龙江稻路农业有限公司</t>
  </si>
  <si>
    <t>葡萄酒;⽩兰地;威⼠忌;酒精饮料（啤酒除外）;⽶酒;⽩酒;烧酒;⻩酒;果酒（含酒精）;鸡尾酒</t>
  </si>
  <si>
    <t>墨德臻</t>
  </si>
  <si>
    <t>果酒（含酒精）;餐后酒（利⼝酒和烈酒）;酒精饮料（啤酒除外）;烧酒;⽩酒;⻩酒;露酒;含⽔果酒精饮料;⽶酒;葡萄酒</t>
  </si>
  <si>
    <t>峡谷赤甲</t>
  </si>
  <si>
    <t>葡萄酒;酒精饮料（啤酒除外）;烈酒;甜酒;威⼠忌;佐餐酒;果酒;鸡尾酒;⽩兰地;⽩酒</t>
  </si>
  <si>
    <t>薛小晗</t>
  </si>
  <si>
    <t>内蒙古智道品牌管理有限公司</t>
  </si>
  <si>
    <t>⽩酒;鸡尾酒;⾷⽤酒精;清酒（⽇本⽶酒）;酒精饮料原汁;烧酒;葡萄酒;果酒（含酒精）;开胃酒;⻘稞酒</t>
  </si>
  <si>
    <t>九笑朕</t>
  </si>
  <si>
    <t>中宁县杞百金农业科技有限公司</t>
  </si>
  <si>
    <t>酒精饮料（啤酒除外）;烈酒（饮料）;果酒（含酒精）;⽩酒;葡萄酒;含⽔果酒精饮料;以葡萄酒为主的饮料;酒精饮料原汁;⽩兰地;⻩酒</t>
  </si>
  <si>
    <t>皇帝匠氿</t>
  </si>
  <si>
    <t>开胃酒;葡萄酒;鸡尾酒;酒精饮料（啤酒除外）;⽶酒;果酒（含酒精）;⻘稞酒;⻩酒;烧酒;⽩酒</t>
  </si>
  <si>
    <t>攀枝花宾馆酒店管理有限公司</t>
  </si>
  <si>
    <t>餐后酒（利⼝酒和烈酒）;樱桃酒;⽩酒;鸡尾酒;已调味的⻨芽酿制的酒精饮料（啤酒除外）;果酒（含酒精）;开胃酒;葡萄酒;⾕物制蒸馏酒精饮料;含酒精的⽓泡⽔</t>
  </si>
  <si>
    <t>新机果源</t>
  </si>
  <si>
    <t>新机果源（烟台）农业科技有限公司</t>
  </si>
  <si>
    <t>蜂蜜酒;葡萄酒;酒精饮料（啤酒除外）;烧酒;⽩酒;⽶酒;⻩酒;果酒（含酒精）;蒸馏饮料;⾷⽤酒精</t>
  </si>
  <si>
    <t>养森专嘉</t>
  </si>
  <si>
    <t>王娟</t>
  </si>
  <si>
    <t>⾷⽤酒精;开胃酒;⽩酒;葡萄酒;甜酒;汽酒;清酒;⽶酒;⻩酒;果酒</t>
  </si>
  <si>
    <t>氿盟烧坊</t>
  </si>
  <si>
    <t>罗宗凯</t>
  </si>
  <si>
    <t>清酒（⽇本⽶酒）;⾷⽤酒精;⽩酒;⽶酒;葡萄酒;⾕物制蒸馏酒精饮料;⻩酒;果酒（含酒精）;烧酒（烈酒）;⾼粱酒</t>
  </si>
  <si>
    <t>花香天下</t>
  </si>
  <si>
    <t>葡萄酒;酒精饮料（啤酒除外）;⽩酒;烧酒（烈酒）;果酒;⽶酒;⻩酒;樱桃酒;⾼粱酒;烈酒</t>
  </si>
  <si>
    <t>丰和泰</t>
  </si>
  <si>
    <t>深圳市伊凯特科技有限公司</t>
  </si>
  <si>
    <t>鸡尾酒;果酒;开胃酒;烧酒;⾼粱酒;⽶酒;⽩酒;烈酒;⽼酒（中国蒸馏烈酒）;葡萄酒</t>
  </si>
  <si>
    <t>RANQILAI</t>
  </si>
  <si>
    <t>深圳市微醺生物技术服务有限公司</t>
  </si>
  <si>
    <t>⾷⽤酒精;果酒（含酒精）;蒸馏饮料;葡萄酒;清酒;酒精饮料浓缩汁;含⽔果酒精饮料;⽩酒;⻩酒;烈酒（饮料）;⽶酒;酒精饮料（啤酒除外）</t>
  </si>
  <si>
    <t>CHATEAU REXKIN BATEAU</t>
  </si>
  <si>
    <t>⽩酒;鸡尾酒;葡萄酒;朗姆酒;伏特加酒;⽩兰地;威⼠忌;⽶酒;烧酒;⻩酒</t>
  </si>
  <si>
    <t>渡酒娘</t>
  </si>
  <si>
    <t>北京地心引力网络科技有限公司</t>
  </si>
  <si>
    <t>⽩酒;⻩酒;果酒（含酒精）;⽶酒;烈酒（饮料）;鸡尾酒;葡萄酒;蜂蜜酒;汽酒;酒精饮料（啤酒除外）</t>
  </si>
  <si>
    <t>范佳得</t>
  </si>
  <si>
    <t>上海角虎酒业有限公司</t>
  </si>
  <si>
    <t>烧酒;果酒（含酒精）;⽩酒;⻩酒;开胃酒;威⼠忌;⽶酒;酒精饮料（啤酒除外）;葡萄酒;⾷⽤酒精</t>
  </si>
  <si>
    <t>MICIELO</t>
  </si>
  <si>
    <t>深圳市汉瑜实业有限公司</t>
  </si>
  <si>
    <t>以葡萄酒为主的饮料;桃红葡萄酒;起泡⽩葡萄酒;⽩葡萄酒;葡萄酒;不起泡葡萄酒;起泡红葡萄酒;果酒（含酒精）;葡萄汽酒;红葡萄酒</t>
  </si>
  <si>
    <t>莘桐</t>
  </si>
  <si>
    <t>刘嘉俊</t>
  </si>
  <si>
    <t>含⽔果酒精饮料;葡萄酒;清酒（⽇本⽶酒）;苹果酒;蒸馏饮料;果酒（含酒精）;鸡尾酒;酒精饮料（啤酒除外）;⽩酒;开胃酒</t>
  </si>
  <si>
    <t>千万酒翁 QINAWANJIUWENG</t>
  </si>
  <si>
    <t>武宪丽</t>
  </si>
  <si>
    <t>葡萄酒;酒精饮料（啤酒除外）;烈酒（饮料）;威⼠忌;⻩酒;⽩酒;⽶酒;⾷⽤酒精;鸡尾酒;⽩兰地</t>
  </si>
  <si>
    <t>张三不山高</t>
  </si>
  <si>
    <t>深圳市乌首中药养发研究有限公司</t>
  </si>
  <si>
    <t>⽶酒;果酒;⽩酒;⽩⼲酒（中国⽩酒）;烈酒;葡萄酒;⻩酒;除啤酒外的酒精饮料;⽼酒（中国蒸馏烈酒）;甜酒</t>
  </si>
  <si>
    <t>桦林旭</t>
  </si>
  <si>
    <t>苏州桐欣语食品科技有限公司</t>
  </si>
  <si>
    <t>果酒（含酒精）;酒精饮料（啤酒除外）;薄荷酒;开胃酒;含⽔果酒精饮料;葡萄酒;⻩酒;威⼠忌;⽩酒;蒸馏饮料</t>
  </si>
  <si>
    <t>生生何尊</t>
  </si>
  <si>
    <t>北京华导检测技术院</t>
  </si>
  <si>
    <t>烈酒;⽩⼲酒（中国⽩酒）;⽩酒;⻩酒;⾼粱酒;蒸煮提取物（利⼝酒和烈酒）;开胃酒;烧酒;果酒（含酒精）;⽼酒（中国蒸馏烈酒）</t>
  </si>
  <si>
    <t>亳宇坤</t>
  </si>
  <si>
    <t>杭州宇坤会议服务有限公司</t>
  </si>
  <si>
    <t>⽩酒;葡萄酒;⻩酒;⻘稞酒;酒精饮料（啤酒除外）;烧酒;⽶酒;果酒（含酒精）;鸡尾酒;开胃酒</t>
  </si>
  <si>
    <t>孟道窖藏版</t>
  </si>
  <si>
    <t>成都千杯少商贸有限公司</t>
  </si>
  <si>
    <t>伏特加酒;鸡尾酒;清酒;⻘稞酒;⻩酒;⽶酒;酒精饮料原汁;葡萄酒;⽩酒;果酒（含酒精）</t>
  </si>
  <si>
    <t>许家接待酒</t>
  </si>
  <si>
    <t>葡萄酒;烧酒;威⼠忌;⽶酒;⽩兰地;⽩酒;鸡尾酒;⻩酒;果酒（含酒精）;清酒</t>
  </si>
  <si>
    <t>莫思酿</t>
  </si>
  <si>
    <t>刘亚东</t>
  </si>
  <si>
    <t>鸡尾酒;酒精饮料（啤酒除外）;含⽔果酒精饮料;⽶酒;葡萄酒;⽩酒;利⼝酒;⻩酒;果酒（含酒精）;烧酒</t>
  </si>
  <si>
    <t>BANANATATA</t>
  </si>
  <si>
    <t>伏特加酒;威⼠忌;烈酒;利⼝酒;酒精饮料（啤酒除外）;果酒;⽩兰地;⽶酒;⽩酒;朗姆酒</t>
  </si>
  <si>
    <t>O'QUEEN ESTATE</t>
  </si>
  <si>
    <t>上海洛可达贸易有限公司</t>
  </si>
  <si>
    <t>含酒精的⽓泡⽔;鸡尾酒;果酒（含酒精）;葡萄酒;酒精饮料（啤酒除外）;以葡萄酒为主的饮料;⽩兰地;威⼠忌;烈酒（饮料）;汽酒</t>
  </si>
  <si>
    <t>米希艾罗</t>
  </si>
  <si>
    <t>葡萄酒;不起泡葡萄酒;桃红葡萄酒;起泡红葡萄酒;果酒（含酒精）;红葡萄酒;⽩葡萄酒;以葡萄酒为主的饮料;起泡⽩葡萄酒;葡萄汽酒</t>
  </si>
  <si>
    <t>RONACONDY</t>
  </si>
  <si>
    <t>高天宝</t>
  </si>
  <si>
    <t>蒸煮提取物（利⼝酒和烈酒）;威⼠忌;葡萄酒;开胃酒;⻩酒;烧酒;酒精饮料原汁;⽩酒;⾷⽤酒精;果酒（含酒精）</t>
  </si>
  <si>
    <t>法格汀 FAYGETIN</t>
  </si>
  <si>
    <t>刘浩锋</t>
  </si>
  <si>
    <t>葡萄酒;酒精饮料（啤酒除外）;果酒（含酒精）;⽩酒;鸡尾酒;清酒（⽇本⽶酒）;开胃酒;威⼠忌;烈酒;⻩酒</t>
  </si>
  <si>
    <t>GRANDMORUS</t>
  </si>
  <si>
    <t>中禾宝桑生物科技有限公司</t>
  </si>
  <si>
    <t>鸡尾酒;汽酒;⽔果汽酒;甜果酒;含酒精⽔果饮料;含酒精的充⽓饮料（啤酒除外）;开胃酒;除啤酒外的酒精饮料;含酒精的⽓泡⽔;露酒</t>
  </si>
  <si>
    <t>彩虹布拉克</t>
  </si>
  <si>
    <t>富蕴县卓蕴旅游文化产品开发有限公司</t>
  </si>
  <si>
    <t>清酒（⽇本⽶酒）;威⼠忌;烈酒;⽩酒;鸡尾酒;酒精饮料原汁;酒精饮料（啤酒除外）;葡萄酒;⽶酒;伏特加酒</t>
  </si>
  <si>
    <t>乡土潮汕</t>
  </si>
  <si>
    <t>香港传媒投资集团有限公司</t>
  </si>
  <si>
    <t>红葡萄酒;苹果酒;⻩酒;烧酒;烈酒;果酒;⾼粱酒;⽼酒（中国蒸馏烈酒）;甜酒;⽶酒</t>
  </si>
  <si>
    <t>尬师兄</t>
  </si>
  <si>
    <t>山东清夜控股集团有限公司</t>
  </si>
  <si>
    <t>朗姆酒;伏特加酒;⽩酒;⽩兰地;甜果酒;烧酒;葡萄酒;含⽔果酒精饮料;蜂蜜酒;开胃酒</t>
  </si>
  <si>
    <t>仚福运</t>
  </si>
  <si>
    <t>周猛</t>
  </si>
  <si>
    <t>果酒;果酒（含酒精）;葡萄酒;烧酒;⻩酒;⻘稞酒;⽼酒（中国蒸馏烈酒）;⽩酒;⾼粱酒;鸡尾酒</t>
  </si>
  <si>
    <t>凤之顺</t>
  </si>
  <si>
    <t>旗牌红（泉州）酒业发展有限公司</t>
  </si>
  <si>
    <t>果酒（含酒精）;伏特加酒;⽩酒;葡萄酒;鸡尾酒;⽩兰地;威⼠忌;利⼝酒;烧酒;含⽔果酒精饮料</t>
  </si>
  <si>
    <t>宦娘</t>
  </si>
  <si>
    <t>贵州醉仲轩酒业有限公司</t>
  </si>
  <si>
    <t>⽩酒;餐后酒（利⼝酒和烈酒）;葡萄酒;威⼠忌;⽶酒;清酒;⾼粱酒;⽼酒（中国蒸馏烈酒）;果酒;鸡尾酒</t>
  </si>
  <si>
    <t>红初</t>
  </si>
  <si>
    <t>中华酒业有限公司</t>
  </si>
  <si>
    <t>⽩酒;鸡尾酒;酒精饮料（啤酒除外）;⽶酒;果酒;⾼粱酒;⻘稞酒;葡萄酒;⻩酒;清酒</t>
  </si>
  <si>
    <t>玺小哥</t>
  </si>
  <si>
    <t>⽩⼲酒（中国⽩酒）;⽶酒;葡萄酒;⽩酒;威⼠忌;⾼粱酒;酒精饮料（啤酒除外）;果酒（含酒精）;烈酒（饮料）;⽩兰地</t>
  </si>
  <si>
    <t>域樽烈焰</t>
  </si>
  <si>
    <t>乌鲁木齐众梦圆商贸有限公司</t>
  </si>
  <si>
    <t>葡萄酒;果酒（含酒精）;⽶酒;烈酒;蒸煮提取物（利⼝酒和烈酒）;⽩酒;⽩⼲酒（中国⽩酒）;⽼酒（中国蒸馏烈酒）;⻩酒;烧酒</t>
  </si>
  <si>
    <t>殊鸣</t>
  </si>
  <si>
    <t>成都清社智数科技有限公司</t>
  </si>
  <si>
    <t>汽酒;⽩⼲酒（中国⽩酒）;蒸馏饮料;葡萄酒;烧酒;⽩酒;酒精饮料（啤酒除外）;⽶酒;⻩酒;清酒（⽇本⽶酒）</t>
  </si>
  <si>
    <t>酥七</t>
  </si>
  <si>
    <t>深圳市华海包装有限公司</t>
  </si>
  <si>
    <t>⽶酒;由⾕物蒸馏的⽩酒;餐后酒（利⼝酒和烈酒）;⽩⼲酒（中国⽩酒）;果酒（含酒精）;起泡⽩葡萄酒;⽩酒;烧酒;⽩兰地;清酒（⽇本⽶酒）</t>
  </si>
  <si>
    <t>于氏洪德堂</t>
  </si>
  <si>
    <t>泰安市洪德堂中医药科技发展有限公司</t>
  </si>
  <si>
    <t>苦味酒;预先混合的酒精饮料（以啤酒为主的除外）;薄荷酒;⻩酒;酒精饮料（啤酒除外）;蜂蜜酒;⽶酒;开胃酒;⽩酒;果酒（含酒精）</t>
  </si>
  <si>
    <t>美·如意</t>
  </si>
  <si>
    <t>葡萄酒;朗姆酒;伏特加酒;⻩酒;果酒（含酒精）;⾷⽤酒精;烈酒（饮料）;⽩兰地;威⼠忌;⽩酒</t>
  </si>
  <si>
    <t>美·好运</t>
  </si>
  <si>
    <t>⾷⽤酒精;果酒（含酒精）;⽩酒;伏特加酒;⽩兰地;威⼠忌;朗姆酒;葡萄酒;烈酒（饮料）;⻩酒</t>
  </si>
  <si>
    <t>张三伍小瓶</t>
  </si>
  <si>
    <t>⽩酒;果酒;⽼酒（中国蒸馏烈酒）;甜酒;烈酒;⻩酒;除啤酒外的酒精饮料;⽶酒;⽩⼲酒（中国⽩酒）;葡萄酒</t>
  </si>
  <si>
    <t>贤酩主</t>
  </si>
  <si>
    <t>⽩酒;鸡尾酒;果酒（含酒精）;⻩酒;葡萄酒;清酒（⽇本⽶酒）;威⼠忌;烈酒;酒精饮料（啤酒除外）;开胃酒</t>
  </si>
  <si>
    <t>丑小羊</t>
  </si>
  <si>
    <t>小丑羊供应链管理（南宁）有限公司</t>
  </si>
  <si>
    <t>酒精饮料（啤酒除外）;⽶酒;果酒（含酒精）;含⽔果酒精饮料;烈酒;葡萄酒;汽酒;⻩酒;鸡尾酒;⽩酒</t>
  </si>
  <si>
    <t>冠四门</t>
  </si>
  <si>
    <t>保定京正阳酒业有限公司</t>
  </si>
  <si>
    <t>⽩酒;葡萄酒;鸡尾酒;烧酒;蜂蜜酒;烈酒（饮料）;⾷⽤酒精;酒精饮料（啤酒除外）;开胃酒;果酒（含酒精）</t>
  </si>
  <si>
    <t>均兰坊</t>
  </si>
  <si>
    <t>李德均</t>
  </si>
  <si>
    <t>⽼酒（中国蒸馏烈酒）;⽩酒;红葡萄酒;⽩⼲酒（中国⽩酒）;烧酒;由⾕物蒸馏的⽩酒</t>
  </si>
  <si>
    <t>中健（广东）酒业科技有限公司</t>
  </si>
  <si>
    <t>⾼粱酒;杨梅酒;加⾹料的热葡萄酒;烈酒;果酒;由⾕物蒸馏的⽩酒;⻘梅酒;黑覆盆⼦酒;黑醋栗酒;⽩⼲酒（中国⽩酒）;⽩酒;五加⽪酒（中国混合烈酒）</t>
  </si>
  <si>
    <t>淀之洋</t>
  </si>
  <si>
    <t>安新县城乡融合发展有限公司</t>
  </si>
  <si>
    <t>烧酒;⾷⽤酒精;果酒（含酒精）;葡萄酒;酒精饮料原汁;⻩酒;汽酒;⽩酒;酒精饮料（啤酒除外）;⽶酒</t>
  </si>
  <si>
    <t>臣壶</t>
  </si>
  <si>
    <t>鸡尾酒;葡萄酒;⽶酒;烧酒;⽩兰地;⻩酒;威⼠忌;⽩酒;果酒（含酒精）;清酒</t>
  </si>
  <si>
    <t>岱</t>
  </si>
  <si>
    <t>石家庄优优生物科技有限公司</t>
  </si>
  <si>
    <t>蒸馏饮料;酒精饮料（啤酒除外）;⽩酒;烈酒;⻩酒;利⼝酒;梨酒;含⽔果酒精饮料;果酒;烧酒</t>
  </si>
  <si>
    <t>嘉造</t>
  </si>
  <si>
    <t>MEIMEI PLANET</t>
  </si>
  <si>
    <t>威⼠忌;酒精饮料（啤酒除外）;开胃酒;酒精饮料原汁;⽶酒;含⽔果酒精饮料;果酒（含酒精）;鸡尾酒;葡萄酒;酒精饮料浓缩汁</t>
  </si>
  <si>
    <t>晋云谷</t>
  </si>
  <si>
    <t>山西晋云嘉禾数字生态供应链有限公司</t>
  </si>
  <si>
    <t>葡萄酒;⽶酒;⾼粱酒;含⽔果酒精饮料;果酒;⽩酒;烧酒;烈酒;⻘稞酒;⻩酒</t>
  </si>
  <si>
    <t>金戈哥</t>
  </si>
  <si>
    <t>⽩酒;烧酒;酒精饮料（啤酒除外）;蒸馏饮料;果酒（含酒精）;⽶酒;⻩酒;薄荷酒;开胃酒;露酒</t>
  </si>
  <si>
    <t>MORTLACH COPPER FLAME</t>
  </si>
  <si>
    <t>MORTLACH ALCHEMY OF THREE</t>
  </si>
  <si>
    <t>觅界 MIJIEDREAMS</t>
  </si>
  <si>
    <t>广西南宁九酒汇商贸有限责任公司</t>
  </si>
  <si>
    <t>⻩酒;⽩酒;⾼粱酒;⽶酒;⽢蔗制酒精饮料;烈酒（饮料）;果酒（含酒精）;⾷⽤酒精;葡萄酒;烧酒</t>
  </si>
  <si>
    <t>搽酒懿家</t>
  </si>
  <si>
    <t>乌鲁木齐市酒旺亨通达商贸有限公司</t>
  </si>
  <si>
    <t>蒸馏饮料;果酒（含酒精）;鸡尾酒;汽酒;⻩酒;葡萄酒;⽶酒;薄荷酒;含⽔果酒精饮料;⽩酒</t>
  </si>
  <si>
    <t>罗馥</t>
  </si>
  <si>
    <t>刘希存</t>
  </si>
  <si>
    <t>鸡尾酒;酒精饮料（啤酒除外）;含⽔果酒精饮料;伏特加酒;清酒（⽇本⽶酒）;葡萄酒;朗姆酒;果酒（含酒精）;⽩酒;威⼠忌</t>
  </si>
  <si>
    <t>⽩酒;烧酒（烈酒）;果酒;⾼粱酒;⽶酒;⻩酒;酒精饮料（啤酒除外）;露酒;蒸煮提取物（利⼝酒和烈酒）;葡萄酒</t>
  </si>
  <si>
    <t>AUSSYNGARDEN</t>
  </si>
  <si>
    <t>广西南宁汇发置业投资有限公司</t>
  </si>
  <si>
    <t>清酒;葡萄酒;⽶酒;预调甜酒;酒精饮料（啤酒除外）;朗姆酒;烧酒;⽩酒;威⼠忌;鸡尾酒</t>
  </si>
  <si>
    <t>虣爽</t>
  </si>
  <si>
    <t>陈雨秋513821********6206</t>
  </si>
  <si>
    <t>含⽔果酒精饮料;果酒;⽶酒;葡萄酒;威⼠忌;鸡尾酒;⻘稞酒;⽩酒</t>
  </si>
  <si>
    <t>红衷</t>
  </si>
  <si>
    <t>⽶酒;⾼粱酒;葡萄酒;⽩酒;果酒;酒精饮料（啤酒除外）;清酒;鸡尾酒;⻘稞酒;⻩酒</t>
  </si>
  <si>
    <t>牛小仙</t>
  </si>
  <si>
    <t>刘国军</t>
  </si>
  <si>
    <t>⽶酒;⻩酒;⽼酒（中国蒸馏烈酒）;⽩酒;含酒精的⽓泡⽔;清酒;果酒;红葡萄酒;含酒精的⽔果鸡尾酒饮料;烈酒</t>
  </si>
  <si>
    <t>枫山云麓</t>
  </si>
  <si>
    <t>廖勇志</t>
  </si>
  <si>
    <t>蒸馏饮料;威⼠忌;果酒（含酒精）;烈酒（饮料）;伏特加酒;⽶酒;葡萄酒;酒精饮料（啤酒除外）;鸡尾酒;⽩兰地</t>
  </si>
  <si>
    <t>桃源二仙</t>
  </si>
  <si>
    <t>金华市扶知生态农业科技发展有限公司</t>
  </si>
  <si>
    <t>鸡尾酒;⽶酒;甜酒;⽩酒;葡萄酒;朗姆酒;除啤酒外的酒精饮料;杨梅酒;⽼酒（中国蒸馏烈酒）;⻩酒</t>
  </si>
  <si>
    <t>水心道</t>
  </si>
  <si>
    <t>果酒;威⼠忌;烈酒;酒精饮料原汁;葡萄酒;烧酒;⻘稞酒;开胃酒;清酒（⽇本⽶酒）;⽩酒</t>
  </si>
  <si>
    <t>池小暖</t>
  </si>
  <si>
    <t>开胃酒;果酒（含酒精）;鸡尾酒;⽩酒;烧酒;清酒（⽇本⽶酒）;酒精饮料原汁;⻘稞酒;⾷⽤酒精;葡萄酒</t>
  </si>
  <si>
    <t>河南知青二哥供应链有限公司</t>
  </si>
  <si>
    <t>鸡尾酒;⻩酒;葡萄酒;⽶酒;清酒（⽇本⽶酒）;果酒（含酒精）;餐后酒（利⼝酒和烈酒）;⽩酒;酒精饮料（啤酒除外）;蒸馏饮料</t>
  </si>
  <si>
    <t>药聚德</t>
  </si>
  <si>
    <t>杭州药聚德健康管理有限公司</t>
  </si>
  <si>
    <t>果酒（含酒精）;烧酒;葡萄酒;⽩酒;清酒;⽶酒;利⼝酒;含酒精⽔果饮料;⽩兰地;⻩酒</t>
  </si>
  <si>
    <t>坛香山</t>
  </si>
  <si>
    <t>四川果叁仟酒业集团有限公司</t>
  </si>
  <si>
    <t>葡萄酒;酒精饮料浓缩汁;⻩酒;⽩酒;⽶酒;含⽔果酒精饮料;烧酒;果酒（含酒精）;酒精饮料（啤酒除外）;烈酒（饮料）</t>
  </si>
  <si>
    <t>真真好好</t>
  </si>
  <si>
    <t>烧酒;含⽔果酒精饮料;⽩酒;⻩酒;⽶酒;开胃酒;酒精饮料（啤酒除外）;果酒（含酒精）;葡萄酒;烈酒</t>
  </si>
  <si>
    <t>红侑诗女神 REDUVERSE GODDESS</t>
  </si>
  <si>
    <t>红色酒堡（深圳）有限公司</t>
  </si>
  <si>
    <t>伏特加酒;⾷⽤酒精;葡萄酒;酒精饮料（啤酒除外）;朗姆酒;⽩兰地;⽩酒;烈酒（饮料）;鸡尾酒;利⼝酒</t>
  </si>
  <si>
    <t>云南上菌山餐饮管理有限公司</t>
  </si>
  <si>
    <t>葡萄酒;清酒（⽇本⽶酒）;酒精饮料（啤酒除外）;果酒（含酒精）;蒸馏饮料;利⼝酒;薄荷酒;开胃酒;⽶酒;苦味酒</t>
  </si>
  <si>
    <t>蒙敖瀚</t>
  </si>
  <si>
    <t>威⼠忌;葡萄酒;⽩兰地;⽩酒;⻩酒;蒸煮提取物（利⼝酒和烈酒）;⽼酒（中国蒸馏烈酒）;清酒;⽶酒;果酒</t>
  </si>
  <si>
    <t>石门一见</t>
  </si>
  <si>
    <t>清酒;烧酒;⻩酒;利⼝酒;葡萄酒;⽶酒;⾷⽤酒精;⽩兰地;⽩酒;果酒</t>
  </si>
  <si>
    <t>东魏宫廷玉液</t>
  </si>
  <si>
    <t>烧酒（烈酒）;⽼酒（中国蒸馏烈酒）;⽩酒;苦荞酒;预先混合的酒精饮料（以啤酒为主的除外）;⾷⽤酒精;露酒;蒸煮提取物（利⼝酒和烈酒）;果酒（含酒精）;葡萄酒</t>
  </si>
  <si>
    <t>润汇堂</t>
  </si>
  <si>
    <t>东莞市润汇实业有限公司</t>
  </si>
  <si>
    <t>薄荷酒;预先混合的酒精饮料（以啤酒为主的除外）;⻩酒;汽酒;烧酒;⽶酒;果酒（含酒精）;酒精饮料原汁;酒精饮料（啤酒除外）;葡萄酒</t>
  </si>
  <si>
    <t>云南玉溪玉昆钢铁集团有限公司</t>
  </si>
  <si>
    <t>果酒（含酒精）;⽩酒;酒精饮料（啤酒除外）;蒸馏饮料;葡萄酒;苦味酒;⻩酒;开胃酒;清酒（⽇本⽶酒）;烈酒（饮料）</t>
  </si>
  <si>
    <t>龙宴礼邦</t>
  </si>
  <si>
    <t>⽼酒（中国蒸馏烈酒）;⾕物制蒸馏酒精饮料;葡萄酒;⾼粱酒;⽶酒;梅酒;⽩酒;果酒（含酒精）;酒精饮料（啤酒除外）;⻩酒</t>
  </si>
  <si>
    <t>算经</t>
  </si>
  <si>
    <t>德天竹厚</t>
  </si>
  <si>
    <t>江西竹韵竹业集团有限公司</t>
  </si>
  <si>
    <t>葡萄酒;酒精饮料（啤酒除外）;⽩酒;⻩酒;伏特加酒;鸡尾酒;烈酒（饮料）;烧酒;果酒（含酒精）;⽩兰地</t>
  </si>
  <si>
    <t>CNMN</t>
  </si>
  <si>
    <t>上海圣岳生物科技有限公司</t>
  </si>
  <si>
    <t>蒸煮提取物（利⼝酒和烈酒）;烧酒;鸡尾酒;烈酒（饮料）;葡萄酒;⽶酒;⻩酒;果酒（含酒精）;蒸馏饮料;⽩酒</t>
  </si>
  <si>
    <t>丹若酿郁</t>
  </si>
  <si>
    <t>武汉鸣跃汇选新媒体有限公司</t>
  </si>
  <si>
    <t>含⽔果酒精饮料;预先混合的酒精饮料（以啤酒为主的除外）;威⼠忌;⽩酒;⻩酒;果酒;葡萄酒;酒精饮料原汁;鸡尾酒;酸酒（低等葡萄酒）</t>
  </si>
  <si>
    <t>禾亭序</t>
  </si>
  <si>
    <t>四川禾田艺憬空间规划设计有限公司</t>
  </si>
  <si>
    <t>⽩兰地;⽩酒;⽶酒;威⼠忌;烈酒;⻘稞酒;⻩酒;烧酒;⾕物制蒸馏酒精饮料;鸡尾酒;含⽔果酒精饮料;葡萄酒</t>
  </si>
  <si>
    <t>苏豫白</t>
  </si>
  <si>
    <t>蒋桂香</t>
  </si>
  <si>
    <t>葡萄酒;⽶酒;⻩酒;果酒（含酒精）;烈酒（饮料）;蜂蜜酒;⽩酒;开胃酒;清酒（⽇本⽶酒）;鸡尾酒</t>
  </si>
  <si>
    <t>思山夏</t>
  </si>
  <si>
    <t>谢演胜</t>
  </si>
  <si>
    <t>烈酒（饮料）;清酒（⽇本⽶酒）;葡萄酒;⽶酒;⽩酒;果酒（含酒精）;酒精饮料（啤酒除外）;⻩酒;烧酒;甜酒</t>
  </si>
  <si>
    <t>江小福</t>
  </si>
  <si>
    <t>朱红</t>
  </si>
  <si>
    <t>酒精饮料（啤酒除外）;葡萄酒;烧酒;⽩酒;⽶酒;⻩酒;果酒（含酒精）;鸡尾酒;⾷⽤酒精;蒸馏饮料</t>
  </si>
  <si>
    <t>伯洲</t>
  </si>
  <si>
    <t>烧酒;⻩酒;酒精饮料（啤酒除外）;⽶酒;果酒（含酒精）;威⼠忌;鸡尾酒;⽩酒;葡萄酒;蒸馏饮料</t>
  </si>
  <si>
    <t>宴遇熊猫</t>
  </si>
  <si>
    <t>沈骏</t>
  </si>
  <si>
    <t>⽶酒;果酒;⾼粱酒;⻩酒;葡萄酒;酒精饮料（啤酒除外）;⽩酒;利⼝酒;烧酒（烈酒）;烈酒（饮料）</t>
  </si>
  <si>
    <t>贵酿官</t>
  </si>
  <si>
    <t>葡萄酒;烧酒;⽩酒;清酒（⽇本⽶酒）;含⽔果酒精饮料;蜂蜜酒;酒精饮料（啤酒除外）;⽶酒;果酒（含酒精）;鸡尾酒</t>
  </si>
  <si>
    <t>丁缸德</t>
  </si>
  <si>
    <t>四川丁缸酒业有限公司</t>
  </si>
  <si>
    <t>⽩⼲酒（中国⽩酒）;⽩葡萄酒;预先混合的酒精饮料（以啤酒为主的除外）;已调味的⻨芽酿制的酒精饮料（啤酒除外）;⽩酒;⽼酒（中国蒸馏烈酒）;清酒;汽酒;由⾕物蒸馏的⽩酒;烈酒</t>
  </si>
  <si>
    <t>盖诺安</t>
  </si>
  <si>
    <t>圣元营养食品有限公司</t>
  </si>
  <si>
    <t>伏特加酒;含⽜奶的鸡尾酒;葡萄酒;酒精饮料（啤酒除外）;含⽔果酒精饮料;烧酒;⽼酒（中国蒸馏烈酒）;⽩酒;以朗姆酒为主的饮料;鸡尾酒</t>
  </si>
  <si>
    <t>城科川酒</t>
  </si>
  <si>
    <t>龙顺友</t>
  </si>
  <si>
    <t>⽶酒;⽩酒;⾕物制蒸馏酒精饮料;葡萄酒;开胃酒;果酒（含酒精）;烈酒（饮料）;⻩酒;烧酒;预先混合的酒精饮料（以啤酒为主的除外）</t>
  </si>
  <si>
    <t>清照风</t>
  </si>
  <si>
    <t>酒精饮料（啤酒除外）;果酒（含酒精）;苹果酒;酸酒（低等葡萄酒）;⻩酒;⽩酒;开胃酒;葡萄酒;汽酒;⽶酒</t>
  </si>
  <si>
    <t>卷耳树洞</t>
  </si>
  <si>
    <t>昌黎县玉珀商贸有限责任公司</t>
  </si>
  <si>
    <t>含酒精⽔果饮料;苹果酒;清酒（⽇本⽶酒）;果酒（含酒精）;鸡尾酒;露酒;天然汽酒;含⽔果酒精饮料;预先混合的酒精饮料（以啤酒为主的除外）;利⼝酒</t>
  </si>
  <si>
    <t>熊猫北辰</t>
  </si>
  <si>
    <t>成都大熊猫繁育研究基地</t>
  </si>
  <si>
    <t>鸡尾酒;烧酒;清酒;果酒（含酒精）;烈酒（饮料）;⽶酒;汽酒;⻩酒;⽩酒;葡萄酒</t>
  </si>
  <si>
    <t>金筋</t>
  </si>
  <si>
    <t>义乌市迅涞百货商行（个体工商户）</t>
  </si>
  <si>
    <t>⽩酒;⽩兰地;清酒（⽇本⽶酒）;烈酒（饮料）;⽶酒;葡萄酒;烧酒;果酒（含酒精）;⻩酒;酒精饮料（啤酒除外）</t>
  </si>
  <si>
    <t>睹</t>
  </si>
  <si>
    <t>⽩酒;葡萄酒;果酒（含酒精）;烧酒;⽩兰地;酒精饮料（啤酒除外）;⻩酒;清酒（⽇本⽶酒）;烈酒（饮料）;⽶酒</t>
  </si>
  <si>
    <t>亚颂府</t>
  </si>
  <si>
    <t>沈阳晟睿酒业有限公司</t>
  </si>
  <si>
    <t>葡萄酒;苹果酒;威⼠忌;鸡尾酒;⽩酒;利⼝酒;樱桃酒;汽酒;含⽔果酒精饮料;⽩兰地</t>
  </si>
  <si>
    <t>梅对手</t>
  </si>
  <si>
    <t>刘长云</t>
  </si>
  <si>
    <t>朗姆酒;樱桃酒;果酒;葡萄酒;汽酒;⽩兰地;混合威⼠忌酒;烧酒;伏特加酒;⽩酒</t>
  </si>
  <si>
    <t>吴御醇</t>
  </si>
  <si>
    <t>龙御坊（深圳）实业集团有限公司</t>
  </si>
  <si>
    <t>⽩兰地;威⼠忌;⾕物制蒸馏酒精饮料;伏特加酒;⽩酒;⽶酒;⻩酒;含⽔果酒精饮料;烧酒;汽酒</t>
  </si>
  <si>
    <t>贵品御樽</t>
  </si>
  <si>
    <t>葡萄酒;烧酒;清酒;果酒;⾼粱酒;⻘稞酒;⻩酒;⾷⽤酒精;⽩酒;⽶酒</t>
  </si>
  <si>
    <t>河南彭老祖养生服务有限公司</t>
  </si>
  <si>
    <t>开胃酒;酒精饮料（啤酒除外）;含⽔果酒精饮料;果酒;⻩酒;蒸馏饮料;⽩酒;葡萄酒;威⼠忌;薄荷酒</t>
  </si>
  <si>
    <t>亚颂府煮酒人</t>
  </si>
  <si>
    <t>汽酒;⽩酒;苹果酒;含⽔果酒精饮料;葡萄酒;⽩兰地;威⼠忌;鸡尾酒;利⼝酒;樱桃酒</t>
  </si>
  <si>
    <t>敬名泉</t>
  </si>
  <si>
    <t>酒精饮料（啤酒除外）;⻩酒;甜酒;⽶酒;鸡尾酒;⽩酒;葡萄酒;烈酒;果酒;烧酒</t>
  </si>
  <si>
    <t>银清照</t>
  </si>
  <si>
    <t>葡萄酒;酸酒（低等葡萄酒）;酒精饮料（啤酒除外）;⽩酒;汽酒;开胃酒;苹果酒;⽶酒;⻩酒;果酒（含酒精）</t>
  </si>
  <si>
    <t>优博盖诺安</t>
  </si>
  <si>
    <t>以朗姆酒为主的饮料;伏特加酒;含⽔果酒精饮料;⽩酒;葡萄酒;含⽜奶的鸡尾酒;烧酒;⽼酒（中国蒸馏烈酒）;酒精饮料（啤酒除外）;鸡尾酒</t>
  </si>
  <si>
    <t>沿黄流域</t>
  </si>
  <si>
    <t>山东博康中药饮片有限公司</t>
  </si>
  <si>
    <t>汽酒;酒精饮料浓缩汁;开胃酒;含⽔果酒精饮料;酒精饮料（啤酒除外）;⽩酒;葡萄酒;预先混合的酒精饮料（以啤酒为主的除外）;果酒（含酒精）;朗姆酒</t>
  </si>
  <si>
    <t>心头宝</t>
  </si>
  <si>
    <t>王琪</t>
  </si>
  <si>
    <t>果酒;⽼酒（中国蒸馏烈酒）;⽩酒;已调味的蒸馏酒;烧酒;威⼠忌;葡萄酒;开胃酒;烈酒;⽩兰地</t>
  </si>
  <si>
    <t>衡昌福</t>
  </si>
  <si>
    <t>⽩酒;由⾕物蒸馏的⽩酒;五加⽪酒（中国混合烈酒）;⻘稞酒;蒸煮提取物（利⼝酒和烈酒）;开胃酒;烧酒;⻩酒;⾼粱酒;⽩⼲酒（中国⽩酒）</t>
  </si>
  <si>
    <t>ODE TO EARTH</t>
  </si>
  <si>
    <t>联盟葡萄酒有限公司</t>
  </si>
  <si>
    <t>CAMI DEL DRAC</t>
  </si>
  <si>
    <t>粱贵飞</t>
  </si>
  <si>
    <t>河南薇莲蔻芙生物科技有限公司</t>
  </si>
  <si>
    <t>烈酒（饮料）;烧酒;⻩酒;烈酒;鸡尾酒;⽩酒;烈性⼲酒;⽼酒（中国蒸馏烈酒）;烧酒（烈酒）;⽩兰地</t>
  </si>
  <si>
    <t>珠城倍极鲜</t>
  </si>
  <si>
    <t>蚌埠市张薛商贸有限公司</t>
  </si>
  <si>
    <t>⽇式甜⽶酒;葡萄酒;酒精饮料（啤酒除外）;⻩酒;清酒（⽇本⽶酒）;开胃酒;⽶酒;⽩酒;鸡尾酒;汽酒</t>
  </si>
  <si>
    <t>舜农田耕</t>
  </si>
  <si>
    <t>亳州市舜农药业有限公司</t>
  </si>
  <si>
    <t>利⼝酒;⾷⽤酒精;开胃酒;⽩酒;⾼粱酒;⽶酒;果酒;葡萄酒;烧酒;⽼酒（中国蒸馏烈酒）</t>
  </si>
  <si>
    <t>桂王林三</t>
  </si>
  <si>
    <t>桂林大成酒业有限公司</t>
  </si>
  <si>
    <t>鸡尾酒;葡萄酒;⽶酒;⽩酒;⾷⽤酒精;烈酒（饮料）;薄荷酒;果酒（含酒精）;威⼠忌;露酒</t>
  </si>
  <si>
    <t>卢挚</t>
  </si>
  <si>
    <t>敬千樽</t>
  </si>
  <si>
    <t>酒精饮料（啤酒除外）;烧酒;烈酒;鸡尾酒;果酒;⻩酒;甜酒;葡萄酒;⽩酒;⽶酒</t>
  </si>
  <si>
    <t>JOB'S TEAR</t>
  </si>
  <si>
    <t>李仁辰</t>
  </si>
  <si>
    <t>杜松⼦酒;蒸馏饮料;⾕物制蒸馏酒精饮料;鸡尾酒;⽩酒;伏特加酒;烧酒;果酒;葡萄酒;烈酒</t>
  </si>
  <si>
    <t>贵珍林</t>
  </si>
  <si>
    <t>刘芦萍</t>
  </si>
  <si>
    <t>葡萄酒;⽶酒;蒸馏饮料;⻩酒;⽩酒;开胃酒;鸡尾酒;烈酒（饮料）;酒精饮料（啤酒除外）;果酒（含酒精）</t>
  </si>
  <si>
    <t>斛娘娘</t>
  </si>
  <si>
    <t>六安市安提阿电子商务有限公司</t>
  </si>
  <si>
    <t>葡萄酒;⽩酒;⻩酒;果酒（含酒精）;清酒（⽇本⽶酒）;鸡尾酒;⽶酒;烧酒;已调味的⻨芽酿制的酒精饮料（啤酒除外）;⽩兰地</t>
  </si>
  <si>
    <t>龙腾峰</t>
  </si>
  <si>
    <t>酒精饮料（啤酒除外）;⽶酒;果酒;烧酒;葡萄酒;鸡尾酒;⽩酒;甜酒;⻩酒;烈酒</t>
  </si>
  <si>
    <t>摘竹坊</t>
  </si>
  <si>
    <t>林潮钊</t>
  </si>
  <si>
    <t>开胃酒;葡萄酒;⻩酒;⽩酒;酒精饮料（啤酒除外）;威⼠忌;烈酒;果酒（含酒精）;鸡尾酒;清酒（⽇本⽶酒）</t>
  </si>
  <si>
    <t>骊珠洞天</t>
  </si>
  <si>
    <t>浙江舜祥酒业有限公司</t>
  </si>
  <si>
    <t>酒精饮料（啤酒除外）;露酒;烈酒（饮料）;葡萄酒;烧酒;⽩酒;鸡尾酒;果酒（含酒精）;杨梅酒;汽酒</t>
  </si>
  <si>
    <t>金陵年</t>
  </si>
  <si>
    <t>泗洪县双沟镇金双酒厂</t>
  </si>
  <si>
    <t>⽶酒;⻘稞酒;⽩酒;果酒;威⼠忌;鸡尾酒;葡萄酒;利⼝酒;烧酒;⻩酒</t>
  </si>
  <si>
    <t>百脉泉碧荷</t>
  </si>
  <si>
    <t>⻩酒;葡萄酒;酸酒（低等葡萄酒）;苹果酒;汽酒;果酒（含酒精）;开胃酒;酒精饮料（啤酒除外）;⽶酒;⽩酒</t>
  </si>
  <si>
    <t>清照君12</t>
  </si>
  <si>
    <t>开胃酒;酒精饮料（啤酒除外）;⻩酒;⽶酒;汽酒;果酒（含酒精）;苹果酒;酸酒（低等葡萄酒）;葡萄酒;⽩酒</t>
  </si>
  <si>
    <t>百脉归属</t>
  </si>
  <si>
    <t>果酒（含酒精）;汽酒;⽩酒;酒精饮料（啤酒除外）;⻩酒;开胃酒;苹果酒;葡萄酒;⽶酒;酸酒（低等葡萄酒）</t>
  </si>
  <si>
    <t>京酒头瓶</t>
  </si>
  <si>
    <t>乔立华</t>
  </si>
  <si>
    <t>威⼠忌;⽶酒;酒精饮料（啤酒除外）;酒精饮料原汁;葡萄酒;果酒（含酒精）;鸡尾酒;⽩酒;烧酒;开胃酒</t>
  </si>
  <si>
    <t>可赢天下</t>
  </si>
  <si>
    <t>山西可音科技有限公司</t>
  </si>
  <si>
    <t>苹果酒;烈酒（饮料）;含酒精⽔果饮料;杜松⼦酒;樱桃酒;含⽔果酒精饮料;果酒（含酒精）;梨酒;葡萄酒;酒精饮料（啤酒除外）</t>
  </si>
  <si>
    <t>文吕</t>
  </si>
  <si>
    <t>鲁云涛</t>
  </si>
  <si>
    <t>威⼠忌;⽶酒;果酒（含酒精）;葡萄酒;⽩兰地;烧酒;⻩酒;⽩酒;蒸馏饮料;鸡尾酒</t>
  </si>
  <si>
    <t>予山闲庭</t>
  </si>
  <si>
    <t>保定名世科技有限公司</t>
  </si>
  <si>
    <t>烧酒;⽶酒;葡萄酒;果酒（含酒精）;威⼠忌;⽩酒;酒精饮料（啤酒除外）;鸡尾酒;烈酒（饮料）;清酒</t>
  </si>
  <si>
    <t>永乐多粱</t>
  </si>
  <si>
    <t>泗洪县白酒厂有限公司</t>
  </si>
  <si>
    <t>烧酒;除啤酒外的酒精饮料;烧酒（烈酒）;烈酒（饮料）;⽼酒（中国蒸馏烈酒）;果酒（含酒精）;⽩⼲酒（中国⽩酒）;⽩酒;⾷⽤酒精;⾼粱酒</t>
  </si>
  <si>
    <t>裕巷泉</t>
  </si>
  <si>
    <t>杨洪生</t>
  </si>
  <si>
    <t>果酒（含酒精）;⽶酒;⽩酒;⾼粱酒;烧酒;⻩酒;露酒;鸡尾酒;葡萄酒;汽酒</t>
  </si>
  <si>
    <t>张梁梁媚黏</t>
  </si>
  <si>
    <t>中龙粮（黑龙江）生态农业种植有限公司</t>
  </si>
  <si>
    <t>葡萄酒;果酒;蜂蜜酒;已调味的蒸馏酒;酒精饮料（啤酒除外）;⽩酒;酒精饮料原汁;烧酒;⽶酒;汽酒</t>
  </si>
  <si>
    <t>百脉泉之润</t>
  </si>
  <si>
    <t>⽩酒;酒精饮料（啤酒除外）;⻩酒;果酒（含酒精）;汽酒;苹果酒;⽶酒;开胃酒;酸酒（低等葡萄酒）;葡萄酒</t>
  </si>
  <si>
    <t>熊猫基地北辰</t>
  </si>
  <si>
    <t>果酒（含酒精）;⽶酒;⽩酒;烧酒;清酒;汽酒;⻩酒;烈酒（饮料）;葡萄酒;鸡尾酒</t>
  </si>
  <si>
    <t>潭鹏</t>
  </si>
  <si>
    <t>刘根虎</t>
  </si>
  <si>
    <t>烧酒;汽酒;鸡尾酒;⽩酒;⾷⽤酒精;果酒（含酒精）;酒精饮料（啤酒除外）;含⽔果酒精饮料;葡萄酒;蒸馏饮料</t>
  </si>
  <si>
    <t>DINGGAR</t>
  </si>
  <si>
    <t>新倍嘉（洋浦）科技集团有限公司</t>
  </si>
  <si>
    <t>果酒（含酒精）;⽶酒;⻩酒;⽩兰地;酒精饮料浓缩汁;⽩酒;伏特加酒;酒精饮料（啤酒除外）;烧酒;葡萄酒</t>
  </si>
  <si>
    <t>伯吟</t>
  </si>
  <si>
    <t>烧酒;蒸馏饮料;威⼠忌;⻩酒;葡萄酒;⽩酒;酒精饮料（啤酒除外）;果酒（含酒精）;⽶酒;鸡尾酒</t>
  </si>
  <si>
    <t>敬无双</t>
  </si>
  <si>
    <t>烧酒;葡萄酒;⽶酒;⻩酒;果酒;酒精饮料（啤酒除外）;⽩酒;烈酒;鸡尾酒;甜酒</t>
  </si>
  <si>
    <t>岐黄积善堂</t>
  </si>
  <si>
    <t>新疆积善堂中医药科技有限公司</t>
  </si>
  <si>
    <t>⽩酒;酒精饮料原汁;⽶酒;鸡尾酒;酒精饮料（啤酒除外）;⻩酒;烧酒;含⽔果酒精饮料;果酒（含酒精）;伏特加酒</t>
  </si>
  <si>
    <t>千年鸿图</t>
  </si>
  <si>
    <t>六盘水市淼淼美甲店</t>
  </si>
  <si>
    <t>⽶酒;果酒;⽩⼲酒（中国⽩酒）;红葡萄酒;⾼粱酒;调制好的葡萄酒鸡尾酒;⽩酒;烧酒;⽼酒（中国蒸馏烈酒）;含酒精⽔果饮料</t>
  </si>
  <si>
    <t>寻民族</t>
  </si>
  <si>
    <t>李华飞522121********2619</t>
  </si>
  <si>
    <t>葡萄酒;⻩酒;酒精饮料（啤酒除外）;汽酒;烈酒（饮料）;鸡尾酒;果酒（含酒精）;⽼酒（中国蒸馏烈酒）;蒸馏饮料;⽩酒</t>
  </si>
  <si>
    <t>酒都德月楼</t>
  </si>
  <si>
    <t>宜宾市叙州区德月楼餐饮服务有限公司</t>
  </si>
  <si>
    <t>果酒（含酒精）;⾕物制蒸馏酒精饮料;葡萄酒;⽩兰地;清酒（⽇本⽶酒）;烈酒（饮料）;威⼠忌;⽶酒;伏特加酒;利⼝酒</t>
  </si>
  <si>
    <t>蠡天小筑</t>
  </si>
  <si>
    <t>一八九八秦皇岛科技有限公司</t>
  </si>
  <si>
    <t>果酒（含酒精）;葡萄酒;葡萄汽酒;⽩兰地;梨酒;含⽔果酒精饮料;⽩酒;汽酒;樱桃酒;威⼠忌</t>
  </si>
  <si>
    <t>多粱坊</t>
  </si>
  <si>
    <t>泗洪县双沟村酒业有限公司</t>
  </si>
  <si>
    <t>烧酒;⽩⼲酒（中国⽩酒）;除啤酒外的酒精饮料;⾼粱酒;⾷⽤酒精;烈酒（饮料）;⽩酒;果酒（含酒精）;⽼酒（中国蒸馏烈酒）;烧酒（烈酒）</t>
  </si>
  <si>
    <t>康之陈</t>
  </si>
  <si>
    <t>冯晓雪</t>
  </si>
  <si>
    <t>柑⾹酒;酒精饮料原汁;⽶酒;⻩酒;酒精饮料（啤酒除外）;葡萄酒;⽩酒;薄荷酒;酒精饮料浓缩汁;果酒（含酒精）</t>
  </si>
  <si>
    <t>赣鄱杰哥</t>
  </si>
  <si>
    <t>孙成达</t>
  </si>
  <si>
    <t>葡萄酒;威⼠忌;果酒（含酒精）;⽶酒;伏特加酒;鸡尾酒;朝鲜族⽶酒;⽩酒;⻩酒;烧酒</t>
  </si>
  <si>
    <t>胡爵爷</t>
  </si>
  <si>
    <t>胡旭全</t>
  </si>
  <si>
    <t>⽶酒;果酒（含酒精）;葡萄酒;烧酒;⽩酒;烈酒（饮料）;酒精饮料（啤酒除外）;⾕物制蒸馏酒精饮料;⻩酒;鸡尾酒</t>
  </si>
  <si>
    <t>YUMMY HUNTER</t>
  </si>
  <si>
    <t>北京坤福进出口贸易有限公司</t>
  </si>
  <si>
    <t>鸡尾酒;威⼠忌;⽶酒;朗姆酒;伏特加酒;烧酒;清酒（⽇本⽶酒）;葡萄酒;⽩酒;⻩酒</t>
  </si>
  <si>
    <t>滇壶坊</t>
  </si>
  <si>
    <t>青岛颂千露酒水有限公司</t>
  </si>
  <si>
    <t>⽩酒;⽶酒;鸡尾酒;酒精饮料（啤酒除外）;烧酒;⽩⼲酒（中国⽩酒）;蒸馏饮料;清酒（⽇本⽶酒）;果酒（含酒精）;⾕物制蒸馏酒精饮料</t>
  </si>
  <si>
    <t>穗粱川府</t>
  </si>
  <si>
    <t>烈酒（饮料）;烈性⼲酒;烈酒;⽼酒（中国蒸馏烈酒）;烧酒;⽩兰地;鸡尾酒;⻩酒;⽩酒;烧酒（烈酒）</t>
  </si>
  <si>
    <t>神犟</t>
  </si>
  <si>
    <t>漆基荣</t>
  </si>
  <si>
    <t>酒精饮料（啤酒除外）;⽩酒</t>
  </si>
  <si>
    <t>公爵台</t>
  </si>
  <si>
    <t>泸州品创老头曲酒业有限公司</t>
  </si>
  <si>
    <t>含⽔果酒精饮料;⽶酒;⽩酒;清酒（⽇本⽶酒）;酒精饮料（啤酒除外）;烧酒;⻩酒;预先混合的酒精饮料（以啤酒为主的除外）;果酒（含酒精）;葡萄酒</t>
  </si>
  <si>
    <t>招小玖</t>
  </si>
  <si>
    <t>招商玖选（深圳）贸易有限公司</t>
  </si>
  <si>
    <t>果酒（含酒精）;含⽔果酒精饮料;⽶酒;以葡萄酒为主的饮料;⽩酒;烈酒（饮料）;酒精饮料（啤酒除外）;葡萄酒;⾕物制蒸馏酒精饮料;苹果酒</t>
  </si>
  <si>
    <t>百脉泉之墨</t>
  </si>
  <si>
    <t>⽩酒;葡萄酒;酒精饮料（啤酒除外）;⽶酒;汽酒;⻩酒;果酒（含酒精）;苹果酒;酸酒（低等葡萄酒）;开胃酒</t>
  </si>
  <si>
    <t>敏赢</t>
  </si>
  <si>
    <t>丁相刚</t>
  </si>
  <si>
    <t>烧酒;⽩酒;⾼粱酒;果酒;⽶酒;伏特加酒;⽼酒（中国蒸馏烈酒）;清酒;含酒精的饮料（啤酒除外）;烈酒</t>
  </si>
  <si>
    <t>龙瑕坊</t>
  </si>
  <si>
    <t>龙门县利旺商行</t>
  </si>
  <si>
    <t>果酒（含酒精）;⽶酒;葡萄酒;含⽔果酒精饮料;含酒精的⽓泡⽔;⾕物制蒸馏酒精饮料;⽩酒;酒精饮料（啤酒除外）;以葡萄酒为主的饮料;预先混合的酒精饮料（以啤酒为主的除外）</t>
  </si>
  <si>
    <t>HERVE BIZEUL</t>
  </si>
  <si>
    <t>比泽尔·埃尔韦</t>
  </si>
  <si>
    <t>烈酒（饮料）;酒精饮料（啤酒除外）;葡萄酒;酒精饮料浓缩汁;开胃酒</t>
  </si>
  <si>
    <t>善鸿泰</t>
  </si>
  <si>
    <t>重庆济贡商贸有限公司</t>
  </si>
  <si>
    <t>开胃酒;果酒;清酒（⽇本⽶酒）;葡萄酒;烧酒;⽩酒;⻩酒;蒸煮提取物（利⼝酒和烈酒）;酒精饮料（啤酒除外）;⽶酒</t>
  </si>
  <si>
    <t>百脉泉醇香</t>
  </si>
  <si>
    <t>酸酒（低等葡萄酒）;酒精饮料（啤酒除外）;开胃酒;果酒（含酒精）;汽酒;⻩酒;⽩酒;苹果酒;葡萄酒;⽶酒</t>
  </si>
  <si>
    <t>贯王</t>
  </si>
  <si>
    <t>费振增</t>
  </si>
  <si>
    <t>⾷⽤酒精;⻩酒;⽩酒;⽩⼲酒（中国⽩酒）;烧酒;葡萄酒;烈酒（饮料）;⽩兰地;⾼粱酒;开胃酒</t>
  </si>
  <si>
    <t>光禄御酒坊</t>
  </si>
  <si>
    <t>余丽云</t>
  </si>
  <si>
    <t>葡萄酒;⽶酒;⽼酒（中国蒸馏烈酒）;⽩酒;果酒（含酒精）;⾷⽤酒精;烧酒（烈酒）;鸡尾酒;烧酒;⻩酒</t>
  </si>
  <si>
    <t>贵州白酒交易所股份有限公司</t>
  </si>
  <si>
    <t>含⽔果酒精饮料;汽酒;⽶酒;⻩酒;酒精饮料（啤酒除外）;烧酒;⽩酒;果酒（含酒精）;酒精饮料原汁;鸡尾酒</t>
  </si>
  <si>
    <t>百脉泉之魂</t>
  </si>
  <si>
    <t>开胃酒;苹果酒;葡萄酒;⽶酒;⽩酒;酸酒（低等葡萄酒）;⻩酒;果酒（含酒精）;酒精饮料（啤酒除外）;汽酒</t>
  </si>
  <si>
    <t>瑶根宝</t>
  </si>
  <si>
    <t>瑶家良品（广州）生物科技有限公司</t>
  </si>
  <si>
    <t>果酒;⽶酒;⾕物制蒸馏酒精饮料;酒精饮料原汁;含⽔果酒精饮料;⽩酒;甜果酒;由⾕物蒸馏的⽩酒;葡萄酒;开胃酒</t>
  </si>
  <si>
    <t>都品山庄</t>
  </si>
  <si>
    <t>南京信赵不宣商业工作室</t>
  </si>
  <si>
    <t>蒸馏饮料;酒精饮料（啤酒除外）;⻩酒;由⾕物蒸馏的⽩酒;汽酒;鸡尾酒;葡萄酒;⽼酒（中国蒸馏烈酒）;清酒;⽩酒</t>
  </si>
  <si>
    <t>ANXIAOPANG</t>
  </si>
  <si>
    <t>杨中宁</t>
  </si>
  <si>
    <t>⽶酒;⻩酒;⾷⽤酒精;蒸馏饮料;⽩酒;含⽔果酒精饮料;果酒（含酒精）;鸡尾酒;以葡萄酒为主的饮料;⾕物制蒸馏酒精饮料</t>
  </si>
  <si>
    <t>HUANG ER SHAO</t>
  </si>
  <si>
    <t>重庆鑫皓元食品有限公司</t>
  </si>
  <si>
    <t>威⼠忌;烧酒;葡萄酒;⽩兰地;果酒（含酒精）;烈酒;鸡尾酒;⽶酒;⽩酒;⻩酒</t>
  </si>
  <si>
    <t>钱塘三千</t>
  </si>
  <si>
    <t>杭州时生贸易有限公司</t>
  </si>
  <si>
    <t>⽩酒;开胃酒;蒸煮提取物（利⼝酒和烈酒）;⾷⽤酒精;汽酒;酒精饮料（啤酒除外）;含⽔果酒精饮料;清酒（⽇本⽶酒）;威⼠忌;⻩酒</t>
  </si>
  <si>
    <t>雪玉春</t>
  </si>
  <si>
    <t>莫贵年</t>
  </si>
  <si>
    <t>烈酒（饮料）;烧酒;果酒（含酒精）;⻘稞酒;开胃酒;利⼝酒;威⼠忌;⽶酒;⽩酒;葡萄酒</t>
  </si>
  <si>
    <t>绿酥头酒</t>
  </si>
  <si>
    <t>南京楚王酒业有限公司</t>
  </si>
  <si>
    <t>烈酒（饮料）;⾷⽤酒精;葡萄酒;含⽔果酒精饮料;酒精饮料（啤酒除外）;⽩酒;烧酒;利⼝酒;⻩酒;果酒</t>
  </si>
  <si>
    <t>柳江醇公文包</t>
  </si>
  <si>
    <t>柳州鑫励志生物科技有限公司</t>
  </si>
  <si>
    <t>⾕物制蒸馏酒精饮料;酒精饮料（啤酒除外）;烈酒（饮料）;⽶酒;清酒（⽇本⽶酒）;烧酒;含⽔果酒精饮料;⽩酒;开胃酒;蒸煮提取物（利⼝酒和烈酒）</t>
  </si>
  <si>
    <t>亚颂府烤酒人</t>
  </si>
  <si>
    <t>鸡尾酒;樱桃酒;葡萄酒;汽酒;威⼠忌;⽩兰地;苹果酒;利⼝酒;⽩酒;含⽔果酒精饮料</t>
  </si>
  <si>
    <t>中晟世纪医药（北京）有限公司</t>
  </si>
  <si>
    <t>果酒（含酒精）;⽶酒;⻩酒;鸡尾酒;烧酒;葡萄酒;酒精饮料（啤酒除外）;烈酒;⽩酒;⽢蔗制烈酒</t>
  </si>
  <si>
    <t>梅德拉诺</t>
  </si>
  <si>
    <t>清酒（⽇本⽶酒）;葡萄酒;烈酒;鸡尾酒;威⼠忌;果酒;咖啡利⼝酒;酒精饮料（啤酒除外）;开胃酒;⽩酒</t>
  </si>
  <si>
    <t>肆引酩</t>
  </si>
  <si>
    <t>西安翰霖网络科技有限公司</t>
  </si>
  <si>
    <t>伏特加酒;薄荷酒;葡萄酒;果酒（含酒精）;清酒（⽇本⽶酒）;朗姆酒;利⼝酒;鸡尾酒;⽩兰地;⽶酒</t>
  </si>
  <si>
    <t>清照清酌</t>
  </si>
  <si>
    <t>⽩酒;开胃酒;果酒（含酒精）;苹果酒;⻩酒;酸酒（低等葡萄酒）;酒精饮料（啤酒除外）;汽酒;⽶酒;葡萄酒</t>
  </si>
  <si>
    <t>含⽔果酒精饮料;⽩兰地;⽶酒;⻘稞酒;威⼠忌;⻩酒;⾕物制蒸馏酒精饮料;烈酒;烧酒;葡萄酒;鸡尾酒;⽩酒</t>
  </si>
  <si>
    <t>SUIKUI</t>
  </si>
  <si>
    <t>深圳市门钥匙科技有限公司</t>
  </si>
  <si>
    <t>蜂蜜酒;酒精饮料（啤酒除外）;含⽔果酒精饮料;⽢蔗制酒精饮料;⾷⽤酒精;果酒（含酒精）;⽶酒;以葡萄酒为主的饮料;汽酒;薄荷酒</t>
  </si>
  <si>
    <t>朝臣观天下</t>
  </si>
  <si>
    <t>程晓宇</t>
  </si>
  <si>
    <t>⻘稞酒;苦荞酒;露酒;⽩酒;⻩酒;葡萄酒;⾼粱酒;果酒;⽶酒;⻘梅酒</t>
  </si>
  <si>
    <t>娘妙沟</t>
  </si>
  <si>
    <t>张赫</t>
  </si>
  <si>
    <t>藤野</t>
  </si>
  <si>
    <t>大连阔神生物发酵制品有限公司</t>
  </si>
  <si>
    <t>⾷⽤酒精;⽩酒;清酒（⽇本⽶酒）;葡萄酒;⻩酒;烈酒（饮料）;烧酒;果酒（含酒精）;酒精饮料（啤酒除外）;⽶酒</t>
  </si>
  <si>
    <t>云水滋仁</t>
  </si>
  <si>
    <t>福建雲水酒业有限公司</t>
  </si>
  <si>
    <t>利⼝酒;⽶酒;清酒;威⼠忌;⽩兰地;梅酒;伏特加酒;果酒（含酒精）;葡萄酒;⽩酒</t>
  </si>
  <si>
    <t>建桥通</t>
  </si>
  <si>
    <t>北京福都盛世贸易有限责任公司</t>
  </si>
  <si>
    <t>⽩酒;果酒（含酒精）;葡萄酒;酒精饮料（啤酒除外）;鸡尾酒;预先混合的酒精饮料（以啤酒为主的除外）;伏特加酒;威⼠忌;烧酒;⽶酒</t>
  </si>
  <si>
    <t>比京二</t>
  </si>
  <si>
    <t>王波</t>
  </si>
  <si>
    <t>开胃酒;蒸馏饮料;⽩酒;⾷⽤酒精;利⼝酒;⽩兰地;鸡尾酒;酒精饮料（啤酒除外）;果酒（含酒精）;葡萄酒</t>
  </si>
  <si>
    <t>古瑶村拦门酒</t>
  </si>
  <si>
    <t>胡彩平</t>
  </si>
  <si>
    <t>清酒;⽩⼲酒（中国⽩酒）;⽩酒;⾼粱酒;⻘稞酒;烧酒;果酒（含酒精）;烧酒（烈酒）;⽼酒（中国蒸馏烈酒）;⻩酒</t>
  </si>
  <si>
    <t>甬湾</t>
  </si>
  <si>
    <t>杨梅酒;鸡尾酒;烧酒;⽩酒;露酒;果酒（含酒精）;烈酒（饮料）;酒精饮料（啤酒除外）;汽酒;葡萄酒</t>
  </si>
  <si>
    <t>EARTHSONG</t>
  </si>
  <si>
    <t>四川千弋酒店有限公司</t>
  </si>
  <si>
    <t>⽶酒;含酒精的⽓泡⽔;威⼠忌;酒精饮料浓缩汁;⻩酒;果酒（含酒精）;葡萄酒;⽩酒;含⽔果酒精饮料;⾕物制蒸馏酒精饮料</t>
  </si>
  <si>
    <t>福酝大唐</t>
  </si>
  <si>
    <t>周启法</t>
  </si>
  <si>
    <t>⽼酒（中国蒸馏烈酒）;烈酒（饮料）;烧酒;⽩酒;⻘稞酒;柑⾹酒;⾼粱酒;⻩酒;酒精饮料（啤酒除外）;清酒</t>
  </si>
  <si>
    <t>欧克森伯爵 OKSEN COUNT</t>
  </si>
  <si>
    <t>黄有生</t>
  </si>
  <si>
    <t>威⼠忌;果酒（含酒精）;伏特加酒;烧酒;酸酒（低等葡萄酒）;葡萄酒;利⼝酒;含⽔果酒精饮料;⽩酒;以葡萄酒为主的饮料</t>
  </si>
  <si>
    <t>瑶妃</t>
  </si>
  <si>
    <t>贺州十八水活泉矿泉水有限公司</t>
  </si>
  <si>
    <t>⽩兰地;果酒（含酒精）;威⼠忌;葡萄酒;⽩酒;⽶酒;甜酒;烧酒;⻩酒;烈酒（饮料）</t>
  </si>
  <si>
    <t>多彩峡谷</t>
  </si>
  <si>
    <t>崔小龙</t>
  </si>
  <si>
    <t>果酒（含酒精）;葡萄酒;利⼝酒;⻩酒;蒸煮提取物（利⼝酒和烈酒）;⽩酒;蒸馏饮料;鸡尾酒;⻘稞酒;⾷⽤酒精</t>
  </si>
  <si>
    <t>吉姆比姆白兰兹公司</t>
  </si>
  <si>
    <t>百脉泉泉润</t>
  </si>
  <si>
    <t>果酒（含酒精）;⻩酒;⽩酒;开胃酒;苹果酒;葡萄酒;酸酒（低等葡萄酒）;酒精饮料（啤酒除外）;汽酒;⽶酒</t>
  </si>
  <si>
    <t>灏泉柳家</t>
  </si>
  <si>
    <t>宿州市埇桥区珍珠泉家庭农场</t>
  </si>
  <si>
    <t>预先混合的酒精饮料（以啤酒为主的除外）;⽶酒;⽩酒;果酒（含酒精）;含⽔果酒精饮料;烈酒（饮料）;开胃酒;烧酒;⻩酒;酒精饮料（啤酒除外）</t>
  </si>
  <si>
    <t>如洗</t>
  </si>
  <si>
    <t>深圳市海外通供应链管理有限公司</t>
  </si>
  <si>
    <t>开胃酒;⽩酒;⻩酒;烈酒（饮料）;蒸煮提取物（利⼝酒和烈酒）;⾷⽤酒精;含⽔果酒精饮料;⽶酒;烧酒;果酒（含酒精）</t>
  </si>
  <si>
    <t>千弋</t>
  </si>
  <si>
    <t>酒精饮料浓缩汁;⽩酒;葡萄酒;威⼠忌;⻩酒;果酒（含酒精）;含⽔果酒精饮料;⽶酒;⾕物制蒸馏酒精饮料;含酒精的⽓泡⽔</t>
  </si>
  <si>
    <t>必维森</t>
  </si>
  <si>
    <t>费欢乐</t>
  </si>
  <si>
    <t>⾷⽤酒精;汽酒;甜酒;⻩酒;葡萄酒;清酒;果酒;⽩酒;⽶酒;开胃酒</t>
  </si>
  <si>
    <t>钟源合创</t>
  </si>
  <si>
    <t>湖北中源合创牧业有限公司</t>
  </si>
  <si>
    <t>⽶酒;⾷⽤酒精;蜂蜜酒;果酒;⽩酒;露酒;⻩酒</t>
  </si>
  <si>
    <t>百脉泉尊贵</t>
  </si>
  <si>
    <t>⽩酒;葡萄酒;⽶酒;汽酒;苹果酒;酒精饮料（啤酒除外）;⻩酒;开胃酒;酸酒（低等葡萄酒）;果酒（含酒精）</t>
  </si>
  <si>
    <t>上否</t>
  </si>
  <si>
    <t>医盟基层（河南）品牌运营有限公司</t>
  </si>
  <si>
    <t>果酒（含酒精）;汽酒;含⽔果酒精饮料;⻩酒;蒸煮提取物（利⼝酒和烈酒）;⽩酒;甜果酒;烧酒;酸酒（低等葡萄酒）;葡萄酒</t>
  </si>
  <si>
    <t>鲍照</t>
  </si>
  <si>
    <t>雪玉醇</t>
  </si>
  <si>
    <t>⻘稞酒;开胃酒;烧酒;果酒（含酒精）;⽶酒;烈酒（饮料）;葡萄酒;利⼝酒;威⼠忌;⽩酒</t>
  </si>
  <si>
    <t>MONTE DOS PERDIGOES</t>
  </si>
  <si>
    <t>开胃酒;果酒（含酒精）;威⼠忌;葡萄酒;鸡尾酒;预先混合的酒精饮料（以啤酒为主的除外）;烈酒（饮料）;酒精饮料（啤酒除外）;以葡萄酒为主的饮料</t>
  </si>
  <si>
    <t>烈酒（饮料）;威⼠忌;以葡萄酒为主的饮料;开胃酒;酒精饮料（啤酒除外）;葡萄酒;果酒（含酒精）;预先混合的酒精饮料（以啤酒为主的除外）;鸡尾酒</t>
  </si>
  <si>
    <t>百脉泉青逸</t>
  </si>
  <si>
    <t>开胃酒;果酒（含酒精）;葡萄酒;酸酒（低等葡萄酒）;⻩酒;⽶酒;⽩酒;苹果酒;汽酒;酒精饮料（啤酒除外）</t>
  </si>
  <si>
    <t>醉王忆</t>
  </si>
  <si>
    <t>酒精饮料（啤酒除外）;烧酒;葡萄酒;鸡尾酒;朗姆酒;果酒;⽩酒;清酒（⽇本⽶酒）;利⼝酒;开胃酒</t>
  </si>
  <si>
    <t>中孩</t>
  </si>
  <si>
    <t>骆利琴</t>
  </si>
  <si>
    <t>⽩酒;⻩酒;果酒（含酒精）;果酒;烈酒（饮料）;鸡尾酒;酒精饮料（啤酒除外）;⽩⼲酒（中国⽩酒）;清酒（⽇本⽶酒）;蒸馏饮料</t>
  </si>
  <si>
    <t>开胃酒;⻩酒;由⾕物蒸馏的⽩酒;⾼粱酒;五加⽪酒（中国混合烈酒）;烧酒;⻘稞酒;⽩酒;⽩⼲酒（中国⽩酒）;蒸煮提取物（利⼝酒和烈酒）</t>
  </si>
  <si>
    <t>耿直人</t>
  </si>
  <si>
    <t>泸州耿直人家酒业有限公司</t>
  </si>
  <si>
    <t>⽩酒;葡萄酒;除啤酒外的酒精饮料;果酒（含酒精）;鸡尾酒;蜂蜜酒;樱桃酒;烈酒（饮料）;⽩兰地;含⽔果酒精饮料</t>
  </si>
  <si>
    <t>梅博士</t>
  </si>
  <si>
    <t>⽩酒;烈酒（饮料）;果酒（含酒精）;⽩兰地;葡萄酒;烧酒;果酒;蒸馏饮料;鸡尾酒;⽶酒</t>
  </si>
  <si>
    <t>洛帕牛  LUOPACOW</t>
  </si>
  <si>
    <t>北京奥雪谷商贸有限公司</t>
  </si>
  <si>
    <t>烧酒;鸡尾酒;葡萄酒;威⼠忌;⽩兰地;果酒（含酒精）;伏特加酒;⽩酒;利⼝酒;朗姆酒</t>
  </si>
  <si>
    <t>荣十六</t>
  </si>
  <si>
    <t>贵州省仁怀市茅台镇荣和酒业有限公司</t>
  </si>
  <si>
    <t>酒精饮料（啤酒除外）;果酒（含酒精）;烈酒（饮料）;烧酒;⻩酒;葡萄酒;⽩酒;⾼粱酒;⽶酒;⽩⼲酒（中国⽩酒）</t>
  </si>
  <si>
    <t>知苏</t>
  </si>
  <si>
    <t>含⽔果酒精饮料;葡萄酒;果酒;⻩酒;⾷⽤酒精;酒精饮料（啤酒除外）;⽩酒;烈酒（饮料）;烧酒;利⼝酒</t>
  </si>
  <si>
    <t>美鑫源</t>
  </si>
  <si>
    <t>谭成德</t>
  </si>
  <si>
    <t>酒精饮料原汁;葡萄酒;⽶酒;⽩酒;由⾕物蒸馏的⽩酒;伏特加酒;烈酒（饮料）;鸡尾酒;酒精饮料（啤酒除外）;威⼠忌</t>
  </si>
  <si>
    <t>百脉泉清酌</t>
  </si>
  <si>
    <t>百脉泉传承</t>
  </si>
  <si>
    <t>果酒（含酒精）;⽩酒;汽酒;酸酒（低等葡萄酒）;⻩酒;苹果酒;葡萄酒;酒精饮料（啤酒除外）;⽶酒;开胃酒</t>
  </si>
  <si>
    <t>百脉泉壹号种子</t>
  </si>
  <si>
    <t>开胃酒;苹果酒;葡萄酒;酒精饮料（啤酒除外）;⻩酒;⽶酒;果酒（含酒精）;酸酒（低等葡萄酒）;汽酒;⽩酒</t>
  </si>
  <si>
    <t>家和鱼村</t>
  </si>
  <si>
    <t>汪德勇</t>
  </si>
  <si>
    <t>苹果酒;⻩酒;威⼠忌;薄荷酒;葡萄酒;⽩酒;烧酒;开胃酒;⽩兰地;⽶酒;伏特加酒;利⼝酒</t>
  </si>
  <si>
    <t>钓百世</t>
  </si>
  <si>
    <t>露酒;清酒;葡萄酒;⽩酒;⻩酒;⾼粱酒;烧酒;果酒;酒精饮料（啤酒除外）;⽶酒</t>
  </si>
  <si>
    <t>冯氏兄妹</t>
  </si>
  <si>
    <t>冯世祥</t>
  </si>
  <si>
    <t>烧酒;⻩酒;⾼粱酒;⽩酒;烈酒（饮料）;果酒（含酒精）;鸡尾酒;⽶酒;酒精饮料（啤酒除外）;葡萄酒</t>
  </si>
  <si>
    <t>邢盛坊</t>
  </si>
  <si>
    <t>杨志刚</t>
  </si>
  <si>
    <t>烧酒;⽩酒;汽酒;果酒（含酒精）;烈酒（饮料）;蒸馏饮料;⽶酒;酒精饮料原汁;酒精饮料（啤酒除外）;⻘稞酒</t>
  </si>
  <si>
    <t>老展贵</t>
  </si>
  <si>
    <t>江苏书辰网络科技有限公司</t>
  </si>
  <si>
    <t>⻩酒;鸡尾酒;⻘稞酒;⽩酒;苦荞酒;果酒（含酒精）;⾼粱酒;烧酒;⽶酒;葡萄酒</t>
  </si>
  <si>
    <t>忖</t>
  </si>
  <si>
    <t>葡萄酒;果酒（含酒精）;清酒（⽇本⽶酒）;烈酒（饮料）;⽩兰地;⻩酒;⽩酒;⽶酒;酒精饮料（啤酒除外）;烧酒</t>
  </si>
  <si>
    <t>龙竞飞渡</t>
  </si>
  <si>
    <t>康连接体育文化集团有限公司</t>
  </si>
  <si>
    <t>酒精饮料（啤酒除外）;含⽔果酒精饮料;果酒（含酒精）;鸡尾酒;⽩酒;烧酒;葡萄酒;烈酒（饮料）;威⼠忌;⽶酒</t>
  </si>
  <si>
    <t>遵库年份</t>
  </si>
  <si>
    <t>赵娅雯</t>
  </si>
  <si>
    <t>威⼠忌;⽩酒;开胃酒;葡萄酒;⻩酒;酒精饮料（啤酒除外）;⽶酒;含⽔果酒精饮料;汽酒;烈酒（饮料）</t>
  </si>
  <si>
    <t>极星星臻</t>
  </si>
  <si>
    <t>汽酒;烈酒（饮料）;⽩酒;果酒（含酒精）;⻩酒;薄荷酒;⻘稞酒;含⽔果酒精饮料;清酒（⽇本⽶酒）;葡萄酒</t>
  </si>
  <si>
    <t>乐帝汉</t>
  </si>
  <si>
    <t>刘西望</t>
  </si>
  <si>
    <t>葡萄酒;果酒;含酒精的鸡尾酒混合饮品;⻩酒;⽩酒;⽶酒;佐餐酒;含酒精的⽓泡⽔;含酒精的饮料（啤酒除外）;⾷⽤酒精</t>
  </si>
  <si>
    <t>帝皇迎滨</t>
  </si>
  <si>
    <t>郭新会</t>
  </si>
  <si>
    <t>葡萄酒;利⼝酒;果酒;⽩酒;⻩酒;朗姆酒;⽩兰地;威⼠忌;伏特加酒;酒精饮料（啤酒除外）</t>
  </si>
  <si>
    <t>伍岚枝</t>
  </si>
  <si>
    <t>贵州大进程酒业有限公司</t>
  </si>
  <si>
    <t>葡萄酒;汽酒;⽶酒;果酒;酒精饮料（啤酒除外）;烧酒（烈酒）;⽩酒;⽼酒（中国蒸馏烈酒）;烈酒;⻩酒</t>
  </si>
  <si>
    <t>威厂</t>
  </si>
  <si>
    <t>陈堂均</t>
  </si>
  <si>
    <t>烈酒;清酒（⽇本⽶酒）;⽩酒;果酒（含酒精）;葡萄酒;威⼠忌;鸡尾酒;酒精饮料（啤酒除外）;开胃酒;⻩酒</t>
  </si>
  <si>
    <t>旺世汉匠</t>
  </si>
  <si>
    <t>清酒（⽇本⽶酒）;⽩酒;含⽔果酒精饮料;酒精饮料（啤酒除外）;⻩酒;⽶酒;烧酒;葡萄酒;蒸馏饮料;伏特加酒</t>
  </si>
  <si>
    <t>和宁王妃</t>
  </si>
  <si>
    <t>和宁王妃（武汉市）食品销售有限公司</t>
  </si>
  <si>
    <t>极星星耀</t>
  </si>
  <si>
    <t>含⽔果酒精饮料;⻘稞酒;⻩酒;果酒（含酒精）;葡萄酒;⽩酒;薄荷酒;清酒（⽇本⽶酒）;烈酒（饮料）;汽酒</t>
  </si>
  <si>
    <t>龙协</t>
  </si>
  <si>
    <t>⽩酒;果酒（含酒精）;葡萄酒;鸡尾酒;含⽔果酒精饮料;酒精饮料（啤酒除外）;⽶酒;烧酒;威⼠忌;烈酒（饮料）</t>
  </si>
  <si>
    <t>龙狮争霸</t>
  </si>
  <si>
    <t>果酒（含酒精）;烈酒（饮料）;威⼠忌;酒精饮料（啤酒除外）;含⽔果酒精饮料;鸡尾酒;烧酒;⽶酒;葡萄酒;⽩酒</t>
  </si>
  <si>
    <t>极星星风</t>
  </si>
  <si>
    <t>果酒（含酒精）;⻩酒;⽩酒;汽酒;含⽔果酒精饮料;烈酒（饮料）;葡萄酒;薄荷酒;⻘稞酒;清酒（⽇本⽶酒）</t>
  </si>
  <si>
    <t>极星星颂</t>
  </si>
  <si>
    <t>薄荷酒;果酒（含酒精）;⻘稞酒;含⽔果酒精饮料;⽩酒;⻩酒;汽酒;清酒（⽇本⽶酒）;烈酒（饮料）;葡萄酒</t>
  </si>
  <si>
    <t>衡顺昌</t>
  </si>
  <si>
    <t>任瑞海</t>
  </si>
  <si>
    <t>烧酒;葡萄酒;⻘稞酒;⻩酒;⽶酒;果酒（含酒精）;酒精饮料（啤酒除外）;清酒;⽩兰地;⽩酒</t>
  </si>
  <si>
    <t>花满良辰</t>
  </si>
  <si>
    <t>贵州岁月年华酒业有限公司</t>
  </si>
  <si>
    <t>⽶酒;预先混合的酒精饮料（以啤酒为主的除外）;⽩酒;⽼酒（中国蒸馏烈酒）;鸡尾酒;葡萄酒;汽酒;⻩酒;果酒（含酒精）;烈酒（饮料）</t>
  </si>
  <si>
    <t>知衍</t>
  </si>
  <si>
    <t>南京大光酒业有限公司</t>
  </si>
  <si>
    <t>利⼝酒;酒精饮料（啤酒除外）;佐餐酒</t>
  </si>
  <si>
    <t>但黄氏</t>
  </si>
  <si>
    <t>重庆市綦江区香源酒坊</t>
  </si>
  <si>
    <t>⽩酒;含酒精的⽓泡⽔;⻩酒;酒精饮料原汁;烈酒（饮料）;烧酒;果酒（含酒精）;含⽔果酒精饮料;⽶酒;⾕物制蒸馏酒精饮料</t>
  </si>
  <si>
    <t>TAIWE VALLEY</t>
  </si>
  <si>
    <t>深圳威赞国际贸易有限公司</t>
  </si>
  <si>
    <t>利⼝酒;清酒;⽩兰地;⽩酒;鸡尾酒;露酒;威⼠忌;果酒（含酒精）;葡萄酒;烈酒（饮料）</t>
  </si>
  <si>
    <t>长苼盛</t>
  </si>
  <si>
    <t>泰汇峰（内蒙古）农业科技有限公司</t>
  </si>
  <si>
    <t>⽩兰地;含⽔果酒精饮料;酒精饮料浓缩汁;清酒（⽇本⽶酒）;酒精饮料原汁;⻩酒;⽩酒;⽶酒;烧酒;果酒（含酒精）</t>
  </si>
  <si>
    <t>攀西麻五液</t>
  </si>
  <si>
    <t>侯友龙</t>
  </si>
  <si>
    <t>梨酒;汽酒;烈酒;甜酒;烧酒;⽩酒;果酒;果酒（含酒精）;⽶酒;⽩兰地</t>
  </si>
  <si>
    <t>段凌云</t>
  </si>
  <si>
    <t>果酒（含酒精）;⻘稞酒;苦味酒;⽩酒;⻩酒;蒸煮提取物（利⼝酒和烈酒）;葡萄酒;开胃酒;威⼠忌;烧酒</t>
  </si>
  <si>
    <t>驾鹞艇</t>
  </si>
  <si>
    <t>酒精饮料（啤酒除外）;伏特加酒;露酒;鸡尾酒;⽩酒;⽩兰地;威⼠忌;⽶酒;⻩酒;葡萄酒</t>
  </si>
  <si>
    <t>箴顺堂</t>
  </si>
  <si>
    <t>王亚博</t>
  </si>
  <si>
    <t>⽩兰地;清酒（⽇本⽶酒）;果酒（含酒精）;蒸煮提取物（利⼝酒和烈酒）;⽩酒;⽶酒;⻩酒;开胃酒;威⼠忌;葡萄酒</t>
  </si>
  <si>
    <t>汉坊基</t>
  </si>
  <si>
    <t>泗洪县双沟彩印厂</t>
  </si>
  <si>
    <t>鸡尾酒;利⼝酒;果酒;酒精饮料（啤酒除外）;⽩兰地;⻩酒;烧酒;葡萄酒;烈酒;⽩酒</t>
  </si>
  <si>
    <t>椿樽一念</t>
  </si>
  <si>
    <t>张啸</t>
  </si>
  <si>
    <t>蒸馏饮料;⽶酒;果酒（含酒精）;⽩兰地;⽩酒;烧酒;⻩酒;鸡尾酒;葡萄酒;威⼠忌</t>
  </si>
  <si>
    <t>内蒙古富美达农牧业有限公司</t>
  </si>
  <si>
    <t>烈酒（饮料）;⻩酒;葡萄酒;⽶酒;⽩酒;果酒（含酒精）;含⽔果酒精饮料;烧酒;利⼝酒;⽼酒（中国蒸馏烈酒）</t>
  </si>
  <si>
    <t>智汽</t>
  </si>
  <si>
    <t>上海祈立国际贸易有限公司</t>
  </si>
  <si>
    <t>果酒（含酒精）;烈酒;⽶酒;利⼝酒;清酒;含⽔果酒精饮料;威⼠忌;鸡尾酒;苹果酒;葡萄酒</t>
  </si>
  <si>
    <t>揭秘者</t>
  </si>
  <si>
    <t>高安市嘉合康邓氏酒坊</t>
  </si>
  <si>
    <t>烧酒;⾼粱酒;⽩⼲酒（中国⽩酒）;⽶酒;⻘稞酒;⾷⽤酒精;⽩酒;烈酒;开胃酒;⻩酒</t>
  </si>
  <si>
    <t>云港酒坊</t>
  </si>
  <si>
    <t>王月广</t>
  </si>
  <si>
    <t>葡萄酒;⾷⽤酒精;⽩酒;苹果酒;⾼粱酒;⽶酒;果酒;酒精饮料原汁;烧酒;樱桃酒</t>
  </si>
  <si>
    <t>瑶香琼</t>
  </si>
  <si>
    <t>严小兰</t>
  </si>
  <si>
    <t>⾕物制蒸馏酒精饮料;蒸馏⽶酒（泡盛酒）;开胃酒;含酒精蛋奶酒;烈酒浓缩汁;⽩酒;含酒精⽔果饮料;⽶酒;⾼粱酒;⻘梅酒</t>
  </si>
  <si>
    <t>爱尚卿</t>
  </si>
  <si>
    <t>牛建国</t>
  </si>
  <si>
    <t>清酒（⽇本⽶酒）;朗姆酒;⻩酒;葡萄酒;⻘稞酒;⽶酒;⽩酒;果酒（含酒精）;酒精饮料（啤酒除外）;含⽔果酒精饮料</t>
  </si>
  <si>
    <t>文节</t>
  </si>
  <si>
    <t>贵州贵煦酒业有限公司</t>
  </si>
  <si>
    <t>鸡尾酒;酒精饮料（啤酒除外）;⽶酒;果酒（含酒精）;威⼠忌;⻩酒;清酒（⽇本⽶酒）;⽩酒;⽩兰地;⾷⽤酒精</t>
  </si>
  <si>
    <t>千年肯</t>
  </si>
  <si>
    <t>徐清健</t>
  </si>
  <si>
    <t>清酒（⽇本⽶酒）;葡萄酒;烈酒（饮料）;烧酒;⽶酒;⾕物制蒸馏酒精饮料;⽩酒;开胃酒;酒精饮料（啤酒除外）;果酒（含酒精）</t>
  </si>
  <si>
    <t>YOOBIRD</t>
  </si>
  <si>
    <t>蒸馏饮料;烧酒;果酒（含酒精）;葡萄酒;⽩兰地;⽩酒;⾼粱酒;鸡尾酒;⾷⽤酒精;含⽔果酒精饮料</t>
  </si>
  <si>
    <t>姜元花</t>
  </si>
  <si>
    <t>利华盈科创投控股（深圳）有限公司</t>
  </si>
  <si>
    <t>含酒精⽔果饮料;威⼠忌;以葡萄酒为主的饮料;⻩酒;酒精饮料（啤酒除外）;葡萄酒;清酒;⽩酒;烧酒;果酒</t>
  </si>
  <si>
    <t>醉父禧</t>
  </si>
  <si>
    <t>利⼝酒;鸡尾酒;朗姆酒;⽩酒;烧酒;清酒（⽇本⽶酒）;果酒;酒精饮料（啤酒除外）;开胃酒;葡萄酒</t>
  </si>
  <si>
    <t>画龙点睛</t>
  </si>
  <si>
    <t>甜酒;⽩酒;烧酒;⽩⼲酒（中国⽩酒）;⽼酒（中国蒸馏烈酒）;⻩酒;⽶酒;葡萄酒;⾼粱酒;烈酒（饮料）</t>
  </si>
  <si>
    <t>潜云</t>
  </si>
  <si>
    <t>果酒（含酒精）;葡萄酒;⽶酒;含⽔果酒精饮料;烈酒;⽩酒;⻩酒;酒精饮料浓缩汁;烧酒;酒精饮料（啤酒除外）</t>
  </si>
  <si>
    <t>邱台邱氏家族</t>
  </si>
  <si>
    <t>邱勇</t>
  </si>
  <si>
    <t>酒精饮料（啤酒除外）;⽶酒;⽩酒;果酒（含酒精）;开胃酒;葡萄酒;清酒;⻩酒;烧酒;蒸煮提取物（利⼝酒和烈酒）</t>
  </si>
  <si>
    <t>景明光耀</t>
  </si>
  <si>
    <t>海南景明光耀生物科技有限公司</t>
  </si>
  <si>
    <t>酒精饮料原汁;酒精饮料（啤酒除外）;⽶酒;⽩⼲酒（中国⽩酒）;蒸馏饮料;⽩酒;蜂蜜酒;果酒;清酒（⽇本⽶酒）;由⾕物蒸馏的⽩酒</t>
  </si>
  <si>
    <t>斛灵韵宝</t>
  </si>
  <si>
    <t>云南斛之韵生物科技有限公司</t>
  </si>
  <si>
    <t>⾷⽤酒精;除啤酒外的酒精饮料;果酒（含酒精）;⽩⼲酒（中国⽩酒）;含酒精的饮料（啤酒除外）;酒精饮料（啤酒除外）;⽩酒;烈酒;含酒精的充⽓饮料（啤酒除外）;利⼝酒</t>
  </si>
  <si>
    <t>巢闺蜜</t>
  </si>
  <si>
    <t>烈酒（饮料）;酒精饮料（啤酒除外）;预先混合的酒精饮料（以啤酒为主的除外）;⽶酒;酒精饮料原汁;含⽔果酒精饮料;茴芹酒（利⼝酒）;果酒（含酒精）;酸酒（低等葡萄酒）;酒精饮料浓缩汁</t>
  </si>
  <si>
    <t>黔臻极鉴</t>
  </si>
  <si>
    <t>四川省醉生缘酒业有限公司</t>
  </si>
  <si>
    <t>烧酒;露酒;含酒精的饮料（啤酒除外）;葡萄酒;⻩酒;⻘稞酒;烈酒;⽩酒;果酒;⽶酒</t>
  </si>
  <si>
    <t>秘珍玖伍</t>
  </si>
  <si>
    <t>深圳市欧姆微科技有限公司</t>
  </si>
  <si>
    <t>果酒（含酒精）;鸡尾酒;威⼠忌;⾕物制蒸馏酒精饮料;⽶酒;⽩兰地;蒸馏饮料;清酒（⽇本⽶酒）;含⽔果酒精饮料;葡萄酒</t>
  </si>
  <si>
    <t>地学长虹</t>
  </si>
  <si>
    <t>林培炬</t>
  </si>
  <si>
    <t>⽩酒;⽼酒（中国蒸馏烈酒）;⾷⽤酒精;鸡尾酒;葡萄酒;预先混合的酒精饮料（以啤酒为主的除外）;⻩酒;甜酒;烈酒;烈酒（饮料）;果酒;蒸馏饮料;⽩兰地;酒精饮料原汁;⽶酒</t>
  </si>
  <si>
    <t>粤飘瑶</t>
  </si>
  <si>
    <t>林宗卫</t>
  </si>
  <si>
    <t>葡萄酒;清酒（⽇本⽶酒）;蜂蜜酒;⽶酒;含⽔果酒精饮料;⻩酒;⾷⽤酒精;烧酒;⽩酒;蒸馏饮料</t>
  </si>
  <si>
    <t>源都名</t>
  </si>
  <si>
    <t>王敏</t>
  </si>
  <si>
    <t>葡萄酒;开胃酒;烈酒（饮料）;清酒（⽇本⽶酒）;⾕物制蒸馏酒精饮料;果酒（含酒精）;酒精饮料（啤酒除外）;烧酒;⽩酒;⽶酒</t>
  </si>
  <si>
    <t>承权</t>
  </si>
  <si>
    <t>兰雪淞</t>
  </si>
  <si>
    <t>⽩酒;⻩酒;鸡尾酒;葡萄酒;烈酒;⽼酒（中国蒸馏烈酒）;⽩⼲酒（中国⽩酒）;⽶酒;开胃酒;烧酒</t>
  </si>
  <si>
    <t>赢酒悦</t>
  </si>
  <si>
    <t>郑天琦</t>
  </si>
  <si>
    <t>硕虎</t>
  </si>
  <si>
    <t>梁竞友</t>
  </si>
  <si>
    <t>烧酒;葡萄酒;⽩酒;⽶酒;酒精饮料原汁;威⼠忌;汽酒;烈酒（饮料）;果酒（含酒精）;⻩酒</t>
  </si>
  <si>
    <t>下濯</t>
  </si>
  <si>
    <t>池华兴352624********1635</t>
  </si>
  <si>
    <t>⻩酒;⽶酒;⽩酒;烧酒;果酒（含酒精）;蒸煮提取物（利⼝酒和烈酒）;蜂蜜酒;酒精饮料（啤酒除外）;烈酒（饮料）;⽩兰地</t>
  </si>
  <si>
    <t>饮台主营</t>
  </si>
  <si>
    <t>贵州饮台酒业（集团）有限公司</t>
  </si>
  <si>
    <t>露酒;烈酒（饮料）;葡萄酒;⾕物制蒸馏酒精饮料;⽩酒;烧酒;酒精饮料（啤酒除外）;开胃酒;⽶酒;果酒（含酒精）</t>
  </si>
  <si>
    <t>饮台主线</t>
  </si>
  <si>
    <t>酒精饮料（啤酒除外）;果酒（含酒精）;烈酒（饮料）;⽩酒;⽶酒;⾕物制蒸馏酒精饮料;开胃酒;露酒;烧酒;葡萄酒</t>
  </si>
  <si>
    <t>不华不朴</t>
  </si>
  <si>
    <t>威⼠忌;含⽔果酒精饮料;鸡尾酒;葡萄酒;烧酒;清酒（⽇本⽶酒）;烈酒（饮料）;果酒（含酒精）;⽩酒;⻩酒</t>
  </si>
  <si>
    <t>逮</t>
  </si>
  <si>
    <t>张家界广源酒业发展有限公司</t>
  </si>
  <si>
    <t>开胃酒;葡萄酒;烧酒;果酒（含酒精）;⽩酒;⻘稞酒;⻩酒;⾷⽤酒精;汽酒;酒精饮料（啤酒除外）</t>
  </si>
  <si>
    <t>堏圆</t>
  </si>
  <si>
    <t>左岸实业(深圳)有限公司</t>
  </si>
  <si>
    <t>烧酒;⻩酒;⽩酒;含⽔果酒精饮料;蒸馏⽶酒（泡盛酒）;果酒（含酒精）;含酒精的⽓泡⽔;杨梅酒;⽶酒;清酒</t>
  </si>
  <si>
    <t>西涧野渡</t>
  </si>
  <si>
    <t>王磊</t>
  </si>
  <si>
    <t>烈酒（饮料）;⽩兰地;⽶酒;果酒（含酒精）;⽩酒;葡萄酒;伏特加酒;威⼠忌;⻩酒;酒精饮料（啤酒除外）</t>
  </si>
  <si>
    <t>业夫台</t>
  </si>
  <si>
    <t>以葡萄酒为主的开胃酒;⽩酒;烧酒（烈酒）;⽩⼲酒（中国⽩酒）;以蒸馏酒为主的开胃酒;⽼酒（中国蒸馏烈酒）;烧酒;⽢蔗制烈酒;已调味的蒸馏酒;⾼粱酒</t>
  </si>
  <si>
    <t>宴晚宴</t>
  </si>
  <si>
    <t>李明远</t>
  </si>
  <si>
    <t>⽩⼲酒（中国⽩酒）;⽩酒;⽩兰地;威⼠忌;清酒;鸡尾酒;朗姆酒;⻩酒;葡萄酒;⽼酒（中国蒸馏烈酒）</t>
  </si>
  <si>
    <t>秦顶云岚</t>
  </si>
  <si>
    <t>北京净地良材餐饮管理有限公司</t>
  </si>
  <si>
    <t>杜松⼦酒;蜂蜜酒;⻘稞酒;葡萄酒;⽶酒;朗姆酒;⾕物制蒸馏酒精饮料;含⽔果酒精饮料;⻩酒;利⼝酒</t>
  </si>
  <si>
    <t>寻蜜熊</t>
  </si>
  <si>
    <t>江西呐博优选供应链有限公司</t>
  </si>
  <si>
    <t>威⼠忌;鸡尾酒;⾼粱酒;⽶酒;⾕物制蒸馏酒精饮料;以葡萄酒为主的饮料;⽩⼲酒（中国⽩酒）;⽩酒;⽼酒（中国蒸馏烈酒）;果酒（含酒精）</t>
  </si>
  <si>
    <t>沉霜</t>
  </si>
  <si>
    <t>洛阳摩达家具有限公司</t>
  </si>
  <si>
    <t>⽩兰地;⽩酒;清酒;酒精饮料（啤酒除外）;⽩⼲酒（中国⽩酒）;葡萄酒;威⼠忌;⽶酒;烧酒;鸡尾酒</t>
  </si>
  <si>
    <t>辉博春</t>
  </si>
  <si>
    <t>泸州辉博供应链管理有限公司</t>
  </si>
  <si>
    <t>⽶酒;含⽔果酒精饮料;果酒（含酒精）;⽩酒;蜂蜜酒;⻘稞酒;⻩酒;烧酒;⾷⽤酒精;葡萄酒</t>
  </si>
  <si>
    <t>淮酒老梁票</t>
  </si>
  <si>
    <t>安徽省淮酒酒业有限公司</t>
  </si>
  <si>
    <t>果酒（含酒精）;烈酒;⾼粱酒;⾷⽤酒精;⽼酒（中国蒸馏烈酒）;⾕物制蒸馏酒精饮料;烧酒;清酒（⽇本⽶酒）;⽩酒;烈酒（饮料）</t>
  </si>
  <si>
    <t>PKUTERRIOR</t>
  </si>
  <si>
    <t>北京燕园博雅风土科技有限责任公司</t>
  </si>
  <si>
    <t>红葡萄酒;果酒（含酒精）;以葡萄酒为主的饮料;葡萄酒;⽩葡萄酒</t>
  </si>
  <si>
    <t>忆柒月</t>
  </si>
  <si>
    <t>泰安七彩世纪网络科技有限公司</t>
  </si>
  <si>
    <t>蒸馏饮料;烈酒（饮料）;⽶酒;葡萄酒;⽩酒;果酒（含酒精）;⻩酒;开胃酒;汽酒;含⽔果酒精饮料</t>
  </si>
  <si>
    <t>功捷</t>
  </si>
  <si>
    <t>清酒;果酒（含酒精）;烈酒;烧酒;⻩酒;⽩酒;露酒;⾼粱酒;葡萄酒;⽶酒</t>
  </si>
  <si>
    <t>李谦大</t>
  </si>
  <si>
    <t>浙江安吉席饰多家居用品有限公司</t>
  </si>
  <si>
    <t>薄荷酒;⽶酒;⻩酒;杨梅酒;⾷⽤酒精;葡萄酒;⽩酒;苹果酒;汽酒;鸡尾酒</t>
  </si>
  <si>
    <t>醉父贺</t>
  </si>
  <si>
    <t>⽩酒;鸡尾酒;清酒（⽇本⽶酒）;开胃酒;利⼝酒;葡萄酒;果酒;酒精饮料（啤酒除外）;烧酒;朗姆酒</t>
  </si>
  <si>
    <t>RQCOOL</t>
  </si>
  <si>
    <t>东莞市虎门馨瑞商贸行（个体工商户）</t>
  </si>
  <si>
    <t>葡萄酒;⽶酒;含酒精⽔果饮料;果酒（含酒精）;⽩兰地;烈酒（饮料）;⾕物制蒸馏酒精饮料;⾷⽤酒精;蒸馏饮料;鸡尾酒</t>
  </si>
  <si>
    <t>逸伟星酒</t>
  </si>
  <si>
    <t>赖剑伟</t>
  </si>
  <si>
    <t>果酒（含酒精）;苹果酒;以葡萄酒为主的饮料;含⽔果酒精饮料;葡萄酒;酒精饮料浓缩汁;⻘稞酒;⽩酒;柑⾹酒;利⼝酒</t>
  </si>
  <si>
    <t>帝山海</t>
  </si>
  <si>
    <t>海口秀英区东芳锦贸易商行（个体工商户）</t>
  </si>
  <si>
    <t>⽩⼲酒（中国⽩酒）;葡萄酒;樱桃酒;⽩酒;酒精饮料（啤酒除外）;⽶酒;鸡尾酒;⻘稞酒;果酒（含酒精）;烧酒</t>
  </si>
  <si>
    <t>旺世汉清</t>
  </si>
  <si>
    <t>含⽔果酒精饮料;蒸馏饮料;⻩酒;葡萄酒;伏特加酒;烧酒;⽩酒;酒精饮料（啤酒除外）;⽶酒;清酒（⽇本⽶酒）</t>
  </si>
  <si>
    <t>饮台大单品</t>
  </si>
  <si>
    <t>⾕物制蒸馏酒精饮料;开胃酒;⽶酒;烈酒（饮料）;⽩酒;酒精饮料（啤酒除外）;果酒（含酒精）;露酒;烧酒;葡萄酒</t>
  </si>
  <si>
    <t>重想</t>
  </si>
  <si>
    <t>北京众智信安信息技术研究院</t>
  </si>
  <si>
    <t>⽩酒;烧酒;⽩⼲酒（中国⽩酒）;果酒;利⼝酒;烈酒;⻩酒;⽼酒（中国蒸馏烈酒）;⽶酒;⾼粱酒</t>
  </si>
  <si>
    <t>唯墨斯</t>
  </si>
  <si>
    <t>樊艳萍</t>
  </si>
  <si>
    <t>苦艾酒;红葡萄酒;⽩葡萄酒;烈酒;不起泡葡萄酒;⽩兰地;威末酒;果酒（含酒精）;加烈葡萄酒;葡萄酒</t>
  </si>
  <si>
    <t>闽之醴</t>
  </si>
  <si>
    <t>武夷山市君悦酒店管理有限公司</t>
  </si>
  <si>
    <t>威⼠忌;烧酒;⻩酒;葡萄酒;果酒（含酒精）;朗姆酒;清酒（⽇本⽶酒）;酒精饮料（啤酒除外）;⽩酒;⽩兰地</t>
  </si>
  <si>
    <t>红侑诗高跟鞋 REDUVERSE HEELSRED</t>
  </si>
  <si>
    <t>⽩酒;烈酒（饮料）;朗姆酒;酒精饮料（啤酒除外）;⾷⽤酒精;鸡尾酒;伏特加酒;葡萄酒;利⼝酒;⽩兰地</t>
  </si>
  <si>
    <t>后天天哥</t>
  </si>
  <si>
    <t>成都十九天餐饮管理咨询有限公司</t>
  </si>
  <si>
    <t>烧酒;果酒（含酒精）;果酒;⽶酒;葡萄酒;⽩酒;⻩酒;威⼠忌;开胃酒;⽼酒（中国蒸馏烈酒）</t>
  </si>
  <si>
    <t>澳歌小镇</t>
  </si>
  <si>
    <t>浙江百富供应链有限公司</t>
  </si>
  <si>
    <t>酒精饮料（啤酒除外）;⽩酒;含酒精的充⽓饮料（啤酒除外）;以葡萄酒为主的饮料;葡萄酒;⽩⼲酒（中国⽩酒）;烈酒（饮料）;⾼粱酒;红葡萄酒;⽩葡萄酒</t>
  </si>
  <si>
    <t>龙韵天馥</t>
  </si>
  <si>
    <t>⻩酒;含⽔果酒精饮料;烈酒（饮料）;鸡尾酒;威⼠忌;清酒（⽇本⽶酒）;烧酒;果酒（含酒精）;⽩酒;葡萄酒</t>
  </si>
  <si>
    <t>厨老倌说</t>
  </si>
  <si>
    <t>重庆厨老倌餐饮管理有限公司</t>
  </si>
  <si>
    <t>⽩兰地;酒精饮料原汁;葡萄酒;威⼠忌;清酒（⽇本⽶酒）;⽶酒;⻩酒;⽩酒;果酒（含酒精）;烧酒</t>
  </si>
  <si>
    <t>陇夏红</t>
  </si>
  <si>
    <t>王丽丽</t>
  </si>
  <si>
    <t>果酒（含酒精）;⽶酒;含⽔果酒精饮料;⽩酒;烧酒;威⼠忌;⻘稞酒;⽩兰地;鸡尾酒;葡萄酒</t>
  </si>
  <si>
    <t>耿家旺</t>
  </si>
  <si>
    <t>宁夏飞天科技有限公司</t>
  </si>
  <si>
    <t>开胃酒;⽶酒;⻩酒;烧酒;伏特加酒;⽩酒;葡萄酒;⾕物制蒸馏酒精饮料;⻘稞酒;汽酒</t>
  </si>
  <si>
    <t>兆家原田 品拙归园田</t>
  </si>
  <si>
    <t>史习松</t>
  </si>
  <si>
    <t>烧酒;鸡尾酒;烈酒（饮料）;⽶酒;葡萄酒;⻩酒;开胃酒;果酒（含酒精）;蒸煮提取物（利⼝酒和烈酒）;⾷⽤酒精</t>
  </si>
  <si>
    <t>窖川井</t>
  </si>
  <si>
    <t>张晓春</t>
  </si>
  <si>
    <t>萃河</t>
  </si>
  <si>
    <t>王尚</t>
  </si>
  <si>
    <t>开胃酒;酒精饮料（啤酒除外）;葡萄酒;清酒（⽇本⽶酒）;果酒（含酒精）;⻩酒;鸡尾酒;⽩酒;威⼠忌;烈酒</t>
  </si>
  <si>
    <t>云港贡藏</t>
  </si>
  <si>
    <t>樱桃酒;⾼粱酒;苹果酒;⽩酒;⾷⽤酒精;烧酒;果酒;酒精饮料原汁;⽶酒;葡萄酒</t>
  </si>
  <si>
    <t>辉博</t>
  </si>
  <si>
    <t>果酒（含酒精）;⻘稞酒;⻩酒;烧酒;含⽔果酒精饮料;蜂蜜酒;⽩酒;葡萄酒;⽶酒;⾷⽤酒精</t>
  </si>
  <si>
    <t>三江缜</t>
  </si>
  <si>
    <t>罗志昆</t>
  </si>
  <si>
    <t>含⽔果酒精饮料;⽩酒;⽶酒;⾼粱酒;葡萄酒;⾷⽤酒精;含酒精的饮料（啤酒除外）;烈酒（饮料）;⻩酒;果酒（含酒精）</t>
  </si>
  <si>
    <t>升涵堂</t>
  </si>
  <si>
    <t>上海赋渔信息技术有限公司</t>
  </si>
  <si>
    <t>果酒（含酒精）;清酒（⽇本⽶酒）;⽩酒;蜂蜜酒;⾷⽤酒精;葡萄酒;⽶酒;威⼠忌;汽酒;⻩酒</t>
  </si>
  <si>
    <t>太常浮生</t>
  </si>
  <si>
    <t>杨毅</t>
  </si>
  <si>
    <t>薄荷酒;鸡尾酒;烈酒（饮料）;⽩酒;苦味酒;⽩兰地;以葡萄酒为主的饮料;⻩酒;果酒（含酒精）;茴芹酒（利⼝酒）</t>
  </si>
  <si>
    <t>长沙盟必威企业管理咨询有限公司</t>
  </si>
  <si>
    <t>果酒（含酒精）;⽩兰地;⻩酒;烧酒;汽酒;酒精饮料（啤酒除外）;鸡尾酒;烈酒（饮料）;葡萄酒;⽩酒</t>
  </si>
  <si>
    <t>惠鑫源</t>
  </si>
  <si>
    <t>陕西利文泰广告传播有限公司</t>
  </si>
  <si>
    <t>果酒（含酒精）;酒精饮料（啤酒除外）;烈酒（饮料）;葡萄酒;⽶酒;⾷⽤酒精;⽩酒;甜果酒;鸡尾酒;烧酒</t>
  </si>
  <si>
    <t>乾降藜华</t>
  </si>
  <si>
    <t>李东卫</t>
  </si>
  <si>
    <t>烈酒;清酒;⽩酒;葡萄酒;⾕物制蒸馏酒精饮料;烧酒;蒸馏饮料;鸡尾酒;⽩兰地;酒精饮料（啤酒除外）</t>
  </si>
  <si>
    <t>儬天谷</t>
  </si>
  <si>
    <t>杨庆</t>
  </si>
  <si>
    <t>⽼酒（中国蒸馏烈酒）;⽩酒;清酒;果酒（含酒精）;葡萄酒;⽶酒;由⾕物蒸馏的⽩酒;⾼粱酒;⻘稞酒;烧酒</t>
  </si>
  <si>
    <t>昊虎</t>
  </si>
  <si>
    <t>汽酒;烈酒（饮料）;烧酒;果酒（含酒精）;⻩酒;酒精饮料原汁;利⼝酒;⽩酒;葡萄酒;⽶酒</t>
  </si>
  <si>
    <t>从厂</t>
  </si>
  <si>
    <t>重庆沃巢网络科技有限公司</t>
  </si>
  <si>
    <t>龙回峰</t>
  </si>
  <si>
    <t>⽩兰地;蒸馏饮料;⽶酒;果酒（含酒精）;含⽔果酒精饮料;威⼠忌;⾕物制蒸馏酒精饮料;清酒（⽇本⽶酒）;葡萄酒;鸡尾酒</t>
  </si>
  <si>
    <t>美味甄</t>
  </si>
  <si>
    <t>武汉热推传媒科技有限公司</t>
  </si>
  <si>
    <t>酒精饮料（啤酒除外）;葡萄酒;果酒（含酒精）;⽩酒;鸡尾酒;含⽔果酒精饮料;烧酒;蜂蜜酒;⽶酒;清酒（⽇本⽶酒）</t>
  </si>
  <si>
    <t>醉王咏</t>
  </si>
  <si>
    <t>⽩酒;鸡尾酒;酒精饮料（啤酒除外）;烧酒;果酒;开胃酒;朗姆酒;利⼝酒;清酒（⽇本⽶酒）;葡萄酒</t>
  </si>
  <si>
    <t>百杞安</t>
  </si>
  <si>
    <t>力诺餐饮有限公司</t>
  </si>
  <si>
    <t>果酒（含酒精）;葡萄酒;酒精饮料（啤酒除外）;⻩酒;⽩酒;鸡尾酒;⽶酒;含⽔果酒精饮料;⾷⽤酒精;⽩兰地</t>
  </si>
  <si>
    <t>欢</t>
  </si>
  <si>
    <t>巨飞庆</t>
  </si>
  <si>
    <t>葡萄酒;烈酒（饮料）;威⼠忌;伏特加酒;⾷⽤酒精;果酒（含酒精）;朗姆酒;⻩酒;⽩酒;⽩兰地</t>
  </si>
  <si>
    <t>2020/10/14</t>
  </si>
  <si>
    <t>锦酒</t>
  </si>
  <si>
    <t>上海欣天国际贸易有限公司</t>
  </si>
  <si>
    <t>葡萄酒;清酒（⽇本⽶酒）;⽶酒;伏特加酒;⾷⽤酒精;烧酒;⽩兰地;威⼠忌;蒸煮提取物（利⼝酒和烈酒）;⻩酒</t>
  </si>
  <si>
    <t>2021/09/23</t>
  </si>
  <si>
    <t>鎏兴</t>
  </si>
  <si>
    <t>陈尚文</t>
  </si>
  <si>
    <t>酒精饮料（啤酒除外）;果酒（含酒精）;清酒（⽇本⽶酒）;开胃酒;鸡尾酒;⽩酒;威⼠忌;葡萄酒;⻩酒;烈酒</t>
  </si>
  <si>
    <t>陛兴</t>
  </si>
  <si>
    <t>⻩酒;威⼠忌;清酒（⽇本⽶酒）;葡萄酒;开胃酒;鸡尾酒;酒精饮料（啤酒除外）;烈酒;果酒（含酒精）;⽩酒</t>
  </si>
  <si>
    <t>NIAN ZI FANG HUANG JIU</t>
  </si>
  <si>
    <t>陕西汇德凡商贸有限公司</t>
  </si>
  <si>
    <t>烧酒;⽼酒（中国蒸馏烈酒）;朝鲜烧酒;⻩酒;⽩酒;⽶酒;⽩⼲酒（中国⽩酒）;清酒;含酒精的饮料（啤酒除外）;葡萄酒</t>
  </si>
  <si>
    <t>无锡科睿坦电子科技股份有限公司</t>
  </si>
  <si>
    <t>含酒精的⽓泡⽔;威⼠忌;伏特加酒;果酒（含酒精）;⾷⽤酒精;葡萄酒;鸡尾酒;薄荷酒;含⽔果酒精饮料;⽩酒</t>
  </si>
  <si>
    <t>厚百世</t>
  </si>
  <si>
    <t>廖定明</t>
  </si>
  <si>
    <t>酒精饮料（啤酒除外）;烧酒;⽩酒;露酒;葡萄酒;⽶酒;清酒;⾼粱酒;⻩酒;果酒</t>
  </si>
  <si>
    <t>天道薏</t>
  </si>
  <si>
    <t>衡阳市天道贸易有限公司</t>
  </si>
  <si>
    <t>⽩酒;伏特加酒;果酒（含酒精）;蒸煮提取物（利⼝酒和烈酒）;葡萄酒;⽩兰地;酒精饮料（啤酒除外）;威⼠忌;⾷⽤酒精;烈酒</t>
  </si>
  <si>
    <t>态妙</t>
  </si>
  <si>
    <t>⽩酒;开胃酒;⽩兰地;蒸煮提取物（利⼝酒和烈酒）;⽶酒;威⼠忌;⻩酒;蒸馏饮料;果酒（含酒精）;葡萄酒</t>
  </si>
  <si>
    <t>心厘情</t>
  </si>
  <si>
    <t>刘雪成</t>
  </si>
  <si>
    <t>果酒（含酒精）;含⽔果酒精饮料;苹果酒;鸡尾酒;酒精饮料（啤酒除外）;威⼠忌;⽩酒;烧酒;⽩兰地;葡萄酒</t>
  </si>
  <si>
    <t>饮台礼宾</t>
  </si>
  <si>
    <t>果酒（含酒精）;开胃酒;烧酒;⽩酒;⾕物制蒸馏酒精饮料;酒精饮料（啤酒除外）;露酒;烈酒（饮料）;葡萄酒;⽶酒</t>
  </si>
  <si>
    <t>黔韵湘醉</t>
  </si>
  <si>
    <t>⽶酒;葡萄酒;含酒精的饮料（啤酒除外）;果酒;⻘稞酒;⻩酒;露酒;烈酒;⽩酒;烧酒</t>
  </si>
  <si>
    <t>小方格</t>
  </si>
  <si>
    <t>曹朝军</t>
  </si>
  <si>
    <t>⽩酒;含⽔果酒精饮料;鸡尾酒;葡萄酒;⻩酒;⽶酒;果酒（含酒精）;烧酒;酒精饮料（啤酒除外）;⻘稞酒</t>
  </si>
  <si>
    <t>云捷顺</t>
  </si>
  <si>
    <t>云南捷顺汽车维修服务有限责任公司</t>
  </si>
  <si>
    <t>⽶酒;甜酒;⾷⽤酒精;开胃酒;果酒;烈酒（饮料）;⽩酒;除啤酒外的酒精饮料;清酒;鸡尾酒</t>
  </si>
  <si>
    <t>IBIRD SHOP</t>
  </si>
  <si>
    <t>威⼠忌;果酒（含酒精）;葡萄酒;鸡尾酒;伏特加酒;⾷⽤酒精;含⽔果酒精饮料;⽩酒;含酒精的⽓泡⽔;薄荷酒</t>
  </si>
  <si>
    <t>竹婆婆</t>
  </si>
  <si>
    <t>楚华</t>
  </si>
  <si>
    <t>果酒（含酒精）;开胃酒;蒸馏饮料;鸡尾酒;葡萄酒;含⽔果酒精饮料;⽶酒;⽩酒;茴⾹酒（利⼝酒）;烈酒（饮料）</t>
  </si>
  <si>
    <t>燕园红</t>
  </si>
  <si>
    <t>⽩葡萄酒;葡萄酒;红葡萄酒;以葡萄酒为主的饮料;果酒（含酒精）</t>
  </si>
  <si>
    <t>典炖</t>
  </si>
  <si>
    <t>君安医生集团（广东）有限公司</t>
  </si>
  <si>
    <t>含酒精的⽔果鸡尾酒饮料;葡萄酒;汽酒;鸡尾酒;烈酒（饮料）;含酒精⽔果饮料;含⽜奶的鸡尾酒;⽩酒;甜酒;果酒</t>
  </si>
  <si>
    <t>RICERY BIZHOU</t>
  </si>
  <si>
    <t>绍兴酒作文化传播有限公司</t>
  </si>
  <si>
    <t>果酒（含酒精）;葡萄酒;⻩酒;酒精饮料（啤酒除外）;威⼠忌;⽩酒;烈酒（饮料）;清酒（⽇本⽶酒）;杜松⼦酒;鸡尾酒</t>
  </si>
  <si>
    <t>EVIDENS DE BEAUTE</t>
  </si>
  <si>
    <t>鸡尾酒;烈酒（饮料）;酒精饮料（啤酒除外）;预先混合的酒精饮料（以啤酒为主的除外）;汽酒;⽶酒;果酒（含酒精）;⽩兰地;⽩酒;利⼝酒</t>
  </si>
  <si>
    <t>莓南度</t>
  </si>
  <si>
    <t>贵州省徐鸿果酒商贸有限公司</t>
  </si>
  <si>
    <t>鸡尾酒;酒精饮料（啤酒除外）;⽶酒;葡萄酒;酒精饮料原汁;烈酒（饮料）;⾕物制蒸馏酒精饮料;清酒（⽇本⽶酒）;威⼠忌;果酒（含酒精）</t>
  </si>
  <si>
    <t>厚宁送福</t>
  </si>
  <si>
    <t>河北巨达商贸有限公司</t>
  </si>
  <si>
    <t>含⽔果酒精饮料;预先混合的酒精饮料（以啤酒为主的除外）;果酒（含酒精）;葡萄酒;酒精饮料（啤酒除外）;蒸馏饮料;樱桃酒;⽩酒;苹果酒;以葡萄酒为主的饮料</t>
  </si>
  <si>
    <t>丰桦桃里</t>
  </si>
  <si>
    <t>丰桦桃里（宁波）文化发展有限公司</t>
  </si>
  <si>
    <t>果酒（含酒精）;含⽔果酒精饮料;清酒（⽇本⽶酒）;酒精饮料（啤酒除外）;⽩酒;⾕物制蒸馏酒精饮料;烧酒;烈酒（饮料）;⻩酒;⽶酒</t>
  </si>
  <si>
    <t>朵朵羽</t>
  </si>
  <si>
    <t>张泉林</t>
  </si>
  <si>
    <t>葡萄酒;⻘稞酒;威⼠忌;含⽔果酒精饮料;⽩酒;果酒（含酒精）;⽩兰地;⽶酒;⻩酒;烧酒</t>
  </si>
  <si>
    <t>嬴龙秘行</t>
  </si>
  <si>
    <t>蒸馏饮料;含⽔果酒精饮料;果酒（含酒精）;威⼠忌;⽶酒;清酒（⽇本⽶酒）;鸡尾酒;葡萄酒;⽩兰地;⾕物制蒸馏酒精饮料</t>
  </si>
  <si>
    <t>古祁</t>
  </si>
  <si>
    <t>宿州市然跃商贸有限公司</t>
  </si>
  <si>
    <t>烧酒;酒精饮料（啤酒除外）;⻩酒;烈酒（饮料）;⾼粱酒;⽶酒;蒸馏饮料;果酒（含酒精）;⽩酒;⽩兰地</t>
  </si>
  <si>
    <t>福甜迹</t>
  </si>
  <si>
    <t>河北尚美装饰设计有限公司</t>
  </si>
  <si>
    <t>酒精饮料（啤酒除外）;鸡尾酒;葡萄酒;烈酒（饮料）;酒精饮料原汁;汽酒;开胃酒;蒸煮提取物（利⼝酒和烈酒）;果酒（含酒精）;含⽔果酒精饮料</t>
  </si>
  <si>
    <t>蜀酿香城</t>
  </si>
  <si>
    <t>陈饶</t>
  </si>
  <si>
    <t>⽩酒;果酒（含酒精）;⾷⽤酒精;⽶酒;⾕物制蒸馏酒精饮料;葡萄酒;⻘稞酒;⻩酒;烧酒;预先混合的酒精饮料（以啤酒为主的除外）</t>
  </si>
  <si>
    <t>朗润白</t>
  </si>
  <si>
    <t>果酒（含酒精）;红葡萄酒;以葡萄酒为主的饮料;⽩葡萄酒;葡萄酒</t>
  </si>
  <si>
    <t>DR BOTANICALS</t>
  </si>
  <si>
    <t>植物氏护理用品（广州）有限公司</t>
  </si>
  <si>
    <t>威⼠忌;苹果酒;⽶酒;薄荷酒;⻩酒;⽩酒;烈酒（饮料）;葡萄酒;烧酒;酒精饮料（啤酒除外）</t>
  </si>
  <si>
    <t>舜主</t>
  </si>
  <si>
    <t>清酒（⽇本⽶酒）;酒精饮料（啤酒除外）;⽩酒;开胃酒;果酒（含酒精）;葡萄酒;⻩酒;威⼠忌;鸡尾酒;烈酒</t>
  </si>
  <si>
    <t>三藜行寿</t>
  </si>
  <si>
    <t>⽩酒;清酒;⾕物制蒸馏酒精饮料;烧酒;酒精饮料（啤酒除外）;鸡尾酒;⽩兰地;蒸馏饮料;葡萄酒;烈酒</t>
  </si>
  <si>
    <t>洛宫</t>
  </si>
  <si>
    <t>四川麓山置业有限公司</t>
  </si>
  <si>
    <t>鸡尾酒;利⼝酒;果酒（含酒精）;威⼠忌;⽩兰地;葡萄酒;⽶酒;⻩酒;烈酒（饮料）;⽩酒</t>
  </si>
  <si>
    <t>醉父顺</t>
  </si>
  <si>
    <t>开胃酒;清酒（⽇本⽶酒）;葡萄酒;利⼝酒;酒精饮料（啤酒除外）;朗姆酒;烧酒;鸡尾酒;果酒;⽩酒</t>
  </si>
  <si>
    <t>蜂鸟榷场</t>
  </si>
  <si>
    <t>果酒（含酒精）;含酒精的⽓泡⽔;威⼠忌;⾷⽤酒精;鸡尾酒;伏特加酒;薄荷酒;⽩酒;含⽔果酒精饮料;葡萄酒</t>
  </si>
  <si>
    <t>语酿诗</t>
  </si>
  <si>
    <t>石家庄火牛信息科技有限公司</t>
  </si>
  <si>
    <t>含酒精的⽓泡⽔;含⽔果酒精饮料;⻩酒;开胃酒;⽩酒;葡萄酒;⾕物制蒸馏酒精饮料;酒精饮料（啤酒除外）;⽶酒;果酒（含酒精）</t>
  </si>
  <si>
    <t>赤天选</t>
  </si>
  <si>
    <t>⽩兰地;⽶酒;果酒（含酒精）;鸡尾酒;⽩酒;⻩酒;蒸馏饮料;威⼠忌;烧酒;葡萄酒</t>
  </si>
  <si>
    <t>信义青竹</t>
  </si>
  <si>
    <t>贾惠明</t>
  </si>
  <si>
    <t>⽩酒;⽶酒;烧酒;烈酒（饮料）;⻩酒;果酒（含酒精）;鸡尾酒;葡萄酒;酒精饮料（啤酒除外）;⽢蔗制烈酒</t>
  </si>
  <si>
    <t>黔渝瑾宸</t>
  </si>
  <si>
    <t>熊静</t>
  </si>
  <si>
    <t>烧酒;威⼠忌;⾼粱酒;梅酒;清酒;⽩⼲酒（中国⽩酒）;⽼酒（中国蒸馏烈酒）;红葡萄酒;果酒;⽩酒</t>
  </si>
  <si>
    <t>酒祖叙</t>
  </si>
  <si>
    <t>曹松来</t>
  </si>
  <si>
    <t>果酒;汽酒;⻩酒;含酒精的饮料（啤酒除外）;佐餐酒;⽩⼲酒（中国⽩酒）;烧酒;⽶酒;葡萄酒;⽩酒</t>
  </si>
  <si>
    <t>鹿溢雄峰</t>
  </si>
  <si>
    <t>郭洪君</t>
  </si>
  <si>
    <t>葡萄酒;烧酒;酒精饮料（啤酒除外）;鸡尾酒;烈酒（饮料）;⽩酒;含⽔果酒精饮料;⽶酒;⻩酒;开胃酒</t>
  </si>
  <si>
    <t>梅校长</t>
  </si>
  <si>
    <t>葡萄酒;烈酒（饮料）;⽩兰地;烧酒;果酒（含酒精）;蒸馏饮料;果酒;⽩酒;⽶酒;鸡尾酒</t>
  </si>
  <si>
    <t>曲隼</t>
  </si>
  <si>
    <t>深圳市泰天盈贸易有限责任公司</t>
  </si>
  <si>
    <t>果酒（含酒精）;⻩酒;⽩⼲酒（中国⽩酒）;⾷⽤酒精;葡萄酒;⽩酒;⽩兰地;酒精饮料（啤酒除外）;⾕物制蒸馏酒精饮料;烧酒（烈酒）</t>
  </si>
  <si>
    <t>天山红柳枝</t>
  </si>
  <si>
    <t>潘洪滨</t>
  </si>
  <si>
    <t>烧酒;⽩酒;果酒（含酒精）;开胃酒;甜酒;⻩酒;含⽔果酒精饮料;⽶酒;餐后酒（利⼝酒和烈酒）;葡萄酒</t>
  </si>
  <si>
    <t>喜续</t>
  </si>
  <si>
    <t>四川鑫极酱人酒业有限公司</t>
  </si>
  <si>
    <t>含酒精的饮料（啤酒除外）;⽩兰地;汽酒;烧酒;鸡尾酒;葡萄酒;果酒;⽩酒;蒸馏饮料;⻩酒</t>
  </si>
  <si>
    <t>万粮稷</t>
  </si>
  <si>
    <t>果酒（含酒精）;薄荷酒;酒精饮料（啤酒除外）;⻩酒;威⼠忌;蒸馏饮料;⽩酒;含⽔果酒精饮料;葡萄酒;开胃酒</t>
  </si>
  <si>
    <t>吴碧红</t>
  </si>
  <si>
    <t>⽩⼲酒（中国⽩酒）;含酒精的饮料（啤酒除外）;烧酒;⽩酒;果酒;⻩酒;葡萄酒;汽酒;⽶酒;佐餐酒</t>
  </si>
  <si>
    <t>奕言</t>
  </si>
  <si>
    <t>北京奕言科技有限公司</t>
  </si>
  <si>
    <t>蒸馏饮料;清酒（⽇本⽶酒）;鸡尾酒;餐后酒（利⼝酒和烈酒）;以葡萄酒为主的饮料;⾕物制蒸馏酒精饮料;果酒（含酒精）;蜂蜜酒;含⽔果酒精饮料;威⼠忌</t>
  </si>
  <si>
    <t>饮台收藏</t>
  </si>
  <si>
    <t>开胃酒;葡萄酒;果酒（含酒精）;露酒;酒精饮料（啤酒除外）;烧酒;⽩酒;⽶酒;⾕物制蒸馏酒精饮料;烈酒（饮料）</t>
  </si>
  <si>
    <t>襄邦</t>
  </si>
  <si>
    <t>⽩酒;⽶酒;⽩兰地;⻩酒;⻘梅酒;烧酒（烈酒）;清酒（⽇本⽶酒）;⽩⼲酒（中国⽩酒）;⽼酒（中国蒸馏烈酒）;烧酒</t>
  </si>
  <si>
    <t>ZHKI</t>
  </si>
  <si>
    <t>威海利百贸易有限公司</t>
  </si>
  <si>
    <t>含⽔果酒精饮料;⽶酒;苹果酒;果酒（含酒精）;烧酒;酒精饮料（啤酒除外）;⻘稞酒;鸡尾酒;清酒（⽇本⽶酒）;樱桃酒</t>
  </si>
  <si>
    <t>LAMBICLAND</t>
  </si>
  <si>
    <t>上海稻醴贸易有限公司</t>
  </si>
  <si>
    <t>以葡萄酒为主的饮料;烈酒（饮料）;⾕物制蒸馏酒精饮料;甜酒;含酒精的饮料（啤酒除外）;威⼠忌;汽酒;⽩酒;清酒;葡萄酒</t>
  </si>
  <si>
    <t>天久春</t>
  </si>
  <si>
    <t>四川绵竹唐工酒业有限公司</t>
  </si>
  <si>
    <t>汽酒;烧酒;葡萄酒;⽩酒;⾷⽤酒精;开胃酒;果酒（含酒精）;⽶酒;⻩酒;酒精饮料原汁</t>
  </si>
  <si>
    <t>裕米皇</t>
  </si>
  <si>
    <t>清酒（⽇本⽶酒）;威⼠忌;利⼝酒;酒精饮料（啤酒除外）;⽩兰地;⽩酒;葡萄酒;开胃酒;鸡尾酒;⽶酒</t>
  </si>
  <si>
    <t>楚邓</t>
  </si>
  <si>
    <t>⽶酒;⻩酒;⻘稞酒;蒸馏⽶酒（泡盛酒）;酒精饮料（啤酒除外）;果酒（含酒精）;⽩酒;甜酒;果酒;朝鲜族⽶酒</t>
  </si>
  <si>
    <t>香小池</t>
  </si>
  <si>
    <t>李世应</t>
  </si>
  <si>
    <t>葡萄酒;清酒（⽇本⽶酒）;酒精饮料（啤酒除外）;开胃酒;烧酒;⽩酒;鸡尾酒;果酒;朗姆酒;利⼝酒</t>
  </si>
  <si>
    <t>楼台黔浆</t>
  </si>
  <si>
    <t>李江</t>
  </si>
  <si>
    <t>酒精饮料（啤酒除外）;⽩酒;果酒;烧酒;威⼠忌;清酒（⽇本⽶酒）;⽶酒;蒸煮提取物（利⼝酒和烈酒）;葡萄酒;开胃酒</t>
  </si>
  <si>
    <t>晋西河</t>
  </si>
  <si>
    <t>靳伟</t>
  </si>
  <si>
    <t>威⼠忌;烈酒（饮料）;葡萄酒;鸡尾酒;甜果酒;伏特加酒;开胃酒;果酒（含酒精）;酒精饮料（啤酒除外）;⽩酒</t>
  </si>
  <si>
    <t>雪幻</t>
  </si>
  <si>
    <t>大连偕乐园食品有限公司</t>
  </si>
  <si>
    <t>蜂蜜酒;樱桃酒;含⽔果酒精饮料;烧酒;⽶酒;清酒（⽇本⽶酒）;酒精饮料原汁;酒精饮料（啤酒除外）;果酒（含酒精）;汽酒</t>
  </si>
  <si>
    <t>箴和堂</t>
  </si>
  <si>
    <t>张富婵</t>
  </si>
  <si>
    <t>果酒（含酒精）;利⼝酒;烧酒;开胃酒;⽩酒;蜂蜜酒;葡萄酒;⽶酒;蒸煮提取物（利⼝酒和烈酒）;⻩酒</t>
  </si>
  <si>
    <t>甄忘忧</t>
  </si>
  <si>
    <t>威⼠忌;烧酒;鸡尾酒;葡萄酒;⽩酒;⻩酒;蒸馏饮料;⽶酒;⽩兰地;果酒（含酒精）</t>
  </si>
  <si>
    <t>黔大凰</t>
  </si>
  <si>
    <t>杨湘贤</t>
  </si>
  <si>
    <t>威⼠忌;鸡尾酒;酒精饮料（啤酒除外）;开胃酒;⽩酒;烈酒;果酒（含酒精）;葡萄酒;⻩酒;清酒（⽇本⽶酒）</t>
  </si>
  <si>
    <t>VEUVE DUBARRY JOKER</t>
  </si>
  <si>
    <t>宁波腾易电子商务有限公司</t>
  </si>
  <si>
    <t>果酒（含酒精）;酒精饮料（啤酒除外）;伏特加酒;⽩兰地;⽩酒;汽酒;鸡尾酒;威⼠忌;葡萄酒;⻩酒</t>
  </si>
  <si>
    <t>全百姓</t>
  </si>
  <si>
    <t>烈酒（饮料）;烧酒;葡萄酒;威⼠忌;鸡尾酒;⽩酒;⻩酒;清酒（⽇本⽶酒）;含⽔果酒精饮料;果酒（含酒精）</t>
  </si>
  <si>
    <t>涟小黑</t>
  </si>
  <si>
    <t>酒精饮料（啤酒除外）;⾷⽤酒精;果酒;⽩兰地;威⼠忌;蒸馏饮料;⽩酒;⽶酒;烈酒（饮料）;露酒</t>
  </si>
  <si>
    <t>坊堂</t>
  </si>
  <si>
    <t>⽩酒;鸡尾酒;朗姆酒;烧酒;果酒;开胃酒;利⼝酒;清酒（⽇本⽶酒）;酒精饮料（啤酒除外）;葡萄酒</t>
  </si>
  <si>
    <t>懂烈</t>
  </si>
  <si>
    <t>⽩酒;开胃酒;葡萄酒;⻩酒;鸡尾酒;果酒（含酒精）;清酒（⽇本⽶酒）;烈酒;酒精饮料（啤酒除外）;威⼠忌</t>
  </si>
  <si>
    <t>醉品禧</t>
  </si>
  <si>
    <t>酒精饮料（啤酒除外）;朗姆酒;利⼝酒;葡萄酒;烧酒;⽩酒;鸡尾酒;开胃酒;果酒;清酒（⽇本⽶酒）</t>
  </si>
  <si>
    <t>醉春恭</t>
  </si>
  <si>
    <t>葡萄酒;鸡尾酒;朗姆酒;⽩酒;利⼝酒;烧酒;开胃酒;清酒（⽇本⽶酒）;酒精饮料（啤酒除外）;果酒</t>
  </si>
  <si>
    <t>云澜仙农</t>
  </si>
  <si>
    <t>泮爱苏</t>
  </si>
  <si>
    <t>⾕物制蒸馏酒精饮料;鸡尾酒;果酒（含酒精）;烧酒;预先混合的酒精饮料（以啤酒为主的除外）;茴芹酒（利⼝酒）;蒸馏饮料;酒精饮料（啤酒除外）;⽩酒;含⽔果酒精饮料</t>
  </si>
  <si>
    <t>德操</t>
  </si>
  <si>
    <t>⽩酒;露酒;果酒（含酒精）;烧酒;⻩酒;⽶酒;⾼粱酒;烈酒;葡萄酒;蒸馏饮料</t>
  </si>
  <si>
    <t>含酒精的饮料（啤酒除外）;⽼酒（中国蒸馏烈酒）;葡萄酒;⽶酒;⽩⼲酒（中国⽩酒）;朝鲜烧酒;清酒;⻩酒;⽩酒;烧酒</t>
  </si>
  <si>
    <t>令长</t>
  </si>
  <si>
    <t>姚邦友</t>
  </si>
  <si>
    <t>烧酒;⻩酒;餐后酒（利⼝酒和烈酒）;⽶酒;鸡尾酒;⽩酒;果酒（含酒精）;葡萄酒;烈酒（饮料）;含⽔果酒精饮料</t>
  </si>
  <si>
    <t>藜扬村</t>
  </si>
  <si>
    <t>烈酒;葡萄酒;⽩酒;⽶酒;鸡尾酒;由⾕物蒸馏的⽩酒;烧酒;果酒（含酒精）;⽩⼲酒（中国⽩酒）;⻩酒</t>
  </si>
  <si>
    <t>义百世</t>
  </si>
  <si>
    <t>刘平</t>
  </si>
  <si>
    <t>酒精饮料（啤酒除外）;露酒;果酒;⻩酒;⾼粱酒;葡萄酒;清酒;烧酒;⽶酒;⽩酒</t>
  </si>
  <si>
    <t>亿杞健</t>
  </si>
  <si>
    <t>诺布芙创新有限公司</t>
  </si>
  <si>
    <t>⽩兰地;含⽔果酒精饮料;鸡尾酒;葡萄酒;酒精饮料（啤酒除外）;⻩酒;⾷⽤酒精;⽩酒;果酒（含酒精）;⽶酒</t>
  </si>
  <si>
    <t>亿杞宁</t>
  </si>
  <si>
    <t>果酒（含酒精）;葡萄酒;⽩兰地;鸡尾酒;⽩酒;酒精饮料（啤酒除外）;⽶酒;⻩酒;⾷⽤酒精;含⽔果酒精饮料</t>
  </si>
  <si>
    <t>宾朋小</t>
  </si>
  <si>
    <t>果酒（含酒精）;鸡尾酒;葡萄酒;⽩酒;果酒;苦味酒;蜂蜜酒;烧酒;⾼粱酒;杨梅酒</t>
  </si>
  <si>
    <t>渡山红</t>
  </si>
  <si>
    <t>⽶酒;⻩酒;清酒（⽇本⽶酒）;梅酒;烧酒;威⼠忌;伏特加酒;利⼝酒;⽩⼲酒（中国⽩酒）;⽩酒</t>
  </si>
  <si>
    <t>帝莎尔多富</t>
  </si>
  <si>
    <t>金铁根</t>
  </si>
  <si>
    <t>葡萄酒;⽶酒;以葡萄酒为主的饮料;果酒（含酒精）;⻩酒;苹果酒;烧酒;⽩兰地;酒精饮料（啤酒除外）;蒸馏饮料</t>
  </si>
  <si>
    <t>保洛巴鲁</t>
  </si>
  <si>
    <t>上海鸿澳国际贸易有限公司</t>
  </si>
  <si>
    <t>果酒（含酒精）;⽩兰地;威⼠忌;清酒（⽇本⽶酒）;⽩酒;葡萄酒;汽酒;鸡尾酒;烈酒（饮料）;酒精饮料（啤酒除外）</t>
  </si>
  <si>
    <t>惕生楼</t>
  </si>
  <si>
    <t>泉州世福源品牌运营有限公司</t>
  </si>
  <si>
    <t>⽩酒;威⼠忌;含⽔果酒精饮料;⽶酒;⽩兰地;⻩酒;⾷⽤酒精;甜酒;果酒;葡萄酒</t>
  </si>
  <si>
    <t>福笙道</t>
  </si>
  <si>
    <t>山东国贺控股集团有限公司</t>
  </si>
  <si>
    <t>以葡萄酒为主的饮料;⽩酒;含酒精的⽔果鸡尾酒饮料;蒸馏⽶酒（泡盛酒）;⽩⼲酒（中国⽩酒）;葡萄酒;含酒精⽔果饮料;蜂蜜酒;⽼酒（中国蒸馏烈酒）;⽔果汽酒</t>
  </si>
  <si>
    <t>亚颂府王家煮酒人</t>
  </si>
  <si>
    <t>鸡尾酒;葡萄酒;樱桃酒;苹果酒;威⼠忌;利⼝酒;含⽔果酒精饮料;⽩兰地;⽩酒;汽酒</t>
  </si>
  <si>
    <t>岭南老覃家</t>
  </si>
  <si>
    <t>覃浩诚</t>
  </si>
  <si>
    <t>葡萄酒;清酒（⽇本⽶酒）;酒精饮料原汁;伏特加酒;鸡尾酒;酒精饮料（啤酒除外）;⽩酒;威⼠忌;烈酒（饮料）;⽶酒</t>
  </si>
  <si>
    <t>醉春父</t>
  </si>
  <si>
    <t>烧酒;鸡尾酒;开胃酒;朗姆酒;果酒;利⼝酒;⽩酒;葡萄酒;清酒（⽇本⽶酒）;酒精饮料（啤酒除外）</t>
  </si>
  <si>
    <t>醉春祖</t>
  </si>
  <si>
    <t>⽩酒;开胃酒;朗姆酒;酒精饮料（啤酒除外）;清酒（⽇本⽶酒）;烧酒;葡萄酒;鸡尾酒;利⼝酒;果酒</t>
  </si>
  <si>
    <t>古祁臻</t>
  </si>
  <si>
    <t>蒸馏饮料;⾼粱酒;⻩酒;果酒（含酒精）;⽶酒;⽩兰地;酒精饮料（啤酒除外）;烈酒（饮料）;⽩酒;烧酒</t>
  </si>
  <si>
    <t>DAILYTAP</t>
  </si>
  <si>
    <t>深圳市水酉金甫管理有限公司</t>
  </si>
  <si>
    <t>威⼠忌;已调味的⻨芽酿制的酒精饮料（啤酒除外）;含酒精的⽓泡⽔;薄荷酒;果酒（含酒精）;含⽔果酒精饮料;预先混合的酒精饮料（以啤酒为主的除外）;鸡尾酒;葡萄酒;酒精饮料（啤酒除外）</t>
  </si>
  <si>
    <t>饮台馆藏</t>
  </si>
  <si>
    <t>⽩酒;开胃酒;⾕物制蒸馏酒精饮料;露酒;烈酒（饮料）;酒精饮料（啤酒除外）;果酒（含酒精）;烧酒;⽶酒;葡萄酒</t>
  </si>
  <si>
    <t>饮台品藏</t>
  </si>
  <si>
    <t>葡萄酒;果酒（含酒精）;露酒;⽶酒;烧酒;酒精饮料（啤酒除外）;开胃酒;烈酒（饮料）;⽩酒;⾕物制蒸馏酒精饮料</t>
  </si>
  <si>
    <t>静泉乐</t>
  </si>
  <si>
    <t>静乐县静泉酿酒厂</t>
  </si>
  <si>
    <t>蜂蜜酒;烧酒;⽩酒;⽶酒;⽼酒（中国蒸馏烈酒）;果酒;葡萄酒;酒精饮料（啤酒除外）;烈酒;清酒</t>
  </si>
  <si>
    <t>醉乐为善</t>
  </si>
  <si>
    <t>贵州伍拾叁玖坊品牌管理有限公司</t>
  </si>
  <si>
    <t>⽩酒;预先混合的酒精饮料（以啤酒为主的除外）;⾼粱酒;⽶酒;开胃酒;⾷⽤酒精;汽酒;果酒（含酒精）;葡萄酒;⻩酒</t>
  </si>
  <si>
    <t>粤婶</t>
  </si>
  <si>
    <t>段承忠</t>
  </si>
  <si>
    <t>葡萄酒;⽶酒;鸡尾酒;清酒（⽇本⽶酒）;⽩兰地;果酒（含酒精）;威⼠忌;烧酒;⽩酒;⻩酒</t>
  </si>
  <si>
    <t>格格里茨比</t>
  </si>
  <si>
    <t>陕西葡洋天汇进出口贸易有限公司</t>
  </si>
  <si>
    <t>葡萄酒;利⼝酒;⽩兰地;威⼠忌;含酒精的鸡尾酒混合饮品;烈酒;酒精饮料（啤酒除外）;果酒（含酒精）;鸡尾酒;⽩酒</t>
  </si>
  <si>
    <t>神农论</t>
  </si>
  <si>
    <t>北京海峡医疗有限公司</t>
  </si>
  <si>
    <t>烈酒;⽩⼲酒（中国⽩酒）;⽔果汽酒;由⾕物蒸馏的⽩酒;⾷⽤酒精;蒸馏饮料;酒精饮料（啤酒除外）;红葡萄酒;刺五加酒;⻨芽威⼠忌</t>
  </si>
  <si>
    <t>刘春杨</t>
  </si>
  <si>
    <t>⽶酒;清酒;葡萄酒;⾷⽤酒精;烧酒;⽩酒;果酒;蒸馏饮料;汽酒;⾼粱酒</t>
  </si>
  <si>
    <t>LHZY</t>
  </si>
  <si>
    <t>蔡明刚</t>
  </si>
  <si>
    <t>鸡尾酒;葡萄酒;酒精饮料原汁;⽶酒;⻘稞酒;朗姆酒;果酒;⻩酒;烈酒（饮料）;⽩酒</t>
  </si>
  <si>
    <t>满达呼</t>
  </si>
  <si>
    <t>周鼎博</t>
  </si>
  <si>
    <t>酒精饮料原汁;鸡尾酒;苹果酒;果酒（含酒精）;酒精饮料（啤酒除外）;含⽔果酒精饮料;⻘稞酒;⽩酒;⻩酒;葡萄酒</t>
  </si>
  <si>
    <t>HERO HONOR</t>
  </si>
  <si>
    <t>海口龙华区谷迪鸶咔食品商行</t>
  </si>
  <si>
    <t>苦味酒;苹果酒;葡萄酒;薄荷酒;开胃酒;烈酒（饮料）;鸡尾酒;杜松⼦酒;⽩兰地;果酒（含酒精）</t>
  </si>
  <si>
    <t>卡特兔</t>
  </si>
  <si>
    <t>杭州紫辰科技有限公司</t>
  </si>
  <si>
    <t>酒精饮料（啤酒除外）;蜂蜜酒;⽩兰地;葡萄酒;烧酒;果酒（含酒精）;清酒（⽇本⽶酒）;⻩酒;鸡尾酒;⽩酒</t>
  </si>
  <si>
    <t>盛世龙权</t>
  </si>
  <si>
    <t>果酒（含酒精）;⽩酒;酒精饮料（啤酒除外）;含⽔果酒精饮料;葡萄酒;烧酒;鸡尾酒;清酒（⽇本⽶酒）;烈酒;烈酒（饮料）</t>
  </si>
  <si>
    <t>尊享龙权</t>
  </si>
  <si>
    <t>⽩酒;含⽔果酒精饮料;果酒（含酒精）;烈酒;烧酒;清酒（⽇本⽶酒）;烈酒（饮料）;葡萄酒;酒精饮料（啤酒除外）;鸡尾酒</t>
  </si>
  <si>
    <t>涨派</t>
  </si>
  <si>
    <t>江西井岗思源绿色食品开发有限公司</t>
  </si>
  <si>
    <t>开胃酒;蒸馏饮料;鸡尾酒;烈酒（饮料）;威⼠忌;佐餐酒;预先混合的酒精饮料（以啤酒为主的除外）;⽶酒;露酒;⽼酒（中国蒸馏烈酒）</t>
  </si>
  <si>
    <t>宝江 BOWRIVER</t>
  </si>
  <si>
    <t>内蒙古金浆玉醴酒业有限公司</t>
  </si>
  <si>
    <t>清酒;果酒（含酒精）;葡萄酒;开胃酒;⾼粱酒;⽩酒;果酒;烈酒;餐后酒（利⼝酒和烈酒）;⽼酒（中国蒸馏烈酒）</t>
  </si>
  <si>
    <t>口子窖兼</t>
  </si>
  <si>
    <t>安徽口子酒业股份有限公司</t>
  </si>
  <si>
    <t>蒸馏饮料;蒸煮提取物（利⼝酒和烈酒）;⽩酒;烧酒;酒精饮料原汁;⾕物制蒸馏酒精饮料;酒精饮料浓缩汁;烈酒（饮料）;⾷⽤酒精;利⼝酒</t>
  </si>
  <si>
    <t>古龙洞</t>
  </si>
  <si>
    <t>四川省宜宾市怡宾酒业有限责任公司</t>
  </si>
  <si>
    <t>威⼠忌;⾷⽤酒精;蒸煮提取物（利⼝酒和烈酒）;果酒（含酒精）;⽩酒;清酒（⽇本⽶酒）;利⼝酒;⻩酒;酒精饮料（啤酒除外）;烧酒</t>
  </si>
  <si>
    <t>盘松慈母</t>
  </si>
  <si>
    <t>平山县盘松慈母农业科技有限公司</t>
  </si>
  <si>
    <t>⽩酒;⻩酒</t>
  </si>
  <si>
    <t>火红中烧</t>
  </si>
  <si>
    <t>会泽锅底山酒业有限公司</t>
  </si>
  <si>
    <t>果酒（含酒精）;酒精饮料（啤酒除外）;⾕物制蒸馏酒精饮料;清酒（⽇本⽶酒）;⽩酒;⽶酒;烧酒;葡萄酒;开胃酒;烈酒（饮料）</t>
  </si>
  <si>
    <t>菈妃世家</t>
  </si>
  <si>
    <t>仁怀市五粮红酒业有限公司</t>
  </si>
  <si>
    <t>清酒;烈酒;葡萄酒;⻩酒;⽶酒;鸡尾酒;⽩兰地;威⼠忌;⽩酒;果酒</t>
  </si>
  <si>
    <t>不老谭酒庄</t>
  </si>
  <si>
    <t>四川不老潭企业管理有限公司</t>
  </si>
  <si>
    <t>⽩酒;⾼粱酒;梅酒;薄荷酒;烈酒（饮料）;果酒;烧酒;⻩酒;果酒（含酒精）</t>
  </si>
  <si>
    <t>阿芋手作 A YU HAND MADE</t>
  </si>
  <si>
    <t>厦门富合源科技有限公司</t>
  </si>
  <si>
    <t>酒精饮料（啤酒除外）;⽩酒;酒精饮料原汁;酒精饮料浓缩汁;⻩酒;威⼠忌;蒸馏饮料;烧酒;清酒;果酒</t>
  </si>
  <si>
    <t>卿荷涧</t>
  </si>
  <si>
    <t>姚晗</t>
  </si>
  <si>
    <t>葡萄酒;含⽔果酒精饮料;烧酒;⻩酒;酒精饮料（啤酒除外）;⽩酒;⽶酒;果酒（含酒精）;烈酒（饮料）;⾷⽤酒精</t>
  </si>
  <si>
    <t>臻心鹰熊</t>
  </si>
  <si>
    <t>贵州省仁怀市中臻酒业有限公司</t>
  </si>
  <si>
    <t>酒精饮料（啤酒除外）;⻩酒;葡萄酒;⽩酒;⽶酒;⽼酒（中国蒸馏烈酒）;⻘稞酒;蒸煮提取物（利⼝酒和烈酒）;清酒（⽇本⽶酒）;烧酒</t>
  </si>
  <si>
    <t>奔茨</t>
  </si>
  <si>
    <t>上海盛煦德贸易有限公司</t>
  </si>
  <si>
    <t>果酒（含酒精）;⽩兰地;蒸煮提取物（利⼝酒和烈酒）;威⼠忌;⻩酒;⽩酒;鸡尾酒;酒精饮料原汁;葡萄酒;烈酒（饮料）</t>
  </si>
  <si>
    <t>熊汇</t>
  </si>
  <si>
    <t>葡萄酒;清酒（⽇本⽶酒）;⻩酒;烧酒;⻘稞酒;酒精饮料（啤酒除外）;⽩酒;⽼酒（中国蒸馏烈酒）;⽶酒;蒸煮提取物（利⼝酒和烈酒）</t>
  </si>
  <si>
    <t>鹰熊爱仁</t>
  </si>
  <si>
    <t>葡萄酒;⽩酒;酒精饮料（啤酒除外）;⻘稞酒;⻩酒;蒸煮提取物（利⼝酒和烈酒）;烧酒;清酒（⽇本⽶酒）;⽶酒;⽼酒（中国蒸馏烈酒）</t>
  </si>
  <si>
    <t>川步里</t>
  </si>
  <si>
    <t>浙江东磐企业管理有限公司</t>
  </si>
  <si>
    <t>⽩兰地;除啤酒外的酒精饮料;⻩酒;果酒（含酒精）;威⼠忌;⽶酒;⽩酒;薄荷酒;葡萄酒;烈酒（饮料）</t>
  </si>
  <si>
    <t>中界天下</t>
  </si>
  <si>
    <t>李朝俊</t>
  </si>
  <si>
    <t>果酒（含酒精）;⽩酒;⽼酒（中国蒸馏烈酒）;葡萄酒;⽩⼲酒（中国⽩酒）;⻩酒;清酒;果酒;⽶酒;烧酒</t>
  </si>
  <si>
    <t>慕花辞</t>
  </si>
  <si>
    <t>含⽔果酒精饮料;⾷⽤酒精;果酒（含酒精）;葡萄酒;烧酒;烈酒（饮料）;⽶酒;⽩酒;酒精饮料（啤酒除外）;⻩酒</t>
  </si>
  <si>
    <t>京满兴</t>
  </si>
  <si>
    <t>蒸馏饮料;葡萄酒;酒精饮料（啤酒除外）;⻩酒;鸡尾酒;烧酒;汽酒;⽩酒;⾼粱酒;果酒</t>
  </si>
  <si>
    <t>商周道</t>
  </si>
  <si>
    <t>⽶酒;烈酒（饮料）;威⼠忌;鸡尾酒;葡萄酒;果酒（含酒精）;⽩兰地;⽩酒;酒精饮料（啤酒除外）;烧酒</t>
  </si>
  <si>
    <t>熊中王</t>
  </si>
  <si>
    <t>清酒（⽇本⽶酒）;⽩酒;⻩酒;酒精饮料（啤酒除外）;⻘稞酒;⽼酒（中国蒸馏烈酒）;蒸煮提取物（利⼝酒和烈酒）;葡萄酒;⽶酒;烧酒</t>
  </si>
  <si>
    <t>九亩扇</t>
  </si>
  <si>
    <t>沁县檀山智谷文化书院</t>
  </si>
  <si>
    <t>白兰地;烧酒;威士忌;米酒;黄酒;白酒;果酒（含酒精）;鸡尾酒;葡萄酒;蒸馏饮料</t>
  </si>
  <si>
    <t>山金洋</t>
  </si>
  <si>
    <t>枣庄山金酒业有限公司</t>
  </si>
  <si>
    <t>餐后酒（利⼝酒和烈酒）;葡萄酒;伏特加酒;烧酒;⽩酒;⽶酒;果酒（含酒精）;烈酒（饮料）;⻩酒;开胃酒</t>
  </si>
  <si>
    <t>晓敬</t>
  </si>
  <si>
    <t>仁怀市有所为酒业有限公司</t>
  </si>
  <si>
    <t>⽩酒;蜂蜜酒;蒸煮提取物（利⼝酒和烈酒）;酒精饮料（啤酒除外）;蒸馏饮料;果酒（含酒精）;⻩酒;烧酒;汽酒;烈酒（饮料）</t>
  </si>
  <si>
    <t>海纳及第酒</t>
  </si>
  <si>
    <t>临沂市兰山区海纳社会成人教育培训学校有限公司</t>
  </si>
  <si>
    <t>葡萄酒;鸡尾酒;酒精饮料（啤酒除外）;⽶酒;烈酒（饮料）;果酒（含酒精）;⻩酒;烧酒;开胃酒;⽩酒</t>
  </si>
  <si>
    <t>高刘香</t>
  </si>
  <si>
    <t>李成蓉511127********2129</t>
  </si>
  <si>
    <t>⽩酒;已调味的蒸馏酒;含酒精的饮料（啤酒除外）;果酒;含⽔果酒精饮料;葡萄酒;⽼酒（中国蒸馏烈酒）;⾷⽤酒精;蜂蜜酒;清酒</t>
  </si>
  <si>
    <t>五醍浆鉴藏</t>
  </si>
  <si>
    <t>清酒（⽇本⽶酒）;果酒（含酒精）;⽩酒;⻩酒;酒精饮料（啤酒除外）;鸡尾酒;烧酒;葡萄酒;含⽔果酒精饮料;⽶酒</t>
  </si>
  <si>
    <t>高洲灵魂</t>
  </si>
  <si>
    <t>四川省宜宾高洲酒业有限责任公司</t>
  </si>
  <si>
    <t>蒸馏饮料;⽩酒;餐后酒（利⼝酒和烈酒）;果酒（含酒精）;葡萄酒;⾕物制蒸馏酒精饮料;露酒;⽶酒;苹果酒;烈酒（饮料）</t>
  </si>
  <si>
    <t>云裳涧</t>
  </si>
  <si>
    <t>贵州雲溪酒业有限公司</t>
  </si>
  <si>
    <t>⽶酒;⽩酒;含⽔果酒精饮料;清酒（⽇本⽶酒）;⻩酒;汽酒;烧酒;蒸馏饮料;鸡尾酒;葡萄酒</t>
  </si>
  <si>
    <t>鼎泰纬摩氏</t>
  </si>
  <si>
    <t>青岛瑞兴永合经贸有限公司</t>
  </si>
  <si>
    <t>⽩酒;⽶酒;⻘稞酒;⾼粱酒;⽩⼲酒（中国⽩酒）;⾕物制蒸馏酒精饮料;樱桃酒;烈酒;烧酒;⻩酒</t>
  </si>
  <si>
    <t>侬业美美</t>
  </si>
  <si>
    <t>上海侬业美科技发展有限公司</t>
  </si>
  <si>
    <t>果酒（含酒精）;⻩酒;蒸馏饮料;苹果酒;⽩酒;含⽔果酒精饮料;⽶酒;⻘稞酒;葡萄酒;烧酒</t>
  </si>
  <si>
    <t>GUTREMEDIA</t>
  </si>
  <si>
    <t>浆瑞康科技（甘肃）有限公司</t>
  </si>
  <si>
    <t>烈酒（饮料）;酒精饮料（啤酒除外）;汽酒;含⽔果酒精饮料;以葡萄酒为主的饮料;烧酒;葡萄酒;果酒（含酒精）;⽶酒;⽩酒</t>
  </si>
  <si>
    <t>九九易昌</t>
  </si>
  <si>
    <t>九九易昌（北京）茶文化发展有限公司</t>
  </si>
  <si>
    <t>酒精饮料（啤酒除外）;蒸馏饮料;⽶酒;⽩酒;露酒;果酒（含酒精）;含⽔果酒精饮料;葡萄酒;威⼠忌;⻩酒</t>
  </si>
  <si>
    <t>大唐酩录</t>
  </si>
  <si>
    <t>谢凯旭</t>
  </si>
  <si>
    <t>⻩酒;清酒（⽇本⽶酒）;⽩酒;开胃酒;葡萄酒;果酒（含酒精）;烈酒;威⼠忌;鸡尾酒;酒精饮料（啤酒除外）</t>
  </si>
  <si>
    <t>龙权盛宴</t>
  </si>
  <si>
    <t>果酒（含酒精）;清酒（⽇本⽶酒）;烈酒（饮料）;⽩酒;酒精饮料（啤酒除外）;葡萄酒;鸡尾酒;烧酒;含⽔果酒精饮料;烈酒</t>
  </si>
  <si>
    <t>溪璧</t>
  </si>
  <si>
    <t>成都溪璧商贸有限公司</t>
  </si>
  <si>
    <t>酒精饮料原汁;酒精饮料浓缩汁;预先混合的酒精饮料（以啤酒为主的除外）;鸡尾酒;含⽔果酒精饮料;果酒（含酒精）;餐后酒（利⼝酒和烈酒）;利⼝酒;烈酒（饮料）;⾕物制蒸馏酒精饮料</t>
  </si>
  <si>
    <t>春又见</t>
  </si>
  <si>
    <t>上海亿企惠企业发展集团有限公司</t>
  </si>
  <si>
    <t>⻩酒;烧酒;鸡尾酒;⽶酒;⾷⽤酒精;朗姆酒;果酒（含酒精）;葡萄酒;⽩兰地;威⼠忌</t>
  </si>
  <si>
    <t>芊墨姑娘</t>
  </si>
  <si>
    <t>临沂富京云商贸有限公司</t>
  </si>
  <si>
    <t>⽩酒;⽶酒;鸡尾酒;葡萄酒;果酒;苹果酒;酒精饮料（啤酒除外）;樱桃酒;清酒;开胃酒</t>
  </si>
  <si>
    <t>昀东</t>
  </si>
  <si>
    <t>⽶酒;葡萄酒;开胃酒;樱桃酒;果酒;清酒;⽩酒;鸡尾酒;苹果酒;酒精饮料（啤酒除外）</t>
  </si>
  <si>
    <t>凯誉贵</t>
  </si>
  <si>
    <t>河南沛泰建筑装饰工程有限公司</t>
  </si>
  <si>
    <t>含酒精的⽓泡⽔;蒸馏饮料;苹果酒;⻘稞酒;酒精饮料（啤酒除外）;薄荷酒;鸡尾酒;果酒（含酒精）;威⼠忌;⻩酒</t>
  </si>
  <si>
    <t>徽大侠</t>
  </si>
  <si>
    <t>亳州市谯城区龙腾耀世商贸有限责任公司</t>
  </si>
  <si>
    <t>⽩酒;果酒;朗姆酒;红葡萄酒;⾼粱酒;含酒精的充⽓饮料（啤酒除外）;鸡尾酒;⽩⼲酒（中国⽩酒）;预先混合的酒精饮料（以啤酒为主的除外）;含酒精⽔果饮料</t>
  </si>
  <si>
    <t>林威名</t>
  </si>
  <si>
    <t>仁怀市詹祖烧坊酒业有限公司</t>
  </si>
  <si>
    <t>烈酒（饮料）;烧酒;烧酒（烈酒）;酒精饮料（啤酒除外）;葡萄酒;利⼝酒;⽩酒;蒸煮提取物（利⼝酒和烈酒）;开胃酒;清酒（⽇本⽶酒）</t>
  </si>
  <si>
    <t>赤肆</t>
  </si>
  <si>
    <t>河南振宇红酒业有限公司</t>
  </si>
  <si>
    <t>苹果酒;葡萄酒;开胃酒;酒精饮料（啤酒除外）;⽶酒;果酒（含酒精）;含⽔果酒精饮料;烧酒;甜果酒;⽩酒</t>
  </si>
  <si>
    <t>甄爱巴</t>
  </si>
  <si>
    <t>甄爱（重庆）科技有限公司</t>
  </si>
  <si>
    <t>酒精饮料（啤酒除外）;⻩酒;⽼酒（中国蒸馏烈酒）;甜酒;⾷⽤酒精;⽶酒;葡萄酒;天然汽酒;⽩酒;烈酒</t>
  </si>
  <si>
    <t>巴域夔州</t>
  </si>
  <si>
    <t>四川贝酱酒业有限公司</t>
  </si>
  <si>
    <t>⽩兰地;威⼠忌;鸡尾酒;葡萄酒;⽩酒;⻩酒;⻘稞酒;苹果酒;含酒精的饮料（啤酒除外）;梨酒</t>
  </si>
  <si>
    <t>万氏迎宾酒</t>
  </si>
  <si>
    <t>贵州醉享时光信息服务有限公司</t>
  </si>
  <si>
    <t>烧酒;酒精饮料（啤酒除外）;果酒;⾷⽤酒精;葡萄酒;威⼠忌;鸡尾酒;清酒（⽇本⽶酒）;蒸馏饮料;⽩酒</t>
  </si>
  <si>
    <t>牵囍官</t>
  </si>
  <si>
    <t>赣州市垚安臻农业发展有限公司</t>
  </si>
  <si>
    <t>烈酒（饮料）;⽶酒;蒸馏⽶酒（泡盛酒）;蒸煮提取物（利⼝酒和烈酒）;酒精饮料（啤酒除外）;烧酒;⽩⼲酒（中国⽩酒）;烧酒（烈酒）;清酒（⽇本⽶酒）;⾼粱酒</t>
  </si>
  <si>
    <t>汉千金</t>
  </si>
  <si>
    <t>冯海岗</t>
  </si>
  <si>
    <t>⻩酒;⽶酒;鸡尾酒;⽩兰地;烧酒;⽩酒;果酒（含酒精）;葡萄酒;蒸馏饮料;威⼠忌</t>
  </si>
  <si>
    <t>名山一</t>
  </si>
  <si>
    <t>张德义</t>
  </si>
  <si>
    <t>果酒（含酒精）;⽩酒;⽼酒（中国蒸馏烈酒）;蒸馏饮料;⻘稞酒;⽶酒;葡萄酒;鸡尾酒;酒精饮料（啤酒除外）;烧酒</t>
  </si>
  <si>
    <t>双红配</t>
  </si>
  <si>
    <t>贵州哪铁酒业有限责任公司</t>
  </si>
  <si>
    <t>鸡尾酒;威⼠忌;葡萄酒;果酒（含酒精）;⻩酒;⽩酒;⾷⽤酒精;酒精饮料（啤酒除外）;⽶酒;烈酒（饮料）</t>
  </si>
  <si>
    <t>御挺</t>
  </si>
  <si>
    <t>广州陛禧生物科技有限公司</t>
  </si>
  <si>
    <t>葡萄酒;⽩兰地;⽶酒;⽩酒;伏特加酒;威⼠忌;⻩酒;含酒精的⽓泡⽔;鸡尾酒;清酒（⽇本⽶酒）</t>
  </si>
  <si>
    <t>百雄盛安</t>
  </si>
  <si>
    <t>保定市直隶酒程食品经营部</t>
  </si>
  <si>
    <t>含酒精的⽔果鸡尾酒饮料;蒸煮提取物（利⼝酒和烈酒）;⾷⽤酒精;烧酒;⻩酒;五加⽪酒（中国混合烈酒）;果酒（含酒精）;⽩酒;⻘稞酒;⽶酒</t>
  </si>
  <si>
    <t>SIBIR</t>
  </si>
  <si>
    <t>鸡尾酒;酒精饮料原汁;含⽔果酒精饮料;餐后酒（利⼝酒和烈酒）;利⼝酒;酒精饮料浓缩汁;预先混合的酒精饮料（以啤酒为主的除外）;⾕物制蒸馏酒精饮料;果酒（含酒精）;烈酒（饮料）</t>
  </si>
  <si>
    <t>果乐七</t>
  </si>
  <si>
    <t>汤华楠</t>
  </si>
  <si>
    <t>烈酒;开胃酒;清酒（⽇本⽶酒）;威⼠忌;葡萄酒;酒精饮料（啤酒除外）;⽩酒;果酒（含酒精）;鸡尾酒;⻩酒</t>
  </si>
  <si>
    <t>皖小马</t>
  </si>
  <si>
    <t>马高升</t>
  </si>
  <si>
    <t>⻩酒;⾼粱酒;⽩⼲酒（中国⽩酒）;葡萄酒;苦荞酒;⽼酒（中国蒸馏烈酒）;甜酒;杨梅酒;含酒精的饮料（啤酒除外）;⾷⽤酒精</t>
  </si>
  <si>
    <t>金乐年</t>
  </si>
  <si>
    <t>贵州金乐年酒业有限公司</t>
  </si>
  <si>
    <t>果酒（含酒精）;⾷⽤酒精;烈酒（饮料）;酒精饮料（啤酒除外）;蒸煮提取物（利⼝酒和烈酒）;烈性⼲酒;⽩酒;⽶酒;酒精饮料原汁;葡萄酒</t>
  </si>
  <si>
    <t>乙凡</t>
  </si>
  <si>
    <t>朗姆酒;⽩酒;含酒精⽔果饮料;鸡尾酒;果酒;⾼粱酒;含酒精的充⽓饮料（啤酒除外）;⽩⼲酒（中国⽩酒）;红葡萄酒;预先混合的酒精饮料（以啤酒为主的除外）</t>
  </si>
  <si>
    <t>禧传君品</t>
  </si>
  <si>
    <t>葡萄酒;⻩酒;威⼠忌;⽩酒;⽶酒;汽酒;清酒;果酒;⽩兰地;烧酒</t>
  </si>
  <si>
    <t>椰轩</t>
  </si>
  <si>
    <t>烈酒（饮料）;烧酒;蒸馏饮料;果酒（含酒精）;⽶酒;鸡尾酒;⽩酒;葡萄酒;威⼠忌;酒精饮料（啤酒除外）</t>
  </si>
  <si>
    <t>伏记朴大叔</t>
  </si>
  <si>
    <t>伏微320382********8618</t>
  </si>
  <si>
    <t>苹果酒;果酒（含酒精）;⾷⽤酒精;鸡尾酒;⽩酒;葡萄酒;威⼠忌;蜂蜜酒;清酒（⽇本⽶酒）;⻩酒</t>
  </si>
  <si>
    <t>鉴中师</t>
  </si>
  <si>
    <t>谢心恩</t>
  </si>
  <si>
    <t>葡萄酒;⽩酒;⻩酒;果酒（含酒精）;⽩兰地;⾷⽤酒精;烧酒;⽶酒;威⼠忌</t>
  </si>
  <si>
    <t>衡泰斗</t>
  </si>
  <si>
    <t>威⼠忌;⽶酒;果酒（含酒精）;烧酒;⾷⽤酒精;葡萄酒;⽩酒;⻩酒;⽩兰地</t>
  </si>
  <si>
    <t>邾福</t>
  </si>
  <si>
    <t>重庆多加福食品有限公司</t>
  </si>
  <si>
    <t>JINYUNIANG</t>
  </si>
  <si>
    <t>贵州晟禾农产品加工有限责任公司</t>
  </si>
  <si>
    <t>蒸煮提取物（利⼝酒和烈酒）;⽶酒;汽酒;⾼粱酒;含⽔果酒精饮料;清酒;⾕物制蒸馏酒精饮料;鸡尾酒;烧酒;蒸馏⽶酒（泡盛酒）</t>
  </si>
  <si>
    <t>卡穆亨利</t>
  </si>
  <si>
    <t>亿晟烈酒联合集团（香港）有限公司</t>
  </si>
  <si>
    <t>伏特加酒;⽩兰地;⽩酒;以葡萄酒为主的饮料;鸡尾酒;葡萄酒;蒸煮提取物（利⼝酒和烈酒）;⻘稞酒;利⼝酒;果酒（含酒精）</t>
  </si>
  <si>
    <t>君子有李</t>
  </si>
  <si>
    <t>医食同源（北京）科技产业发展集团有限公司</t>
  </si>
  <si>
    <t>鸡尾酒;⻩酒;⽶酒;果酒（含酒精）;⽩酒;葡萄酒;含⽔果酒精饮料;蜂蜜酒;汽酒;酒精饮料（啤酒除外）</t>
  </si>
  <si>
    <t>俶真</t>
  </si>
  <si>
    <t>元配文化(深圳)有限公司</t>
  </si>
  <si>
    <t>⽼酒（中国蒸馏烈酒）;⽩酒;果酒（含酒精）;烈酒（饮料）;含酒精的⽓泡⽔;⾼粱酒;红葡萄酒;烧酒（烈酒）;含酒精的饮料（啤酒除外）;⽶酒</t>
  </si>
  <si>
    <t>硐味</t>
  </si>
  <si>
    <t>贵州宝洞酒业有限公司</t>
  </si>
  <si>
    <t>由⾕物蒸馏的⽩酒;⽼酒（中国蒸馏烈酒）;⽶酒;⽩酒;烧酒（烈酒）;果酒;⻩酒;蒸煮提取物（利⼝酒和烈酒）;⽩⼲酒（中国⽩酒）;⾼粱酒</t>
  </si>
  <si>
    <t>崔帅星</t>
  </si>
  <si>
    <t>含⽔果酒精饮料;烧酒;葡萄酒;鸡尾酒;⽶酒;酒精饮料（啤酒除外）;⾷⽤酒精;果酒（含酒精）;⽩酒;烈酒（饮料）</t>
  </si>
  <si>
    <t>中酣天下</t>
  </si>
  <si>
    <t>烧酒（烈酒）;含酒精的饮料（啤酒除外）;由⾕物蒸馏的⽩酒;⾼粱酒;⽩酒;酒精饮料（啤酒除外）;⽼酒（中国蒸馏烈酒）;已调味的蒸馏酒;⽩⼲酒（中国⽩酒）;果酒</t>
  </si>
  <si>
    <t>兔宝霁</t>
  </si>
  <si>
    <t>海南泽栖文化传媒有限公司</t>
  </si>
  <si>
    <t>蒸馏饮料;⾕物制蒸馏酒精饮料;葡萄酒;酒精饮料（啤酒除外）;清酒;已调味的蒸馏酒;烈酒;⽩酒;甜酒;露酒;含酒精的饮料（啤酒除外）;汽酒;⽼酒（中国蒸馏烈酒）</t>
  </si>
  <si>
    <t>唐三问</t>
  </si>
  <si>
    <t>四川天护星农供应链管理有限公司</t>
  </si>
  <si>
    <t>苹果酒;杨梅酒;⽩酒;五加⽪酒（中国混合烈酒）;甜酒;⾼粱酒;果酒（含酒精）;清酒（⽇本⽶酒）;⽶酒;葡萄酒</t>
  </si>
  <si>
    <t>花品凤</t>
  </si>
  <si>
    <t>果酒（含酒精）;烈酒（饮料）;⾷⽤酒精;⽶酒;⻩酒;葡萄酒;含⽔果酒精饮料;烧酒;酒精饮料（啤酒除外）;⽩酒</t>
  </si>
  <si>
    <t>西校门水木</t>
  </si>
  <si>
    <t>蜂蜜酒;⻩酒;含酒精的⽔果鸡尾酒饮料;果酒（含酒精）;烧酒;⽩酒;葡萄酒;蒸馏饮料;开胃酒;⽶酒</t>
  </si>
  <si>
    <t>鲜县</t>
  </si>
  <si>
    <t>食敢当（成都）农业发展有限公司</t>
  </si>
  <si>
    <t>⽩酒;含酒精⽔果饮料;佐餐酒;果酒（含酒精）;红葡萄酒;⻘梅酒;含酒精的鸡尾酒混合饮品;苦荞酒;清酒;含酒精的饮料（啤酒除外）</t>
  </si>
  <si>
    <t>笃创之泉</t>
  </si>
  <si>
    <t>江西省笃道商贸有限公司</t>
  </si>
  <si>
    <t>果酒;葡萄酒;⻩酒;蒸馏饮料;由⾕物蒸馏的⽩酒;⽩⼲酒（中国⽩酒）;⽩酒;烧酒;烧酒（烈酒）;烈酒（饮料）</t>
  </si>
  <si>
    <t>千年静江</t>
  </si>
  <si>
    <t>苏斌</t>
  </si>
  <si>
    <t>果酒;清酒;伏特加酒;葡萄酒;⽩兰地;烈酒;⻩酒;苦味酒;烧酒;蒸煮提取物（利⼝酒和烈酒）</t>
  </si>
  <si>
    <t>誉壶仙</t>
  </si>
  <si>
    <t>葡萄酒;烈酒（饮料）;酒精饮料（啤酒除外）;⽶酒;果酒（含酒精）;⾷⽤酒精;含⽔果酒精饮料;烧酒;⻩酒;⽩酒</t>
  </si>
  <si>
    <t>周少游</t>
  </si>
  <si>
    <t>烧酒;⽩酒;⻩酒;烈酒（饮料）;蒸馏饮料;利⼝酒;梨酒;酒精饮料（啤酒除外）;果酒;含⽔果酒精饮料</t>
  </si>
  <si>
    <t>匠辉煌</t>
  </si>
  <si>
    <t>王科</t>
  </si>
  <si>
    <t>⽩酒;果酒（含酒精）;蒸馏饮料;⾷⽤酒精;葡萄酒;烧酒;⻘稞酒;清酒（⽇本⽶酒）;⽶酒;酒精饮料（啤酒除外）</t>
  </si>
  <si>
    <t>邙山头</t>
  </si>
  <si>
    <t>果酒（含酒精）;蒸馏饮料;酒精饮料（啤酒除外）;含⽔果酒精饮料;⽩酒;⾕物制蒸馏酒精饮料;以葡萄酒为主的饮料;⻘稞酒;烧酒;预先混合的酒精饮料（以啤酒为主的除外）</t>
  </si>
  <si>
    <t>2022/06/16</t>
  </si>
  <si>
    <t>郑粮</t>
  </si>
  <si>
    <t>授酒</t>
  </si>
  <si>
    <t>⻩酒;烧酒;⽩酒;果酒（含酒精）;汽酒;葡萄酒;酒精饮料（啤酒除外）;⽶酒;预先混合的酒精饮料（以啤酒为主的除外）;蒸馏饮料</t>
  </si>
  <si>
    <t>2022/06/22</t>
  </si>
  <si>
    <t>虞姬 YU JI WINE</t>
  </si>
  <si>
    <t>⽩酒;烧酒;⽩⼲酒（中国⽩酒）;烈酒;酒精饮料（啤酒除外）;⽶酒;果酒;⻩酒;葡萄酒;由⾕物蒸馏的⽩酒</t>
  </si>
  <si>
    <t>2022/08/11</t>
  </si>
  <si>
    <t>由⾕物蒸馏的⽩酒;⽶酒;果酒;⻩酒;⽩酒;酒精饮料（啤酒除外）;烧酒;⽩⼲酒（中国⽩酒）;烈酒;葡萄酒</t>
  </si>
  <si>
    <t>MENG YI SHENG</t>
  </si>
  <si>
    <t>邓张喜</t>
  </si>
  <si>
    <t>葡萄酒;果酒;含酒精的饮料（啤酒除外）;⾼粱酒;⽩酒;威⼠忌;⽶酒;清酒;鸡尾酒;⽩兰地</t>
  </si>
  <si>
    <t>央腾</t>
  </si>
  <si>
    <t>赵纪萱</t>
  </si>
  <si>
    <t>⻩酒;⽩酒;杨梅酒;薄荷酒;⽩葡萄酒;烈酒;⽔果汽酒;⻘稞酒;果酒（含酒精）;清酒（⽇本⽶酒）</t>
  </si>
  <si>
    <t>黑龙江响水稻米公园管理运营有限公司</t>
  </si>
  <si>
    <t>葡萄酒;⽩酒;⽶酒;烧酒;⻩酒;⻘稞酒;⾼粱酒;鸡尾酒;烈酒（饮料）;⽼酒（中国蒸馏烈酒）</t>
  </si>
  <si>
    <t>牛圆睢</t>
  </si>
  <si>
    <t>吴晗</t>
  </si>
  <si>
    <t>⾼粱酒;⽩⼲酒（中国⽩酒）;烧酒;⻩酒;伏特加酒;露酒;⽶酒;佐餐酒;⽩兰地;⽩酒</t>
  </si>
  <si>
    <t>卢子纯</t>
  </si>
  <si>
    <t>谌淑兰</t>
  </si>
  <si>
    <t>利⼝酒;⻩酒;⽩⼲酒（中国⽩酒）;松叶酒;果酒;烧酒;⽶酒;⾼粱酒;清酒;⽩酒</t>
  </si>
  <si>
    <t>锦际</t>
  </si>
  <si>
    <t>肖董</t>
  </si>
  <si>
    <t>酒精饮料（啤酒除外）;⾷⽤酒精;烈酒（饮料）;⽩酒;果酒（含酒精）;蒸馏饮料;汽酒;葡萄酒;⽶酒;清酒（⽇本⽶酒）</t>
  </si>
  <si>
    <t>华夔</t>
  </si>
  <si>
    <t>苹果酒;鸡尾酒;含酒精的饮料（啤酒除外）;威⼠忌;⻘稞酒;⻩酒;⽩酒;⽩兰地;梨酒;葡萄酒</t>
  </si>
  <si>
    <t>宴山尊</t>
  </si>
  <si>
    <t>刘伟</t>
  </si>
  <si>
    <t>烈酒（饮料）;⽩酒;⻩酒;果酒（含酒精）;酒精饮料（啤酒除外）;葡萄酒;酒精饮料原汁;餐后酒（利⼝酒和烈酒）;⽶酒;烧酒</t>
  </si>
  <si>
    <t>稻济醇</t>
  </si>
  <si>
    <t>冯秋红</t>
  </si>
  <si>
    <t>烧酒;鸡尾酒;开胃酒;樱桃酒;利⼝酒;酒精饮料浓缩汁;薄荷酒;⽩酒;伏特加酒;⻩酒</t>
  </si>
  <si>
    <t>圣贤传世</t>
  </si>
  <si>
    <t>果酒;⽩⼲酒（中国⽩酒）;烈酒;烧酒;⽩酒;⾼粱酒;葡萄酒;蒸煮提取物（利⼝酒和烈酒）;⽼酒（中国蒸馏烈酒）;由⾕物蒸馏的⽩酒</t>
  </si>
  <si>
    <t>小福仙</t>
  </si>
  <si>
    <t>小糊涂仙酒业(集团)有限公司</t>
  </si>
  <si>
    <t>⽩兰地;葡萄酒;果酒;⻩酒;烧酒;清酒（⽇本⽶酒）;酒精饮料（啤酒除外）;⽶酒;⽩酒;开胃酒</t>
  </si>
  <si>
    <t>闽荐</t>
  </si>
  <si>
    <t>彭雪珍</t>
  </si>
  <si>
    <t>⻩酒;果酒（含酒精）;葡萄酒;⽶酒;清酒;汽酒;酒精饮料（啤酒除外）;烧酒;⽩酒;蒸馏饮料</t>
  </si>
  <si>
    <t>神鹿熊</t>
  </si>
  <si>
    <t>酒精饮料（啤酒除外）;⻩酒;烧酒;清酒（⽇本⽶酒）;蒸煮提取物（利⼝酒和烈酒）;⽩酒;⻘稞酒;⽼酒（中国蒸馏烈酒）;葡萄酒;⽶酒</t>
  </si>
  <si>
    <t>武氏善美</t>
  </si>
  <si>
    <t>⾷⽤酒精;开胃酒;汽酒;清酒（⽇本⽶酒）;果酒（含酒精）;⽩酒;⽩兰地;葡萄酒;酒精饮料（啤酒除外）;烧酒</t>
  </si>
  <si>
    <t>赤中谣</t>
  </si>
  <si>
    <t>买红霞</t>
  </si>
  <si>
    <t>鸡尾酒;葡萄酒;烧酒;⽩兰地;⽩酒;⽶酒;果酒（含酒精）;⻩酒;威⼠忌;蒸馏饮料</t>
  </si>
  <si>
    <t>沙浪嗨哟</t>
  </si>
  <si>
    <t>⽩酒;蜂蜜酒;⻘稞酒;开胃酒;⾷⽤酒精;苦味酒;鸡尾酒;威⼠忌;含⽔果酒精饮料;酒精饮料浓缩汁</t>
  </si>
  <si>
    <t>高洲导师</t>
  </si>
  <si>
    <t>苹果酒;⽩酒;蒸馏饮料;烈酒（饮料）;葡萄酒;露酒;餐后酒（利⼝酒和烈酒）;⽶酒;果酒（含酒精）;⾕物制蒸馏酒精饮料</t>
  </si>
  <si>
    <t>厚小九</t>
  </si>
  <si>
    <t>⻩酒;蒸馏饮料;⽩兰地;⽩酒;威⼠忌;葡萄酒;⽶酒;烧酒;果酒（含酒精）;鸡尾酒</t>
  </si>
  <si>
    <t>伊维</t>
  </si>
  <si>
    <t>安徽井名天下酒业有限公司</t>
  </si>
  <si>
    <t>⽩酒;开胃酒;⻩酒;⾷⽤酒精;⽶酒;果酒（含酒精）;葡萄酒;利⼝酒;酒精饮料（啤酒除外）;烧酒</t>
  </si>
  <si>
    <t>伊风伊味</t>
  </si>
  <si>
    <t>果酒（含酒精）;酒精饮料（啤酒除外）;⽩酒;葡萄酒;⾷⽤酒精;开胃酒;利⼝酒;⽶酒;⻩酒;烧酒</t>
  </si>
  <si>
    <t>挚九州</t>
  </si>
  <si>
    <t>刘盛斌</t>
  </si>
  <si>
    <t>果酒;威⼠忌;⽩酒;⻘稞酒;葡萄酒;烈酒;烧酒;⻩酒;⽶酒;鸡尾酒</t>
  </si>
  <si>
    <t>余归</t>
  </si>
  <si>
    <t>贵州涧山农业发展有限公司</t>
  </si>
  <si>
    <t>⾼粱酒;烧酒;⽶酒;开胃酒;⽩酒;⾷⽤酒精;⻩酒;含⽔果酒精饮料;果酒;红葡萄酒</t>
  </si>
  <si>
    <t>文翊</t>
  </si>
  <si>
    <t>梅朝洪</t>
  </si>
  <si>
    <t>葡萄酒;预先混合的酒精饮料（以啤酒为主的除外）;威⼠忌;⽶酒;⽩酒;⻩酒;烧酒;利⼝酒;烈酒（饮料）;果酒（含酒精）</t>
  </si>
  <si>
    <t>十全万康</t>
  </si>
  <si>
    <t>苏州市万康副食品有限公司</t>
  </si>
  <si>
    <t>含⽔果酒精饮料;⽶酒;⻩酒;酒精饮料浓缩汁;⽩酒;果酒（含酒精）;酒精饮料（啤酒除外）;甜酒;葡萄酒;汽酒</t>
  </si>
  <si>
    <t>吕同学</t>
  </si>
  <si>
    <t>重庆凰巢实业有限公司</t>
  </si>
  <si>
    <t>⻩酒;果酒（含酒精）;⽶酒;⾕物制蒸馏酒精饮料;甜酒;⽩酒;酒精饮料（啤酒除外）;清酒;梅酒;烈酒</t>
  </si>
  <si>
    <t>红太阳开门大吉</t>
  </si>
  <si>
    <t>烧酒;⽩酒;⻩酒;果酒（含酒精）;⽶酒;葡萄酒;烈酒（饮料）;酒精饮料（啤酒除外）;⾷⽤酒精;蒸煮提取物（利⼝酒和烈酒）</t>
  </si>
  <si>
    <t>中直曲</t>
  </si>
  <si>
    <t>刘晓阳</t>
  </si>
  <si>
    <t>⻘稞酒;⽩兰地;葡萄酒;⽩酒;⻩酒;威⼠忌;清酒;果酒;⽶酒;烧酒</t>
  </si>
  <si>
    <t>保美汇</t>
  </si>
  <si>
    <t>鸡尾酒;⽶酒;⽩酒;葡萄酒;威⼠忌;烈酒（饮料）;蒸馏饮料;酒精饮料（啤酒除外）;烧酒;果酒（含酒精）</t>
  </si>
  <si>
    <t>花秘浔</t>
  </si>
  <si>
    <t>烈酒（饮料）;酒精饮料（啤酒除外）;烧酒;⾷⽤酒精;⻩酒;⽩酒;葡萄酒;含⽔果酒精饮料;⽶酒;果酒（含酒精）</t>
  </si>
  <si>
    <t>下川岛</t>
  </si>
  <si>
    <t>台山市广运农业种植有限公司</t>
  </si>
  <si>
    <t>⽶酒;⻩酒;伏特加酒;烧酒;朗姆酒;威⼠忌;⽩酒;果酒（含酒精）;鸡尾酒;葡萄酒</t>
  </si>
  <si>
    <t>麦承欢</t>
  </si>
  <si>
    <t>泸州古酿坊酒业有限公司</t>
  </si>
  <si>
    <t>⽩酒;果酒（含酒精）;鸡尾酒;⾼粱酒;酒精饮料原汁;酒精饮料（啤酒除外）;⽶酒;酒精饮料浓缩汁</t>
  </si>
  <si>
    <t>侬业美</t>
  </si>
  <si>
    <t>葡萄酒;烧酒;蒸馏饮料;苹果酒;果酒（含酒精）;⻘稞酒;⻩酒;含⽔果酒精饮料;⽶酒;⽩酒</t>
  </si>
  <si>
    <t>陛霸</t>
  </si>
  <si>
    <t>开胃酒;⽩酒;酒精饮料浓缩汁;利⼝酒;⻩酒;烧酒;薄荷酒;伏特加酒;鸡尾酒;樱桃酒</t>
  </si>
  <si>
    <t>龙凤愿</t>
  </si>
  <si>
    <t>⽩酒;开胃酒;鸡尾酒;⻩酒;果酒（含酒精）;葡萄酒;清酒（⽇本⽶酒）;酒精饮料（啤酒除外）;威⼠忌;烈酒</t>
  </si>
  <si>
    <t>共雅</t>
  </si>
  <si>
    <t>汤瑞英</t>
  </si>
  <si>
    <t>⽩酒;⻩酒;⾷⽤酒精;⽶酒;威⼠忌;烧酒;⽩兰地;葡萄酒;含⽔果酒精饮料;果酒（含酒精）</t>
  </si>
  <si>
    <t>颐大师</t>
  </si>
  <si>
    <t>拜贞霞</t>
  </si>
  <si>
    <t>鸡尾酒;⻩酒;⽩兰地;威⼠忌;蒸馏饮料;烧酒;⽩酒;果酒（含酒精）;葡萄酒;⽶酒</t>
  </si>
  <si>
    <t>福常进</t>
  </si>
  <si>
    <t>江门市常进厨具有限公司</t>
  </si>
  <si>
    <t>果酒（含酒精）;甜酒;鸡尾酒;葡萄酒;⽩酒;蒸馏⽶酒（泡盛酒）;⽩兰地;威⼠忌;烈酒;酒精饮料（啤酒除外）</t>
  </si>
  <si>
    <t>木兰序</t>
  </si>
  <si>
    <t>承德泓辉双合酒业有限公司</t>
  </si>
  <si>
    <t>果酒（含酒精）;酒精饮料（啤酒除外）;烈酒（饮料）;预先混合的酒精饮料（以啤酒为主的除外）;含⽔果酒精饮料;清酒（⽇本⽶酒）;⽶酒;⾕物制蒸馏酒精饮料;烧酒;⽩酒</t>
  </si>
  <si>
    <t>大野彭王</t>
  </si>
  <si>
    <t>巨野昌志商贸有限公司</t>
  </si>
  <si>
    <t>⽶酒;⻩酒;利⼝酒;酒精饮料（啤酒除外）;果酒（含酒精）;朗姆酒;清酒;鸡尾酒;⽩酒;⾕物制蒸馏酒精饮料</t>
  </si>
  <si>
    <t>荷宗台</t>
  </si>
  <si>
    <t>含⽔果酒精饮料;⽶酒;果酒（含酒精）;葡萄酒;烧酒;⾷⽤酒精;烈酒（饮料）;⻩酒;⽩酒;酒精饮料（啤酒除外）</t>
  </si>
  <si>
    <t>醉仙喵</t>
  </si>
  <si>
    <t>蒸馏饮料;⽶酒;汽酒;⽩酒;果酒（含酒精）;酒精饮料（啤酒除外）;烈酒（饮料）;⾷⽤酒精;葡萄酒;清酒（⽇本⽶酒）</t>
  </si>
  <si>
    <t>武汉辉众天宏酒业有限公司</t>
  </si>
  <si>
    <t>烧酒;汽酒;利⼝酒;⽩兰地;威⼠忌;鸡尾酒;酒精饮料（啤酒除外）;烈酒（饮料）;葡萄酒;伏特加酒</t>
  </si>
  <si>
    <t>羽荣红一小杯</t>
  </si>
  <si>
    <t>云南荣光品牌设计有限公司</t>
  </si>
  <si>
    <t>烧酒;烈酒;⻘稞酒;葡萄酒;⽩酒;⽶酒;餐后酒（利⼝酒和烈酒）;以葡萄酒为主的饮料;⻩酒;威⼠忌</t>
  </si>
  <si>
    <t>不老醰酒庄</t>
  </si>
  <si>
    <t>⻩酒;⾼粱酒;烈酒（饮料）;烧酒;梅酒;果酒（含酒精）;⽩酒;果酒;薄荷酒</t>
  </si>
  <si>
    <t>普飞</t>
  </si>
  <si>
    <t>唐山会静商贸有限公司</t>
  </si>
  <si>
    <t>⾷⽤酒精;鸡尾酒;⽶酒;⻩酒;酒精饮料（啤酒除外）;烧酒;果酒;烈酒;葡萄酒;⽩酒</t>
  </si>
  <si>
    <t>醉星移</t>
  </si>
  <si>
    <t>果酒（含酒精）;葡萄酒;含⽔果酒精饮料;⾷⽤酒精;⻩酒;酒精饮料（啤酒除外）;⽶酒;烈酒（饮料）;烧酒;⽩酒</t>
  </si>
  <si>
    <t>将至古</t>
  </si>
  <si>
    <t>王飞</t>
  </si>
  <si>
    <t>葡萄酒;⽩兰地;汽酒;烧酒;开胃酒;果酒（含酒精）;蒸馏饮料;⻩酒;烈酒（饮料）;⽩酒</t>
  </si>
  <si>
    <t>老街之恋</t>
  </si>
  <si>
    <t>⽶酒;⾕物制蒸馏酒精饮料;⽩⼲酒（中国⽩酒）;以蒸馏酒为主的开胃酒;烧酒;⾼粱酒;烈酒;⽼酒（中国蒸馏烈酒）;露酒;⽩酒</t>
  </si>
  <si>
    <t>颢玺</t>
  </si>
  <si>
    <t>贵州玺酒酒业有限责任公司</t>
  </si>
  <si>
    <t>鸡尾酒;果酒;果酒（含酒精）;烈酒（饮料）;⽩酒;酒精饮料（啤酒除外）;⽶酒;葡萄酒;⻩酒;清酒（⽇本⽶酒）</t>
  </si>
  <si>
    <t>锦留香</t>
  </si>
  <si>
    <t>四川锦禾生物科技有限公司</t>
  </si>
  <si>
    <t>⽩酒;由⾕物蒸馏的⽩酒;烈酒浓缩汁;餐后酒（利⼝酒和烈酒）;⾕物制蒸馏酒精饮料;⻘稞酒;苦荞酒;烧酒（烈酒）;佐餐酒;蜂蜜酒</t>
  </si>
  <si>
    <t>飒帝</t>
  </si>
  <si>
    <t>李佳</t>
  </si>
  <si>
    <t>烧酒;含⽔果酒精饮料;薄荷酒;果酒（含酒精）;⽩酒;蒸馏饮料;烈酒（饮料）;葡萄酒;酒精饮料（啤酒除外）;苹果酒</t>
  </si>
  <si>
    <t>凤味源</t>
  </si>
  <si>
    <t>刘宁612501********4662</t>
  </si>
  <si>
    <t>果酒（含酒精）;⻩酒;清酒;樱桃酒;苹果酒;含⽔果酒精饮料;⽩酒;葡萄酒;酒精饮料（啤酒除外）;⽶酒</t>
  </si>
  <si>
    <t>山佬稻</t>
  </si>
  <si>
    <t>开胃酒;⽩酒;利⼝酒;烧酒;鸡尾酒;薄荷酒;酒精饮料浓缩汁;樱桃酒;⻩酒;伏特加酒</t>
  </si>
  <si>
    <t>春曼</t>
  </si>
  <si>
    <t>云南国曼云商贸有限责任公司</t>
  </si>
  <si>
    <t>⽩⼲酒（中国⽩酒）;烧酒（烈酒）;⾼粱酒;烈酒;⽼酒（中国蒸馏烈酒）;⽶酒;⻩酒;烧酒;含酒精蛋奶酒;⾷⽤酒精;⽩酒</t>
  </si>
  <si>
    <t>挥动精彩</t>
  </si>
  <si>
    <t>何传勋</t>
  </si>
  <si>
    <t>威⼠忌;含酒精的饮料（啤酒除外）;烧酒;⽼酒（中国蒸馏烈酒）;果酒;葡萄酒;汽酒;⽩酒;⽶酒;⻩酒</t>
  </si>
  <si>
    <t>珺芳醉</t>
  </si>
  <si>
    <t>任晓靖</t>
  </si>
  <si>
    <t>⽩酒;⾼粱酒;餐后酒（利⼝酒和烈酒）;烈酒（饮料）;烧酒;⽶酒;开胃酒;果酒（含酒精）;葡萄酒;⻩酒</t>
  </si>
  <si>
    <t>顺意五五</t>
  </si>
  <si>
    <t>中农经创（北京）信息技术有限公司</t>
  </si>
  <si>
    <t>葡萄酒;含⽔果酒精饮料;果酒（含酒精）;酒精饮料（啤酒除外）;开胃酒;⽶酒;烧酒;⻘稞酒;⽩酒;烈酒（饮料）</t>
  </si>
  <si>
    <t>贵州娥掌柜酒业有限公司</t>
  </si>
  <si>
    <t>⾕物制蒸馏酒精饮料;酒精饮料原汁;⽩酒;蒸馏饮料;⾷⽤酒精;⻘稞酒;酒精饮料（啤酒除外）;果酒（含酒精）;烧酒;葡萄酒</t>
  </si>
  <si>
    <t>草木笙</t>
  </si>
  <si>
    <t>柘荣县酒香倾城酒业有限公司</t>
  </si>
  <si>
    <t>⽩酒;蒸馏饮料;果酒;葡萄酒;含⽔果酒精饮料;鸡尾酒;⽶酒;⻩酒;酒精饮料（啤酒除外）;汽酒</t>
  </si>
  <si>
    <t>龙权天下</t>
  </si>
  <si>
    <t>果酒（含酒精）;清酒（⽇本⽶酒）;烈酒（饮料）;烧酒;酒精饮料（啤酒除外）;鸡尾酒;含⽔果酒精饮料;烈酒;葡萄酒;⽩酒</t>
  </si>
  <si>
    <t>SJD 砂家婆</t>
  </si>
  <si>
    <t>李健珍</t>
  </si>
  <si>
    <t>⽩⼲酒（中国⽩酒）;⽩酒;酒精饮料（啤酒除外）;⽶酒;鸡尾酒;⾷⽤酒精;甜酒;⻩酒;葡萄酒;果酒</t>
  </si>
  <si>
    <t>玛莎菈丽</t>
  </si>
  <si>
    <t>果酒（含酒精）;以葡萄酒为主的饮料;⻘稞酒;利⼝酒;葡萄酒;伏特加酒;蒸煮提取物（利⼝酒和烈酒）;⽩兰地;鸡尾酒;⽩酒</t>
  </si>
  <si>
    <t>夸川</t>
  </si>
  <si>
    <t>刘立立</t>
  </si>
  <si>
    <t>⻩酒;⽶酒;葡萄酒;酒精饮料（啤酒除外）;烈酒（饮料）;烧酒;⽩酒;清酒（⽇本⽶酒）;果酒（含酒精）;薄荷酒</t>
  </si>
  <si>
    <t>陛纯</t>
  </si>
  <si>
    <t>韦新怡</t>
  </si>
  <si>
    <t>威⼠忌;⽩酒;果酒（含酒精）;开胃酒;⻩酒;鸡尾酒;葡萄酒;酒精饮料（啤酒除外）;烈酒;清酒（⽇本⽶酒）</t>
  </si>
  <si>
    <t>陈玄圃</t>
  </si>
  <si>
    <t>黄慧铧</t>
  </si>
  <si>
    <t>⽶酒;鸡尾酒;蜂蜜酒;⽩酒;开胃酒;烧酒;烈酒（饮料）;薄荷酒;伏特加酒;威⼠忌</t>
  </si>
  <si>
    <t>兼五</t>
  </si>
  <si>
    <t>蒸煮提取物（利⼝酒和烈酒）;利⼝酒;酒精饮料原汁;蒸馏饮料;⾕物制蒸馏酒精饮料;酒精饮料浓缩汁;烈酒（饮料）;烧酒;⾷⽤酒精;⽩酒</t>
  </si>
  <si>
    <t>龙权典藏</t>
  </si>
  <si>
    <t>含⽔果酒精饮料;酒精饮料（啤酒除外）;清酒（⽇本⽶酒）;烈酒（饮料）;⽩酒;葡萄酒;鸡尾酒;果酒（含酒精）;烈酒;烧酒</t>
  </si>
  <si>
    <t>九韶济承堂</t>
  </si>
  <si>
    <t>聊城济承堂生物科技有限公司</t>
  </si>
  <si>
    <t>蜂蜜酒;⽩酒;除啤酒外的酒精饮料;⽩兰地;⾼粱酒;果酒;餐后酒（利⼝酒和烈酒）;威⼠忌;甜果酒;⽶酒</t>
  </si>
  <si>
    <t>SZBF</t>
  </si>
  <si>
    <t>深圳奔赴酒业有限公司</t>
  </si>
  <si>
    <t>⽩兰地;威⼠忌;起泡⽩葡萄酒;葡萄酒;以葡萄酒为主的饮料;⽩⼲酒（中国⽩酒）;果酒（含酒精）;⽩酒;起泡红葡萄酒;佐餐酒</t>
  </si>
  <si>
    <t>壮宇</t>
  </si>
  <si>
    <t>梁伟忠</t>
  </si>
  <si>
    <t>果酒（含酒精）;烧酒;鸡尾酒;烈酒（饮料）;⽩酒;清酒;⽶酒;酒精饮料（啤酒除外）;⻩酒;葡萄酒</t>
  </si>
  <si>
    <t>醉泸囍</t>
  </si>
  <si>
    <t>葡萄酒;鸡尾酒;开胃酒;果酒;利⼝酒;酒精饮料（啤酒除外）;烧酒;⽩酒;清酒（⽇本⽶酒）;朗姆酒</t>
  </si>
  <si>
    <t>岚尤梦</t>
  </si>
  <si>
    <t>葡萄酒;⻩酒;果酒（含酒精）;含⽔果酒精饮料;烧酒;烈酒（饮料）;⽶酒;⾷⽤酒精;酒精饮料（啤酒除外）;⽩酒</t>
  </si>
  <si>
    <t>青花牡丹</t>
  </si>
  <si>
    <t>⽩酒;果酒（含酒精）;利⼝酒;酒精饮料（啤酒除外）;蒸煮提取物（利⼝酒和烈酒）;葡萄酒;烈酒（饮料）;预先混合的酒精饮料（以啤酒为主的除外）;⾷⽤酒精;烧酒</t>
  </si>
  <si>
    <t>2022/08/24</t>
  </si>
  <si>
    <t>靓香液</t>
  </si>
  <si>
    <t>四川众谷玄香酒业有限公司</t>
  </si>
  <si>
    <t>葡萄酒;伏特加酒;威⼠忌;清酒;⽶酒;烧酒;⽩酒;⾼粱酒;果酒;⻘稞酒</t>
  </si>
  <si>
    <t>2022/09/28</t>
  </si>
  <si>
    <t>道生福道</t>
  </si>
  <si>
    <t>果酒（含酒精）;餐后酒（利⼝酒和烈酒）;酒精饮料（啤酒除外）;⾷⽤酒精;烧酒（烈酒）;⽩酒;蒸煮提取物（利⼝酒和烈酒）;⽼酒（中国蒸馏烈酒）;⽩⼲酒（中国⽩酒）;烧酒</t>
  </si>
  <si>
    <t>2022/10/08</t>
  </si>
  <si>
    <t>传世宏图</t>
  </si>
  <si>
    <t>海口秀英趣领冠贸易商行（个体工商户）</t>
  </si>
  <si>
    <t>⽶酒;葡萄酒;樱桃酒;酒精饮料（啤酒除外）;烧酒;鸡尾酒;⻘稞酒;⽩⼲酒（中国⽩酒）;⽩酒;果酒（含酒精）</t>
  </si>
  <si>
    <t>玉鎏春</t>
  </si>
  <si>
    <t>成都锦周酒店管理有限公司</t>
  </si>
  <si>
    <t>开胃酒;蜂蜜酒;⽶酒;⽩酒;葡萄酒;果酒;⻩酒;烧酒;甜酒;酒精饮料浓缩汁</t>
  </si>
  <si>
    <t>椰欢</t>
  </si>
  <si>
    <t>果酒（含酒精）;鸡尾酒;蒸馏饮料;葡萄酒;⽶酒;⽩酒;烧酒;烈酒（饮料）;酒精饮料（啤酒除外）;威⼠忌</t>
  </si>
  <si>
    <t>先赏</t>
  </si>
  <si>
    <t>葡萄酒;果酒（含酒精）;⻘稞酒;酒精饮料（啤酒除外）;威⼠忌;⽶酒;⽩酒;⻩酒;烧酒;清酒（⽇本⽶酒）</t>
  </si>
  <si>
    <t>孛儿金图腾</t>
  </si>
  <si>
    <t>内蒙古孛儿金图腾酒业有限公司</t>
  </si>
  <si>
    <t>酒精饮料（啤酒除外）;蒸馏饮料;鸡尾酒;⽩酒;葡萄酒;⽶酒;烧酒;烈酒（饮料）;⻩酒;果酒（含酒精）</t>
  </si>
  <si>
    <t>巴毛兰</t>
  </si>
  <si>
    <t>李毅</t>
  </si>
  <si>
    <t>苹果酒;⾕物制蒸馏酒精饮料;⽶酒;餐后酒（利⼝酒和烈酒）;蒸馏饮料;果酒（含酒精）;烈酒（饮料）;露酒;葡萄酒;⽩酒</t>
  </si>
  <si>
    <t>酒小子</t>
  </si>
  <si>
    <t>晋城市鑫易达商贸有限公司</t>
  </si>
  <si>
    <t>葡萄酒;蜂蜜酒;清酒（⽇本⽶酒）;⾼粱酒;⽩酒;⻘稞酒;果酒（含酒精）;⽩兰地;⽶酒;鸡尾酒</t>
  </si>
  <si>
    <t>重庆市百年诗仙酒业有限公司</t>
  </si>
  <si>
    <t>果酒（含酒精）;烧酒;⽩酒;⻩酒;鸡尾酒;葡萄酒;酒精饮料（啤酒除外）;⽶酒;蒸煮提取物（利⼝酒和烈酒）;开胃酒</t>
  </si>
  <si>
    <t>诗遇见歌</t>
  </si>
  <si>
    <t>河南诗和远方影视制作有限公司</t>
  </si>
  <si>
    <t>含⽔果酒精饮料;起泡⽩葡萄酒;红葡萄酒;含酒精的鸡尾酒混合饮品;含酒精的⽓泡⽔;⽩酒;⽶酒;⻩酒;⽩⼲酒（中国⽩酒）;葡萄酒</t>
  </si>
  <si>
    <t>鹿熊汇</t>
  </si>
  <si>
    <t>葡萄酒;酒精饮料（啤酒除外）;蒸煮提取物（利⼝酒和烈酒）;⽶酒;⽼酒（中国蒸馏烈酒）;⻩酒;清酒（⽇本⽶酒）;⻘稞酒;烧酒;⽩酒</t>
  </si>
  <si>
    <t>欧罗兰</t>
  </si>
  <si>
    <t>夏克生</t>
  </si>
  <si>
    <t>果酒（含酒精）;⽩兰地;⻩酒;烧酒;鸡尾酒;烈酒（饮料）;威⼠忌;⽶酒;⽩酒;葡萄酒</t>
  </si>
  <si>
    <t>菈妃</t>
  </si>
  <si>
    <t>果酒;威⼠忌;烈酒;葡萄酒;⻩酒;⽩酒;清酒;⽶酒;鸡尾酒;⽩兰地</t>
  </si>
  <si>
    <t>四福门</t>
  </si>
  <si>
    <t>鸡尾酒;⻩酒;⽩酒;含酒精的⽓泡⽔;烧酒;烈酒（饮料）;清酒（⽇本⽶酒）;⽶酒;果酒（含酒精）;葡萄酒</t>
  </si>
  <si>
    <t>福荃</t>
  </si>
  <si>
    <t>宋斌弟</t>
  </si>
  <si>
    <t>⾼粱酒;鸡尾酒;蒸馏饮料;葡萄酒;⾷⽤酒精;酒精饮料原汁;⽩酒;开胃酒;果酒;酒精饮料（啤酒除外）</t>
  </si>
  <si>
    <t>鹿司台</t>
  </si>
  <si>
    <t>裴娥</t>
  </si>
  <si>
    <t>烧酒;⾷⽤酒精;⽩酒;葡萄酒;⻩酒;果酒（含酒精）;酒精饮料（啤酒除外）;含⽔果酒精饮料;烈酒（饮料）;⽶酒</t>
  </si>
  <si>
    <t>烈酒（饮料）;酒精饮料（啤酒除外）;含⽔果酒精饮料;⽶酒;汽酒;果酒（含酒精）;烧酒;葡萄酒;⽩酒;以葡萄酒为主的饮料</t>
  </si>
  <si>
    <t>高尔河</t>
  </si>
  <si>
    <t>皮世昌430822********6879</t>
  </si>
  <si>
    <t>葡萄酒;酒精饮料（啤酒除外）;⻘稞酒;⽩酒;餐后酒（利⼝酒和烈酒）;⽶酒;⾷⽤酒精;果酒（含酒精）;烧酒;⽩兰地</t>
  </si>
  <si>
    <t>爱常进</t>
  </si>
  <si>
    <t>酒精饮料（啤酒除外）;甜酒;果酒（含酒精）;葡萄酒;烈酒;威⼠忌;⽩酒;蒸馏⽶酒（泡盛酒）;鸡尾酒;⽩兰地</t>
  </si>
  <si>
    <t>稷真斋</t>
  </si>
  <si>
    <t>邯郸市抱朴草供应链管理有限公司</t>
  </si>
  <si>
    <t>烧酒;⻩酒;蒸馏饮料;汽酒;葡萄酒;果酒（含酒精）;梨酒;蜂蜜酒;⽩酒;⽶酒</t>
  </si>
  <si>
    <t>SAKETOPIA</t>
  </si>
  <si>
    <t>华樱贸易（青岛）有限公司</t>
  </si>
  <si>
    <t>开胃酒;烧酒;葡萄酒;利⼝酒;酒精饮料（啤酒除外）;果酒（含酒精）;亚⼒酒;⻩酒;清酒（⽇本⽶酒）;⽶酒</t>
  </si>
  <si>
    <t>任小妹酒窖</t>
  </si>
  <si>
    <t>任琰</t>
  </si>
  <si>
    <t>烧酒;葡萄酒;蒸煮提取物（利⼝酒和烈酒）;⾷⽤酒精;⽩酒;伏特加酒;⻩酒;含⽔果酒精饮料;烈酒（饮料）;⽶酒</t>
  </si>
  <si>
    <t>麓溪谷</t>
  </si>
  <si>
    <t>四川沛华仁艺食品饮料有限公司</t>
  </si>
  <si>
    <t>果酒（含酒精）;烈酒（饮料）;清酒（⽇本⽶酒）;⽶酒;葡萄酒;酒精饮料（啤酒除外）;⻩酒;⽩酒;鸡尾酒;烧酒</t>
  </si>
  <si>
    <t>刘先恋</t>
  </si>
  <si>
    <t>⽶酒</t>
  </si>
  <si>
    <t>贡序</t>
  </si>
  <si>
    <t>陈天乐</t>
  </si>
  <si>
    <t>烈酒（饮料）;⻩酒;⽶酒;葡萄酒;⽩酒;酒精饮料原汁;酒精饮料（啤酒除外）;餐后酒（利⼝酒和烈酒）;烧酒;果酒（含酒精）</t>
  </si>
  <si>
    <t>时铭盛</t>
  </si>
  <si>
    <t>童艳</t>
  </si>
  <si>
    <t>红葡萄酒;含⽔果酒精饮料;果酒（含酒精）;烈酒（饮料）;⻩酒;烧酒;开胃酒;⽩酒;⽶酒;以葡萄酒为主的饮料</t>
  </si>
  <si>
    <t>农美业美</t>
  </si>
  <si>
    <t>⻩酒;⻘稞酒;苹果酒;葡萄酒;⽩酒;蒸馏饮料;⽶酒;烧酒;含⽔果酒精饮料;果酒（含酒精）</t>
  </si>
  <si>
    <t>青凌志</t>
  </si>
  <si>
    <t>葡萄酒;酒精饮料（啤酒除外）;⾷⽤酒精;⽶酒;⽩酒;烈酒（饮料）;烧酒;⻩酒;含⽔果酒精饮料;果酒（含酒精）</t>
  </si>
  <si>
    <t>粮润华</t>
  </si>
  <si>
    <t>刘建兵</t>
  </si>
  <si>
    <t>烧酒;葡萄酒;⽶酒;⻩酒;⽼酒（中国蒸馏烈酒）;果酒;⽩酒;⾼粱酒;清酒（⽇本⽶酒）;烈酒</t>
  </si>
  <si>
    <t>守贡人</t>
  </si>
  <si>
    <t>谭志江</t>
  </si>
  <si>
    <t>⽶酒;甜酒;果酒（含酒精）;蜂蜜酒;⽩酒;梅酒;清酒;含⽔果酒精饮料;⻩酒;酒精饮料（啤酒除外）</t>
  </si>
  <si>
    <t>荣桥里</t>
  </si>
  <si>
    <t>合肥新得贸易有限公司</t>
  </si>
  <si>
    <t>伏特加酒;⽩兰地;⽩酒;威⼠忌;果酒;烧酒;起泡⽩葡萄酒;葡萄酒;鸡尾酒;含酒精的⽔果鸡尾酒饮料</t>
  </si>
  <si>
    <t>龙权金樽</t>
  </si>
  <si>
    <t>清酒（⽇本⽶酒）;葡萄酒;果酒（含酒精）;烈酒（饮料）;鸡尾酒;⽩酒;酒精饮料（啤酒除外）;含⽔果酒精饮料;烈酒;烧酒</t>
  </si>
  <si>
    <t>赠玺</t>
  </si>
  <si>
    <t>葡萄酒;清酒（⽇本⽶酒）;酒精饮料（啤酒除外）;果酒（含酒精）;⽩酒;⻩酒;鸡尾酒;烈酒（饮料）;⽶酒;果酒</t>
  </si>
  <si>
    <t>年年棒</t>
  </si>
  <si>
    <t>张玉鸿</t>
  </si>
  <si>
    <t>果酒（含酒精）;鸡尾酒;葡萄酒;酒精饮料（啤酒除外）;威⼠忌;⻩酒;烧酒;⽩酒;蜂蜜酒;⽶酒</t>
  </si>
  <si>
    <t>寻麟</t>
  </si>
  <si>
    <t>周健</t>
  </si>
  <si>
    <t>⽩酒;预先混合的酒精饮料（以啤酒为主的除外）;烈酒;酒精饮料原汁;烧酒;已调味的蒸馏酒;⽩⼲酒（中国⽩酒）;清酒;⽶酒;酒精饮料（啤酒除外）</t>
  </si>
  <si>
    <t>不老谭口粮酒</t>
  </si>
  <si>
    <t>果酒（含酒精）;烈酒（饮料）;⾼粱酒;⽩酒;⻩酒;烧酒;梅酒;薄荷酒;果酒</t>
  </si>
  <si>
    <t>MYSKY</t>
  </si>
  <si>
    <t>海口旅游文化投资发展集团有限公司</t>
  </si>
  <si>
    <t>⽼酒（中国蒸馏烈酒）;甜酒;⽩兰地;烧酒;果酒（含酒精）;由⾕物蒸馏的⽩酒;酒精饮料（啤酒除外）;葡萄酒;⽩酒;⽶酒</t>
  </si>
  <si>
    <t>纳鑫</t>
  </si>
  <si>
    <t>夏楚波</t>
  </si>
  <si>
    <t>威⼠忌;朗姆酒;苦味酒;汽酒;鸡尾酒;葡萄酒;⽩酒;果酒（含酒精）;伏特加酒;酒精饮料（啤酒除外）</t>
  </si>
  <si>
    <t>卿花美</t>
  </si>
  <si>
    <t>烧酒;葡萄酒;⽩兰地;果酒;⻩酒;⽶酒;汽酒;清酒;⽩酒;威⼠忌</t>
  </si>
  <si>
    <t>一波云</t>
  </si>
  <si>
    <t>广东一波酒文化传播有限公司</t>
  </si>
  <si>
    <t>葡萄酒;利⼝酒;烈酒（饮料）;烧酒;酒精饮料（啤酒除外）;⽶酒;蒸馏饮料;鸡尾酒;清酒（⽇本⽶酒）;⻩酒</t>
  </si>
  <si>
    <t>千盟</t>
  </si>
  <si>
    <t>酒精饮料浓缩汁;⽩酒;鸡尾酒;⻩酒;柑⾹酒;清酒（⽇本⽶酒）;⽶酒;酸酒（低等葡萄酒）;酒精饮料（啤酒除外）;葡萄酒</t>
  </si>
  <si>
    <t>福袋熊</t>
  </si>
  <si>
    <t>孙煦东</t>
  </si>
  <si>
    <t>⻩酒;⽶酒;⽩酒;鸡尾酒;果酒;汽酒;⻘稞酒;⽩兰地;清酒（⽇本⽶酒）;葡萄酒</t>
  </si>
  <si>
    <t>沪来香</t>
  </si>
  <si>
    <t>上海雅文食品有限公司</t>
  </si>
  <si>
    <t>⽩酒;已调味的⻨芽酿制的酒精饮料（啤酒除外）;酒精饮料原汁;⽶酒;⻩酒;果酒;⽼酒（中国蒸馏烈酒）;已调味的蒸馏酒;果酒（含酒精）;清酒</t>
  </si>
  <si>
    <t>兰特庄园</t>
  </si>
  <si>
    <t>中诺（山东）酒业有限公司</t>
  </si>
  <si>
    <t>⽩酒;烧酒（烈酒）;果酒（含酒精）;朗姆酒（酒精饮料）;蒸馏⽶酒（泡盛酒）;⽶酒;由⾕物蒸馏的⽩酒;烧酒;露酒;⽩⼲酒（中国⽩酒）</t>
  </si>
  <si>
    <t>清袖</t>
  </si>
  <si>
    <t>⽶酒;⽩酒;⾼粱酒;葡萄酒;⻩酒;⻘稞酒;清酒;烧酒</t>
  </si>
  <si>
    <t>库乐诗</t>
  </si>
  <si>
    <t>开胃酒;⻩酒;⽩酒;酒精饮料（啤酒除外）;果酒;葡萄酒;⽶酒;烧酒;清酒（⽇本⽶酒）;蒸煮提取物（利⼝酒和烈酒）</t>
  </si>
  <si>
    <t>岑蓝</t>
  </si>
  <si>
    <t>李志梅</t>
  </si>
  <si>
    <t>鸡尾酒;⽶酒;烈酒（饮料）;烧酒;含⽔果酒精饮料;威⼠忌;露酒;⽩兰地;朗姆酒;⽩酒</t>
  </si>
  <si>
    <t>稻品传奇</t>
  </si>
  <si>
    <t>戴安明</t>
  </si>
  <si>
    <t>烧酒;⾼粱酒;⽶酒;⽩酒</t>
  </si>
  <si>
    <t>石塘寨</t>
  </si>
  <si>
    <t>刘俊华</t>
  </si>
  <si>
    <t>果酒;⽩⼲酒（中国⽩酒）;⽩酒;⽼酒（中国蒸馏烈酒）;含⽔果酒精饮料;酒精饮料（啤酒除外）;⽶酒;⻩酒;甜酒;烧酒</t>
  </si>
  <si>
    <t>释言</t>
  </si>
  <si>
    <t>果酒（含酒精）;葡萄酒;⽶酒;烧酒;⽩酒;鸡尾酒;⾼粱酒;汽酒;⻩酒;露酒</t>
  </si>
  <si>
    <t>橙小白</t>
  </si>
  <si>
    <t>四川尚果酒业有限公司</t>
  </si>
  <si>
    <t>葡萄酒;蒸煮提取物（利⼝酒和烈酒）;酒精饮料浓缩汁;烈酒（饮料）;预先混合的酒精饮料（以啤酒为主的除外）;含⽔果酒精饮料;酒精饮料（啤酒除外）;⽩酒;酒精饮料原汁;果酒（含酒精）</t>
  </si>
  <si>
    <t>竹清粱</t>
  </si>
  <si>
    <t>烈酒（饮料）;⽩兰地;烈性⼲酒;果酒;烧酒;预先混合的酒精饮料（以啤酒为主的除外）;⽩酒;蒸馏饮料;葡萄酒;⽶酒</t>
  </si>
  <si>
    <t>白玉映</t>
  </si>
  <si>
    <t>贵州臻灿贸易有限公司</t>
  </si>
  <si>
    <t>⻩酒;⽩酒;葡萄酒;威⼠忌;烈酒;⽩兰地;⽶酒;烈性⼲酒;果酒;烧酒</t>
  </si>
  <si>
    <t>三和向善</t>
  </si>
  <si>
    <t>陈炳强</t>
  </si>
  <si>
    <t>果酒;清酒（⽇本⽶酒）;⻩酒;烧酒;伏特加酒;开胃酒;⽶酒;葡萄酒;⾷⽤酒精;⽩兰地</t>
  </si>
  <si>
    <t>泉安荟</t>
  </si>
  <si>
    <t>福建省泉安杯贸易发展有限公司</t>
  </si>
  <si>
    <t>⽶酒;⽩酒;烧酒;威⼠忌;果酒（含酒精）;⽩兰地;酒精饮料（啤酒除外）;⻩酒;鸡尾酒;葡萄酒</t>
  </si>
  <si>
    <t>古岳天泉</t>
  </si>
  <si>
    <t>李玉龙</t>
  </si>
  <si>
    <t>⽩酒;葡萄酒;烈酒;⽼酒（中国蒸馏烈酒）;⾼粱酒;果酒;烧酒;酒精饮料（啤酒除外）;⽶酒;⻩酒</t>
  </si>
  <si>
    <t>BENSLY</t>
  </si>
  <si>
    <t>广州西琅表业有限公司</t>
  </si>
  <si>
    <t>威⼠忌;含⽔果酒精饮料;甜酒;葡萄酒;伏特加酒;⽩兰地;烈酒（饮料）;酒精饮料（啤酒除外）;⽶酒;朗姆酒</t>
  </si>
  <si>
    <t>官斧</t>
  </si>
  <si>
    <t>喜铁石（上海）信息科技有限公司</t>
  </si>
  <si>
    <t>⽩酒;果酒;清酒（⽇本⽶酒）;鸡尾酒;⽶酒;酒精饮料（啤酒除外）;开胃酒;⻩酒;烧酒;葡萄酒</t>
  </si>
  <si>
    <t>DILDJ</t>
  </si>
  <si>
    <t>杭州楚云文化传媒有限公司</t>
  </si>
  <si>
    <t>⽩兰地;果酒;烈酒;葡萄酒;朗姆酒（酒精饮料）;鸡尾酒;酒精饮料（啤酒除外）;⻩酒;⽩酒;⽼酒（中国蒸馏烈酒）</t>
  </si>
  <si>
    <t>朗蒂菲（上海）酒业发展有限公司</t>
  </si>
  <si>
    <t>含酒精的⽔果鸡尾酒饮料;果酒;⽩兰地;酒精饮料（啤酒除外）;葡萄酒;⻩酒;含酒精的鸡尾酒混合饮品;清酒;伏特加酒;樱桃⽩兰地</t>
  </si>
  <si>
    <t>黔铮铭</t>
  </si>
  <si>
    <t>贵州省仁怀市众望酒业有限公司</t>
  </si>
  <si>
    <t>烈酒;果酒;烧酒;开胃酒;⾼粱酒;⾕物制蒸馏酒精饮料;⽩酒;利⼝酒;威⼠忌;酒精饮料（啤酒除外）</t>
  </si>
  <si>
    <t>黔粮典</t>
  </si>
  <si>
    <t>吴潍霖</t>
  </si>
  <si>
    <t>烧酒;鸡尾酒;葡萄酒;梨酒;樱桃酒;⽩兰地;⽶酒;⻩酒;开胃酒;⽩酒</t>
  </si>
  <si>
    <t>纯境道盟</t>
  </si>
  <si>
    <t>泸州恩度酒业有限公司</t>
  </si>
  <si>
    <t>⽩酒;⻘稞酒;⻩酒;酒精饮料（啤酒除外）;烧酒;葡萄酒;由⾕物蒸馏的⽩酒;⽩⼲酒（中国⽩酒）;果酒（含酒精）;烈酒</t>
  </si>
  <si>
    <t>福圃</t>
  </si>
  <si>
    <t>易棚英</t>
  </si>
  <si>
    <t>鸡尾酒;果酒（含酒精）;苹果酒;烈酒（饮料）;⽩酒;酒精饮料原汁;烧酒;⻩酒;⽶酒;清酒（⽇本⽶酒）</t>
  </si>
  <si>
    <t>九丞石淙</t>
  </si>
  <si>
    <t>吴福洪330725********3935</t>
  </si>
  <si>
    <t>清酒;⽩酒;⻩酒;烧酒;⽩兰地;⽶酒;⾼粱酒;烈酒;含酒精的饮料（啤酒除外）;葡萄酒</t>
  </si>
  <si>
    <t>粮者诗经</t>
  </si>
  <si>
    <t>河南粮者酒行连锁管理科技有限公司</t>
  </si>
  <si>
    <t>⽇式甜⽶酒;佐餐酒;⽩酒;葡萄潘趣酒;⽩葡萄酒;草莓酒;含⽜奶的鸡尾酒;朗姆潘趣酒;甜果酒;果酒</t>
  </si>
  <si>
    <t>华銮</t>
  </si>
  <si>
    <t>葡萄酒;⽩酒;⽶酒;⾼粱酒;⻘稞酒;果酒;苦荞酒;烧酒</t>
  </si>
  <si>
    <t>羊主任</t>
  </si>
  <si>
    <t>鄂尔多斯市晴天供应链管理有限责任公司</t>
  </si>
  <si>
    <t>薄荷酒;⽩兰地;烧酒;果酒（含酒精）;威⼠忌;利⼝酒;清酒（⽇本⽶酒）;鸡尾酒;葡萄酒;开胃酒</t>
  </si>
  <si>
    <t>金岸风华</t>
  </si>
  <si>
    <t>宁夏华熙酒庄有限公司</t>
  </si>
  <si>
    <t>酒精饮料浓缩汁;酒精饮料（啤酒除外）;预先混合的酒精饮料（以啤酒为主的除外）;以葡萄酒为主的饮料;汽酒;开胃酒;含⽔果酒精饮料;葡萄酒;酒精饮料原汁;果酒（含酒精）</t>
  </si>
  <si>
    <t>重民爱莲说</t>
  </si>
  <si>
    <t>马云</t>
  </si>
  <si>
    <t>葡萄酒;烈酒（饮料）;以葡萄酒为主的饮料;⽩酒;利⼝酒;蒸馏饮料;鸡尾酒;蜂蜜酒;开胃酒;薄荷酒</t>
  </si>
  <si>
    <t>秦李白</t>
  </si>
  <si>
    <t>易燕花</t>
  </si>
  <si>
    <t>果酒（含酒精）;⽩酒;清酒（⽇本⽶酒）;鸡尾酒;⻩酒;烈酒（饮料）;⽶酒;威⼠忌;葡萄酒;蜂蜜酒</t>
  </si>
  <si>
    <t>红羊羔</t>
  </si>
  <si>
    <t>蜂蜜酒;⽩⼲酒（中国⽩酒）;苦荞酒;薄荷酒;⾼粱酒;⽩酒;⽼酒（中国蒸馏烈酒）;烈酒;烧酒;⻩酒</t>
  </si>
  <si>
    <t>辣七二景</t>
  </si>
  <si>
    <t>贵州香咔咔食品加工厂</t>
  </si>
  <si>
    <t>果酒（含酒精）;烧酒;⻩酒;苹果酒;樱桃酒;威⼠忌;⽩酒;葡萄酒;⽶酒;鸡尾酒</t>
  </si>
  <si>
    <t>汉帝桃缘</t>
  </si>
  <si>
    <t>流动创艺（厦门）酒业有限公司</t>
  </si>
  <si>
    <t>葡萄酒;⻘稞酒;⽩酒;⽩兰地;威⼠忌;⽶酒;烧酒;⻩酒;果酒（含酒精）;鸡尾酒</t>
  </si>
  <si>
    <t>古邦龙尊</t>
  </si>
  <si>
    <t>⻩酒;梅酒;果酒（含酒精）;⽶酒;⽩酒;⽼酒（中国蒸馏烈酒）;酒精饮料（啤酒除外）;葡萄酒;⾼粱酒;⾕物制蒸馏酒精饮料</t>
  </si>
  <si>
    <t>钵子村</t>
  </si>
  <si>
    <t>张恒铭</t>
  </si>
  <si>
    <t>⽩酒;清酒（⽇本⽶酒）;含⽔果酒精饮料;烧酒;鸡尾酒;果酒（含酒精）;蜂蜜酒;酒精饮料（啤酒除外）;葡萄酒;⽶酒</t>
  </si>
  <si>
    <t>宜山人家</t>
  </si>
  <si>
    <t>李庭坚</t>
  </si>
  <si>
    <t>蒸馏饮料;蜂蜜酒;果酒（含酒精）;樱桃酒;葡萄酒;⽶酒;⻘稞酒;⽩酒;蒸煮提取物（利⼝酒和烈酒）;清酒（⽇本⽶酒）</t>
  </si>
  <si>
    <t>喜㶮</t>
  </si>
  <si>
    <t>张家全</t>
  </si>
  <si>
    <t>⽩酒;⽶酒;果酒（含酒精）;⾕物制蒸馏酒精饮料;烧酒;烈酒（饮料）;葡萄酒;利⼝酒;⽩兰地;⾷⽤酒精</t>
  </si>
  <si>
    <t>利珠</t>
  </si>
  <si>
    <t>靖江市畅游贸易有限公司</t>
  </si>
  <si>
    <t>伏特加酒;⻩酒;⽩酒;果酒（含酒精）;⽶酒;烧酒;鸡尾酒;蒸煮提取物（利⼝酒和烈酒）;⽩兰地;葡萄酒</t>
  </si>
  <si>
    <t>陛昌</t>
  </si>
  <si>
    <t>杜雪培</t>
  </si>
  <si>
    <t>烈酒;⽩酒;清酒（⽇本⽶酒）;果酒（含酒精）;鸡尾酒;⻩酒;葡萄酒;酒精饮料（啤酒除外）;威⼠忌;开胃酒</t>
  </si>
  <si>
    <t>盒优</t>
  </si>
  <si>
    <t>龙先梅</t>
  </si>
  <si>
    <t>⽶酒;预先混合的酒精饮料（以啤酒为主的除外）;⻩酒;果酒;⾼粱酒;露酒;果酒（含酒精）;葡萄酒;汽酒;⽩酒</t>
  </si>
  <si>
    <t>玻优</t>
  </si>
  <si>
    <t>⽶酒;葡萄酒;果酒（含酒精）;预先混合的酒精饮料（以啤酒为主的除外）;露酒;⾼粱酒;汽酒;⽩酒;果酒;⻩酒</t>
  </si>
  <si>
    <t>财年画</t>
  </si>
  <si>
    <t>⽩酒;蒸煮提取物（利⼝酒和烈酒）;⽼酒（中国蒸馏烈酒）;烈酒;⽩⼲酒（中国⽩酒）;烧酒;⾷⽤酒精;含酒精的饮料（啤酒除外）;餐后酒（利⼝酒和烈酒）;果酒（含酒精）</t>
  </si>
  <si>
    <t>竹年画</t>
  </si>
  <si>
    <t>烧酒;⽼酒（中国蒸馏烈酒）;果酒（含酒精）;⾷⽤酒精;含酒精的饮料（啤酒除外）;⽩⼲酒（中国⽩酒）;餐后酒（利⼝酒和烈酒）;⽩酒;蒸煮提取物（利⼝酒和烈酒）;烈酒</t>
  </si>
  <si>
    <t>糅青白</t>
  </si>
  <si>
    <t>易延</t>
  </si>
  <si>
    <t>露酒;⻩酒;⾕物制蒸馏酒精饮料;清酒;黑覆盆⼦酒;梅酒;⽼酒（中国蒸馏烈酒）;利⼝酒;酒精饮料（啤酒除外）;⾷⽤酒精</t>
  </si>
  <si>
    <t>胜鑫堂</t>
  </si>
  <si>
    <t>贵州省迈柯维信息咨询服务有限公司</t>
  </si>
  <si>
    <t>蒸煮提取物（利⼝酒和烈酒）;葡萄酒;⾷⽤酒精;烧酒;酒精饮料（啤酒除外）;蜂蜜酒;清酒;⽶酒;⻩酒;⽩酒</t>
  </si>
  <si>
    <t>遇九州</t>
  </si>
  <si>
    <t>内蒙古遇九州文化传媒有限责任公司</t>
  </si>
  <si>
    <t>清酒（⽇本⽶酒）;威⼠忌;⽩兰地;⽩酒;⾷⽤酒精;烈酒（饮料）;酒精饮料（啤酒除外）;葡萄酒;酒精饮料浓缩汁;果酒（含酒精）</t>
  </si>
  <si>
    <t>巡航仕</t>
  </si>
  <si>
    <t>深圳市巡航仕实业有限公司</t>
  </si>
  <si>
    <t>葡萄酒;⽩酒;清酒（⽇本⽶酒）;⾕物制蒸馏酒精饮料;⾷⽤酒精;烧酒;酒精饮料原汁;酒精饮料（啤酒除外）;⽶酒;⻩酒</t>
  </si>
  <si>
    <t>宽窄福</t>
  </si>
  <si>
    <t>烈酒;薄荷酒;烧酒;蜂蜜酒;苦荞酒;⻩酒;⽩酒;⾼粱酒;⽼酒（中国蒸馏烈酒）;⽩⼲酒（中国⽩酒）</t>
  </si>
  <si>
    <t>玉砥</t>
  </si>
  <si>
    <t>山东鲁墨酒业有限公司</t>
  </si>
  <si>
    <t>⽩酒;果酒（含酒精）;葡萄酒;烧酒;⻩酒;蒸馏饮料;鸡尾酒;威⼠忌;⽶酒;⽩兰地</t>
  </si>
  <si>
    <t>郎牌</t>
  </si>
  <si>
    <t>含⽔果酒精饮料;⾷⽤酒精;烧酒;⽶酒;威⼠忌;果酒（含酒精）;开胃酒;⻩酒;⽩酒;酒精饮料（啤酒除外）</t>
  </si>
  <si>
    <t>浙君</t>
  </si>
  <si>
    <t>李廷辉</t>
  </si>
  <si>
    <t>开胃酒;鸡尾酒;清酒（⽇本⽶酒）;酒精饮料（啤酒除外）;烈酒;果酒（含酒精）;葡萄酒;威⼠忌;⻩酒;⽩酒</t>
  </si>
  <si>
    <t>谦泰金兴</t>
  </si>
  <si>
    <t>广州谦泰金兴投资有限公司</t>
  </si>
  <si>
    <t>清酒;酒精饮料（啤酒除外）;⽩酒;⽶酒;鸡尾酒;⻩酒;⽩兰地;果酒（含酒精）;烧酒;伏特加酒;薄荷酒</t>
  </si>
  <si>
    <t>春陵王</t>
  </si>
  <si>
    <t>廖祖海</t>
  </si>
  <si>
    <t>⽩酒;鸡尾酒;⽶酒;⽩兰地;酒精饮料（啤酒除外）;葡萄酒;果酒（含酒精）;烈酒（饮料）;威⼠忌;烧酒</t>
  </si>
  <si>
    <t>知荣</t>
  </si>
  <si>
    <t>刘源</t>
  </si>
  <si>
    <t>葡萄酒;威⼠忌;烈酒;清酒（⽇本⽶酒）;⽩酒;果酒（含酒精）;鸡尾酒;⻩酒;开胃酒;酒精饮料（啤酒除外）</t>
  </si>
  <si>
    <t>SJTUERS</t>
  </si>
  <si>
    <t>威⼠忌;⽶酒;烧酒（烈酒）;⻩酒;⽩酒;鸡尾酒;葡萄酒;⽩兰地;清酒;果酒</t>
  </si>
  <si>
    <t>神农九道</t>
  </si>
  <si>
    <t>⽩酒;⻩酒;酒精饮料（啤酒除外）;⻘稞酒;烧酒;清酒（⽇本⽶酒）;葡萄酒;⽶酒;伏特加酒;果酒（含酒精）</t>
  </si>
  <si>
    <t>窖庄君</t>
  </si>
  <si>
    <t>李铁</t>
  </si>
  <si>
    <t>开胃酒;鸡尾酒;⽩酒;清酒（⽇本⽶酒）;烈酒;葡萄酒;威⼠忌;酒精饮料（啤酒除外）;⻩酒;果酒（含酒精）</t>
  </si>
  <si>
    <t>澹池</t>
  </si>
  <si>
    <t>吴新华</t>
  </si>
  <si>
    <t>果酒（含酒精）;⽶酒;⽩酒;鸡尾酒;⽩⼲酒（中国⽩酒）;烈酒（饮料）;烧酒;⾷⽤酒精;⽼酒（中国蒸馏烈酒）;伏特加酒</t>
  </si>
  <si>
    <t>柔临门</t>
  </si>
  <si>
    <t>徐凤群</t>
  </si>
  <si>
    <t>⾷⽤酒精;含⽔果酒精饮料;⽶酒;烈酒（饮料）;烧酒;⻘稞酒;⽩酒;⻩酒;威⼠忌;果酒（含酒精）</t>
  </si>
  <si>
    <t>潭白山</t>
  </si>
  <si>
    <t>王灿</t>
  </si>
  <si>
    <t>果酒（含酒精）;⽶酒;葡萄酒;⾼粱酒;烧酒;⻩酒;酒精饮料（啤酒除外）;⽼酒（中国蒸馏烈酒）;烈酒（饮料）;⽩酒</t>
  </si>
  <si>
    <t>牵云</t>
  </si>
  <si>
    <t>刘博洋</t>
  </si>
  <si>
    <t>⽩酒;果酒（含酒精）;酒精饮料（啤酒除外）;⻩酒;鸡尾酒;葡萄酒;烈酒（饮料）;开胃酒;清酒（⽇本⽶酒）;威⼠忌</t>
  </si>
  <si>
    <t>重庆龚氏酒业有限公司</t>
  </si>
  <si>
    <t>⽶酒;⽩酒;烈酒（饮料）;烧酒;⾕物制蒸馏酒精饮料;葡萄酒;果酒（含酒精）;预先混合的酒精饮料（以啤酒为主的除外）;⻩酒;开胃酒</t>
  </si>
  <si>
    <t>臻灿</t>
  </si>
  <si>
    <t>葡萄酒;⽶酒;⻩酒;果酒;烧酒;⽩酒;烈酒;⽩兰地;威⼠忌;烈性⼲酒</t>
  </si>
  <si>
    <t>延吉市龙金信息服务部</t>
  </si>
  <si>
    <t>果酒;⽩兰地;预先混合的酒精饮料（以啤酒为主的除外）;⻩酒;鸡尾酒;⽶酒;⽩酒;含⽔果酒精饮料;烧酒;葡萄酒</t>
  </si>
  <si>
    <t>申玺</t>
  </si>
  <si>
    <t>李承蓄</t>
  </si>
  <si>
    <t>果酒（含酒精）;葡萄酒;含⽔果酒精饮料;烧酒;蒸馏饮料;酒精饮料原汁;鸡尾酒;⽩酒;烈酒（饮料）;酒精饮料（啤酒除外）</t>
  </si>
  <si>
    <t>悦菲纳</t>
  </si>
  <si>
    <t>张利康</t>
  </si>
  <si>
    <t>威⼠忌;⽩酒;鸡尾酒;清酒（⽇本⽶酒）;果酒（含酒精）;葡萄酒;酒精饮料（啤酒除外）;⻩酒;开胃酒;烈酒</t>
  </si>
  <si>
    <t>江洛秦岭之心</t>
  </si>
  <si>
    <t>甘肃金杉企业管理有限公司</t>
  </si>
  <si>
    <t>⽶酒;开胃酒;酒精饮料（啤酒除外）;烧酒;⻘稞酒;⽩酒;果酒（含酒精）;葡萄酒;餐后酒（利⼝酒和烈酒）;⻩酒</t>
  </si>
  <si>
    <t>斩马剑</t>
  </si>
  <si>
    <t>许继志</t>
  </si>
  <si>
    <t>清酒（⽇本⽶酒）;鸡尾酒;⻩酒;威⼠忌;酒精饮料（啤酒除外）;⽩酒;果酒（含酒精）;烈酒（饮料）;开胃酒;葡萄酒</t>
  </si>
  <si>
    <t>新泉颜家坊</t>
  </si>
  <si>
    <t>江西捷艺劳务有限公司</t>
  </si>
  <si>
    <t>果酒（含酒精）;⽩⼲酒（中国⽩酒）;开胃酒;葡萄酒;蜂蜜酒;威⼠忌;朝鲜族⽶酒;伏特加酒;鸡尾酒;烧酒</t>
  </si>
  <si>
    <t>旺湘荟</t>
  </si>
  <si>
    <t>宿州市湘味园食品有限公司</t>
  </si>
  <si>
    <t>蒸馏饮料;⾕物制蒸馏酒精饮料;⽩酒;鸡尾酒;梨酒;烧酒;酒精饮料（啤酒除外）;葡萄酒;预先混合的酒精饮料（以啤酒为主的除外）;⽶酒</t>
  </si>
  <si>
    <t>汉芳集</t>
  </si>
  <si>
    <t>杨佳辉</t>
  </si>
  <si>
    <t>开胃酒;汽酒;⽶酒;⾷⽤酒精;⻩酒;果酒;清酒;⽩酒;葡萄酒;甜酒</t>
  </si>
  <si>
    <t>BOTONG 卜同商务</t>
  </si>
  <si>
    <t>梅州市卜同电子商务有限公司</t>
  </si>
  <si>
    <t>⽶酒;⻩酒;果酒;蒸馏饮料;除啤酒外的酒精饮料;果酒（含酒精）;鸡尾酒;葡萄酒;⽩酒;⽩兰地</t>
  </si>
  <si>
    <t>沪阿公</t>
  </si>
  <si>
    <t>已调味的⻨芽酿制的酒精饮料（啤酒除外）;⽩酒;酒精饮料原汁;⻩酒;果酒（含酒精）;⽶酒;果酒;已调味的蒸馏酒;清酒;⽼酒（中国蒸馏烈酒）</t>
  </si>
  <si>
    <t>宽窄状元</t>
  </si>
  <si>
    <t>苦荞酒;⽼酒（中国蒸馏烈酒）;⽩酒;烈酒;烧酒;⽩⼲酒（中国⽩酒）;薄荷酒;蜂蜜酒;⻩酒;⾼粱酒</t>
  </si>
  <si>
    <t>借日</t>
  </si>
  <si>
    <t>⻘稞酒;朗姆酒（酒精饮料）;汽酒;朗姆潘趣酒;黑覆盆⼦酒;⽩酒;咖啡利⼝酒;桃红葡萄酒;蝮蛇酒;⻩酒</t>
  </si>
  <si>
    <t>五威超托</t>
  </si>
  <si>
    <t>北京圣意卓悦贸易有限公司</t>
  </si>
  <si>
    <t>葡萄酒;开胃酒;鸡尾酒;酸酒（低等葡萄酒）;清酒;果酒（含酒精）;威⼠忌;桃红葡萄酒;烧酒（烈酒）;酒精饮料（啤酒除外）</t>
  </si>
  <si>
    <t>寻予</t>
  </si>
  <si>
    <t>政和寻予电子商务有限公司</t>
  </si>
  <si>
    <t>蒸馏饮料;烈酒（饮料）;酒精饮料（啤酒除外）;鸡尾酒;果酒（含酒精）;⽩酒;威⼠忌;烧酒;葡萄酒;⽶酒</t>
  </si>
  <si>
    <t>绍主</t>
  </si>
  <si>
    <t>清酒（⽇本⽶酒）;⽶酒;⻩酒;利⼝酒;⻘稞酒;⽩酒;酒精饮料原汁;以葡萄酒为主的饮料;威⼠忌;烧酒</t>
  </si>
  <si>
    <t>东莞市风云汇企业管理咨询中心（有限合伙）</t>
  </si>
  <si>
    <t>鸡尾酒;威⼠忌;朗姆酒;含⽔果酒精饮料;⽩酒;⾼粱酒;烧酒;⻩酒;除啤酒外的酒精饮料;⽶酒</t>
  </si>
  <si>
    <t>长江明珠</t>
  </si>
  <si>
    <t>姬苏娟</t>
  </si>
  <si>
    <t>SHUIQUNUO</t>
  </si>
  <si>
    <t>福州小文哥电子商务有限公司</t>
  </si>
  <si>
    <t>以葡萄酒为主的饮料;⽩酒;⻩酒;果酒（含酒精）;鸡尾酒;⽩兰地;⽶酒;⻘稞酒;酒精饮料（啤酒除外）;葡萄酒</t>
  </si>
  <si>
    <t>岳龙茂禾山</t>
  </si>
  <si>
    <t>李启顺</t>
  </si>
  <si>
    <t>蒸馏饮料;利⼝酒;预先混合的酒精饮料（以啤酒为主的除外）;⽩酒;果酒;酒精饮料原汁;⽶酒;烈酒;开胃酒;⾼粱酒</t>
  </si>
  <si>
    <t>古都乘浩</t>
  </si>
  <si>
    <t>李红利</t>
  </si>
  <si>
    <t>⽶酒;⽩⼲酒（中国⽩酒）;蜂蜜酒;甜果酒;⻩酒;预调甜酒;⻘梅酒;果酒;果酒（含酒精）;葡萄酒</t>
  </si>
  <si>
    <t>西裕红</t>
  </si>
  <si>
    <t>李林森</t>
  </si>
  <si>
    <t>烧酒;⽶酒;酒精饮料原汁;餐后酒（利⼝酒和烈酒）;酒精饮料（啤酒除外）;⽩酒;果酒（含酒精）;烈酒（饮料）;葡萄酒;⻩酒</t>
  </si>
  <si>
    <t>明道君悦</t>
  </si>
  <si>
    <t>张二秀</t>
  </si>
  <si>
    <t>果酒（含酒精）;酒精饮料（啤酒除外）;烈酒（饮料）;烧酒;⽶酒;⻘稞酒;⻩酒;葡萄酒;开胃酒;⽩酒</t>
  </si>
  <si>
    <t>醉库</t>
  </si>
  <si>
    <t>邱世斌</t>
  </si>
  <si>
    <t>果酒（含酒精）;葡萄酒;⽩酒;烧酒;⻩酒;⽶酒;伏特加酒;⻘稞酒;清酒（⽇本⽶酒）;酒精饮料（啤酒除外）</t>
  </si>
  <si>
    <t>新州及第</t>
  </si>
  <si>
    <t>区可赞</t>
  </si>
  <si>
    <t>⽩酒;威⼠忌;利⼝酒;鸡尾酒;⻘稞酒;烧酒;⽩兰地;葡萄酒;⻩酒;⽶酒</t>
  </si>
  <si>
    <t>美兴均缘</t>
  </si>
  <si>
    <t>朱美均</t>
  </si>
  <si>
    <t>果酒（含酒精）;红葡萄酒;酒精饮料（啤酒除外）;汽酒;⽩酒;⻩酒;鸡尾酒;葡萄酒;⾷⽤酒精;烧酒</t>
  </si>
  <si>
    <t>忆潼关</t>
  </si>
  <si>
    <t>罗建帮</t>
  </si>
  <si>
    <t>酒精饮料（啤酒除外）;⽩酒;果酒（含酒精）;鸡尾酒;清酒（⽇本⽶酒）;威⼠忌;⻩酒;烈酒;开胃酒;葡萄酒</t>
  </si>
  <si>
    <t>部落法特</t>
  </si>
  <si>
    <t>王群良</t>
  </si>
  <si>
    <t>葡萄酒;威⼠忌;⽶酒;鸡尾酒;伏特加酒;⽩酒;朗姆酒;⾷⽤酒精;果酒（含酒精）;酒精饮料（啤酒除外）</t>
  </si>
  <si>
    <t>乐临门</t>
  </si>
  <si>
    <t>⾷⽤酒精;烧酒;烈酒（饮料）;⻘稞酒;果酒（含酒精）;⻩酒;威⼠忌;含⽔果酒精饮料;⽶酒;⽩酒</t>
  </si>
  <si>
    <t>财椰到</t>
  </si>
  <si>
    <t>刘晓生</t>
  </si>
  <si>
    <t>⻩酒;葡萄酒;酒精饮料（啤酒除外）;含⽔果酒精饮料;汽酒;⽩酒;果酒（含酒精）;鸡尾酒;⽩兰地;⽶酒</t>
  </si>
  <si>
    <t>赤汮</t>
  </si>
  <si>
    <t>⻩酒;鸡尾酒;酒精饮料（啤酒除外）;含酒精的饮料（啤酒除外）;⽩⼲酒（中国⽩酒）;由⾕物蒸馏的⽩酒;⾕物制蒸馏酒精饮料;果酒（含酒精）;⽩酒;葡萄酒</t>
  </si>
  <si>
    <t>禧泰</t>
  </si>
  <si>
    <t>⽶酒;⽩酒;⾼粱酒;烧酒;清酒;⻘稞酒;葡萄酒;⻩酒</t>
  </si>
  <si>
    <t>YOSHIDA HAKURYU</t>
  </si>
  <si>
    <t>塞芬尼控股有限公司</t>
  </si>
  <si>
    <t>果酒（含酒精）;⽇本松针酒;佐餐酒;葡萄酒;清酒（⽇本⽶酒）;⽶酒;⽇本梅⼦酒;含酒精的鸡尾酒混合饮品</t>
  </si>
  <si>
    <t>摘香玖</t>
  </si>
  <si>
    <t>孙明</t>
  </si>
  <si>
    <t>⽩兰地;威⼠忌;⽶酒;⾼粱酒;甜酒;烧酒;⻩酒;⽩酒;果酒;葡萄酒</t>
  </si>
  <si>
    <t>东方华龘</t>
  </si>
  <si>
    <t>葡萄酒;⻩酒;甜酒;⽶酒;⽩酒;威⼠忌;烧酒;⾼粱酒;⽩兰地;果酒</t>
  </si>
  <si>
    <t>齐浩莹</t>
  </si>
  <si>
    <t>双阳区齐峰家庭农场</t>
  </si>
  <si>
    <t>⾷⽤酒精;蒸煮提取物（利⼝酒和烈酒）;烈酒（饮料）;⽶酒;烧酒;除啤酒外的酒精饮料;开胃酒;含酒精的充⽓饮料（啤酒除外）;利⼝酒;含⽔果酒精饮料</t>
  </si>
  <si>
    <t>王公美</t>
  </si>
  <si>
    <t>舒宇</t>
  </si>
  <si>
    <t>⽩酒;鸡尾酒;⽶酒;果酒（含酒精）;清酒（⽇本⽶酒）;酒精饮料（啤酒除外）;⻩酒;烧酒;葡萄酒;烈酒（饮料）</t>
  </si>
  <si>
    <t>德陵春</t>
  </si>
  <si>
    <t>德州壹郑品牌管理有限公司</t>
  </si>
  <si>
    <t>开胃酒;⽶酒;⻩酒;清酒;烧酒;⽩酒;烈酒;果酒（含酒精）;酒精饮料（啤酒除外）;葡萄酒</t>
  </si>
  <si>
    <t>吉霖醉洮醇</t>
  </si>
  <si>
    <t>刘正国</t>
  </si>
  <si>
    <t>葡萄酒;⽶酒;烈酒（饮料）;烧酒;⾷⽤酒精;果酒（含酒精）;⻩酒;酒精饮料原汁;酒精饮料（啤酒除外）;⽩酒</t>
  </si>
  <si>
    <t>精禽匠</t>
  </si>
  <si>
    <t>含酒精的⽓泡⽔;⻘稞酒;果酒（含酒精）;鸡尾酒;葡萄酒;烧酒;汽酒;⻩酒;⽩酒;⽶酒</t>
  </si>
  <si>
    <t>逸安康</t>
  </si>
  <si>
    <t>海口臻里农业发展有限公司</t>
  </si>
  <si>
    <t>⽶酒;⻩酒;佐餐酒;葡萄酒;甜酒;开胃酒;蒸馏饮料;烧酒;果酒;⽩酒</t>
  </si>
  <si>
    <t>优源</t>
  </si>
  <si>
    <t>鸡尾酒;清酒（⽇本⽶酒）;⽶酒;⻩酒;⽩酒;柑⾹酒;葡萄酒;酒精饮料浓缩汁;酒精饮料（啤酒除外）;酸酒（低等葡萄酒）</t>
  </si>
  <si>
    <t>钧源</t>
  </si>
  <si>
    <t>上海钧源物流有限公司</t>
  </si>
  <si>
    <t>⽩酒;葡萄酒;酒精饮料（啤酒除外）;⻩酒;鸡尾酒;果酒（含酒精）;⻘稞酒</t>
  </si>
  <si>
    <t>溪鹿缘</t>
  </si>
  <si>
    <t>竹溪县绿缘生态农业专业合作社</t>
  </si>
  <si>
    <t>已调味的蒸馏酒;⻩酒;⾕物制蒸馏酒精饮料;烈酒浓缩汁;⾼粱酒;清酒;⽩酒;由⾕物蒸馏的⽩酒;⽼酒（中国蒸馏烈酒）;烈性⼲酒</t>
  </si>
  <si>
    <t>英芝歌</t>
  </si>
  <si>
    <t>吕岳玲</t>
  </si>
  <si>
    <t>含⽔果酒精饮料;果酒（含酒精）;⽩兰地;葡萄酒;酒精饮料（啤酒除外）;⽩酒;清酒（⽇本⽶酒）;⻩酒;⽶酒;威⼠忌</t>
  </si>
  <si>
    <t>帝天门</t>
  </si>
  <si>
    <t>⽩酒;鸡尾酒;葡萄酒;果酒（含酒精）;⽩兰地;酒精饮料（啤酒除外）;烧酒;⽶酒;烈酒（饮料）;威⼠忌</t>
  </si>
  <si>
    <t>合家老</t>
  </si>
  <si>
    <t>林见长</t>
  </si>
  <si>
    <t>烈酒;果酒（含酒精）;鸡尾酒;威⼠忌;酒精饮料（啤酒除外）;葡萄酒;⻩酒;开胃酒;清酒（⽇本⽶酒）;⽩酒</t>
  </si>
  <si>
    <t>鹿诚鹿音</t>
  </si>
  <si>
    <t>汤健</t>
  </si>
  <si>
    <t>⽩酒;烧酒;果酒（含酒精）;⽶酒;⾷⽤酒精;⻩酒;威⼠忌;含⽔果酒精饮料;葡萄酒;开胃酒</t>
  </si>
  <si>
    <t>贵圃</t>
  </si>
  <si>
    <t>果酒（含酒精）;鸡尾酒;酒精饮料原汁;⻩酒;⽩酒;烈酒（饮料）;清酒（⽇本⽶酒）;烧酒;⽶酒;苹果酒</t>
  </si>
  <si>
    <t>龙辸</t>
  </si>
  <si>
    <t>葡萄酒;⽩⼲酒（中国⽩酒）;⾕物制蒸馏酒精饮料;果酒（含酒精）;含酒精的饮料（啤酒除外）;⻩酒;由⾕物蒸馏的⽩酒;酒精饮料（啤酒除外）;鸡尾酒;⽩酒</t>
  </si>
  <si>
    <t>中益相</t>
  </si>
  <si>
    <t>遵义中益酒业有限责任公司</t>
  </si>
  <si>
    <t>葡萄酒;烈酒（饮料）;汽酒;果酒（含酒精）;蒸馏饮料;酒精饮料（啤酒除外）;⽩酒;⻩酒;⽼酒（中国蒸馏烈酒）;鸡尾酒</t>
  </si>
  <si>
    <t>梁天禧谷</t>
  </si>
  <si>
    <t>吉林省绿健农产品有限公司</t>
  </si>
  <si>
    <t>果酒（含酒精）;威⼠忌;酒精饮料（啤酒除外）;薄荷酒;⽩酒;含⽔果酒精饮料;葡萄酒;⻩酒;蒸馏饮料;开胃酒</t>
  </si>
  <si>
    <t>刘集古李</t>
  </si>
  <si>
    <t>邓州市四好酒业有限公司</t>
  </si>
  <si>
    <t>清酒（⽇本⽶酒）;⽩酒;果酒（含酒精）;葡萄酒;露酒;汽酒;⻩酒;酒精饮料（啤酒除外）;朝鲜族⽶酒;⽶酒</t>
  </si>
  <si>
    <t>五艳果</t>
  </si>
  <si>
    <t>秦芳</t>
  </si>
  <si>
    <t>⽩酒;苹果酒;伏特加酒;葡萄酒;清酒;威⼠忌;朗姆酒;果酒（含酒精）;甜酒;⽩兰地</t>
  </si>
  <si>
    <t>XJTUERS</t>
  </si>
  <si>
    <t>威⼠忌;⽶酒;烧酒（烈酒）;葡萄酒;伏特加酒;果酒;⾼粱酒;⻩酒;⽩酒;⽩兰地</t>
  </si>
  <si>
    <t>6 个太阳</t>
  </si>
  <si>
    <t>广州顺思亿科技信息咨询有限公司</t>
  </si>
  <si>
    <t>⽶酒;烈酒（饮料）;朗姆酒;⽩兰地;威⼠忌;⻩酒;⾷⽤酒精;葡萄酒;果酒（含酒精）;⽩酒</t>
  </si>
  <si>
    <t>戎匠台</t>
  </si>
  <si>
    <t>贵州戎匠酒业有限公司</t>
  </si>
  <si>
    <t>葡萄酒;烈酒（饮料）;⾷⽤酒精;威⼠忌;⽩酒;由⾕物蒸馏的⽩酒;利⼝酒;⽶酒;朗姆酒;⾕物制蒸馏酒精饮料</t>
  </si>
  <si>
    <t>川客通</t>
  </si>
  <si>
    <t>成都川客通交通工程有限公司</t>
  </si>
  <si>
    <t>烧酒;果酒（含酒精）;杜松⼦酒;⽩兰地;葡萄酒;⽩酒;咖啡利⼝酒;天然汽酒;薄荷酒;⽶酒</t>
  </si>
  <si>
    <t>YULANIA</t>
  </si>
  <si>
    <t>烈酒（饮料）;清酒（⽇本⽶酒）;⽶酒;⽩酒;酒精饮料（啤酒除外）;⽩兰地;威⼠忌;以葡萄酒为主的饮料;葡萄酒;果酒（含酒精）</t>
  </si>
  <si>
    <t>葵园</t>
  </si>
  <si>
    <t>浙江瀚天石文化发展有限公司</t>
  </si>
  <si>
    <t>开胃酒;葡萄酒;烧酒;酒精饮料（啤酒除外）;威⼠忌;蜂蜜酒;⽶酒;⽩酒;果酒（含酒精）;鸡尾酒</t>
  </si>
  <si>
    <t>凤之汆</t>
  </si>
  <si>
    <t>周飞鹏</t>
  </si>
  <si>
    <t>⻩酒;⾼粱酒;⽩兰地;⽶酒;果酒;⽩酒;清酒;威⼠忌;葡萄酒;烧酒</t>
  </si>
  <si>
    <t>倚西楼</t>
  </si>
  <si>
    <t>烧酒;⻩酒;葡萄酒;果酒;⾼粱酒;威⼠忌;⽶酒;⽩酒;清酒;⽩兰地</t>
  </si>
  <si>
    <t>鑫珂</t>
  </si>
  <si>
    <t>余海</t>
  </si>
  <si>
    <t>烧酒;⽩酒;烈酒;葡萄酒;果酒;开胃酒;⾼粱酒;⽶酒;⽼酒（中国蒸馏烈酒）;⾕物制蒸馏酒精饮料</t>
  </si>
  <si>
    <t>古方炖号</t>
  </si>
  <si>
    <t>信阳古方炖号餐饮管理有限公司</t>
  </si>
  <si>
    <t>⽶酒;蒸馏⽶酒（泡盛酒）;⻩酒;葡萄酒;烧酒;⽩酒;果酒</t>
  </si>
  <si>
    <t>洋赋</t>
  </si>
  <si>
    <t>清酒（⽇本⽶酒）;⻘稞酒;烧酒;⽶酒;葡萄酒;果酒（含酒精）;酒精饮料（啤酒除外）;伏特加酒;⽩酒;⻩酒</t>
  </si>
  <si>
    <t>抖抖包</t>
  </si>
  <si>
    <t>宜兰食品工业股份有限公司</t>
  </si>
  <si>
    <t>酒精饮料（啤酒除外）;⻩酒;果酒（含酒精）;汽酒;⽩酒;葡萄酒;⽶酒;烈酒（饮料）;酒精饮料原汁;含⽔果酒精饮料</t>
  </si>
  <si>
    <t>徽典美</t>
  </si>
  <si>
    <t>刘家卫</t>
  </si>
  <si>
    <t>开胃酒;葡萄酒;⻩酒;烈酒;⽩酒;酒精饮料（啤酒除外）;果酒（含酒精）;清酒（⽇本⽶酒）;威⼠忌;鸡尾酒</t>
  </si>
  <si>
    <t>酒羊羊</t>
  </si>
  <si>
    <t>广州市星樾世泓广告有限公司</t>
  </si>
  <si>
    <t>蒸馏饮料;酒精饮料（啤酒除外）;鸡尾酒;葡萄酒;清酒（⽇本⽶酒）;烈酒（饮料）;⽶酒;烧酒;⻩酒;利⼝酒</t>
  </si>
  <si>
    <t>HAPURB</t>
  </si>
  <si>
    <t>乐邑控股（深圳）有限公司</t>
  </si>
  <si>
    <t>汽酒;酒精饮料（啤酒除外）;葡萄酒;⽶酒;朗姆酒;伏特加酒;开胃酒;果酒（含酒精）;预先混合的酒精饮料（以啤酒为主的除外）;含⽔果酒精饮料</t>
  </si>
  <si>
    <t>锦九翁</t>
  </si>
  <si>
    <t>买玉旺</t>
  </si>
  <si>
    <t>鸡尾酒;葡萄酒;⻩酒;烧酒;⽶酒;蒸馏饮料;⽩兰地;威⼠忌;果酒（含酒精）;⽩酒</t>
  </si>
  <si>
    <t>四序八节</t>
  </si>
  <si>
    <t>蒸馏饮料;酒精饮料原汁;酒精饮料（啤酒除外）;⽼酒（中国蒸馏烈酒）;由⾕物蒸馏的⽩酒;酒精饮料浓缩汁;⽩酒;果酒;⽩⼲酒（中国⽩酒）;烧酒（烈酒）</t>
  </si>
  <si>
    <t>夏扑流萤</t>
  </si>
  <si>
    <t>酒精饮料原汁;果酒;酒精饮料（啤酒除外）;⽩⼲酒（中国⽩酒）;烧酒（烈酒）;蒸馏饮料;⽩酒;酒精饮料浓缩汁;⽼酒（中国蒸馏烈酒）;由⾕物蒸馏的⽩酒</t>
  </si>
  <si>
    <t>君好来</t>
  </si>
  <si>
    <t>邓婷婷</t>
  </si>
  <si>
    <t>果酒（含酒精）;露酒;⽶酒;葡萄酒;鸡尾酒;蒸煮提取物（利⼝酒和烈酒）;蝮蛇酒;酒精饮料原汁;除啤酒外的酒精饮料;⻩酒</t>
  </si>
  <si>
    <t>商耀</t>
  </si>
  <si>
    <t>珠海市翔越科技有限公司</t>
  </si>
  <si>
    <t>酒精饮料（啤酒除外）;⻩酒;烧酒;⽼酒（中国蒸馏烈酒）;⾼粱酒;开胃酒;⽶酒;⽩酒;果酒（含酒精）;葡萄酒</t>
  </si>
  <si>
    <t>雪韵寒疆</t>
  </si>
  <si>
    <t>宝清县宇辰酒业有限公司</t>
  </si>
  <si>
    <t>鸡尾酒;开胃酒;果酒（含酒精）;烧酒;⽩酒;烈酒（饮料）;⽼酒（中国蒸馏烈酒）;⾼粱酒;清酒;葡萄酒</t>
  </si>
  <si>
    <t>蜀允</t>
  </si>
  <si>
    <t>葡萄酒;⻩酒;烈酒;⽶酒;烧酒;⽩兰地;威⼠忌;⻘稞酒;⽩酒;鸡尾酒</t>
  </si>
  <si>
    <t>渑水谧酿</t>
  </si>
  <si>
    <t>河南皇甫谧酒业有限公司</t>
  </si>
  <si>
    <t>烈酒（饮料）;烧酒;⽩酒;果酒（含酒精）;含⽔果酒精饮料;蒸馏饮料;酒精饮料浓缩汁;酒精饮料（啤酒除外）;葡萄酒;⽶酒</t>
  </si>
  <si>
    <t>盛德雅闲</t>
  </si>
  <si>
    <t>上海今麦吉商贸有限公司</t>
  </si>
  <si>
    <t>葡萄酒;⽩酒;果酒（含酒精）;烈酒（饮料）;酒精饮料（啤酒除外）;⻩酒;鸡尾酒;⽶酒;烧酒;威⼠忌</t>
  </si>
  <si>
    <t>民间于事</t>
  </si>
  <si>
    <t>林媛仪</t>
  </si>
  <si>
    <t>以葡萄酒为主的饮料;⾷⽤酒精;餐后酒（利⼝酒和烈酒）;清酒（⽇本⽶酒）;苹果酒;酒精饮料（啤酒除外）;果酒（含酒精）;鸡尾酒;⽩酒;⽶酒</t>
  </si>
  <si>
    <t>雪韵陈</t>
  </si>
  <si>
    <t>开胃酒;果酒（含酒精）;鸡尾酒;烧酒;⽼酒（中国蒸馏烈酒）;烈酒（饮料）;⾼粱酒;葡萄酒;⽩酒;清酒</t>
  </si>
  <si>
    <t>九洲港</t>
  </si>
  <si>
    <t>珠海九洲客运港发展有限公司</t>
  </si>
  <si>
    <t>果酒（含酒精）;酒精饮料（啤酒除外）;⽩酒;以葡萄酒为主的开胃酒;含酒精⽔果饮料;蒸馏饮料;⻩酒;⽼酒（中国蒸馏烈酒）;葡萄酒;含酒精的充⽓饮料（啤酒除外）</t>
  </si>
  <si>
    <t>八部颂</t>
  </si>
  <si>
    <t>成都天脉传承文化传播有限公司</t>
  </si>
  <si>
    <t>⽩⼲酒（中国⽩酒）;蜂蜜酒;葡萄酒;⾼粱酒;甜酒;由⾕物蒸馏的⽩酒;⽩酒;烧酒;果酒;⽶酒</t>
  </si>
  <si>
    <t>宝陈</t>
  </si>
  <si>
    <t>宝臣酒业（佛山）有限公司</t>
  </si>
  <si>
    <t>葡萄酒;⽩兰地;⽶酒;⾼粱酒;烧酒;⽼酒（中国蒸馏烈酒）;威⼠忌;烈酒;起泡⽩葡萄酒;⽩酒</t>
  </si>
  <si>
    <t>亼㫐台</t>
  </si>
  <si>
    <t>葡萄酒;⽩⼲酒（中国⽩酒）;鸡尾酒;果酒（含酒精）;除啤酒外的酒精饮料;蒸馏饮料;烧酒（烈酒）;⽩酒;⻩酒;由⾕物蒸馏的⽩酒</t>
  </si>
  <si>
    <t>允舍茶书</t>
  </si>
  <si>
    <t>北京显允文化有限公司</t>
  </si>
  <si>
    <t>⽶酒;果酒（含酒精）;汽酒;开胃酒;以葡萄酒为主的饮料;葡萄酒;烈性⼲酒;鸡尾酒;⻩酒;⽩酒</t>
  </si>
  <si>
    <t>商沏</t>
  </si>
  <si>
    <t>⽩兰地;果酒（含酒精）;⽩酒;酒精饮料（啤酒除外）;烈酒（饮料）;⽶酒;葡萄酒;威⼠忌;鸡尾酒;烧酒</t>
  </si>
  <si>
    <t>必博</t>
  </si>
  <si>
    <t>四川必博酒业有限公司</t>
  </si>
  <si>
    <t>葡萄酒;⽩兰地;⽶酒;⽩酒;含⽔果酒精饮料;烧酒;预先混合的酒精饮料（以啤酒为主的除外）;果酒（含酒精）;鸡尾酒;⻩酒</t>
  </si>
  <si>
    <t>功术</t>
  </si>
  <si>
    <t>⽩酒;清酒（⽇本⽶酒）;烈酒（饮料）;鸡尾酒;烧酒;含⽔果酒精饮料;葡萄酒;⻩酒;威⼠忌;果酒（含酒精）</t>
  </si>
  <si>
    <t>琅怀</t>
  </si>
  <si>
    <t>张德元</t>
  </si>
  <si>
    <t>利⼝酒;⻩酒;果酒;⽩酒;由⾕物蒸馏的⽩酒;⾼粱酒;酒精饮料原汁;葡萄酒;烧酒;⽼酒（中国蒸馏烈酒）</t>
  </si>
  <si>
    <t>康倍宝</t>
  </si>
  <si>
    <t>康倍宝（新疆）科技有限公司</t>
  </si>
  <si>
    <t>⽩酒;威⼠忌;伏特加酒;果酒（含酒精）;烧酒;葡萄酒;⽩兰地;⽶酒;⻩酒;鸡尾酒</t>
  </si>
  <si>
    <t>雪山初见</t>
  </si>
  <si>
    <t>杨兴会</t>
  </si>
  <si>
    <t>葡萄酒;⻩酒;蒸煮提取物（利⼝酒和烈酒）;含⽔果酒精饮料;⽶酒;梅酒;烧酒;酒精饮料浓缩汁;酒精饮料（啤酒除外）;⽩酒</t>
  </si>
  <si>
    <t>湖南碳维新材料有限公司</t>
  </si>
  <si>
    <t>葡萄酒;威⼠忌;⽩酒;果酒（含酒精）;⽩兰地;⽶酒;酒精饮料（啤酒除外）;烧酒;鸡尾酒;⻩酒</t>
  </si>
  <si>
    <t>孤岛骏马将</t>
  </si>
  <si>
    <t>济南鹏俊源商贸有限公司</t>
  </si>
  <si>
    <t>汽酒;威⼠忌;鸡尾酒;葡萄酒;清酒（⽇本⽶酒）;果酒;⽶酒;⻘稞酒;烧酒;⽩酒</t>
  </si>
  <si>
    <t>和家古</t>
  </si>
  <si>
    <t>刘桂花</t>
  </si>
  <si>
    <t>开胃酒;鸡尾酒;葡萄酒;威⼠忌;⽩酒;烈酒;果酒（含酒精）;清酒（⽇本⽶酒）;酒精饮料（啤酒除外）;⻩酒</t>
  </si>
  <si>
    <t>北行优品</t>
  </si>
  <si>
    <t>魏少林</t>
  </si>
  <si>
    <t>果酒（含酒精）;蜂蜜酒;⾕物制蒸馏酒精饮料;蒸馏饮料;含酒精的饮料（啤酒除外）;酒精饮料浓缩汁;含酒精⽔果饮料;⽢蔗制酒精饮料;含⽔果酒精饮料;酒精饮料原汁</t>
  </si>
  <si>
    <t>遇毽</t>
  </si>
  <si>
    <t>沈阳市中兴红高梁酒业有限公司</t>
  </si>
  <si>
    <t>⻩酒;⾷⽤酒精;蒸馏饮料;酒精饮料（啤酒除外）;⽶酒;⽩酒;果酒;果酒（含酒精）;葡萄酒;烧酒</t>
  </si>
  <si>
    <t>医圣景</t>
  </si>
  <si>
    <t>赫全伟</t>
  </si>
  <si>
    <t>露酒;利⼝酒;汽酒;⾼粱酒;⻩酒;鸡尾酒;果酒;葡萄酒;⽩⼲酒（中国⽩酒）;⽩酒</t>
  </si>
  <si>
    <t>明道圣丰</t>
  </si>
  <si>
    <t>果酒（含酒精）;烈酒（饮料）;开胃酒;⻩酒;⻘稞酒;葡萄酒;⽶酒;烧酒;酒精饮料（啤酒除外）;⽩酒</t>
  </si>
  <si>
    <t>蓝移</t>
  </si>
  <si>
    <t>无为市三三酒业有限公司</t>
  </si>
  <si>
    <t>开胃酒;蜂蜜酒;⽶酒;烧酒;葡萄酒;苦味酒;梨酒;酒精饮料浓缩汁;⽩酒;果酒（含酒精）</t>
  </si>
  <si>
    <t>群纵青年</t>
  </si>
  <si>
    <t>福州群众青年酒文化发展有限公司</t>
  </si>
  <si>
    <t>威⼠忌;鸡尾酒;果酒;清酒;汽酒;蒸馏饮料;葡萄酒;烈酒;⽩酒;利⼝酒</t>
  </si>
  <si>
    <t>斐兰诺</t>
  </si>
  <si>
    <t>李兴梅</t>
  </si>
  <si>
    <t>果酒（含酒精）;蜂蜜酒;⽩兰地;⽶酒;烈酒;⾷⽤酒精;果酒;⾕物制蒸馏酒精饮料;⽩酒;⻩酒</t>
  </si>
  <si>
    <t>大喜共合</t>
  </si>
  <si>
    <t>赵子超</t>
  </si>
  <si>
    <t>葡萄酒;果酒（含酒精）;鸡尾酒;蒸煮提取物（利⼝酒和烈酒）;酒精饮料（啤酒除外）;⽩酒;威⼠忌;清酒;⽩兰地;汽酒</t>
  </si>
  <si>
    <t>秋·凫雁高</t>
  </si>
  <si>
    <t>⽩⼲酒（中国⽩酒）;蒸馏饮料;酒精饮料原汁;果酒;酒精饮料（啤酒除外）;由⾕物蒸馏的⽩酒;酒精饮料浓缩汁;⽩酒;⽼酒（中国蒸馏烈酒）;烧酒（烈酒）</t>
  </si>
  <si>
    <t>吉田白龙</t>
  </si>
  <si>
    <t>⽶酒;佐餐酒;果酒（含酒精）;⽇本松针酒;清酒（⽇本⽶酒）;含酒精的鸡尾酒混合饮品;⽇本梅⼦酒;葡萄酒</t>
  </si>
  <si>
    <t>源祖井</t>
  </si>
  <si>
    <t>聂永红</t>
  </si>
  <si>
    <t>苹果酒;⻩酒;开胃酒;清酒（⽇本⽶酒）;烧酒;⽶酒;⽩酒;葡萄酒;含⽔果酒精饮料;果酒（含酒精）</t>
  </si>
  <si>
    <t>剑鹿今</t>
  </si>
  <si>
    <t>葡萄酒;烈酒;鸡尾酒;⻘稞酒;⽶酒;⽩兰地;威⼠忌;⽩酒;烧酒;⻩酒</t>
  </si>
  <si>
    <t>丰谷忆希全</t>
  </si>
  <si>
    <t>柯希全</t>
  </si>
  <si>
    <t>果酒（含酒精）;鸡尾酒;酒精饮料（啤酒除外）;汽酒;⽩酒;⻩酒;烧酒;葡萄酒;红葡萄酒;⾷⽤酒精</t>
  </si>
  <si>
    <t>源始沅大雪山</t>
  </si>
  <si>
    <t>四川德沣利医药科技有限公司</t>
  </si>
  <si>
    <t>⻘稞酒;含⽔果酒精饮料;烈酒（饮料）;葡萄酒;威⼠忌;酒精饮料原汁;⻩酒;⽩酒;鸡尾酒;酒精饮料（啤酒除外）</t>
  </si>
  <si>
    <t>元优</t>
  </si>
  <si>
    <t>利⼝酒;果酒（含酒精）;酒精饮料（啤酒除外）;⽶酒;⽩酒;开胃酒;蒸馏饮料;葡萄酒;烈酒（饮料）;烧酒</t>
  </si>
  <si>
    <t>寻味邛</t>
  </si>
  <si>
    <t>⽩⼲酒（中国⽩酒）;⾼粱酒;烧酒;果酒;酒精饮料原汁;⽩酒;⽼酒（中国蒸馏烈酒）;由⾕物蒸馏的⽩酒;⻩酒;除啤酒外的酒精饮料</t>
  </si>
  <si>
    <t>DUC DE PIERRE</t>
  </si>
  <si>
    <t>唐水强</t>
  </si>
  <si>
    <t>鸡尾酒;葡萄酒;果酒（含酒精）;烈酒（饮料）;⽩酒;汽酒;⽩兰地;威⼠忌;伏特加酒;朗姆酒</t>
  </si>
  <si>
    <t>禾愁</t>
  </si>
  <si>
    <t>含⽔果酒精饮料;烧酒;⽩兰地;⽶酒;⻩酒;⾕物制蒸馏酒精饮料;鸡尾酒;威⼠忌;葡萄酒;⽩酒</t>
  </si>
  <si>
    <t>八方墨</t>
  </si>
  <si>
    <t>烧酒;⽶酒;烈酒（饮料）;果酒（含酒精）;酒精饮料（啤酒除外）;葡萄酒;⽩兰地;⽩酒;威⼠忌;鸡尾酒</t>
  </si>
  <si>
    <t>DREAMRUN</t>
  </si>
  <si>
    <t>游万川</t>
  </si>
  <si>
    <t>清酒（⽇本⽶酒）;鸡尾酒;葡萄酒;开胃酒;烈酒;果酒（含酒精）;⻩酒;酒精饮料（啤酒除外）;⽩酒;威⼠忌</t>
  </si>
  <si>
    <t>飘飘玉醉</t>
  </si>
  <si>
    <t>清酒（⽇本⽶酒）;伏特加酒;果酒（含酒精）;⽶酒;酒精饮料（啤酒除外）;烧酒;葡萄酒;⽩酒;⻘稞酒;⻩酒</t>
  </si>
  <si>
    <t>五指山人本信息科技有限公司</t>
  </si>
  <si>
    <t>鸡尾酒;烈酒（饮料）;⽩酒;威⼠忌;⻩酒;清酒（⽇本⽶酒）;⽶酒;开胃酒;⽩兰地;葡萄酒</t>
  </si>
  <si>
    <t>夷职</t>
  </si>
  <si>
    <t>陈正林</t>
  </si>
  <si>
    <t>美东正誉</t>
  </si>
  <si>
    <t>北京美东正誉科贸有限公司</t>
  </si>
  <si>
    <t>2024/05/16</t>
  </si>
  <si>
    <t>问克</t>
  </si>
  <si>
    <t>东莞问克科技有限公司</t>
  </si>
  <si>
    <t>利⼝酒;汽酒;开胃酒;烈酒（饮料）;蒸馏饮料;蒸煮提取物（利⼝酒和烈酒）;⽩酒;⽼酒（中国蒸馏烈酒）;鸡尾酒;果酒</t>
  </si>
  <si>
    <t>香典美</t>
  </si>
  <si>
    <t>黄秀银</t>
  </si>
  <si>
    <t>⾼粱酒;开胃酒;苹果酒;鸡尾酒;清酒（⽇本⽶酒）;⽩酒;葡萄酒;含奶油利⼝酒;果酒;烈酒（饮料）</t>
  </si>
  <si>
    <t>钻山河</t>
  </si>
  <si>
    <t>何孟桃</t>
  </si>
  <si>
    <t>开胃酒;鸡尾酒;葡萄酒;清酒（⽇本⽶酒）;⻩酒;酒精饮料（啤酒除外）;果酒（含酒精）;威⼠忌;⽩酒;烈酒</t>
  </si>
  <si>
    <t>哎冷山</t>
  </si>
  <si>
    <t>北京汇通正信科技有限公司</t>
  </si>
  <si>
    <t>⽩酒;鸡尾酒;烧酒;果酒（含酒精）;⽶酒;烈酒（饮料）;清酒（⽇本⽶酒）;酒精饮料（啤酒除外）;⻩酒;葡萄酒</t>
  </si>
  <si>
    <t>冯老妹</t>
  </si>
  <si>
    <t>盈江县柔情甜真商贸有限责任公司</t>
  </si>
  <si>
    <t>⽶酒;威⼠忌;⽩葡萄酒;预先混合的酒精饮料（以啤酒为主的除外）;⽩酒;含⽔果酒精饮料;酒精饮料（啤酒除外）;⽩兰地;鸡尾酒;⻩酒</t>
  </si>
  <si>
    <t>西芷</t>
  </si>
  <si>
    <t>河南泽朴酒业有限公司</t>
  </si>
  <si>
    <t>鸡尾酒;预先混合的酒精饮料（以啤酒为主的除外）;烧酒;⽩酒;⽩⼲酒（中国⽩酒）;含⽔果酒精饮料;⾷⽤酒精;蜂蜜酒;葡萄酒;果酒</t>
  </si>
  <si>
    <t>品酿皇</t>
  </si>
  <si>
    <t>侯佳宾</t>
  </si>
  <si>
    <t>鸡尾酒;威⼠忌;酒精饮料（啤酒除外）;开胃酒;烈酒;葡萄酒;⻩酒;清酒（⽇本⽶酒）;⽩酒;果酒（含酒精）</t>
  </si>
  <si>
    <t>望状元</t>
  </si>
  <si>
    <t>普绍荣</t>
  </si>
  <si>
    <t>开胃酒;苦味酒;蜂蜜酒;葡萄酒;⽩酒;⻩酒;⽶酒;烧酒;⻘稞酒;烈酒（饮料）</t>
  </si>
  <si>
    <t>研究御</t>
  </si>
  <si>
    <t>湖北至善学堂文化传播有限公司</t>
  </si>
  <si>
    <t>葡萄酒;酒精饮料浓缩汁;酒精饮料（啤酒除外）;含⽔果酒精饮料;⽩酒;烈性⼲酒;⾼粱酒;⽩葡萄酒;⽩⼲酒（中国⽩酒）;⽶酒</t>
  </si>
  <si>
    <t>桃源五柳家</t>
  </si>
  <si>
    <t>钟山县妙思客电子商务有限责任公司</t>
  </si>
  <si>
    <t>⽶酒;苹果酒;葡萄酒;蒸馏饮料;⽢蔗制酒精饮料</t>
  </si>
  <si>
    <t>瀚清志</t>
  </si>
  <si>
    <t>孙霆</t>
  </si>
  <si>
    <t>酒精饮料（啤酒除外）;烧酒;果酒（含酒精）;鸡尾酒;⽶酒;⾷⽤酒精;烈酒（饮料）;⽩酒;酒精饮料原汁;葡萄酒</t>
  </si>
  <si>
    <t>呈酒仙</t>
  </si>
  <si>
    <t>季明聪</t>
  </si>
  <si>
    <t>开胃酒;酒精饮料（啤酒除外）;⽩酒;烈酒;清酒（⽇本⽶酒）;威⼠忌;⻩酒;果酒（含酒精）;鸡尾酒;葡萄酒</t>
  </si>
  <si>
    <t>岚崮河</t>
  </si>
  <si>
    <t>大连龙崎仕酒业有限公司</t>
  </si>
  <si>
    <t>烈酒（饮料）;烧酒;汽酒;威⼠忌;⽩酒;含⽔果酒精饮料;⻩酒;果酒（含酒精）;鸡尾酒;⽩兰地</t>
  </si>
  <si>
    <t>谭话</t>
  </si>
  <si>
    <t>秦肇昌</t>
  </si>
  <si>
    <t>⽩酒;杨梅酒;威⼠忌;果酒;伏特加酒;朗姆酒;梅酒;⻘梅酒;红葡萄酒;⻩酒</t>
  </si>
  <si>
    <t>寅鬥</t>
  </si>
  <si>
    <t>派得乐东方珍品烈酒贸易有限公司</t>
  </si>
  <si>
    <t>烈酒;威⼠忌;以葡萄酒为主的饮料;果酒;酒精饮料（啤酒除外）;朗姆酒;酒精饮料原汁;⽩兰地;葡萄酒;鸡尾酒</t>
  </si>
  <si>
    <t>钟离湖</t>
  </si>
  <si>
    <t>蒸馏饮料;梨酒;樱桃酒;苹果酒;酒精饮料（啤酒除外）;含⽔果酒精饮料;果酒（含酒精）;葡萄酒;⽩兰地;威⼠忌</t>
  </si>
  <si>
    <t>飞龙祥</t>
  </si>
  <si>
    <t>黄荣垒</t>
  </si>
  <si>
    <t>利⼝酒;烈酒;⽶酒;鸡尾酒;葡萄酒;果酒（含酒精）;烧酒;⽩酒;汽酒;开胃酒</t>
  </si>
  <si>
    <t>前所盛世</t>
  </si>
  <si>
    <t>侯街莲</t>
  </si>
  <si>
    <t>清酒（⽇本⽶酒）;⽩酒;威⼠忌;烧酒;葡萄酒;果酒（含酒精）;⽶酒;⻘稞酒;⽩兰地;⻩酒</t>
  </si>
  <si>
    <t>车曲</t>
  </si>
  <si>
    <t>贵州精英酒业有限公司</t>
  </si>
  <si>
    <t>⽩酒;⾼粱酒;⽶酒;含酒精的充⽓饮料（啤酒除外）;烧酒;⻩酒;露酒;⻘稞酒;果酒;葡萄酒</t>
  </si>
  <si>
    <t>赫之樱</t>
  </si>
  <si>
    <t>赫章液琅樱桃酒有限公司</t>
  </si>
  <si>
    <t>⽩酒;⾼粱酒;苹果酒;樱桃酒;⽼酒（中国蒸馏烈酒）;威⼠忌;黑覆盆⼦酒;果酒;苦味酒;苦荞酒</t>
  </si>
  <si>
    <t>劲牌神仙谷</t>
  </si>
  <si>
    <t>劲牌有限公司</t>
  </si>
  <si>
    <t>露酒;葡萄酒;果酒（含酒精）;⾼粱酒;⾕物制蒸馏酒精饮料;⾷⽤酒精;⽶酒;⽩酒;烈酒（饮料）;酒精饮料（啤酒除外）</t>
  </si>
  <si>
    <t>善琏</t>
  </si>
  <si>
    <t>徐进</t>
  </si>
  <si>
    <t>果酒;⽶酒;葡萄酒;酒精饮料（啤酒除外）;含⽔果酒精饮料;⽩酒;烧酒;清酒;⻘稞酒;⻩酒</t>
  </si>
  <si>
    <t>山虎哥</t>
  </si>
  <si>
    <t>葡萄酒;⻘稞酒;果酒（含酒精）;烧酒;⾷⽤酒精;⽩酒;蒸馏饮料;酒精饮料（啤酒除外）;清酒（⽇本⽶酒）;⽶酒</t>
  </si>
  <si>
    <t>竹楼梦</t>
  </si>
  <si>
    <t>江苏小竹子科技有限公司</t>
  </si>
  <si>
    <t>鸡尾酒;清酒;汽酒;⽶酒;葡萄酒;果酒;⽩酒;⻩酒;已调味的蒸馏酒;酒精饮料（啤酒除外）</t>
  </si>
  <si>
    <t>怀庄上品</t>
  </si>
  <si>
    <t>果酒（含酒精）;葡萄酒;烧酒;鸡尾酒;甜果酒;⽩酒;⾷⽤酒精;酒精饮料（啤酒除外）;⽶酒;烈酒（饮料）</t>
  </si>
  <si>
    <t>欲见致酉</t>
  </si>
  <si>
    <t>上海宏嘉途企业管理咨询有限公司</t>
  </si>
  <si>
    <t>烧酒;⻩酒;⽩酒;⽩⼲酒（中国⽩酒）;预调甜酒;⽩兰地;⽶酒;葡萄酒;威⼠忌;清酒</t>
  </si>
  <si>
    <t>讲九洲</t>
  </si>
  <si>
    <t>曾明青</t>
  </si>
  <si>
    <t>⻘稞酒;⽩酒;烧酒;清酒（⽇本⽶酒）;⻩酒;苹果酒;朗姆酒;甜果酒;酸酒（低等葡萄酒）;⽶酒</t>
  </si>
  <si>
    <t>酿皇道</t>
  </si>
  <si>
    <t>⻩酒;开胃酒;鸡尾酒;清酒（⽇本⽶酒）;葡萄酒;威⼠忌;酒精饮料（啤酒除外）;⽩酒;烈酒;果酒（含酒精）</t>
  </si>
  <si>
    <t>疏喀</t>
  </si>
  <si>
    <t>张喜荣</t>
  </si>
  <si>
    <t>威⼠忌;⽩兰地;⽩酒;⾼粱酒;⾷⽤酒精;伏特加酒;葡萄酒;⽼酒（中国蒸馏烈酒）;果酒（含酒精）;露酒</t>
  </si>
  <si>
    <t>梦酿皇</t>
  </si>
  <si>
    <t>⽩酒;烈酒;葡萄酒;酒精饮料（啤酒除外）;威⼠忌;果酒（含酒精）;鸡尾酒;开胃酒;清酒（⽇本⽶酒）;⻩酒</t>
  </si>
  <si>
    <t>帝九师</t>
  </si>
  <si>
    <t>彭明耀</t>
  </si>
  <si>
    <t>烧酒;利⼝酒;餐后酒（利⼝酒和烈酒）;葡萄酒;烈酒;含酒精的饮料（啤酒除外）;⾷⽤酒精;⽶酒;蒸馏饮料;烧酒（烈酒）</t>
  </si>
  <si>
    <t>嗨抱吉巷</t>
  </si>
  <si>
    <t>成都吉巷餐饮管理有限责任公司</t>
  </si>
  <si>
    <t>烈酒（饮料）;含⽔果酒精饮料;朗姆酒;伏特加酒;果酒（含酒精）;葡萄酒;酒精饮料原汁;预先混合的酒精饮料（以啤酒为主的除外）;威⼠忌;鸡尾酒</t>
  </si>
  <si>
    <t>景成贵</t>
  </si>
  <si>
    <t>葡萄酒;烧酒;鸡尾酒;酒精饮料（啤酒除外）;⽩酒;果酒（含酒精）;烈酒（饮料）;⾷⽤酒精;酒精饮料原汁;⽶酒</t>
  </si>
  <si>
    <t>MR PO AND</t>
  </si>
  <si>
    <t>厦门种群造物教育科技有限公司</t>
  </si>
  <si>
    <t>果酒（含酒精）;⽩酒;鸡尾酒;威⼠忌;甜果酒;⻩酒;酒精饮料（啤酒除外）;蒸馏饮料;清酒（⽇本⽶酒）;含酒精的⽓泡⽔</t>
  </si>
  <si>
    <t>至樽情义</t>
  </si>
  <si>
    <t>玉罗</t>
  </si>
  <si>
    <t>⽩酒;⽶酒;果酒（含酒精）;葡萄酒;鸡尾酒;⻩酒;威⼠忌;⾷⽤酒精;⽩兰地;烧酒</t>
  </si>
  <si>
    <t>绿保王</t>
  </si>
  <si>
    <t>贵州绿保王绿化服务有限公司</t>
  </si>
  <si>
    <t>⽩酒;烈酒（饮料）;⽶酒;果酒（含酒精）;红葡萄酒;烈酒;烧酒（烈酒）;含酒精的饮料（啤酒除外）;杨梅酒;⽼酒（中国蒸馏烈酒）</t>
  </si>
  <si>
    <t>画帝</t>
  </si>
  <si>
    <t>李诗妍</t>
  </si>
  <si>
    <t>鸡尾酒;酒精饮料（啤酒除外）;果酒（含酒精）;开胃酒;⻩酒;烈酒;葡萄酒;威⼠忌;⽩酒;清酒（⽇本⽶酒）</t>
  </si>
  <si>
    <t>空帝</t>
  </si>
  <si>
    <t>开胃酒;葡萄酒;清酒（⽇本⽶酒）;威⼠忌;⻩酒;果酒（含酒精）;酒精饮料（啤酒除外）;⽩酒;烈酒;鸡尾酒</t>
  </si>
  <si>
    <t>湃爵</t>
  </si>
  <si>
    <t>冯晓君</t>
  </si>
  <si>
    <t>烈酒;鸡尾酒;酒精饮料（啤酒除外）;⽩酒;果酒（含酒精）;开胃酒;葡萄酒;清酒（⽇本⽶酒）;⻩酒;威⼠忌</t>
  </si>
  <si>
    <t>片石</t>
  </si>
  <si>
    <t>扬州珣玗琪酒业有限公司</t>
  </si>
  <si>
    <t>由⾕物蒸馏的⽩酒;果酒;⽩葡萄酒;⻩酒;⽩酒;烧酒;果酒（含酒精）;葡萄酒;酒精饮料浓缩汁;⽶酒</t>
  </si>
  <si>
    <t>石茗山</t>
  </si>
  <si>
    <t>烟台意隆包装有限公司</t>
  </si>
  <si>
    <t>烧酒;鸡尾酒;⽶酒;葡萄酒;酒精饮料（啤酒除外）;⻩酒;威⼠忌;果酒（含酒精）;蒸馏饮料;酒精饮料原汁</t>
  </si>
  <si>
    <t>熠之贝</t>
  </si>
  <si>
    <t>贵州臣之匠酒业有限公司</t>
  </si>
  <si>
    <t>果酒;⽩⼲酒（中国⽩酒）;酒精饮料（啤酒除外）;烈酒;⽩酒;⽶酒;⾼粱酒;烧酒（烈酒）;⻩酒;清酒</t>
  </si>
  <si>
    <t>冠山河</t>
  </si>
  <si>
    <t>⻩酒;开胃酒;鸡尾酒;清酒（⽇本⽶酒）;⽩酒;果酒（含酒精）;葡萄酒;威⼠忌;酒精饮料（啤酒除外）;烈酒</t>
  </si>
  <si>
    <t>兰澈</t>
  </si>
  <si>
    <t>江苏南京兰澈酒业有限公司</t>
  </si>
  <si>
    <t>鸡尾酒;烈酒（饮料）;⽩酒;⻩酒;烧酒;葡萄酒;威⼠忌;酒精饮料（啤酒除外）;⽶酒;果酒（含酒精）</t>
  </si>
  <si>
    <t>彰铭广</t>
  </si>
  <si>
    <t>哈尔滨淼晨酒业有限公司</t>
  </si>
  <si>
    <t>葡萄酒;鸡尾酒;⻩酒;⽩酒;果酒（含酒精）;威⼠忌;除啤酒外的酒精饮料;清酒（⽇本⽶酒）;露酒;烧酒</t>
  </si>
  <si>
    <t>河山安</t>
  </si>
  <si>
    <t>周口金翅商贸有限公司</t>
  </si>
  <si>
    <t>果酒（含酒精）;⽩酒;⽶酒;鸡尾酒;除啤酒外的酒精饮料;利⼝酒;开胃酒;烧酒（烈酒）;酒精饮料（啤酒除外）;⽩⼲酒（中国⽩酒）</t>
  </si>
  <si>
    <t>东芳森活</t>
  </si>
  <si>
    <t>邹乐南</t>
  </si>
  <si>
    <t>甜酒;⽩酒;⻩酒;果酒;⾷⽤酒精;清酒;开胃酒;⽶酒;葡萄酒;汽酒</t>
  </si>
  <si>
    <t>梦大地</t>
  </si>
  <si>
    <t>曾勇</t>
  </si>
  <si>
    <t>⾼粱酒;⽩酒;⽶酒;果酒;清酒（⽇本⽶酒）;葡萄酒;甜酒;杨梅酒;⻘梅酒;鸡尾酒</t>
  </si>
  <si>
    <t>芸湘液</t>
  </si>
  <si>
    <t>纳溪区大渡口镇民权小酒坊</t>
  </si>
  <si>
    <t>烧酒;酒精饮料（啤酒除外）;开胃酒;烈酒（饮料）;⽩酒;葡萄酒;⽶酒;果酒（含酒精）;预先混合的酒精饮料（以啤酒为主的除外）;⾕物制蒸馏酒精饮料</t>
  </si>
  <si>
    <t>悠懿汇</t>
  </si>
  <si>
    <t>唐鹏432522********8177</t>
  </si>
  <si>
    <t>酒精饮料（啤酒除外）;烧酒;⽶酒;葡萄酒;⽩酒;混合威⼠忌酒;⾼粱酒;梅酒;烈酒;果酒</t>
  </si>
  <si>
    <t>赣杰</t>
  </si>
  <si>
    <t>赣杰建设集团有限责任公司</t>
  </si>
  <si>
    <t>开胃酒;薄荷酒;阿夸维特酒;清酒;尼⽡（以⽢蔗为主的酒精饮料）;烧酒;蒸馏饮料;⾕物制蒸馏酒精饮料;蒸煮提取物（利⼝酒和烈酒）;苹果酒</t>
  </si>
  <si>
    <t>拉芳酒庄</t>
  </si>
  <si>
    <t>拉芳家化股份有限公司</t>
  </si>
  <si>
    <t>果酒（含酒精）;清酒（⽇本⽶酒）;酒精饮料（啤酒除外）;威⼠忌;⻩酒;⽩酒;葡萄酒;⽩兰地;⽶酒;⻘稞酒</t>
  </si>
  <si>
    <t>旺福状元</t>
  </si>
  <si>
    <t>威⼠忌;⽩酒;葡萄酒;汽酒;清酒;⽶酒;烧酒;果酒;⻩酒;⽩兰地</t>
  </si>
  <si>
    <t>兴一醇</t>
  </si>
  <si>
    <t>杨永珍</t>
  </si>
  <si>
    <t>烈酒（饮料）;⾷⽤酒精;烧酒;果酒（含酒精）;葡萄酒;酒精饮料（啤酒除外）;鸡尾酒;酒精饮料原汁;⽩酒;⽶酒</t>
  </si>
  <si>
    <t>九华山阳关</t>
  </si>
  <si>
    <t>安徽九华山酒业股份有限公司</t>
  </si>
  <si>
    <t>烧酒;烈酒（饮料）;酒精饮料原汁;酒精饮料浓缩汁;⽩酒;酒精饮料（啤酒除外）;蒸馏饮料;⽶酒;⾕物制蒸馏酒精饮料;⾷⽤酒精</t>
  </si>
  <si>
    <t>比纳都</t>
  </si>
  <si>
    <t>温州贵集贸易有限公司</t>
  </si>
  <si>
    <t>⻩酒;伏特加酒;⾼粱酒;⽩兰地;蒸煮提取物（利⼝酒和烈酒）;烧酒;葡萄酒;威⼠忌;⻘稞酒;⽩酒</t>
  </si>
  <si>
    <t>旺四喜</t>
  </si>
  <si>
    <t>厦门铭酒供应链有限公司</t>
  </si>
  <si>
    <t>⽩酒;烧酒;蒸馏饮料;清酒（⽇本⽶酒）;朗姆酒;汽酒;⻩酒;含⽔果酒精饮料;鸡尾酒;伏特加酒</t>
  </si>
  <si>
    <t>爱青游</t>
  </si>
  <si>
    <t>青岛文旅融合发展集团有限公司</t>
  </si>
  <si>
    <t>苹果酒;⽶酒;果酒（含酒精）;甜果酒;清酒（⽇本⽶酒）;⽩酒;利⼝酒;⻩酒;樱桃酒;开胃酒</t>
  </si>
  <si>
    <t>泸吟</t>
  </si>
  <si>
    <t>韩宏云</t>
  </si>
  <si>
    <t>酒精饮料（啤酒除外）;⽩酒;果酒（含酒精）;威⼠忌;⽶酒;⻩酒;烈酒;鸡尾酒;葡萄酒;蒸馏饮料</t>
  </si>
  <si>
    <t>龙醉隆扬</t>
  </si>
  <si>
    <t>辽宁盘锦鸿德酒业有限责任公司</t>
  </si>
  <si>
    <t>⽶酒;⽩酒;鸡尾酒;樱桃酒;烧酒;酒精饮料（啤酒除外）;⾷⽤酒精;薄荷酒;苦味酒;⽩兰地</t>
  </si>
  <si>
    <t>智贝熊</t>
  </si>
  <si>
    <t>义乌市纭潇电子商务有限公司</t>
  </si>
  <si>
    <t>酒精饮料（啤酒除外）;⽶酒;⽩酒;果酒（含酒精）;⾷⽤酒精;清酒（⽇本⽶酒）;蒸馏饮料;烧酒;⻩酒;葡萄酒</t>
  </si>
  <si>
    <t>中亚向阳</t>
  </si>
  <si>
    <t>烟台中亚酒业有限公司</t>
  </si>
  <si>
    <t>黑覆盆⼦酒;烧酒（烈酒）;汽酒;⽼酒（中国蒸馏烈酒）;蝮蛇酒;⽩酒;⽩⼲酒（中国⽩酒）;⻩酒;果酒;⽩兰地</t>
  </si>
  <si>
    <t>衡昌散花</t>
  </si>
  <si>
    <t>⽩⼲酒（中国⽩酒）;⻩酒;⽩酒;⾼粱酒;烧酒;五加⽪酒（中国混合烈酒）;开胃酒;蒸煮提取物（利⼝酒和烈酒）;⻘稞酒;由⾕物蒸馏的⽩酒</t>
  </si>
  <si>
    <t>白凤鸿图</t>
  </si>
  <si>
    <t>卢嘉燚</t>
  </si>
  <si>
    <t>烈酒（饮料）;⽩酒;⽩兰地;⽶酒;⻩酒;葡萄酒;酒精饮料（啤酒除外）;⾷⽤酒精;鸡尾酒;威⼠忌</t>
  </si>
  <si>
    <t>奇华怡草</t>
  </si>
  <si>
    <t>安徽省久远医疗科技有限公司</t>
  </si>
  <si>
    <t>酒精饮料（啤酒除外）;葡萄酒;果酒（含酒精）;含酒精⽔果饮料;⽩酒;烈酒;鸡尾酒;预先混合的酒精饮料（以啤酒为主的除外）;⽶酒;甜酒</t>
  </si>
  <si>
    <t>天兴涌</t>
  </si>
  <si>
    <t>山西贞观志文化传媒有限公司</t>
  </si>
  <si>
    <t>由⾕物蒸馏的⽩酒;⽩⼲酒（中国⽩酒）;⽼酒（中国蒸馏烈酒）</t>
  </si>
  <si>
    <t>品黔铭</t>
  </si>
  <si>
    <t>中天酒业（深圳）有限公司</t>
  </si>
  <si>
    <t>起泡红葡萄酒;⽩葡萄酒;⽩酒;由⾕物蒸馏的⽩酒;葡萄酒;桃红葡萄酒;红葡萄酒;⾕物制蒸馏酒精饮料;含酒精的饮料（啤酒除外）;以葡萄酒为主的饮料</t>
  </si>
  <si>
    <t>旺喜鸿运</t>
  </si>
  <si>
    <t>宋敬</t>
  </si>
  <si>
    <t>⾕物制蒸馏酒精饮料;葡萄酒;⾼粱酒;露酒;酒精饮料（啤酒除外）;⽩兰地;⽩酒;⽼酒（中国蒸馏烈酒）;梅酒;威⼠忌</t>
  </si>
  <si>
    <t>青宁海红</t>
  </si>
  <si>
    <t>张永录</t>
  </si>
  <si>
    <t>调制好的葡萄酒鸡尾酒;⽇本梅⼦酒;鸡尾酒;⽩酒;⻘稞酒;甜酒;葡萄酒;蜂蜜酒;樱桃酒;⾼粱酒</t>
  </si>
  <si>
    <t>贺幸福</t>
  </si>
  <si>
    <t>天台聚缘坊酒业有限公司</t>
  </si>
  <si>
    <t>葡萄酒;烧酒;⽩酒;⽶酒;果酒;烈酒;鸡尾酒;⻩酒;甜酒</t>
  </si>
  <si>
    <t>依嵩源</t>
  </si>
  <si>
    <t>登封市嵩禹园农副产品有限公司</t>
  </si>
  <si>
    <t>酒精饮料（啤酒除外）;果酒;鸡尾酒;葡萄酒;⾷⽤酒精;由⾕物蒸馏的⽩酒;开胃酒;⽩酒;⽶酒;烧酒</t>
  </si>
  <si>
    <t>草莛</t>
  </si>
  <si>
    <t>天长市汉刘养生科技有限公司</t>
  </si>
  <si>
    <t>葡萄酒;⽶酒;开胃酒;伏特加酒;⾷⽤酒精;鸡尾酒;烧酒;含⽔果酒精饮料;⽩酒;⻩酒</t>
  </si>
  <si>
    <t>立可瑞</t>
  </si>
  <si>
    <t>黑龙江大济同康生物科技股份有限公司</t>
  </si>
  <si>
    <t>⽶酒;⻩酒;蒸馏饮料;利⼝酒;⽩酒;开胃酒;葡萄酒;清酒（⽇本⽶酒）;酒精饮料（啤酒除外）;果酒（含酒精）</t>
  </si>
  <si>
    <t>墨溪河</t>
  </si>
  <si>
    <t>安丘市龙樽酒业有限公司</t>
  </si>
  <si>
    <t>⾷⽤酒精;⾕物制蒸馏酒精饮料;含⽔果酒精饮料;⽶酒;威⼠忌;⽩酒;烈酒;葡萄酒;烧酒;果酒</t>
  </si>
  <si>
    <t>FLAVORCAT</t>
  </si>
  <si>
    <t>烧酒;⽩兰地;葡萄酒;酒精饮料（啤酒除外）;利⼝酒;烈酒（饮料）;鸡尾酒;威⼠忌;汽酒;伏特加酒</t>
  </si>
  <si>
    <t>诚则富</t>
  </si>
  <si>
    <t>贵州诚则富酒业有限公司</t>
  </si>
  <si>
    <t>烧酒;⻩酒;烈酒;果酒;蜂蜜酒;开胃酒;⽩酒;利⼝酒;⽶酒;葡萄酒</t>
  </si>
  <si>
    <t>竹师傅</t>
  </si>
  <si>
    <t>姜凤珠</t>
  </si>
  <si>
    <t>果酒（含酒精）;鸡尾酒;威⼠忌;葡萄酒;蒸馏饮料;⽩酒;⻩酒;烧酒;酒精饮料（啤酒除外）;⽶酒</t>
  </si>
  <si>
    <t>蜀驿米仓道</t>
  </si>
  <si>
    <t>中江米仓道农业有限公司</t>
  </si>
  <si>
    <t>⽶酒;⻩酒;葡萄酒;酒精饮料原汁;⽩酒;⻘稞酒;果酒（含酒精）;含⽔果酒精饮料;⾕物制蒸馏酒精饮料;烧酒</t>
  </si>
  <si>
    <t>欲见酉来</t>
  </si>
  <si>
    <t>⽩兰地;威⼠忌;⻩酒;烧酒;预调甜酒;清酒;葡萄酒;⽩⼲酒（中国⽩酒）;⽶酒;⽩酒</t>
  </si>
  <si>
    <t>赢养猩球</t>
  </si>
  <si>
    <t>郭新华</t>
  </si>
  <si>
    <t>开胃酒;汽酒;清酒;甜酒;⻩酒;⽩酒;葡萄酒;⽶酒;⾷⽤酒精;果酒</t>
  </si>
  <si>
    <t>星易日盛</t>
  </si>
  <si>
    <t>查正欢</t>
  </si>
  <si>
    <t>烧酒;酒精饮料（啤酒除外）;果酒;鸡尾酒;⽶酒;⻘稞酒;⽩酒;烈酒（饮料）;⻩酒;葡萄酒</t>
  </si>
  <si>
    <t>香师傅</t>
  </si>
  <si>
    <t>陈龙</t>
  </si>
  <si>
    <t>烧酒;利⼝酒;蒸馏饮料;含酒精的饮料（啤酒除外）;烧酒（烈酒）;⽶酒;⽩⼲酒（中国⽩酒）;餐后酒（利⼝酒和烈酒）;⽩酒;烈酒</t>
  </si>
  <si>
    <t>川玖宝龄</t>
  </si>
  <si>
    <t>宜宾川玖宝龄酒业有限公司</t>
  </si>
  <si>
    <t>薄荷酒;鸡尾酒;烈酒（饮料）;⾕物制蒸馏酒精饮料;已调味的⻨芽酿制的酒精饮料（啤酒除外）;开胃酒;含酒精的⽓泡⽔;果酒（含酒精）;葡萄酒;以葡萄酒为主的饮料</t>
  </si>
  <si>
    <t>宋氏益力多</t>
  </si>
  <si>
    <t>山东宋氏医方科技发展有限公司</t>
  </si>
  <si>
    <t>KOCOCRAVING</t>
  </si>
  <si>
    <t>星珉投资（香港）有限公司</t>
  </si>
  <si>
    <t>含⽔果酒精饮料;朗姆酒;薄荷酒;酒精饮料（啤酒除外）;含酒精的⽓泡⽔;预先混合的酒精饮料（以啤酒为主的除外）;威⼠忌;酒精饮料浓缩汁;利⼝酒;酒精饮料原汁;伏特加酒;⽩酒</t>
  </si>
  <si>
    <t>炎黄洛城</t>
  </si>
  <si>
    <t>贾芳芳</t>
  </si>
  <si>
    <t>鸡尾酒;⽩酒;酒精饮料浓缩汁;薄荷酒;伏特加酒;利⼝酒;樱桃酒;⻩酒;烧酒;开胃酒</t>
  </si>
  <si>
    <t>福疆</t>
  </si>
  <si>
    <t>餐后酒（利⼝酒和烈酒）;利⼝酒;葡萄酒;⻘稞酒;烧酒（烈酒）;含酒精的饮料（啤酒除外）;烈酒;⾷⽤酒精;⽶酒;烧酒</t>
  </si>
  <si>
    <t>花江壶</t>
  </si>
  <si>
    <t>高苗苗</t>
  </si>
  <si>
    <t>⾼粱酒;烈酒（饮料）;⽶酒;⻩酒;⽩酒;清酒（⽇本⽶酒）;酒精饮料（啤酒除外）;果酒;烧酒;⽼酒（中国蒸馏烈酒）</t>
  </si>
  <si>
    <t>征跃烧坊</t>
  </si>
  <si>
    <t>陈跃</t>
  </si>
  <si>
    <t>⾼粱酒;⻩酒;清酒;烧酒（烈酒）;⽶酒;梨酒;烧酒;⽩酒;果酒;⽼酒（中国蒸馏烈酒）</t>
  </si>
  <si>
    <t>猫魂</t>
  </si>
  <si>
    <t>石狮市猫魂贸易有限公司</t>
  </si>
  <si>
    <t>果酒（含酒精）;葡萄酒;⽶酒;烧酒;露酒;开胃酒;烈酒（饮料）;⻩酒;⽩酒;⾼粱酒</t>
  </si>
  <si>
    <t>龙宴荣华</t>
  </si>
  <si>
    <t>梅酒;⾼粱酒;酒精饮料（啤酒除外）;⽩⼲酒（中国⽩酒）;蒸馏饮料;⽩酒;樱桃酒;烈酒（饮料）;果酒（含酒精）;威⼠忌</t>
  </si>
  <si>
    <t>问顶小曹</t>
  </si>
  <si>
    <t>问顶文化发展江苏有限公司</t>
  </si>
  <si>
    <t>果酒（含酒精）;⻩酒;⽶酒;薄荷酒;预先混合的酒精饮料（以啤酒为主的除外）;蜂蜜酒;葡萄酒;⽩酒;已调味的⻨芽酿制的酒精饮料（啤酒除外）;鸡尾酒</t>
  </si>
  <si>
    <t>莱知礼</t>
  </si>
  <si>
    <t>山东莱吃购电子商务有限公司</t>
  </si>
  <si>
    <t>酒精饮料（啤酒除外）;⽶酒;⽩酒;烈酒（饮料）;鸡尾酒;⾼粱酒;威⼠忌;果酒（含酒精）;烧酒;葡萄酒</t>
  </si>
  <si>
    <t>宁夏贺蓝赛酒业有限公司</t>
  </si>
  <si>
    <t>⽩酒;果酒;⻩酒;含酒精的⽔果鸡尾酒饮料;葡萄酒;⽶酒;清酒;烧酒（烈酒）;薄荷酒;鸡尾酒</t>
  </si>
  <si>
    <t>悦启睿承（广东）实业投资有限公司</t>
  </si>
  <si>
    <t>樱桃酒;葡萄酒;⻩酒;含⽔果酒精饮料;烧酒;⽇式甜⽶酒;蜂蜜酒;烈酒（饮料）;酒精饮料（啤酒除外）;威⼠忌</t>
  </si>
  <si>
    <t>TREE LI TREE LI</t>
  </si>
  <si>
    <t>上海万疆源食品科技有限公司</t>
  </si>
  <si>
    <t>鸡尾酒;汽酒;伏特加酒;威⼠忌;酒精饮料原汁;酒精饮料（啤酒除外）;预先混合的酒精饮料（以啤酒为主的除外）;⽩酒;⽩兰地;葡萄酒</t>
  </si>
  <si>
    <t>遵小贵</t>
  </si>
  <si>
    <t>⽶酒;烧酒;含酒精的饮料（啤酒除外）;餐后酒（利⼝酒和烈酒）;蒸馏饮料;烈酒;⽩⼲酒（中国⽩酒）;烧酒（烈酒）;⽩酒;利⼝酒</t>
  </si>
  <si>
    <t>情创义</t>
  </si>
  <si>
    <t>严光友</t>
  </si>
  <si>
    <t>葡萄酒;果酒;烈酒;⽩酒;⻩酒;鸡尾酒;梅酒;⾼粱酒;烧酒;⽶酒</t>
  </si>
  <si>
    <t>邻家妙妙</t>
  </si>
  <si>
    <t>泉州市天晟商贸有限公司</t>
  </si>
  <si>
    <t>烧酒;薄荷酒;烈酒（饮料）;⽩酒;果酒;伏特加酒;葡萄酒;鸡尾酒;威⼠忌;⽩兰地</t>
  </si>
  <si>
    <t>小塞酒</t>
  </si>
  <si>
    <t>甘肃塞乡酒业食品有限责任公司</t>
  </si>
  <si>
    <t>威⼠忌;烧酒;⽩酒;⽶酒;⻘稞酒;葡萄酒;清酒;开胃酒;伏特加酒;⻩酒</t>
  </si>
  <si>
    <t>岚青丰泽</t>
  </si>
  <si>
    <t>日照市岚山区兴农发展有限公司</t>
  </si>
  <si>
    <t>烈酒（饮料）;清酒（⽇本⽶酒）;⽶酒;⾷⽤酒精;⽩酒;⻩酒;⽼酒（中国蒸馏烈酒）;葡萄酒;烧酒;果酒（含酒精）</t>
  </si>
  <si>
    <t>万物蒙滋</t>
  </si>
  <si>
    <t>山东知洲教育管理咨询有限公司</t>
  </si>
  <si>
    <t>果酒（含酒精）;樱桃酒;烧酒;酒精饮料原汁;以葡萄酒为主的饮料;烈酒（饮料）;⻩酒;⽩酒;⽶酒;蒸馏饮料</t>
  </si>
  <si>
    <t>蓝伯旺</t>
  </si>
  <si>
    <t>海南华兴之窗投资发展有限公司</t>
  </si>
  <si>
    <t>含⽔果酒精饮料;⽩酒;果酒（含酒精）;蒸馏饮料;烧酒;汽酒;⽶酒;酒精饮料（啤酒除外）;以葡萄酒为主的饮料;蜂蜜酒</t>
  </si>
  <si>
    <t>优雅宫廷</t>
  </si>
  <si>
    <t>⽩⼲酒（中国⽩酒）;除啤酒外的酒精饮料;⽩酒;含酒精⽔果饮料;果酒（含酒精）;烧酒;葡萄酒;苹果酒;烈酒（饮料）;⾼粱酒</t>
  </si>
  <si>
    <t>荜山论剑</t>
  </si>
  <si>
    <t>果酒（含酒精）;清酒（⽇本⽶酒）;利⼝酒;含⽔果酒精饮料;⽩酒;⽼酒（中国蒸馏烈酒）;葡萄汽酒;威⼠忌;⽢蔗制酒精饮料;⾕物制蒸馏酒精饮料</t>
  </si>
  <si>
    <t>历荣烧坊</t>
  </si>
  <si>
    <t>⽩酒;⻩酒;苹果酒;朗姆酒;⽶酒;甜果酒;清酒（⽇本⽶酒）;烧酒;酸酒（低等葡萄酒）;⻘稞酒</t>
  </si>
  <si>
    <t>蒙老板</t>
  </si>
  <si>
    <t>利⼝酒;⽶酒;⽩⼲酒（中国⽩酒）;甜酒;⾼粱酒;果酒;葡萄酒;烈酒;⽩酒;烧酒</t>
  </si>
  <si>
    <t>客都牛夫人</t>
  </si>
  <si>
    <t>黄日生</t>
  </si>
  <si>
    <t>甜酒;清酒;⻩酒;梅酒;⽩⼲酒（中国⽩酒）;⽩酒;果酒;烧酒（烈酒）;蒸馏饮料;烧酒</t>
  </si>
  <si>
    <t>彰铭广 酒</t>
  </si>
  <si>
    <t>⽩酒;烧酒;威⼠忌;清酒（⽇本⽶酒）;葡萄酒;鸡尾酒;⻩酒;除啤酒外的酒精饮料;露酒;果酒（含酒精）</t>
  </si>
  <si>
    <t>比纳多</t>
  </si>
  <si>
    <t>⽩酒;⾼粱酒;⻘稞酒;烧酒;威⼠忌;葡萄酒;⻩酒;⽩兰地;伏特加酒;蒸煮提取物（利⼝酒和烈酒）</t>
  </si>
  <si>
    <t>熊守乾</t>
  </si>
  <si>
    <t>贵州邹旺酒业（集团）有限公司</t>
  </si>
  <si>
    <t>葡萄酒;烧酒;蜂蜜酒;酸酒（低等葡萄酒）;烈酒;⻘稞酒;果酒;⽶酒;⻩酒;⽩酒</t>
  </si>
  <si>
    <t>雅酿皇</t>
  </si>
  <si>
    <t>果酒（含酒精）;酒精饮料（啤酒除外）;烈酒;开胃酒;⻩酒;葡萄酒;清酒（⽇本⽶酒）;威⼠忌;⽩酒;鸡尾酒</t>
  </si>
  <si>
    <t>鹏雯鸿</t>
  </si>
  <si>
    <t>张川飞</t>
  </si>
  <si>
    <t>威⼠忌;伏特加酒;葡萄酒;酒精饮料（啤酒除外）;清酒（⽇本⽶酒）;⽶酒;烈酒（饮料）;鸡尾酒;酒精饮料原汁;⾕物制蒸馏酒精饮料</t>
  </si>
  <si>
    <t>华梁吉</t>
  </si>
  <si>
    <t>贵州匠途酒业有限公司</t>
  </si>
  <si>
    <t>⽩酒;露酒;苹果酒;蒸馏饮料;果酒（含酒精）;烈酒（饮料）;⽶酒;⾕物制蒸馏酒精饮料;餐后酒（利⼝酒和烈酒）;葡萄酒</t>
  </si>
  <si>
    <t>爱儒液</t>
  </si>
  <si>
    <t>黑龙江爱儒科技文化有限公司</t>
  </si>
  <si>
    <t>葡萄酒;⽶酒;果酒（含酒精）;⽩酒;酒精饮料（啤酒除外）;烧酒;⻩酒;⾼粱酒;含⽔果酒精饮料;蒸煮提取物（利⼝酒和烈酒）</t>
  </si>
  <si>
    <t>宁宁古丽</t>
  </si>
  <si>
    <t>大庆市洽集餐饮管理有限责任公司</t>
  </si>
  <si>
    <t>甜酒;蜂蜜酒;⽩酒;红葡萄酒;梅酒;含酒精的⽔果鸡尾酒饮料;咖啡利⼝酒;果酒;酒精饮料（啤酒除外）;鸡尾酒</t>
  </si>
  <si>
    <t>古路情</t>
  </si>
  <si>
    <t>四川慧康农业有限公司</t>
  </si>
  <si>
    <t>⽶酒;⻘稞酒;葡萄酒;朗姆酒;⽩兰地;伏特加酒;果酒（含酒精）;威⼠忌;鸡尾酒;⽩酒</t>
  </si>
  <si>
    <t>咕力达</t>
  </si>
  <si>
    <t>泉州市晋江瑞昂科技有限公司</t>
  </si>
  <si>
    <t>⽶酒;⽩兰地;葡萄酒;⻩酒;清酒;⾷⽤酒精;酒精饮料（啤酒除外）;鸡尾酒;⽩酒;威⼠忌;开胃酒</t>
  </si>
  <si>
    <t>本元紫炁</t>
  </si>
  <si>
    <t>惠州市莱世特生命科技有限公司</t>
  </si>
  <si>
    <t>露酒;葡萄酒;酒精饮料（啤酒除外）;果酒（含酒精）;威⼠忌;含⽔果酒精饮料;⽶酒;⻩酒;⽩酒;蒸馏饮料</t>
  </si>
  <si>
    <t>黔酩颂</t>
  </si>
  <si>
    <t>周青</t>
  </si>
  <si>
    <t>⽩兰地;开胃酒;烈酒（饮料）;葡萄酒;烧酒;⽩酒;鸡尾酒;⻩酒;⽶酒;酒精饮料（啤酒除外）</t>
  </si>
  <si>
    <t>蒂蓝妃</t>
  </si>
  <si>
    <t>王显魁</t>
  </si>
  <si>
    <t>果酒（含酒精）;蒸馏饮料;葡萄酒;酒精饮料（啤酒除外）;烈酒（饮料）;⻩酒;鸡尾酒;⽶酒;⽩酒;烧酒</t>
  </si>
  <si>
    <t>秀河蓝缘</t>
  </si>
  <si>
    <t>宿迁市秀河酒业有限公司</t>
  </si>
  <si>
    <t>⻩酒;⽶酒;烧酒;⾷⽤酒精;蒸煮提取物（利⼝酒和烈酒）;⽩酒;葡萄酒;酒精饮料（啤酒除外）;果酒（含酒精）;汽酒</t>
  </si>
  <si>
    <t>一杯几</t>
  </si>
  <si>
    <t>江南娱市（杭州）文化传媒有限公司</t>
  </si>
  <si>
    <t>⾼粱酒;蜂蜜酒;梅酒;汽酒;以朗姆酒为主的饮料;⻩酒;露酒;鸡尾酒;果酒;甜酒</t>
  </si>
  <si>
    <t>可灵雅境</t>
  </si>
  <si>
    <t>北京嘉德利雅投资管理有限公司</t>
  </si>
  <si>
    <t>果酒（含酒精）;烧酒;利⼝酒;⽩酒;⻩酒;葡萄酒;开胃酒;⽶酒;酒精饮料（啤酒除外）;⽩兰地</t>
  </si>
  <si>
    <t>扇舞</t>
  </si>
  <si>
    <t>清酒（⽇本⽶酒）;果酒（含酒精）;蜂蜜酒;樱桃酒;烧酒;酒精饮料原汁;酒精饮料（啤酒除外）;含⽔果酒精饮料;⽶酒;汽酒</t>
  </si>
  <si>
    <t>丽帝</t>
  </si>
  <si>
    <t>开胃酒;果酒（含酒精）;清酒（⽇本⽶酒）;酒精饮料（啤酒除外）;⻩酒;鸡尾酒;葡萄酒;威⼠忌;⽩酒;烈酒</t>
  </si>
  <si>
    <t>迈山河</t>
  </si>
  <si>
    <t>果酒（含酒精）;开胃酒;酒精饮料（啤酒除外）;⽩酒;清酒（⽇本⽶酒）;威⼠忌;⻩酒;烈酒;葡萄酒;鸡尾酒</t>
  </si>
  <si>
    <t>湘川故事</t>
  </si>
  <si>
    <t>湖南万坊酒业有限公司</t>
  </si>
  <si>
    <t>果酒（含酒精）;烈酒（饮料）;甜酒;⽶酒;⾼粱酒;⾕物制蒸馏酒精饮料;葡萄酒;酒精饮料（啤酒除外）;⽩酒;威⼠忌</t>
  </si>
  <si>
    <t>酿上皇</t>
  </si>
  <si>
    <t>果酒（含酒精）;清酒（⽇本⽶酒）;酒精饮料（啤酒除外）;⽩酒;威⼠忌;开胃酒;鸡尾酒;⻩酒;葡萄酒;烈酒</t>
  </si>
  <si>
    <t>株式会社徒人</t>
  </si>
  <si>
    <t>鸡尾酒;烈酒（饮料）;葡萄酒;⽩兰地;威⼠忌;果酒（含酒精）;甜酒;清酒（⽇本⽶酒）;蒸馏饮料;烧酒</t>
  </si>
  <si>
    <t>劲牌幽谷神山</t>
  </si>
  <si>
    <t>⽩酒;酒精饮料（啤酒除外）;烈酒（饮料）;露酒;⽶酒;⾷⽤酒精;⾼粱酒;葡萄酒;果酒（含酒精）;⾕物制蒸馏酒精饮料</t>
  </si>
  <si>
    <t>仁生喜事</t>
  </si>
  <si>
    <t>钟湘军</t>
  </si>
  <si>
    <t>清酒;⽶酒;开胃酒;汽酒;⻩酒;葡萄酒;⾷⽤酒精;果酒;甜酒;⽩酒</t>
  </si>
  <si>
    <t>熙汐福流</t>
  </si>
  <si>
    <t>北京熙汐福流科贸有限公司</t>
  </si>
  <si>
    <t>苹果酒;含酒精的⽔果鸡尾酒饮料;⼲型苹果酒;含酒精⽔果饮料;含酒精的充⽓饮料（啤酒除外）;含酒精的饮料（啤酒除外）;甜酒;除啤酒外的酒精饮料</t>
  </si>
  <si>
    <t>流水趣</t>
  </si>
  <si>
    <t>走心（厦门）文化传媒有限公司</t>
  </si>
  <si>
    <t>威⼠忌;酒精饮料（啤酒除外）;⽩兰地;⽶酒;⾕物制蒸馏酒精饮料;果酒（含酒精）;葡萄酒;蒸馏饮料;烈酒（饮料）;⽩酒</t>
  </si>
  <si>
    <t>HOMESTONE OF STARES</t>
  </si>
  <si>
    <t>⻩酒;⽩酒;含酒精的⽔果鸡尾酒饮料;烧酒（烈酒）;果酒;⽶酒;清酒;葡萄酒;鸡尾酒;薄荷酒</t>
  </si>
  <si>
    <t>三镇红</t>
  </si>
  <si>
    <t>武汉镞然供应链管理有限公司</t>
  </si>
  <si>
    <t>⽩兰地;果酒;⽩酒;⻩酒;⾕物制蒸馏酒精饮料;威⼠忌;果酒（含酒精）;烈酒;⽢蔗制酒精饮料;葡萄酒</t>
  </si>
  <si>
    <t>佛山市顺德区老佛野食品有限公司</t>
  </si>
  <si>
    <t>⽶酒;⻩酒;⾕物制蒸馏酒精饮料;⽩⼲酒（中国⽩酒）;⻘稞酒;⾼粱酒;以葡萄酒为主的饮料;⽩酒;⽼酒（中国蒸馏烈酒）;葡萄酒</t>
  </si>
  <si>
    <t>圆梦池</t>
  </si>
  <si>
    <t>烧酒（烈酒）;烈酒;葡萄酒;餐后酒（利⼝酒和烈酒）;⻘稞酒;⽶酒;利⼝酒;烧酒;含酒精的饮料（啤酒除外）;⾷⽤酒精</t>
  </si>
  <si>
    <t>佳合利顺坊</t>
  </si>
  <si>
    <t>朱利</t>
  </si>
  <si>
    <t>⽩酒;⾷⽤酒精;酒精饮料（啤酒除外）;鸡尾酒;烈酒（饮料）;果酒（含酒精）;葡萄酒;⽶酒;烧酒;酒精饮料原汁</t>
  </si>
  <si>
    <t>祉岐北极光</t>
  </si>
  <si>
    <t>黑龙江卓宝商贸有限公司</t>
  </si>
  <si>
    <t>⾼粱酒;朝鲜烧酒;⽶酒;除啤酒外的酒精饮料;烧酒（烈酒）;由⾕物蒸馏的⽩酒;烈酒;烈酒浓缩汁;烧酒;⽼酒（中国蒸馏烈酒）</t>
  </si>
  <si>
    <t>酌掌门</t>
  </si>
  <si>
    <t>邛崃山福韵</t>
  </si>
  <si>
    <t>四川珑昶酒业有限公司</t>
  </si>
  <si>
    <t>清酒（⽇本⽶酒）;⽩兰地;⻩酒;⽶酒;果酒（含酒精）;葡萄酒;酒精饮料（啤酒除外）;⻘稞酒;烧酒;⽩酒</t>
  </si>
  <si>
    <t>凡间名匠</t>
  </si>
  <si>
    <t>⽩酒;由⾕物蒸馏的⽩酒;烧酒;⽩兰地;含⽔果酒精饮料;酒精饮料原汁;酒精饮料浓缩汁;⽶酒;⽩⼲酒（中国⽩酒）;酒精饮料（啤酒除外）</t>
  </si>
  <si>
    <t>七清仙</t>
  </si>
  <si>
    <t>王传登</t>
  </si>
  <si>
    <t>⽩酒;鸡尾酒;烈酒（饮料）;酒精饮料原汁;⽶酒;烧酒;酒精饮料（啤酒除外）;葡萄酒;果酒（含酒精）;⾷⽤酒精</t>
  </si>
  <si>
    <t>蒙信</t>
  </si>
  <si>
    <t>果酒;⽩⼲酒（中国⽩酒）;烈酒;⾼粱酒;烧酒;⽶酒;⽩酒;甜酒;葡萄酒;利⼝酒</t>
  </si>
  <si>
    <t>向阳恒</t>
  </si>
  <si>
    <t>唐明彪</t>
  </si>
  <si>
    <t>⽩酒;酒精饮料（啤酒除外）;⻩酒;果酒（含酒精）;烧酒;威⼠忌;蒸馏饮料;⽶酒;⽩兰地;葡萄酒</t>
  </si>
  <si>
    <t>冒劳</t>
  </si>
  <si>
    <t>张航瑜532801********0137</t>
  </si>
  <si>
    <t>果酒（含酒精）;烧酒;鸡尾酒;⽩酒;烈酒（饮料）;威⼠忌;开胃酒;⽶酒;葡萄酒;⻘稞酒</t>
  </si>
  <si>
    <t>帝色</t>
  </si>
  <si>
    <t>开胃酒;鸡尾酒;⽩酒;⻩酒;果酒（含酒精）;葡萄酒;威⼠忌;清酒（⽇本⽶酒）;酒精饮料（啤酒除外）;烈酒</t>
  </si>
  <si>
    <t>炎圣古</t>
  </si>
  <si>
    <t>长沙奥赞科技有限公司</t>
  </si>
  <si>
    <t>酒精饮料（啤酒除外）;果酒（含酒精）;⻩酒;威⼠忌;⽶酒;清酒;开胃酒;烧酒;葡萄酒;⽩酒</t>
  </si>
  <si>
    <t>贵盛唐</t>
  </si>
  <si>
    <t>蒙全发</t>
  </si>
  <si>
    <t>酒精饮料（啤酒除外）;⽩酒;蒸馏饮料;⽶酒;葡萄酒;威⼠忌;烧酒;果酒（含酒精）;鸡尾酒;⻩酒</t>
  </si>
  <si>
    <t>言喜颜</t>
  </si>
  <si>
    <t>深圳市展致科技有限公司</t>
  </si>
  <si>
    <t>⽩兰地;利⼝酒;果酒;⽶酒;葡萄酒;烈酒（饮料）;烧酒;⻩酒;⽩酒;酒精饮料（啤酒除外）</t>
  </si>
  <si>
    <t>杰卡斯澳意</t>
  </si>
  <si>
    <t>保乐力加酿酒师有限公司</t>
  </si>
  <si>
    <t>拉芳酒业</t>
  </si>
  <si>
    <t>⽩兰地;葡萄酒;清酒（⽇本⽶酒）;酒精饮料（啤酒除外）;⽩酒;威⼠忌;⻩酒;果酒（含酒精）;⽶酒;⻘稞酒</t>
  </si>
  <si>
    <t>慕俄格古</t>
  </si>
  <si>
    <t>母光焱</t>
  </si>
  <si>
    <t>酒精饮料原汁;葡萄酒;开胃酒;⽶酒;果酒（含酒精）;烈酒（饮料）;酒精饮料浓缩汁;酒精饮料（啤酒除外）;⽩酒;威⼠忌</t>
  </si>
  <si>
    <t>老刨夫</t>
  </si>
  <si>
    <t>参山礼（吉林省）食品有限公司</t>
  </si>
  <si>
    <t>蜂蜜酒;⽩酒;⻩酒;含⽔果酒精饮料;朝鲜族⽶酒;⾷⽤酒精;⽶酒;葡萄酒;烧酒;果酒（含酒精）</t>
  </si>
  <si>
    <t>界世的凡平</t>
  </si>
  <si>
    <t>魏江浩</t>
  </si>
  <si>
    <t>烈酒（饮料）;清酒（⽇本⽶酒）;露酒;烧酒;⽩兰地;鸡尾酒;果酒（含酒精）;葡萄酒;蒸馏饮料;⽩酒</t>
  </si>
  <si>
    <t>薄荷酒;⽩酒;清酒;烧酒（烈酒）;⽶酒;含酒精的⽔果鸡尾酒饮料;鸡尾酒;⻩酒;葡萄酒;果酒</t>
  </si>
  <si>
    <t>静无争</t>
  </si>
  <si>
    <t>昆山市雁枫森铁皮石斛有限公司</t>
  </si>
  <si>
    <t>⽩酒;含酒精的⽔果鸡尾酒饮料;预调甜酒;⻩酒;⽔果汽酒;酒精饮料（啤酒除外）;含⽔果酒精饮料;果酒;清酒;烈酒（饮料）</t>
  </si>
  <si>
    <t>赏山河</t>
  </si>
  <si>
    <t>开胃酒;清酒（⽇本⽶酒）;果酒（含酒精）;鸡尾酒;烈酒;威⼠忌;酒精饮料（啤酒除外）;⽩酒;葡萄酒;⻩酒</t>
  </si>
  <si>
    <t>臧西</t>
  </si>
  <si>
    <t>杭州沐淋森文化传媒有限公司</t>
  </si>
  <si>
    <t>酒精饮料（啤酒除外）;酒精饮料原汁;果酒（含酒精）;含酒精⽔果饮料;汽酒;⽔果汽酒;葡萄酒;⽩酒;朗姆酒;伏特加酒</t>
  </si>
  <si>
    <t>韵酿皇</t>
  </si>
  <si>
    <t>威⼠忌;果酒（含酒精）;鸡尾酒;酒精饮料（啤酒除外）;清酒（⽇本⽶酒）;⻩酒;开胃酒;烈酒;葡萄酒;⽩酒</t>
  </si>
  <si>
    <t>东子说</t>
  </si>
  <si>
    <t>石莹</t>
  </si>
  <si>
    <t>⽩兰地;⽩酒;葡萄酒;⻘稞酒;果酒（含酒精）;清酒（⽇本⽶酒）;鸡尾酒;⻩酒;威⼠忌;⾷⽤酒精</t>
  </si>
  <si>
    <t>魔满</t>
  </si>
  <si>
    <t>高志强</t>
  </si>
  <si>
    <t>果酒;甜酒;清酒（⽇本⽶酒）;清酒;佐餐酒;⽶酒;烧酒;⻩酒;⽔果汽酒;利⼝酒</t>
  </si>
  <si>
    <t>韩博格</t>
  </si>
  <si>
    <t>厦门万皮思食品科技有限公司</t>
  </si>
  <si>
    <t>⽶酒;果酒（含酒精）;酒精饮料原汁;烧酒;⻩酒;鸡尾酒;开胃酒;蒸馏饮料;酒精饮料（啤酒除外）;葡萄酒</t>
  </si>
  <si>
    <t>韩伯格</t>
  </si>
  <si>
    <t>开胃酒;酒精饮料（啤酒除外）;⽶酒;果酒（含酒精）;⻩酒;葡萄酒;蒸馏饮料;酒精饮料原汁;鸡尾酒;烧酒</t>
  </si>
  <si>
    <t>玉瑰人</t>
  </si>
  <si>
    <t>梨树县偏脸城酒业有限公司</t>
  </si>
  <si>
    <t>⽩酒;酒精饮料（啤酒除外）;⽩⼲酒（中国⽩酒）;烧酒;⾼粱酒;葡萄酒;果酒;⽶酒;⻘稞酒;⻩酒</t>
  </si>
  <si>
    <t>鑫势成</t>
  </si>
  <si>
    <t>潘旭东</t>
  </si>
  <si>
    <t>果酒（含酒精）;含⽔果酒精饮料;⾕物制蒸馏酒精饮料;⻩酒;蜂蜜酒;⽶酒;以葡萄酒为主的饮料;⾷⽤酒精;⽩酒;烈酒（饮料）</t>
  </si>
  <si>
    <t>桌祥</t>
  </si>
  <si>
    <t>餐后酒（利⼝酒和烈酒）;⽶酒;⾕物制蒸馏酒精饮料;露酒;烈酒（饮料）;蒸馏饮料;⽩酒;苹果酒;葡萄酒;果酒（含酒精）</t>
  </si>
  <si>
    <t>凡络新材料科技（广东）有限公司</t>
  </si>
  <si>
    <t>梅酒;利⼝酒;梨酒;⻘稞酒;⻩酒;蝮蛇酒;朗姆酒;柑⾹酒;亚⼒酒;松叶酒</t>
  </si>
  <si>
    <t>WATER FOREST</t>
  </si>
  <si>
    <t>佛山水森林大健康产业有限公司</t>
  </si>
  <si>
    <t>葡萄酒;⽶酒;酒精饮料（啤酒除外）;⻩酒;威⼠忌;烈酒（饮料）;果酒（含酒精）;蒸馏饮料;烧酒;⽩酒</t>
  </si>
  <si>
    <t>贵村人</t>
  </si>
  <si>
    <t>烧酒（烈酒）;餐后酒（利⼝酒和烈酒）;烧酒;⻘稞酒;⾷⽤酒精;利⼝酒;葡萄酒;含酒精的饮料（啤酒除外）;烈酒;⽶酒</t>
  </si>
  <si>
    <t>舍域</t>
  </si>
  <si>
    <t>威⼠忌;⽩兰地;⽩酒;葡萄酒;⻩酒;酒精饮料（啤酒除外）;鸡尾酒;烈酒（饮料）;⽶酒;⾷⽤酒精</t>
  </si>
  <si>
    <t>米山元度</t>
  </si>
  <si>
    <t>王兆兴</t>
  </si>
  <si>
    <t>果酒（含酒精）;⾷⽤酒精;烈酒（饮料）;伏特加酒;⽩酒;葡萄酒;⽩兰地;威⼠忌;朗姆酒;⻩酒</t>
  </si>
  <si>
    <t>君德毅 酒</t>
  </si>
  <si>
    <t>仁怀市友德种植农民专业合作社</t>
  </si>
  <si>
    <t>汽酒;⽶酒;果酒;⾷⽤酒精;清酒;⾼粱酒;烧酒;⻩酒;⽩酒;葡萄酒</t>
  </si>
  <si>
    <t>泸旭</t>
  </si>
  <si>
    <t>蒸馏饮料;鸡尾酒;果酒（含酒精）;酒精饮料（啤酒除外）;威⼠忌;⻩酒;⽩酒;烈酒;葡萄酒;⽶酒</t>
  </si>
  <si>
    <t>飚畅</t>
  </si>
  <si>
    <t>闫岩</t>
  </si>
  <si>
    <t>鸡尾酒;开胃酒;⽩酒;利⼝酒;伏特加酒;薄荷酒;酒精饮料浓缩汁;⻩酒;烧酒;樱桃酒</t>
  </si>
  <si>
    <t>宫笈</t>
  </si>
  <si>
    <t>玉儿叫</t>
  </si>
  <si>
    <t>烧酒;含⽔果酒精饮料;鸡尾酒;⻩酒;葡萄酒;威⼠忌;清酒（⽇本⽶酒）;烈酒（饮料）;果酒（含酒精）;⽩酒</t>
  </si>
  <si>
    <t>岚念寻味</t>
  </si>
  <si>
    <t>果酒（含酒精）;⾷⽤酒精;葡萄酒;烈酒（饮料）;⽼酒（中国蒸馏烈酒）;清酒（⽇本⽶酒）;烧酒;⻩酒;⽩酒;⽶酒</t>
  </si>
  <si>
    <t>樽筑天下</t>
  </si>
  <si>
    <t>葡萄酒;黄酒;汽酒;果酒;烧酒;威士忌;清酒;白酒;米酒;白兰地</t>
  </si>
  <si>
    <t>水韵春呈</t>
  </si>
  <si>
    <t>于国龙</t>
  </si>
  <si>
    <t>烈酒（饮料）;含水果酒精饮料;米酒;黄酒;酒精饮料（啤酒除外）;葡萄酒;伏特加酒;烧酒;白酒;清酒</t>
  </si>
  <si>
    <t>酿小侠</t>
  </si>
  <si>
    <t>玲珑匠心</t>
  </si>
  <si>
    <t>白酒;烧酒;葡萄酒;米酒;果酒;威士忌;白兰地;黄酒;汽酒;清酒</t>
  </si>
  <si>
    <t>九华山九色鹿</t>
  </si>
  <si>
    <t>烈酒（饮料）;酒精饮料原汁;酒精饮料浓缩汁;谷物制蒸馏酒精饮料;蒸馏饮料;酒精饮料（啤酒除外）;米酒;烧酒;食用酒精;白酒</t>
  </si>
  <si>
    <t>三源永</t>
  </si>
  <si>
    <t>由⾕物蒸馏的⽩酒;⽼酒（中国蒸馏烈酒）;⽩⼲酒（中国⽩酒）</t>
  </si>
  <si>
    <t>九华山鸣沙</t>
  </si>
  <si>
    <t>蒸馏饮料;⽩酒;酒精饮料原汁;酒精饮料浓缩汁;烈酒（饮料）;⾕物制蒸馏酒精饮料;酒精饮料（啤酒除外）;烧酒;⾷⽤酒精;⽶酒</t>
  </si>
  <si>
    <t>华窑典</t>
  </si>
  <si>
    <t>北京顺性而为科技有限公司</t>
  </si>
  <si>
    <t>酒精饮料（啤酒除外）;清酒（⽇本⽶酒）;烈酒;葡萄酒;⽩酒;鸡尾酒;⻩酒;威⼠忌;果酒（含酒精）;开胃酒</t>
  </si>
  <si>
    <t>JEFFREY EAGLE</t>
  </si>
  <si>
    <t>海南云仓供应链管理有限公司</t>
  </si>
  <si>
    <t>⽩酒;果酒（含酒精）;威⼠忌;开胃酒;葡萄酒;烧酒;烈酒（饮料）;⽩兰地;清酒（⽇本⽶酒）;伏特加酒</t>
  </si>
  <si>
    <t>鲁岭醇</t>
  </si>
  <si>
    <t>金琳</t>
  </si>
  <si>
    <t>鸡尾酒;薄荷酒;开胃酒;⽩酒;伏特加酒;樱桃酒;⻩酒;烧酒;酒精饮料浓缩汁;利⼝酒</t>
  </si>
  <si>
    <t>伊平特</t>
  </si>
  <si>
    <t>乌鲁木齐佰骏杰商贸有限公司</t>
  </si>
  <si>
    <t>⽶酒;⽩酒;含⽔果酒精饮料;酒精饮料（啤酒除外）;⻩酒;烧酒;开胃酒;鸡尾酒;葡萄酒;伏特加酒</t>
  </si>
  <si>
    <t>匠醉欢</t>
  </si>
  <si>
    <t>欧阳水金</t>
  </si>
  <si>
    <t>⻘稞酒;⽼酒（中国蒸馏烈酒）;⻩酒;果酒;清酒（⽇本⽶酒）;⽶酒;清酒;烧酒;⾼粱酒;⽩酒</t>
  </si>
  <si>
    <t>朱大男320525********4113</t>
  </si>
  <si>
    <t>⽩酒;由⾕物蒸馏的⽩酒;清酒;⾼粱酒;杨梅酒;葡萄酒;⽼酒（中国蒸馏烈酒）;烧酒;⽶酒;⻩酒</t>
  </si>
  <si>
    <t>诚则喜</t>
  </si>
  <si>
    <t>烧酒;果酒;利⼝酒;⻩酒;开胃酒;葡萄酒;蜂蜜酒;烈酒;⽩酒;⽶酒</t>
  </si>
  <si>
    <t>思山河</t>
  </si>
  <si>
    <t>果酒（含酒精）;鸡尾酒;清酒（⽇本⽶酒）;酒精饮料（啤酒除外）;⽩酒;葡萄酒;烈酒;开胃酒;威⼠忌;⻩酒</t>
  </si>
  <si>
    <t>七色谭</t>
  </si>
  <si>
    <t>贵州金沙金撼酒业有限公司</t>
  </si>
  <si>
    <t>含⽔果酒精饮料;酒精饮料（啤酒除外）;⾕物制蒸馏酒精饮料;烧酒;汽酒;⽩酒;⽼酒（中国蒸馏烈酒）;果酒（含酒精）;烈酒（饮料）;含酒精的⽓泡⽔</t>
  </si>
  <si>
    <t>凤酩珠</t>
  </si>
  <si>
    <t>裴晓波</t>
  </si>
  <si>
    <t>蒸煮提取物（利⼝酒和烈酒）;⽩酒;⽩兰地;威⼠忌;酒精饮料（啤酒除外）;鸡尾酒;果酒（含酒精）;葡萄酒;酒精饮料原汁;⻩酒</t>
  </si>
  <si>
    <t>天生妙妙</t>
  </si>
  <si>
    <t>薄荷酒;葡萄酒;鸡尾酒;烈酒（饮料）;烧酒;⽩兰地;威⼠忌;伏特加酒;果酒;⽩酒</t>
  </si>
  <si>
    <t>雅山河</t>
  </si>
  <si>
    <t>鸡尾酒;威⼠忌;烈酒;果酒（含酒精）;⽩酒;⻩酒;开胃酒;葡萄酒;酒精饮料（啤酒除外）;清酒（⽇本⽶酒）</t>
  </si>
  <si>
    <t>源酿皇</t>
  </si>
  <si>
    <t>⻩酒;果酒（含酒精）;开胃酒;清酒（⽇本⽶酒）;酒精饮料（啤酒除外）;烈酒;鸡尾酒;葡萄酒;威⼠忌;⽩酒</t>
  </si>
  <si>
    <t>世瑰宝</t>
  </si>
  <si>
    <t>弘全</t>
  </si>
  <si>
    <t>安徽江舟食品科技有限公司</t>
  </si>
  <si>
    <t>烈酒（饮料）;鸡尾酒;烧酒;⽩酒;⻩酒;酒精饮料（啤酒除外）;⽶酒;葡萄酒;清酒（⽇本⽶酒）;果酒（含酒精）</t>
  </si>
  <si>
    <t>老农玉贡</t>
  </si>
  <si>
    <t>果酒（含酒精）;汽酒;烈酒;烧酒;葡萄酒;鸡尾酒;⽩酒;利⼝酒;开胃酒;⽶酒</t>
  </si>
  <si>
    <t>ZOWFINE</t>
  </si>
  <si>
    <t>山东中伟食品有限公司</t>
  </si>
  <si>
    <t>鸡尾酒;含⽔果酒精饮料;以葡萄酒为主的饮料;⻩酒;酒精饮料（啤酒除外）;⽶酒;⽩酒;果酒（含酒精）;蒸馏饮料;开胃酒</t>
  </si>
  <si>
    <t>龙宫帝樽</t>
  </si>
  <si>
    <t>葡萄酒;鸡尾酒;⽩酒;威⼠忌;含⽔果酒精饮料;烈酒（饮料）;果酒（含酒精）;⻩酒;烧酒;清酒（⽇本⽶酒）</t>
  </si>
  <si>
    <t>阿莎咪米</t>
  </si>
  <si>
    <t>烧酒;果酒（含酒精）;蒸馏饮料;⽩兰地;清酒（⽇本⽶酒）;威⼠忌;鸡尾酒;甜酒;烈酒（饮料）;葡萄酒</t>
  </si>
  <si>
    <t>酒客仟仟</t>
  </si>
  <si>
    <t>四川仟仟客名窖酒业有限公司</t>
  </si>
  <si>
    <t>苦味酒;酒精饮料（啤酒除外）;⻘稞酒;⽩酒;烧酒;果酒（含酒精）;⽩兰地;葡萄酒;威⼠忌;开胃酒</t>
  </si>
  <si>
    <t>中清研</t>
  </si>
  <si>
    <t>深圳松之乐生物科技有限公司</t>
  </si>
  <si>
    <t>威⼠忌;⾕物制蒸馏酒精饮料;伏特加酒;果酒（含酒精）;蒸馏饮料;酒精饮料（啤酒除外）;含⽔果酒精饮料;开胃酒;葡萄酒;⽩兰地</t>
  </si>
  <si>
    <t>山不语</t>
  </si>
  <si>
    <t>磐安一川置业有限公司</t>
  </si>
  <si>
    <t>果酒（含酒精）;烧酒;清酒;⻩酒;葡萄酒;烈酒（饮料）;⽶酒;酒精饮料（啤酒除外）;⽩酒;鸡尾酒</t>
  </si>
  <si>
    <t>共逍遥</t>
  </si>
  <si>
    <t>⻩酒;威⼠忌;开胃酒;⽩酒;酒精饮料（啤酒除外）;烈酒;果酒（含酒精）;葡萄酒;清酒（⽇本⽶酒）;鸡尾酒</t>
  </si>
  <si>
    <t>御井仙</t>
  </si>
  <si>
    <t>葡萄酒;酒精饮料（啤酒除外）;鸡尾酒;⽩兰地;⾷⽤酒精;⽶酒;⻩酒;威⼠忌;烈酒（饮料）;⽩酒</t>
  </si>
  <si>
    <t>满江稻</t>
  </si>
  <si>
    <t>⻩酒;⽶酒;⾷⽤酒精;威⼠忌;鸡尾酒;⽩兰地;⽩酒;酒精饮料（啤酒除外）;葡萄酒;烈酒（饮料）</t>
  </si>
  <si>
    <t>膳册</t>
  </si>
  <si>
    <t>陈周袁</t>
  </si>
  <si>
    <t>酒精饮料（啤酒除外）;⻩酒;酒精饮料原汁;烈酒（饮料）;⽶酒;果酒（含酒精）;蒸馏饮料;烧酒;⽩酒;葡萄酒</t>
  </si>
  <si>
    <t>落月云庭</t>
  </si>
  <si>
    <t>⾷⽤酒精;葡萄酒;烧酒;酒精饮料原汁;⻩酒;果酒;⽩酒;含酒精的饮料（啤酒除外）;⽶酒;清酒</t>
  </si>
  <si>
    <t>星星的故乡</t>
  </si>
  <si>
    <t>薄荷酒;鸡尾酒;⽶酒;⻩酒;果酒;清酒;含酒精的⽔果鸡尾酒饮料;⽩酒;烧酒（烈酒）;葡萄酒</t>
  </si>
  <si>
    <t>煌酿皇</t>
  </si>
  <si>
    <t>开胃酒;清酒（⽇本⽶酒）;酒精饮料（啤酒除外）;威⼠忌;⽩酒;⻩酒;果酒（含酒精）;鸡尾酒;葡萄酒;烈酒</t>
  </si>
  <si>
    <t>魅荷</t>
  </si>
  <si>
    <t>杨林</t>
  </si>
  <si>
    <t>⽩兰地;酒精饮料原汁;⻩酒;酒精饮料（啤酒除外）;葡萄酒;蒸煮提取物（利⼝酒和烈酒）;鸡尾酒;威⼠忌;果酒（含酒精）;⽩酒</t>
  </si>
  <si>
    <t>韩波格</t>
  </si>
  <si>
    <t>酒精饮料原汁;果酒（含酒精）;蒸馏饮料;开胃酒;葡萄酒;⻩酒;⽶酒;烧酒;鸡尾酒;酒精饮料（啤酒除外）</t>
  </si>
  <si>
    <t>岚海翠耘</t>
  </si>
  <si>
    <t>⽶酒;⽼酒（中国蒸馏烈酒）;烈酒（饮料）;⻩酒;⾷⽤酒精;烧酒;⽩酒;果酒（含酒精）;葡萄酒;清酒（⽇本⽶酒）</t>
  </si>
  <si>
    <t>绝壁</t>
  </si>
  <si>
    <t>葡萄酒;⽩酒;酒精饮料（啤酒除外）;⽶酒;伏特加酒;⻩酒;烧酒;果酒（含酒精）;清酒（⽇本⽶酒）;⻘稞酒</t>
  </si>
  <si>
    <t>尧舜让</t>
  </si>
  <si>
    <t>菏泽市牡丹区尧舜酿酒厂</t>
  </si>
  <si>
    <t>开胃酒;⻩酒;⽩酒;⽶酒;预先混合的酒精饮料（以啤酒为主的除外）;果酒（含酒精）;烧酒;葡萄酒;酒精饮料（啤酒除外）;含⽔果酒精饮料</t>
  </si>
  <si>
    <t>葡萄酒;烈酒;⻩酒;⾷⽤酒精;蒸馏饮料;⽶酒;⽩酒;酒精饮料（啤酒除外）;⾼粱酒;果酒（含酒精）</t>
  </si>
  <si>
    <t>岸美人</t>
  </si>
  <si>
    <t>贵州魔梨生物科技股份有限公司</t>
  </si>
  <si>
    <t>果酒（含酒精）;威⼠忌;蒸馏饮料;鸡尾酒;⻩酒;⽶酒;⽩酒;酒精饮料（啤酒除外）;⾕物制蒸馏酒精饮料;葡萄酒</t>
  </si>
  <si>
    <t>有堃</t>
  </si>
  <si>
    <t>⽇式甜⽶酒;葡萄酒;烧酒;蜂蜜酒;⻩酒;威⼠忌;樱桃酒;酒精饮料（啤酒除外）;烈酒（饮料）;含⽔果酒精饮料</t>
  </si>
  <si>
    <t>掼誉</t>
  </si>
  <si>
    <t>四川兴思予酒业有限公司</t>
  </si>
  <si>
    <t>⽩酒;烧酒;葡萄酒;⻩酒;⽶酒;开胃酒;鸡尾酒;果酒;威⼠忌;⾷⽤酒精</t>
  </si>
  <si>
    <t>一祯堂</t>
  </si>
  <si>
    <t>台州一祯堂生物科技有限公司</t>
  </si>
  <si>
    <t>果酒（含酒精）;⽩葡萄酒;烧酒（烈酒）;伏特加酒;含⽔果酒精饮料;⽩酒;酒精饮料（啤酒除外）;鸡尾酒;含酒精的鸡尾酒混合饮品;⽶酒</t>
  </si>
  <si>
    <t>威⼠忌;⽩兰地;葡萄酒;伏特加酒;酒精饮料（啤酒除外）;⾕物制蒸馏酒精饮料;含⽔果酒精饮料;果酒（含酒精）;蒸馏饮料;开胃酒</t>
  </si>
  <si>
    <t>HUAPONT</t>
  </si>
  <si>
    <t>华邦生命健康股份有限公司</t>
  </si>
  <si>
    <t>果酒（含酒精）;⽩酒;鸡尾酒;烧酒;⽶酒;烈酒（饮料）;清酒（⽇本⽶酒）;酒精饮料（啤酒除外）;⻩酒;葡萄酒</t>
  </si>
  <si>
    <t>蜀老仙</t>
  </si>
  <si>
    <t>鹿瑰人</t>
  </si>
  <si>
    <t>酒精饮料（啤酒除外）;⾼粱酒;⻩酒;果酒;葡萄酒;⽩酒;烧酒;⽶酒;⻘稞酒;⽩⼲酒（中国⽩酒）</t>
  </si>
  <si>
    <t>修辟堂</t>
  </si>
  <si>
    <t>吉林德义电子商务有限公司</t>
  </si>
  <si>
    <t>果酒（含酒精）;汽酒;烧酒;⽩酒;⻩酒;⾼粱酒;⽶酒;葡萄酒;酒精饮料（啤酒除外）;⽼酒（中国蒸馏烈酒）</t>
  </si>
  <si>
    <t>皮孩子</t>
  </si>
  <si>
    <t>开胃酒;清酒;甜酒;⽩酒;⻩酒;葡萄酒;⾷⽤酒精;果酒;汽酒;⽶酒</t>
  </si>
  <si>
    <t>幸福玉玺</t>
  </si>
  <si>
    <t>⽶酒;清酒;⽩酒;⽼酒（中国蒸馏烈酒）;烧酒;⻘稞酒;果酒;⾼粱酒;⻩酒;清酒（⽇本⽶酒）</t>
  </si>
  <si>
    <t>龙馥凤郁</t>
  </si>
  <si>
    <t>⽶酒;葡萄酒;⾷⽤酒精;⻩酒;威⼠忌;果酒（含酒精）;鸡尾酒;烧酒;⽩酒;⽩兰地</t>
  </si>
  <si>
    <t>仰沾时雨</t>
  </si>
  <si>
    <t>左浩霖</t>
  </si>
  <si>
    <t>⽩酒;果酒;葡萄酒;⻩酒;⽶酒;⾼粱酒;含酒精的饮料（啤酒除外）;⽩⼲酒（中国⽩酒）;⽼酒（中国蒸馏烈酒）;烧酒（烈酒）</t>
  </si>
  <si>
    <t>酒乡禧福</t>
  </si>
  <si>
    <t>威⼠忌;⽶酒;⽩酒;⻩酒;清酒;果酒;⽩兰地;烧酒;葡萄酒;汽酒</t>
  </si>
  <si>
    <t>享山河</t>
  </si>
  <si>
    <t>⻩酒;开胃酒;葡萄酒;果酒（含酒精）;威⼠忌;⽩酒;烈酒;鸡尾酒;清酒（⽇本⽶酒）;酒精饮料（啤酒除外）</t>
  </si>
  <si>
    <t>骆驼五哥</t>
  </si>
  <si>
    <t>赵白女</t>
  </si>
  <si>
    <t>开胃酒;利⼝酒;烧酒;鸡尾酒;⻩酒;薄荷酒;⽩酒;樱桃酒;伏特加酒;酒精饮料浓缩汁</t>
  </si>
  <si>
    <t>京汉唐</t>
  </si>
  <si>
    <t>陈淑琳</t>
  </si>
  <si>
    <t>鸡尾酒;⽩酒;威⼠忌;⻩酒;葡萄酒;清酒（⽇本⽶酒）;⽶酒;果酒（含酒精）;开胃酒;烈酒（饮料）</t>
  </si>
  <si>
    <t>灶旺业</t>
  </si>
  <si>
    <t>北京华彩创佳文化传播有限公司</t>
  </si>
  <si>
    <t>⽩酒;酒精饮料原汁;鸡尾酒;威⼠忌;烧酒;汽酒;⻘稞酒;⻩酒;⽶酒;葡萄酒</t>
  </si>
  <si>
    <t>2024/05/17</t>
  </si>
  <si>
    <t>古渡流霞</t>
  </si>
  <si>
    <t>钱必辉</t>
  </si>
  <si>
    <t>⻩酒;⽩酒;含酒精的饮料（啤酒除外）;葡萄酒;⽼酒（中国蒸馏烈酒）;⽶酒;梅酒;含酒精的⽔果鸡尾酒饮料;烈酒;果酒</t>
  </si>
  <si>
    <t>晓萍秘</t>
  </si>
  <si>
    <t>⾼粱酒;⽩⼲酒（中国⽩酒）;⽩酒;烈酒;⽼酒（中国蒸馏烈酒）;甜酒;⻩酒;烧酒;葡萄酒;⽶酒</t>
  </si>
  <si>
    <t>吴密</t>
  </si>
  <si>
    <t>⽩⼲酒（中国⽩酒）;烈酒;⻩酒;⽶酒;烧酒;⽩酒;葡萄酒;⽼酒（中国蒸馏烈酒）;甜酒;⾼粱酒</t>
  </si>
  <si>
    <t>华南鹰</t>
  </si>
  <si>
    <t>安徽锦朝农业科技发展有限公司</t>
  </si>
  <si>
    <t>清酒（⽇本⽶酒）;葡萄酒;果酒（含酒精）;含⽔果酒精饮料;⽩酒;酒精饮料（啤酒除外）;⽶酒;蜂蜜酒;鸡尾酒;烧酒</t>
  </si>
  <si>
    <t>即滇</t>
  </si>
  <si>
    <t>刘新铎</t>
  </si>
  <si>
    <t>利⼝酒;薄荷酒;开胃酒;酒精饮料浓缩汁;⽩酒;⻩酒;鸡尾酒;烧酒;伏特加酒;樱桃酒</t>
  </si>
  <si>
    <t>平翌</t>
  </si>
  <si>
    <t>吴婵</t>
  </si>
  <si>
    <t>烈酒;⻘稞酒;⽩酒;⻩酒;烧酒;鸡尾酒;⽩兰地;葡萄酒;威⼠忌;⽶酒</t>
  </si>
  <si>
    <t>甄鹤</t>
  </si>
  <si>
    <t>重庆鲸鱼数创科技有限公司</t>
  </si>
  <si>
    <t>清酒（⽇本⽶酒）;威⼠忌;⻩酒;⻨芽威⼠忌;⽶酒;⽩酒;梅酒;烧酒;葡萄酒;苹果酒</t>
  </si>
  <si>
    <t>斯力泰梦</t>
  </si>
  <si>
    <t>安徽天马生物科技有限公司</t>
  </si>
  <si>
    <t>利⼝酒;⻩酒;烈酒;酒精饮料（啤酒除外）;果酒（含酒精）;⽩酒;⾷⽤酒精;开胃酒;朗姆酒;⽶酒</t>
  </si>
  <si>
    <t>千金小姐管灵姝</t>
  </si>
  <si>
    <t>利辛县胡集镇谭庄村振兴农业发展有限公司</t>
  </si>
  <si>
    <t>⻩酒;鸡尾酒;葡萄酒;⽶酒;⽩⼲酒（中国⽩酒）;⽩酒;⽩兰地;果酒（含酒精）;烧酒;梨酒</t>
  </si>
  <si>
    <t>玛素</t>
  </si>
  <si>
    <t>北京馥雅泰和商贸有限公司</t>
  </si>
  <si>
    <t>起泡红葡萄酒;葡萄酒;⽩葡萄酒;⽩⼲酒（中国⽩酒）;⻘梅酒;果酒（含酒精）;伏特加酒;葡萄汽酒;⽩酒;红葡萄酒</t>
  </si>
  <si>
    <t>盘古尧舜</t>
  </si>
  <si>
    <t>盘古尧舜生命科学文化（深圳）有限公司</t>
  </si>
  <si>
    <t>⻩酒;果酒;清酒;开胃酒;苦味酒;⽩酒;烈酒;⽶酒;薄荷酒;葡萄酒</t>
  </si>
  <si>
    <t>川经</t>
  </si>
  <si>
    <t>徐松波</t>
  </si>
  <si>
    <t>烈酒;葡萄酒;⽩酒;清酒（⽇本⽶酒）;⻩酒;果酒（含酒精）;开胃酒;威⼠忌;鸡尾酒;酒精饮料（啤酒除外）</t>
  </si>
  <si>
    <t>杰语</t>
  </si>
  <si>
    <t>汪冬秀</t>
  </si>
  <si>
    <t>鸡尾酒;⽩酒;酒精饮料（啤酒除外）;⻩酒;烈酒;开胃酒;葡萄酒;清酒（⽇本⽶酒）;威⼠忌;果酒（含酒精）</t>
  </si>
  <si>
    <t>忘旺望</t>
  </si>
  <si>
    <t>郑州正在爱信息科技有限公司</t>
  </si>
  <si>
    <t>薄荷酒;鸡尾酒;⽶酒;果酒（含酒精）;含⽔果酒精饮料;葡萄酒;含酒精的⽓泡⽔;⻩酒;⽩酒;开胃酒</t>
  </si>
  <si>
    <t>漯荷</t>
  </si>
  <si>
    <t>河南老集口餐饮科技有限公司</t>
  </si>
  <si>
    <t>⽼酒（中国蒸馏烈酒）;果酒;⾷⽤酒精;烧酒;⾼粱酒;⽶酒;⽩酒;烈酒;由⾕物蒸馏的⽩酒;⽩⼲酒（中国⽩酒）</t>
  </si>
  <si>
    <t>酝思信使</t>
  </si>
  <si>
    <t>酒精饮料（啤酒除外）;起泡⽩葡萄酒;烈酒（饮料）;餐后酒（利⼝酒和烈酒）;起泡红葡萄酒;葡萄酒;⽩酒;⽩兰地;加烈葡萄酒;葡萄汽酒</t>
  </si>
  <si>
    <t>义乌市果澜捺彼贸易有限公司</t>
  </si>
  <si>
    <t>伏特加酒;⻩酒;⽩兰地;⽶酒;⻘稞酒;果酒（含酒精）;⽩酒;鸡尾酒;汽酒;葡萄酒</t>
  </si>
  <si>
    <t>梅鹿姑姐</t>
  </si>
  <si>
    <t>广东微买客超市管理有限公司</t>
  </si>
  <si>
    <t>果酒（含酒精）;⽩酒;朗姆酒;葡萄酒;伏特加酒;威⼠忌;⻩酒;蒸煮提取物（利⼝酒和烈酒）;酒精饮料（啤酒除外）;⽩兰地</t>
  </si>
  <si>
    <t>城南巷</t>
  </si>
  <si>
    <t>河南荣瓴房地产营销策划有限公司</t>
  </si>
  <si>
    <t>⻩酒;果酒（含酒精）;⽩酒;含酒精的饮料（啤酒除外）;酒精饮料（啤酒除外）;梨酒;⽶酒</t>
  </si>
  <si>
    <t>八大师</t>
  </si>
  <si>
    <t>厦门茗圣天下贸易有限公司</t>
  </si>
  <si>
    <t>葡萄酒;酒精饮料（啤酒除外）;威⼠忌;酒精饮料原汁;已调味的⻨芽酿制的酒精饮料（啤酒除外）;⽩酒;⾷⽤酒精;酒精饮料浓缩汁;含酒精的⽓泡⽔;⻩酒;果酒（含酒精）;⽩兰地;⽶酒;鸡尾酒</t>
  </si>
  <si>
    <t>兼康堂</t>
  </si>
  <si>
    <t>王喜宾</t>
  </si>
  <si>
    <t>⽶酒;果酒（含酒精）;开胃酒;蒸煮提取物（利⼝酒和烈酒）;蜂蜜酒;烧酒;利⼝酒;⽩酒;⻩酒;葡萄酒</t>
  </si>
  <si>
    <t>讷谷臻选</t>
  </si>
  <si>
    <t>黑龙江濮园农业有限公司</t>
  </si>
  <si>
    <t>果酒（含酒精）;⻩酒;清酒（⽇本⽶酒）;酒精饮料（啤酒除外）;⽩酒;烧酒;葡萄酒;含⽔果酒精饮料;⽶酒;预先混合的酒精饮料（以啤酒为主的除外）</t>
  </si>
  <si>
    <t>珍金石译</t>
  </si>
  <si>
    <t>⻘稞酒;⽶酒;果酒;酒精饮料原汁;朗姆酒;⻩酒;鸡尾酒;葡萄酒;烈酒;⽩酒</t>
  </si>
  <si>
    <t>更今</t>
  </si>
  <si>
    <t>陈劲珍</t>
  </si>
  <si>
    <t>⽩酒;威⼠忌;⽩兰地;⽶酒;葡萄酒;鸡尾酒;烧酒;⻩酒;果酒（含酒精）;⾷⽤酒精</t>
  </si>
  <si>
    <t>藏如逸</t>
  </si>
  <si>
    <t>上海谛诺环境科技有限公司</t>
  </si>
  <si>
    <t>开胃酒;⽩酒;葡萄酒;汽酒;蜂蜜酒;⻩酒;⽔果汽酒;果酒（含酒精）;梅酒;清酒（⽇本⽶酒）</t>
  </si>
  <si>
    <t>赣八方</t>
  </si>
  <si>
    <t>蓝炎阳</t>
  </si>
  <si>
    <t>⻩酒;葡萄酒;⽶酒;蜂蜜酒;⽩酒;果酒;⽩兰地;烧酒;酒精饮料（啤酒除外）;⾷⽤酒精</t>
  </si>
  <si>
    <t>襄蜜蜜</t>
  </si>
  <si>
    <t>陈先哲</t>
  </si>
  <si>
    <t>果酒;⽶酒;开胃酒;酒精饮料原汁;⽩酒;烧酒;葡萄酒;⻩酒;汽酒;烈酒</t>
  </si>
  <si>
    <t>入续</t>
  </si>
  <si>
    <t>徐世磊</t>
  </si>
  <si>
    <t>含⽔果酒精饮料;酒精饮料浓缩汁;⾕物制蒸馏酒精饮料;⻘稞酒;酒精饮料原汁;果酒;葡萄酒;汽酒;预先混合的酒精饮料（以啤酒为主的除外）;开胃酒</t>
  </si>
  <si>
    <t>古堡君悦</t>
  </si>
  <si>
    <t>贵阳朱昌实业有限责任公司</t>
  </si>
  <si>
    <t>烈酒（饮料）;葡萄酒;⽩酒;⽶酒;果酒（含酒精）;⾷⽤酒精;开胃酒;烧酒;⻩酒;利⼝酒</t>
  </si>
  <si>
    <t>工诚行远</t>
  </si>
  <si>
    <t>陕西茅基酒业有限公司</t>
  </si>
  <si>
    <t>清酒;⻩酒;蒸煮提取物（利⼝酒和烈酒）;威⼠忌;酒精饮料（啤酒除外）;葡萄酒;果酒（含酒精）;烈酒（饮料）;⽩酒;⽶酒</t>
  </si>
  <si>
    <t>予过维扬</t>
  </si>
  <si>
    <t>第七类型（上海）企业管理有限公司</t>
  </si>
  <si>
    <t>⽩酒;甜酒;果酒（含酒精）;⽶酒;蒸馏⽶酒（泡盛酒）;蒸煮提取物（利⼝酒和烈酒）;含酒精的饮料（啤酒除外）;咖啡利⼝酒;梅酒;含酒精的充⽓饮料（啤酒除外）</t>
  </si>
  <si>
    <t>四川爱卡卡集团有限公司</t>
  </si>
  <si>
    <t>含酒精的⽓泡⽔;葡萄酒;烧酒;烈酒;朗姆酒;⽶酒;⾼粱酒;果酒;红葡萄酒;威⼠忌</t>
  </si>
  <si>
    <t>江山彩头</t>
  </si>
  <si>
    <t>黄爱东</t>
  </si>
  <si>
    <t>⽩酒;⾼粱酒;露酒;烧酒;⽩⼲酒（中国⽩酒）;⻩酒;果酒（含酒精）;⽶酒;⽼酒（中国蒸馏烈酒）;果酒</t>
  </si>
  <si>
    <t>君健基</t>
  </si>
  <si>
    <t>贵州省仁怀市君健酒业销售有限公司</t>
  </si>
  <si>
    <t>酒精饮料（啤酒除外）;葡萄酒;蒸煮提取物（利⼝酒和烈酒）;利⼝酒;⽩兰地;烧酒;⻩酒;⽶酒;果酒;⽩酒</t>
  </si>
  <si>
    <t>PEUAPEU</t>
  </si>
  <si>
    <t>张龙</t>
  </si>
  <si>
    <t>⽩兰地;威⼠忌;⻩酒;清酒（⽇本⽶酒）;果酒（含酒精）;鸡尾酒;⽩酒;酒精饮料（啤酒除外）;⾷⽤酒精;蒸馏饮料</t>
  </si>
  <si>
    <t>醉祖赞</t>
  </si>
  <si>
    <t>果酒;朗姆酒;酒精饮料（啤酒除外）;开胃酒;烧酒;利⼝酒;葡萄酒;鸡尾酒;⽩酒;清酒（⽇本⽶酒）</t>
  </si>
  <si>
    <t>云南瑞福德贸易有限公司</t>
  </si>
  <si>
    <t>蒸馏饮料;葡萄酒;以葡萄酒为主的饮料;威⼠忌;开胃酒;樱桃酒;⽩酒;预先混合的酒精饮料（以啤酒为主的除外）;果酒（含酒精）;利⼝酒</t>
  </si>
  <si>
    <t>罡农</t>
  </si>
  <si>
    <t>孙锡文</t>
  </si>
  <si>
    <t>酒精饮料（啤酒除外）;⽶酒;⾷⽤酒精;⽩酒;⻩酒;葡萄酒;清酒（⽇本⽶酒）;含⽔果酒精饮料;烧酒;果酒（含酒精）</t>
  </si>
  <si>
    <t>石柱擎天</t>
  </si>
  <si>
    <t>重庆兆田生态农业有限公司</t>
  </si>
  <si>
    <t>鸡尾酒;⻩酒;⽢蔗制烈酒;酒精饮料（啤酒除外）;⽶酒;果酒（含酒精）;烧酒;⽩酒;葡萄酒;烈酒（饮料）</t>
  </si>
  <si>
    <t>粒可德</t>
  </si>
  <si>
    <t>厦门粒可德信息科技有限公司</t>
  </si>
  <si>
    <t>葡萄酒;⾕物制蒸馏酒精饮料;⽩酒;含⽔果酒精饮料;果酒;果酒（含酒精）;开胃酒;酒精饮料浓缩汁;烧酒;甜酒</t>
  </si>
  <si>
    <t>飂畅</t>
  </si>
  <si>
    <t>北京恒康顺酒业有限公司</t>
  </si>
  <si>
    <t>果酒（含酒精）;鸡尾酒;酒精饮料（啤酒除外）;酒精饮料原汁;⾷⽤酒精;含⽔果酒精饮料;⽩酒;葡萄酒;蒸馏饮料;蒸煮提取物（利⼝酒和烈酒）</t>
  </si>
  <si>
    <t>神秾本志</t>
  </si>
  <si>
    <t>神农架药王谷本草健康产业有限公司</t>
  </si>
  <si>
    <t>果酒（含酒精）;蒸馏饮料;葡萄酒;酒精饮料原汁;⽶酒;酒精饮料（啤酒除外）;烈酒（饮料）;烧酒;⻩酒;⽩酒</t>
  </si>
  <si>
    <t>顺始</t>
  </si>
  <si>
    <t>姜世义</t>
  </si>
  <si>
    <t>开胃酒;清酒（⽇本⽶酒）;⽩酒;⻩酒;烈酒;威⼠忌;酒精饮料（啤酒除外）;鸡尾酒;葡萄酒;果酒（含酒精）</t>
  </si>
  <si>
    <t>妙日良缘</t>
  </si>
  <si>
    <t>何炼</t>
  </si>
  <si>
    <t>鸡尾酒;含⽔果酒精饮料;⽩酒;⻩酒;⽶酒;葡萄酒;烧酒;⽩兰地;利⼝酒;开胃酒</t>
  </si>
  <si>
    <t>卿色</t>
  </si>
  <si>
    <t>果酒（含酒精）;⽩酒;烈酒（饮料）;⻩酒;鸡尾酒;葡萄酒;开胃酒;酒精饮料（啤酒除外）;威⼠忌;清酒（⽇本⽶酒）</t>
  </si>
  <si>
    <t>胡匠酒记</t>
  </si>
  <si>
    <t>四川聚美优视文化传媒有限公司</t>
  </si>
  <si>
    <t>⽩⼲酒（中国⽩酒）;⽼酒（中国蒸馏烈酒）;鸡尾酒;⽶酒;葡萄酒;⽩酒;露酒;果酒（含酒精）;烧酒;⻩酒</t>
  </si>
  <si>
    <t>玖诚富瑞</t>
  </si>
  <si>
    <t>吉林省玖诚鹿业有限公司</t>
  </si>
  <si>
    <t>⽶酒;⽩酒;开胃酒;烈酒（饮料）;果酒;⽩⼲酒（中国⽩酒）;烈酒浓缩汁;佐餐酒;露酒;烈酒</t>
  </si>
  <si>
    <t>梅六姑姐</t>
  </si>
  <si>
    <t>⻩酒;朗姆酒;酒精饮料（啤酒除外）;⽩兰地;伏特加酒;果酒（含酒精）;威⼠忌;蒸煮提取物（利⼝酒和烈酒）;葡萄酒;⽩酒</t>
  </si>
  <si>
    <t>戈壁女王</t>
  </si>
  <si>
    <t>新疆孙氏众林贸易有限公司</t>
  </si>
  <si>
    <t>预先混合的酒精饮料（以啤酒为主的除外）;烧酒;⽩酒;已调味的蒸馏酒;⾼粱酒;露酒;果酒（含酒精）;葡萄酒;⻩酒;⽶酒</t>
  </si>
  <si>
    <t>翡翠螳螂</t>
  </si>
  <si>
    <t>山东莱阳味道美食文化有限公司</t>
  </si>
  <si>
    <t>葡萄酒;⽩兰地;⽶酒;酒精饮料（啤酒除外）;⻩酒;⾼粱酒;梨酒;⽩酒;烧酒;果酒</t>
  </si>
  <si>
    <t>斯力泰龙</t>
  </si>
  <si>
    <t>酒精饮料（啤酒除外）;⻩酒;⽶酒;开胃酒;利⼝酒;果酒（含酒精）;⾷⽤酒精;烈酒;⽩酒;朗姆酒</t>
  </si>
  <si>
    <t>摩摩臻可</t>
  </si>
  <si>
    <t>云南御天香酒业有限公司</t>
  </si>
  <si>
    <t>葡萄酒;果酒;⽶酒;⽩酒;以葡萄酒为主的饮料;汽酒;酒精饮料原汁;含⽔果酒精饮料;开胃酒;⽩葡萄酒</t>
  </si>
  <si>
    <t>王者之梦</t>
  </si>
  <si>
    <t>无锡市富瑞数字科技有限公司</t>
  </si>
  <si>
    <t>葡萄酒;果酒（含酒精）;开胃酒;苹果酒;⽩酒;⻩酒;甜果酒;薄荷酒;鸡尾酒;烈酒（饮料）</t>
  </si>
  <si>
    <t>花花港</t>
  </si>
  <si>
    <t>广州栋栋电子商务有限公司</t>
  </si>
  <si>
    <t>果酒（含酒精）;⽩兰地;⽶酒;⾷⽤酒精;烈酒（饮料）;葡萄酒;鸡尾酒;⾕物制蒸馏酒精饮料;含酒精⽔果饮料;蒸馏饮料</t>
  </si>
  <si>
    <t>福艺鑫</t>
  </si>
  <si>
    <t>母小林</t>
  </si>
  <si>
    <t>鸡尾酒;蒸馏饮料;酒精饮料（啤酒除外）;果酒（含酒精）;⽩酒;烈酒（饮料）;葡萄酒;威⼠忌;⽶酒;烧酒</t>
  </si>
  <si>
    <t>樽小北</t>
  </si>
  <si>
    <t>汪俊杰</t>
  </si>
  <si>
    <t>⻩酒;酒精饮料（啤酒除外）;鸡尾酒;蜂蜜酒;⽩酒;清酒（⽇本⽶酒）;葡萄酒;⽶酒;果酒（含酒精）;烧酒</t>
  </si>
  <si>
    <t>仁益源酒庄</t>
  </si>
  <si>
    <t>宁夏贺兰山仁益源葡萄酒庄有限公司</t>
  </si>
  <si>
    <t>薄荷酒;蒸煮提取物（利⼝酒和烈酒）;烈酒（饮料）;葡萄酒;⽩酒;果酒（含酒精）;鸡尾酒;威⼠忌;⽩兰地;开胃酒</t>
  </si>
  <si>
    <t>古堡天昌</t>
  </si>
  <si>
    <t>葡萄酒;果酒（含酒精）;⽶酒;利⼝酒;烧酒;⽩酒;开胃酒;烈酒（饮料）;⾷⽤酒精;⻩酒</t>
  </si>
  <si>
    <t>古堡昌盛</t>
  </si>
  <si>
    <t>烧酒;开胃酒;烈酒（饮料）;⽶酒;⾷⽤酒精;⽩酒;利⼝酒;⻩酒;葡萄酒;果酒（含酒精）</t>
  </si>
  <si>
    <t>坪洋娘</t>
  </si>
  <si>
    <t>客家腊味科研院（广东）科技产业有限公司</t>
  </si>
  <si>
    <t>⽶酒;⻩酒;果酒（含酒精）;威⼠忌;餐后酒（利⼝酒和烈酒）;葡萄酒;酒精饮料（啤酒除外）;烧酒;开胃酒;⽩酒</t>
  </si>
  <si>
    <t>吴调秘</t>
  </si>
  <si>
    <t>⾼粱酒;⽩⼲酒（中国⽩酒）;甜酒;烈酒;⻩酒;烧酒;⽼酒（中国蒸馏烈酒）;⽩酒;⽶酒;葡萄酒</t>
  </si>
  <si>
    <t>乾隆奇缘</t>
  </si>
  <si>
    <t>陆元元</t>
  </si>
  <si>
    <t>果酒（含酒精）;烈酒（饮料）;甜果酒;葡萄酒;⽩⼲酒（中国⽩酒）;⻩酒;酒精饮料（啤酒除外）;烧酒;清酒;⽩酒</t>
  </si>
  <si>
    <t>沈苏爱</t>
  </si>
  <si>
    <t>⽶酒;烈酒（饮料）;葡萄酒;果酒（含酒精）;⽩兰地;⽩酒;酒精饮料（啤酒除外）;⾷⽤酒精;⻩酒;威⼠忌</t>
  </si>
  <si>
    <t>林馆主</t>
  </si>
  <si>
    <t>深圳市龙岗区一言酒鼎商行</t>
  </si>
  <si>
    <t>⽩酒;果酒;烧酒（烈酒）;以葡萄酒为主的饮料;餐后酒（利⼝酒和烈酒）;⾕物制蒸馏酒精饮料;⻩酒;威⼠忌;⽩兰地;烈酒</t>
  </si>
  <si>
    <t>坪洋之春</t>
  </si>
  <si>
    <t>⽶酒;酒精饮料（啤酒除外）;餐后酒（利⼝酒和烈酒）;烧酒;开胃酒;威⼠忌;⻩酒;⽩酒;果酒（含酒精）;葡萄酒</t>
  </si>
  <si>
    <t>梅度</t>
  </si>
  <si>
    <t>南京赛富环境科技有限公司</t>
  </si>
  <si>
    <t>利⼝酒;柑⾹酒;杜松⼦酒;薄荷酒;⽩酒;⽩兰地;威⼠忌;朗姆酒;含⽔果酒精饮料;苹果酒</t>
  </si>
  <si>
    <t>CLEXD</t>
  </si>
  <si>
    <t>吴木凤</t>
  </si>
  <si>
    <t>⽩酒;⾕物制蒸馏酒精饮料;⽩兰地;葡萄酒;蒸馏饮料;果酒（含酒精）;蜂蜜酒;含⽔果酒精饮料;预先混合的酒精饮料（以啤酒为主的除外）;⻩酒</t>
  </si>
  <si>
    <t>巅彩</t>
  </si>
  <si>
    <t>⻩酒;果酒;⾼粱酒;烈酒;葡萄酒;⽩酒;烧酒;鸡尾酒;⽶酒;⻘稞酒</t>
  </si>
  <si>
    <t>蜀悍</t>
  </si>
  <si>
    <t>⽩酒;酒精饮料浓缩汁;伏特加酒;利⼝酒;开胃酒;樱桃酒;⻩酒;烧酒;鸡尾酒;薄荷酒</t>
  </si>
  <si>
    <t>序彩</t>
  </si>
  <si>
    <t>⽩酒;葡萄酒;烈酒;鸡尾酒;⻘稞酒;烧酒;⾼粱酒;⻩酒;果酒;⽶酒</t>
  </si>
  <si>
    <t>化朴</t>
  </si>
  <si>
    <t>杭州化朴生物科技有限公司</t>
  </si>
  <si>
    <t>烧酒;⽩酒;果酒（含酒精）;酒精饮料（啤酒除外）;⾕物制蒸馏酒精饮料;葡萄酒;含⽔果酒精饮料;⻩酒;⾼粱酒;⽶酒</t>
  </si>
  <si>
    <t>晓萍名</t>
  </si>
  <si>
    <t>⽩酒;⻩酒;葡萄酒;⽶酒;⽼酒（中国蒸馏烈酒）;甜酒;烧酒;⾼粱酒;⽩⼲酒（中国⽩酒）;烈酒</t>
  </si>
  <si>
    <t>吾歌醉</t>
  </si>
  <si>
    <t>吴娟</t>
  </si>
  <si>
    <t>⾷⽤酒精;苹果酒;汽酒;葡萄酒;开胃酒;含⽔果酒精饮料;果酒（含酒精）;⽩酒;蒸馏饮料;蜂蜜酒</t>
  </si>
  <si>
    <t>嵩安</t>
  </si>
  <si>
    <t>河南金瑞酒业有限公司</t>
  </si>
  <si>
    <t>鸡尾酒;葡萄酒;梅酒;烈酒（饮料）;⻩酒;⽩酒;果酒（含酒精）;苹果酒;烧酒;酒精饮料（啤酒除外）</t>
  </si>
  <si>
    <t>粮钰台</t>
  </si>
  <si>
    <t>陈传龙</t>
  </si>
  <si>
    <t>⻩酒;葡萄酒;甜酒;鸡尾酒;果酒;⽩酒;清酒;烧酒;⽼酒（中国蒸馏烈酒）;⽶酒</t>
  </si>
  <si>
    <t>汶水拖篮</t>
  </si>
  <si>
    <t>山东鼐公酒业有限公司</t>
  </si>
  <si>
    <t>酒精饮料（啤酒除外）;利⼝酒;⽶酒;葡萄酒;⽩兰地;蒸馏饮料;鸡尾酒;果酒（含酒精）;⽩酒;⾷⽤酒精</t>
  </si>
  <si>
    <t>汇苑匠</t>
  </si>
  <si>
    <t>周磊</t>
  </si>
  <si>
    <t>⽩酒;⻩酒;酒精饮料（啤酒除外）;蜂蜜酒;开胃酒;烧酒;鸡尾酒;⽶酒;葡萄酒;果酒（含酒精）</t>
  </si>
  <si>
    <t>御膳城</t>
  </si>
  <si>
    <t>今日御之膳（北京）文化科技有限公司</t>
  </si>
  <si>
    <t>白兰地;威士忌;米酒;白酒;黄酒;果酒（含酒精）;鸡尾酒;伏特加酒;青稞酒;烈酒（饮料）</t>
  </si>
  <si>
    <t>蝶仙龙</t>
  </si>
  <si>
    <t>贵州酱本味商贸有限公司</t>
  </si>
  <si>
    <t>烧酒;鸡尾酒;烈酒（饮料）;葡萄酒;开胃酒;⽶酒;汽酒;⽩酒;含⽔果酒精饮料;果酒（含酒精）</t>
  </si>
  <si>
    <t>菲妮琪</t>
  </si>
  <si>
    <t>厦门琢景会文化传媒有限公司</t>
  </si>
  <si>
    <t>蒸馏饮料;果酒（含酒精）;烈酒（饮料）;鸡尾酒;开胃酒;葡萄酒;酒精饮料（啤酒除外）;利⼝酒;威⼠忌;⽩酒</t>
  </si>
  <si>
    <t>福西圆</t>
  </si>
  <si>
    <t>宗祖堂健康服务（湖南）有限公司</t>
  </si>
  <si>
    <t>⽔果汽酒;⽩酒;酒精饮料原汁;露酒;梅酒;红葡萄酒;⻩酒;⽶酒;清酒;果酒</t>
  </si>
  <si>
    <t>诚东铺子</t>
  </si>
  <si>
    <t>酒精饮料（啤酒除外）;⽩酒;葡萄酒;果酒（含酒精）;⾷⽤酒精;含⽔果酒精饮料;鸡尾酒;蒸煮提取物（利⼝酒和烈酒）;蒸馏饮料;酒精饮料原汁</t>
  </si>
  <si>
    <t>润弗</t>
  </si>
  <si>
    <t>润弗重庆科技有限公司</t>
  </si>
  <si>
    <t>⻩酒;鸡尾酒;⽩兰地;⽶酒;⽩酒;梨酒;开胃酒;樱桃酒;烧酒;葡萄酒</t>
  </si>
  <si>
    <t>娜加罗</t>
  </si>
  <si>
    <t>海南拉槟酒业有限公司</t>
  </si>
  <si>
    <t>烈酒（饮料）;清酒（⽇本⽶酒）;⽶酒;果酒（含酒精）;⽩酒;烧酒;开胃酒;葡萄酒;⻘稞酒;威⼠忌</t>
  </si>
  <si>
    <t>米吉匠</t>
  </si>
  <si>
    <t>张凯强</t>
  </si>
  <si>
    <t>开胃酒;蒸馏饮料;酒精饮料（啤酒除外）;含⽔果酒精饮料;⻩酒;威⼠忌;⽩酒;果酒（含酒精）;薄荷酒;葡萄酒</t>
  </si>
  <si>
    <t>农虎</t>
  </si>
  <si>
    <t>山西晋根堂控股有限公司</t>
  </si>
  <si>
    <t>葡萄酒;⻩酒;含⽔果酒精饮料;蜂蜜酒;酒精饮料（啤酒除外）;果酒（含酒精）;梨酒;苹果酒;汽酒;⽩酒</t>
  </si>
  <si>
    <t>拂夜</t>
  </si>
  <si>
    <t>成都富贵滚滚餐饮管理有限公司</t>
  </si>
  <si>
    <t>葡萄酒;⻩酒;⽶酒;含酒精的⽓泡⽔;⽩酒;⽩兰地;清酒（⽇本⽶酒）;果酒（含酒精）;烧酒;苹果酒</t>
  </si>
  <si>
    <t>得一究</t>
  </si>
  <si>
    <t>南通得一灸健康管理有限公司</t>
  </si>
  <si>
    <t>⻘稞酒;梅酒;果酒（含酒精）;⽼酒（中国蒸馏烈酒）;⻩酒;甜果酒;⽶酒;果酒;⽩酒;葡萄酒</t>
  </si>
  <si>
    <t>马上大茂</t>
  </si>
  <si>
    <t>果酒（含酒精）;鸡尾酒;葡萄酒;烈酒（饮料）;汽酒;⽩酒;开胃酒;含⽔果酒精饮料;⽶酒;烧酒</t>
  </si>
  <si>
    <t>LAYALEVER</t>
  </si>
  <si>
    <t>强文</t>
  </si>
  <si>
    <t>伏特加酒;烈酒（饮料）;⽩兰地;威⼠忌;⽩酒;鸡尾酒;葡萄酒;果酒（含酒精）;汽酒;酒精饮料（啤酒除外）</t>
  </si>
  <si>
    <t>观时代</t>
  </si>
  <si>
    <t>成都观未来商贸有限公司</t>
  </si>
  <si>
    <t>果酒（含酒精）;酒精饮料（啤酒除外）;⽶酒;葡萄酒;预先混合的酒精饮料（以啤酒为主的除外）;⽩酒;烧酒;鸡尾酒;威⼠忌;伏特加酒</t>
  </si>
  <si>
    <t>森山里</t>
  </si>
  <si>
    <t>东阳市全森贸易有限公司</t>
  </si>
  <si>
    <t>烈酒（饮料）;酒精饮料（啤酒除外）;⻩酒;⽩酒;烧酒;鸡尾酒;果酒（含酒精）;⽶酒;葡萄酒;⽢蔗制烈酒</t>
  </si>
  <si>
    <t>上林壮花郎酒厂（个体工商户）</t>
  </si>
  <si>
    <t>蜂蜜酒;酒精饮料（啤酒除外）;⽩酒;⽶酒;由⾕物蒸馏的⽩酒;葡萄酒;甜酒;⾷⽤酒精;⻩酒;果酒</t>
  </si>
  <si>
    <t>谷巷乐酒</t>
  </si>
  <si>
    <t>河南少康商贸有限公司</t>
  </si>
  <si>
    <t>⽩酒;⽩⼲酒（中国⽩酒）;⾼粱酒;⾷⽤酒精;⽶酒;烧酒;⽼酒（中国蒸馏烈酒）;由⾕物蒸馏的⽩酒;果酒;烈酒</t>
  </si>
  <si>
    <t>星彩</t>
  </si>
  <si>
    <t>烧酒;⽶酒;⾼粱酒;鸡尾酒;⻩酒;⽩酒;烈酒;葡萄酒;果酒;⻘稞酒</t>
  </si>
  <si>
    <t>趣满疆</t>
  </si>
  <si>
    <t>新疆一县一品供应链有限公司</t>
  </si>
  <si>
    <t>酒精饮料（啤酒除外）;烈酒（饮料）;伏特加酒;含⽔果酒精饮料;⽩酒;果酒（含酒精）;苹果酒;朗姆酒;⽩兰地;⽶酒</t>
  </si>
  <si>
    <t>羽溪谷</t>
  </si>
  <si>
    <t>武汉羽溪谷商贸有限公司</t>
  </si>
  <si>
    <t>果酒（含酒精）;甜果酒;以葡萄酒为主的开胃酒;葡萄酒;红葡萄酒;⽩酒;⽶酒;烧酒;⻩酒;酒精饮料（啤酒除外）</t>
  </si>
  <si>
    <t>愚修</t>
  </si>
  <si>
    <t>贵州吉祥喜鹊茶业有限公司</t>
  </si>
  <si>
    <t>葡萄酒;蒸馏饮料;⾕物制蒸馏酒精饮料;烈酒（饮料）;果酒（含酒精）;苹果酒;⽶酒;⽩酒;露酒;餐后酒（利⼝酒和烈酒）</t>
  </si>
  <si>
    <t>醉祖赢</t>
  </si>
  <si>
    <t>⽩酒;开胃酒;果酒;清酒（⽇本⽶酒）;利⼝酒;葡萄酒;酒精饮料（啤酒除外）;鸡尾酒;烧酒;朗姆酒</t>
  </si>
  <si>
    <t>金杞雅韵</t>
  </si>
  <si>
    <t>河南雪琳酒业有限公司</t>
  </si>
  <si>
    <t>⽩酒;⾷⽤酒精;⾼粱酒;果酒（含酒精）;⻩酒;葡萄酒;⽩⼲酒（中国⽩酒）;开胃酒;鸡尾酒;烧酒</t>
  </si>
  <si>
    <t>菲迪克</t>
  </si>
  <si>
    <t>北京英博嘉酿酒业有限公司</t>
  </si>
  <si>
    <t>⾷⽤酒精;果酒（含酒精）;⽩酒;葡萄酒;露酒;鸡尾酒;威⼠忌;⽩兰地;酒精饮料（啤酒除外）;调制好的葡萄酒鸡尾酒</t>
  </si>
  <si>
    <t>玉甄</t>
  </si>
  <si>
    <t>盘州市玉甄商贸有限公司</t>
  </si>
  <si>
    <t>酒精饮料（啤酒除外）;葡萄酒;烧酒;⽩酒;蒸煮提取物（利⼝酒和烈酒）;果酒（含酒精）;开胃酒;⻩酒;⽶酒;利⼝酒</t>
  </si>
  <si>
    <t>博凡酒令</t>
  </si>
  <si>
    <t>太原市博凡酒庄</t>
  </si>
  <si>
    <t>烧酒;果酒;烈酒（饮料）;酒精饮料浓缩汁;⻩酒;蒸煮提取物（利⼝酒和烈酒）;酒精饮料（啤酒除外）;⾷⽤酒精;清酒;⽩酒</t>
  </si>
  <si>
    <t>龙帝尊玺</t>
  </si>
  <si>
    <t>梅酒;蒸馏饮料;酒精饮料（啤酒除外）;烈酒（饮料）;威⼠忌;樱桃酒;⽩⼲酒（中国⽩酒）;⾼粱酒;⽩酒;果酒（含酒精）</t>
  </si>
  <si>
    <t>百合与你</t>
  </si>
  <si>
    <t>临沂鱼塘思维大数据有限公司</t>
  </si>
  <si>
    <t>⻩酒;已调味的⻨芽酿制的酒精饮料（啤酒除外）;⻘梅酒;杨梅酒;以葡萄酒为主的饮料;⽩酒;葡萄酒;苹果酒;红葡萄酒;⾼粱酒;⽶酒;⽼酒（中国蒸馏烈酒）</t>
  </si>
  <si>
    <t>百川圣贤</t>
  </si>
  <si>
    <t>鸡尾酒;⻘稞酒;葡萄酒;威⼠忌;烧酒;烈酒;⽩兰地;⽩酒;⻩酒;⽶酒</t>
  </si>
  <si>
    <t>蝶酩仙</t>
  </si>
  <si>
    <t>葡萄酒;烈酒（饮料）;含⽔果酒精饮料;⽶酒;鸡尾酒;⽩酒;果酒（含酒精）;汽酒;开胃酒;烧酒</t>
  </si>
  <si>
    <t>睿步</t>
  </si>
  <si>
    <t>广西南宁睿步商贸有限公司</t>
  </si>
  <si>
    <t>⽩兰地;清酒（⽇本⽶酒）;烧酒;酒精饮料（啤酒除外）;葡萄酒;⽶酒;⽩酒;⻩酒;果酒（含酒精）;威⼠忌</t>
  </si>
  <si>
    <t>遵如逸</t>
  </si>
  <si>
    <t>⽩酒;清酒（⽇本⽶酒）;葡萄酒;梅酒;⻩酒;蜂蜜酒;⽔果汽酒;果酒（含酒精）;汽酒;开胃酒</t>
  </si>
  <si>
    <t>修兰</t>
  </si>
  <si>
    <t>王展</t>
  </si>
  <si>
    <t>⽶酒;预先混合的酒精饮料（以啤酒为主的除外）;⽩酒;⻩酒;蜂蜜酒;⾕物制蒸馏酒精饮料;果酒;酒精饮料（啤酒除外）;含⽔果酒精饮料;⾷⽤酒精</t>
  </si>
  <si>
    <t>谦唐</t>
  </si>
  <si>
    <t>鸡尾酒;⻩酒;开胃酒;⽩酒;伏特加酒;酒精饮料浓缩汁;樱桃酒;薄荷酒;烧酒;利⼝酒</t>
  </si>
  <si>
    <t>伊曲柔情</t>
  </si>
  <si>
    <t>开胃酒;樱桃酒;利⼝酒;⽩酒;烧酒;伏特加酒;鸡尾酒;薄荷酒;⻩酒;酒精饮料浓缩汁</t>
  </si>
  <si>
    <t>岭飂畅</t>
  </si>
  <si>
    <t>酒精饮料（啤酒除外）;酒精饮料原汁;果酒（含酒精）;蒸馏饮料;含⽔果酒精饮料;⽩酒;葡萄酒;鸡尾酒;蒸煮提取物（利⼝酒和烈酒）;⾷⽤酒精</t>
  </si>
  <si>
    <t>果珍有漾</t>
  </si>
  <si>
    <t>东方同慧（北京）商贸有限公司</t>
  </si>
  <si>
    <t>蜂蜜酒;梨酒;预先混合的酒精饮料（以啤酒为主的除外）;果酒（含酒精）;葡萄酒;含⽔果酒精饮料;⽢蔗制酒精饮料;汽酒;以葡萄酒为主的饮料;樱桃酒</t>
  </si>
  <si>
    <t>恒丰长颈</t>
  </si>
  <si>
    <t>吴海森</t>
  </si>
  <si>
    <t>蒸馏饮料;蜂蜜酒;烧酒;⽩酒;⾷⽤酒精;果酒;鸡尾酒;⽶酒;⻩酒;含⽔果酒精饮料</t>
  </si>
  <si>
    <t>乡江月</t>
  </si>
  <si>
    <t>深圳市融通五金有限公司</t>
  </si>
  <si>
    <t>⽩兰地;⻩酒;⽩酒;果酒（含酒精）;烧酒;葡萄酒;蒸馏饮料;威⼠忌;⽶酒;鸡尾酒</t>
  </si>
  <si>
    <t>健藏</t>
  </si>
  <si>
    <t>肖军</t>
  </si>
  <si>
    <t>开胃酒;葡萄酒;⻩酒;鸡尾酒;烈酒;果酒（含酒精）;酒精饮料（啤酒除外）;清酒（⽇本⽶酒）;威⼠忌;⽩酒</t>
  </si>
  <si>
    <t>朝议大夫</t>
  </si>
  <si>
    <t>雷州市福多多装修设计工程有限公司</t>
  </si>
  <si>
    <t>果酒（含酒精）;开胃酒;⽩酒;⻩酒;酒精饮料（啤酒除外）;薄荷酒;蒸馏饮料;威⼠忌;葡萄酒;含⽔果酒精饮料</t>
  </si>
  <si>
    <t>沁猫</t>
  </si>
  <si>
    <t>烧酒;汽酒;酒精饮料（啤酒除外）;威⼠忌;鸡尾酒;利⼝酒;⽩兰地;伏特加酒;葡萄酒;烈酒（饮料）</t>
  </si>
  <si>
    <t>玮樽</t>
  </si>
  <si>
    <t>陕西虹之乡商贸有限公司</t>
  </si>
  <si>
    <t>⽩酒;开胃酒;葡萄酒;⽶酒;餐后酒（利⼝酒和烈酒）;烈酒（饮料）;烧酒;果酒（含酒精）;鸡尾酒;⻩酒</t>
  </si>
  <si>
    <t>唐琥秋香</t>
  </si>
  <si>
    <t>龙岩市秋香农业发展有限公司</t>
  </si>
  <si>
    <t>鸡尾酒;酒精饮料（啤酒除外）;⻩酒;⽶酒;烧酒;⻘稞酒;果酒（含酒精）;烈酒（饮料）;⽩酒;葡萄酒</t>
  </si>
  <si>
    <t>晋贤蔚</t>
  </si>
  <si>
    <t>⽩酒;葡萄酒;⽩兰地;鸡尾酒;烧酒;⻩酒;⽶酒;烈酒;威⼠忌;⻘稞酒</t>
  </si>
  <si>
    <t>伊来顺</t>
  </si>
  <si>
    <t>葡萄酒;烈酒（饮料）;果酒（含酒精）;鸡尾酒;⻩酒;⽩酒;开胃酒;⽩兰地;⽶酒;威⼠忌</t>
  </si>
  <si>
    <t>含莺</t>
  </si>
  <si>
    <t>古俊锋</t>
  </si>
  <si>
    <t>葡萄酒;清酒（⽇本⽶酒）;⽩兰地;汽酒;⾷⽤酒精;开胃酒;果酒（含酒精）;烧酒;⽩酒;酒精饮料（啤酒除外）</t>
  </si>
  <si>
    <t>银螳螂</t>
  </si>
  <si>
    <t>葡萄酒;⻩酒;酒精饮料（啤酒除外）;梨酒;⾼粱酒;⽩兰地;⽶酒;果酒;烧酒;⽩酒</t>
  </si>
  <si>
    <t>醉祖恭</t>
  </si>
  <si>
    <t>葡萄酒;烧酒;⽩酒;鸡尾酒;果酒;利⼝酒;朗姆酒;开胃酒;清酒（⽇本⽶酒）;酒精饮料（啤酒除外）</t>
  </si>
  <si>
    <t>厚术</t>
  </si>
  <si>
    <t>⽩酒;威⼠忌;烈酒（饮料）;果酒（含酒精）;清酒（⽇本⽶酒）;⻩酒;烧酒;含⽔果酒精饮料;鸡尾酒;葡萄酒</t>
  </si>
  <si>
    <t>九华红福珠</t>
  </si>
  <si>
    <t>安徽国润茶业有限公司</t>
  </si>
  <si>
    <t>烧酒;预先混合的酒精饮料（以啤酒为主的除外）;⻩酒;⽶酒;开胃酒;烈酒（饮料）;酒精饮料（啤酒除外）;含⽔果酒精饮料;果酒（含酒精）;⽩酒</t>
  </si>
  <si>
    <t>东门六必</t>
  </si>
  <si>
    <t>宁海县东门酒业有限公司</t>
  </si>
  <si>
    <t>⽼酒（中国蒸馏烈酒）;烧酒（烈酒）;⽶酒;⽩酒;⻩酒;烧酒;含酒精⽔果饮料;酒精饮料原汁;⾼粱酒;果酒</t>
  </si>
  <si>
    <t>岭雁湖</t>
  </si>
  <si>
    <t>钟长维</t>
  </si>
  <si>
    <t>⽶酒;⽩酒;红葡萄酒;蜂蜜酒;鸡尾酒;⽩兰地;加烈葡萄酒;烧酒;葡萄酒;⻩酒</t>
  </si>
  <si>
    <t>岭里春粮</t>
  </si>
  <si>
    <t>蒸馏饮料;酒精饮料原汁;鸡尾酒;⽩酒;葡萄酒;蒸煮提取物（利⼝酒和烈酒）;含⽔果酒精饮料;果酒（含酒精）;酒精饮料（啤酒除外）;⾷⽤酒精</t>
  </si>
  <si>
    <t>群好</t>
  </si>
  <si>
    <t>杨荣禹</t>
  </si>
  <si>
    <t>⽩酒;开胃酒;威⼠忌;⻩酒;葡萄酒;果酒（含酒精）;鸡尾酒;清酒（⽇本⽶酒）;酒精饮料（啤酒除外）;烈酒</t>
  </si>
  <si>
    <t>蟠逸</t>
  </si>
  <si>
    <t>北京启心科技有限公司</t>
  </si>
  <si>
    <t>不起泡葡萄酒;起泡⽩葡萄酒;葡萄汽酒;⽩酒;红葡萄酒;威⼠忌;调制好的葡萄酒鸡尾酒;葡萄酒;⽶酒;起泡红葡萄酒</t>
  </si>
  <si>
    <t>峡涧川</t>
  </si>
  <si>
    <t>威⼠忌;⽩酒;起泡⽩葡萄酒;调制好的葡萄酒鸡尾酒;红葡萄酒;葡萄酒;葡萄汽酒;不起泡葡萄酒;⽶酒;起泡红葡萄酒</t>
  </si>
  <si>
    <t>希望飞艇</t>
  </si>
  <si>
    <t>希望飞艇（丽江）文化传媒有限公司</t>
  </si>
  <si>
    <t>鸡尾酒;清酒（⽇本⽶酒）;葡萄酒;⽩酒;含酒精的⽓泡⽔;开胃酒;烈酒（饮料）;威⼠忌;⽩兰地;果酒（含酒精）</t>
  </si>
  <si>
    <t>九州使</t>
  </si>
  <si>
    <t>鸡尾酒;果酒（含酒精）;开胃酒;烈酒;葡萄酒;清酒（⽇本⽶酒）;酒精饮料（啤酒除外）;⻩酒;⽩酒;威⼠忌</t>
  </si>
  <si>
    <t>天地存</t>
  </si>
  <si>
    <t>常乘乘</t>
  </si>
  <si>
    <t>伏特加酒;烧酒;蜂蜜酒;⽩酒;威⼠忌;葡萄酒;果酒;⻩酒;清酒;⽶酒</t>
  </si>
  <si>
    <t>渝丰禾</t>
  </si>
  <si>
    <t>重庆市丰禾山泉水有限责任公司</t>
  </si>
  <si>
    <t>开胃酒;含⽔果酒精饮料;⽶酒;含酒精的⽓泡⽔;⾷⽤酒精;⽩酒;果酒（含酒精）;蒸馏饮料;⾕物制蒸馏酒精饮料;酒精饮料（啤酒除外）</t>
  </si>
  <si>
    <t>续典</t>
  </si>
  <si>
    <t>烈酒;⻩酒;⾼粱酒;⻘稞酒;果酒;鸡尾酒;葡萄酒;烧酒;⽩酒;⽶酒</t>
  </si>
  <si>
    <t>元桂缘</t>
  </si>
  <si>
    <t>广西真有缘企业管理集团有限公司</t>
  </si>
  <si>
    <t>⻩酒;开胃酒;甜酒;⽩兰地;鸡尾酒;露酒;果酒;⽩酒;蜂蜜酒;葡萄酒</t>
  </si>
  <si>
    <t>雄关策</t>
  </si>
  <si>
    <t>伏特加酒;鸡尾酒;利⼝酒;烧酒;⽩酒;开胃酒;酒精饮料浓缩汁;樱桃酒;⻩酒;薄荷酒</t>
  </si>
  <si>
    <t>康熙和治</t>
  </si>
  <si>
    <t>辽宁乾皇珍健康产业有限公司</t>
  </si>
  <si>
    <t>酸酒（低等葡萄酒）;清酒（⽇本⽶酒）;果酒（含酒精）;开胃酒;蜂蜜酒;葡萄酒;烈酒（饮料）;酒精饮料（啤酒除外）;⽩酒;苹果酒</t>
  </si>
  <si>
    <t>沁爵 QIKNIGHT</t>
  </si>
  <si>
    <t>耿民传</t>
  </si>
  <si>
    <t>烈酒;⻩酒;果酒（含酒精）;鸡尾酒;⽩酒;威⼠忌;开胃酒;葡萄酒;酒精饮料（啤酒除外）;清酒（⽇本⽶酒）</t>
  </si>
  <si>
    <t>谦宋</t>
  </si>
  <si>
    <t>貔雒夔麟鲲</t>
  </si>
  <si>
    <t>珍食汇有机食品（沈阳）有限公司</t>
  </si>
  <si>
    <t>朗姆酒;⽩酒;⻩酒;蒸煮提取物（利⼝酒和烈酒）;果酒（含酒精）;蒸馏饮料;清酒（⽇本⽶酒）;葡萄酒;⽩兰地;含⽔果酒精饮料</t>
  </si>
  <si>
    <t>金波良</t>
  </si>
  <si>
    <t>杨柳青</t>
  </si>
  <si>
    <t>酒精饮料（啤酒除外）;⽩酒;烈酒（饮料）;葡萄酒;蒸煮提取物（利⼝酒和烈酒）;威⼠忌;清酒（⽇本⽶酒）;鸡尾酒;⽶酒;果酒（含酒精）</t>
  </si>
  <si>
    <t>KEXIAOSHENG</t>
  </si>
  <si>
    <t>商丘市柏图商贸有限公司</t>
  </si>
  <si>
    <t>苹果酒;梨酒;⽩酒;果酒（含酒精）;酒精饮料（啤酒除外）;⽶酒;樱桃酒;清酒（⽇本⽶酒）;含⽔果酒精饮料;葡萄酒</t>
  </si>
  <si>
    <t>同唯安</t>
  </si>
  <si>
    <t>同唯安（陕西）医学科技有限公司</t>
  </si>
  <si>
    <t>烈酒;⽩酒;酒精饮料（啤酒除外）;鸡尾酒;果酒（含酒精）;酒精饮料原汁;葡萄酒;预先混合的酒精饮料（以啤酒为主的除外）;威⼠忌;⽩兰地</t>
  </si>
  <si>
    <t>蜀忆茗</t>
  </si>
  <si>
    <t>李刚</t>
  </si>
  <si>
    <t>⽶酒;果酒（含酒精）;蜂蜜酒;樱桃酒;⽩酒;苹果酒;⾕物制蒸馏酒精饮料;⻘稞酒;烧酒;⾷⽤酒精</t>
  </si>
  <si>
    <t>花思容</t>
  </si>
  <si>
    <t>甘肃花思容蜂业有限责任公司</t>
  </si>
  <si>
    <t>烈酒（饮料）;⽶酒;含酒精的⽓泡⽔;⻘稞酒;酒精饮料原汁;⽩酒;开胃酒;含⽔果酒精饮料;果酒（含酒精）;蜂蜜酒</t>
  </si>
  <si>
    <t>南雀</t>
  </si>
  <si>
    <t>李金秀</t>
  </si>
  <si>
    <t>烈酒;鸡尾酒;烧酒;⻩酒;甜酒;葡萄酒;薄荷酒;⾼粱酒;⽶酒;⽩酒</t>
  </si>
  <si>
    <t>未来掌柜</t>
  </si>
  <si>
    <t>王有禄</t>
  </si>
  <si>
    <t>蒸馏饮料;⽩兰地;⻩酒;威⼠忌;烧酒;果酒（含酒精）;葡萄酒;鸡尾酒;⽶酒;⽩酒</t>
  </si>
  <si>
    <t>聚福梦</t>
  </si>
  <si>
    <t>银川市金凤区聚福多超市</t>
  </si>
  <si>
    <t>⻩酒;甜酒;开胃酒;⽩酒;烧酒;葡萄酒;烈酒（饮料）;清酒（⽇本⽶酒）;⽶酒;果酒（含酒精）</t>
  </si>
  <si>
    <t>聚福魂</t>
  </si>
  <si>
    <t>葡萄酒;烧酒;甜酒;清酒（⽇本⽶酒）;开胃酒;⽩酒;果酒（含酒精）;⽶酒;烈酒（饮料）;⻩酒</t>
  </si>
  <si>
    <t>同太祥</t>
  </si>
  <si>
    <t>辽宁佳玉酒业有限公司</t>
  </si>
  <si>
    <t>⽩酒;果酒（含酒精）;葡萄酒;含⽔果酒精饮料;伏特加酒;酒精饮料（啤酒除外）;⻩酒;⽶酒;威⼠忌;⻘稞酒</t>
  </si>
  <si>
    <t>蒙器</t>
  </si>
  <si>
    <t>鸡尾酒;薄荷酒;⽩酒;酒精饮料浓缩汁;伏特加酒;开胃酒;利⼝酒;⻩酒;烧酒;樱桃酒</t>
  </si>
  <si>
    <t>条山岭</t>
  </si>
  <si>
    <t>山西伊兰惠食品开发有限公司</t>
  </si>
  <si>
    <t>⽶酒;葡萄酒;除啤酒外的酒精饮料;果酒;蜂蜜酒;开胃酒;⻩酒;⽩酒;汽酒;含⽔果酒精饮料</t>
  </si>
  <si>
    <t>勤义酒庄</t>
  </si>
  <si>
    <t>张贵超</t>
  </si>
  <si>
    <t>薄荷酒;果酒（含酒精）;开胃酒;鸡尾酒;威⼠忌;⽩酒;烈酒（饮料）;⻩酒;⽩兰地;⽶酒</t>
  </si>
  <si>
    <t>盅甜甜</t>
  </si>
  <si>
    <t>钟原尤佳</t>
  </si>
  <si>
    <t>酒精饮料（啤酒除外）;烧酒;含酒精的⽓泡⽔;含⽔果酒精饮料;汽酒;⽶酒;甜酒;⽩酒;酒精饮料原汁;蒸馏饮料</t>
  </si>
  <si>
    <t>烧酒;⽶酒;⾼粱酒;果酒;葡萄酒;朗姆酒;烈酒;含酒精的⽓泡⽔;红葡萄酒;威⼠忌</t>
  </si>
  <si>
    <t>DREAM BCHI</t>
  </si>
  <si>
    <t>龙泉驿区奔图商贸经营部（个体工商户）</t>
  </si>
  <si>
    <t>⽶酒;以葡萄酒为主的饮料;鸡尾酒;葡萄酒;⽩兰地;威⼠忌;烈酒（饮料）;果酒（含酒精）;酒精饮料（啤酒除外）;⽩酒</t>
  </si>
  <si>
    <t>疆域如逸</t>
  </si>
  <si>
    <t>清酒（⽇本⽶酒）;⻩酒;梅酒;⽔果汽酒;蜂蜜酒;汽酒;果酒（含酒精）;开胃酒;葡萄酒;⽩酒</t>
  </si>
  <si>
    <t>鉴中鉴</t>
  </si>
  <si>
    <t>高建国</t>
  </si>
  <si>
    <t>开胃酒;⽩酒;⽶酒;⻘稞酒;利⼝酒;⻩酒;葡萄酒;梨酒;清酒（⽇本⽶酒）;烧酒</t>
  </si>
  <si>
    <t>坪洋印象</t>
  </si>
  <si>
    <t>酒精饮料（啤酒除外）;果酒（含酒精）;葡萄酒;烧酒;⽶酒;餐后酒（利⼝酒和烈酒）;开胃酒;⻩酒;⽩酒;威⼠忌</t>
  </si>
  <si>
    <t>东冶逸承</t>
  </si>
  <si>
    <t>烈酒（饮料）;⽩酒;⽶酒;含酒精的⽓泡⽔;鸡尾酒;含⽔果酒精饮料;烧酒;⾷⽤酒精;果酒（含酒精）;⻩酒</t>
  </si>
  <si>
    <t>一念喜</t>
  </si>
  <si>
    <t>厦门羲御药业有限公司</t>
  </si>
  <si>
    <t>⽩兰地;果酒（含酒精）;朗姆酒;伏特加酒;鸡尾酒;威⼠忌;⽩酒;葡萄酒;⻩酒;烧酒</t>
  </si>
  <si>
    <t>长沙彭南科茶叶有限公司</t>
  </si>
  <si>
    <t>烧酒（烈酒）;含酒精的⽔果鸡尾酒饮料;含⽔果酒精饮料;调制好的葡萄酒鸡尾酒;由⾕物蒸馏的⽩酒;⾕物制蒸馏酒精饮料;果酒（含酒精）;蒸馏饮料;⾷⽤酒精;桃红葡萄酒</t>
  </si>
  <si>
    <t>博凡猜拳行酒令</t>
  </si>
  <si>
    <t>⻩酒;烧酒;⽩酒;蒸煮提取物（利⼝酒和烈酒）;酒精饮料（啤酒除外）;果酒;清酒;⾷⽤酒精;烈酒（饮料）;酒精饮料浓缩汁</t>
  </si>
  <si>
    <t>宝可萌</t>
  </si>
  <si>
    <t>吴阳光</t>
  </si>
  <si>
    <t>红葡萄酒;清酒;⽶酒;果酒;甜酒;杨梅酒;⽩酒;酒精饮料（啤酒除外）;含酒精的⽓泡⽔;⽼酒（中国蒸馏烈酒）</t>
  </si>
  <si>
    <t>道生自和</t>
  </si>
  <si>
    <t>青岛自和堂中医文化研究院有限公司</t>
  </si>
  <si>
    <t>烧酒;烈酒（饮料）;⻩酒;果酒（含酒精）;⽩酒;⾕物制蒸馏酒精饮料;蒸馏饮料;酒精饮料（啤酒除外）;葡萄酒;预先混合的酒精饮料（以啤酒为主的除外）</t>
  </si>
  <si>
    <t>四炉焱</t>
  </si>
  <si>
    <t>廖久京362233********4411</t>
  </si>
  <si>
    <t>含⽔果酒精饮料;⻩酒;果酒（含酒精）;葡萄酒;⽶酒;蜂蜜酒;预先混合的酒精饮料（以啤酒为主的除外）;⾕物制蒸馏酒精饮料;烧酒;⽩兰地</t>
  </si>
  <si>
    <t>友泰度</t>
  </si>
  <si>
    <t>富尼维尼服饰有限公司</t>
  </si>
  <si>
    <t>葡萄酒;⻩酒;果酒（含酒精）;含⽔果酒精饮料;⽩兰地;⾷⽤酒精;酒精饮料（啤酒除外）;⽩酒;鸡尾酒;⽶酒</t>
  </si>
  <si>
    <t>美家全</t>
  </si>
  <si>
    <t>桐梓美家全酒业商贸有限公司</t>
  </si>
  <si>
    <t>苦味酒;⽩酒;果酒（含酒精）;烈酒（饮料）;开胃酒;烧酒;汽酒;葡萄酒;⽶酒;鸡尾酒</t>
  </si>
  <si>
    <t>绿螳螂</t>
  </si>
  <si>
    <t>梨酒;酒精饮料（啤酒除外）;⾼粱酒;葡萄酒;⽩酒;烧酒;⽶酒;⽩兰地;⻩酒;果酒</t>
  </si>
  <si>
    <t>黔之谛</t>
  </si>
  <si>
    <t>张世鸿</t>
  </si>
  <si>
    <t>葡萄酒;⽩酒;⻩酒;威⼠忌;伏特加酒;利⼝酒;⻘稞酒;⽶酒;⽩兰地;酒精饮料（啤酒除外）</t>
  </si>
  <si>
    <t>日扇</t>
  </si>
  <si>
    <t>耿娜莉</t>
  </si>
  <si>
    <t>清酒;⾕物制蒸馏酒精饮料;鸡尾酒;⽩酒;红葡萄酒;威⼠忌;酒精饮料（啤酒除外）;⽔果汽酒;烧酒;⽇本梅⼦酒</t>
  </si>
  <si>
    <t>荞大哥 酒</t>
  </si>
  <si>
    <t>薄荷酒;开胃酒;果酒（含酒精）;鸡尾酒;苹果酒;烈酒（饮料）;⻩酒;⽩酒;甜果酒;葡萄酒</t>
  </si>
  <si>
    <t>芊菁方</t>
  </si>
  <si>
    <t>安徽良源物予生物科技有限公司</t>
  </si>
  <si>
    <t>已调味的⻨芽酿制的酒精饮料（啤酒除外）;含酒精的⽓泡⽔;⽩酒;果酒（含酒精）;⾷⽤酒精;⾕物制蒸馏酒精饮料;含⽔果酒精饮料;⽶酒;酒精饮料原汁;烈酒（饮料）</t>
  </si>
  <si>
    <t>悉蒙</t>
  </si>
  <si>
    <t>樱桃酒;鸡尾酒;开胃酒;伏特加酒;薄荷酒;利⼝酒;酒精饮料浓缩汁;⻩酒;烧酒;⽩酒</t>
  </si>
  <si>
    <t>酌香逢</t>
  </si>
  <si>
    <t>青岛彬图酒业有限公司</t>
  </si>
  <si>
    <t>⾕物制蒸馏酒精饮料;⽩酒;果酒（含酒精）;⽶酒;⽩⼲酒（中国⽩酒）;清酒（⽇本⽶酒）;烧酒;蒸馏饮料;鸡尾酒;酒精饮料（啤酒除外）</t>
  </si>
  <si>
    <t>名山秀水</t>
  </si>
  <si>
    <t>张松</t>
  </si>
  <si>
    <t>⽩酒;亚⼒酒;果酒;⾼粱酒;茴芹酒（利⼝酒）;⽶酒;露酒;清酒;酸酒（低等葡萄酒）;⻩酒</t>
  </si>
  <si>
    <t>荣华万代</t>
  </si>
  <si>
    <t>四川领昂供应链管理有限公司</t>
  </si>
  <si>
    <t>⽩酒;烧酒;利⼝酒;葡萄酒;⻩酒;⽶酒;蜂蜜酒;开胃酒;烈酒（饮料）;鸡尾酒</t>
  </si>
  <si>
    <t>岭礼春粮</t>
  </si>
  <si>
    <t>酒精饮料（啤酒除外）;鸡尾酒;蒸煮提取物（利⼝酒和烈酒）;⽩酒;⾷⽤酒精;果酒（含酒精）;蒸馏饮料;酒精饮料原汁;含⽔果酒精饮料;葡萄酒</t>
  </si>
  <si>
    <t>禾堂清韵 酒</t>
  </si>
  <si>
    <t>四川禾田空间文化传媒有限公司</t>
  </si>
  <si>
    <t>烧酒;⽩酒;⻘稞酒;⽩兰地;⾕物制蒸馏酒精饮料;⻩酒;含⽔果酒精饮料;烈酒;葡萄酒;威⼠忌;⽶酒;鸡尾酒</t>
  </si>
  <si>
    <t>君子笑</t>
  </si>
  <si>
    <t>林雄雕</t>
  </si>
  <si>
    <t>葡萄酒;⽩酒;含酒精⽔果饮料;⽶酒;酒精饮料（啤酒除外）;果酒（含酒精）;⽩兰地;烧酒;⻩酒;烈酒（饮料）</t>
  </si>
  <si>
    <t>梅六姑爷</t>
  </si>
  <si>
    <t>威⼠忌;蒸煮提取物（利⼝酒和烈酒）;朗姆酒;酒精饮料（啤酒除外）;果酒（含酒精）;⻩酒;伏特加酒;⽩酒;⽩兰地;葡萄酒</t>
  </si>
  <si>
    <t>古堡君兰</t>
  </si>
  <si>
    <t>烈酒（饮料）;葡萄酒;果酒（含酒精）;⽩酒;开胃酒;⽶酒;利⼝酒;⻩酒;⾷⽤酒精;烧酒</t>
  </si>
  <si>
    <t>福酝临</t>
  </si>
  <si>
    <t>孙钰富</t>
  </si>
  <si>
    <t>果酒（含酒精）;葡萄酒;清酒（⽇本⽶酒）;酒精饮料（啤酒除外）;烈酒;鸡尾酒;⻩酒;威⼠忌;⽩酒;开胃酒</t>
  </si>
  <si>
    <t>秀奇遇</t>
  </si>
  <si>
    <t>广州市炫兰国际贸易有限公司</t>
  </si>
  <si>
    <t>⻩酒;朗姆酒;⽶酒;烈酒;⽩酒;果酒;清酒;甜酒;葡萄酒;鸡尾酒</t>
  </si>
  <si>
    <t>菲林莫属</t>
  </si>
  <si>
    <t>林甲金（35062319850902101X）</t>
  </si>
  <si>
    <t>⽩兰地;⻩酒;⾕物制蒸馏酒精饮料;果酒（含酒精）;利⼝酒;烈酒（饮料）;威⼠忌;含酒精⽔果饮料;葡萄酒;蒸馏饮料</t>
  </si>
  <si>
    <t>奉达</t>
  </si>
  <si>
    <t>杨发令</t>
  </si>
  <si>
    <t>开胃酒;清酒（⽇本⽶酒）;葡萄酒;威⼠忌;酒精饮料（啤酒除外）;果酒（含酒精）;⽩酒;烈酒;鸡尾酒;⻩酒</t>
  </si>
  <si>
    <t>聚润川</t>
  </si>
  <si>
    <t>张家口盈聚商贸有限公司</t>
  </si>
  <si>
    <t>汽酒;天然汽酒;威⼠忌;⻩酒;葡萄酒;烧酒;⽩酒;⽶酒;果酒;以葡萄酒为主的饮料</t>
  </si>
  <si>
    <t>醉祖咏</t>
  </si>
  <si>
    <t>⽩酒;开胃酒;朗姆酒;果酒;利⼝酒;鸡尾酒;清酒（⽇本⽶酒）;酒精饮料（啤酒除外）;烧酒;葡萄酒</t>
  </si>
  <si>
    <t>坛窖村</t>
  </si>
  <si>
    <t>利⼝酒;烧酒;葡萄酒;开胃酒;鸡尾酒;果酒;朗姆酒;酒精饮料（啤酒除外）;⽩酒;清酒（⽇本⽶酒）</t>
  </si>
  <si>
    <t>伏特加酒;威⼠忌;葡萄酒;⽶酒;鸡尾酒;预先混合的酒精饮料（以啤酒为主的除外）;⽩酒;烧酒;果酒（含酒精）;酒精饮料（啤酒除外）</t>
  </si>
  <si>
    <t>谦秦</t>
  </si>
  <si>
    <t>烧酒;伏特加酒;⽩酒;鸡尾酒;酒精饮料浓缩汁;樱桃酒;⻩酒;薄荷酒;开胃酒;利⼝酒</t>
  </si>
  <si>
    <t>少康谷巷</t>
  </si>
  <si>
    <t>⾷⽤酒精;⽩酒;烈酒;⽩⼲酒（中国⽩酒）;由⾕物蒸馏的⽩酒;果酒;烧酒;⾼粱酒;⽶酒;⽼酒（中国蒸馏烈酒）</t>
  </si>
  <si>
    <t>庄园鸿</t>
  </si>
  <si>
    <t>苹果酒;樱桃酒;威⼠忌;蒸馏饮料;梨酒;酒精饮料（啤酒除外）;含⽔果酒精饮料;果酒（含酒精）;⽩兰地;葡萄酒</t>
  </si>
  <si>
    <t>三垦</t>
  </si>
  <si>
    <t>北京高投数科科技有限公司</t>
  </si>
  <si>
    <t>⽶酒;⾷⽤酒精;⽩酒;含酒精⽔果饮料;蒸馏饮料;葡萄酒;烈酒（饮料）;⽼酒（中国蒸馏烈酒）;果酒（含酒精）;鸡尾酒</t>
  </si>
  <si>
    <t>典际</t>
  </si>
  <si>
    <t>⽩酒;⻩酒;果酒;烈酒;⻘稞酒;⾼粱酒;鸡尾酒;葡萄酒;⽶酒;烧酒</t>
  </si>
  <si>
    <t>ASSEN</t>
  </si>
  <si>
    <t>张胜</t>
  </si>
  <si>
    <t>烈酒（饮料）;清酒（⽇本⽶酒）;⻩酒;⽩酒;烧酒;果酒（含酒精）;葡萄酒;⽶酒;鸡尾酒;酒精饮料（啤酒除外）</t>
  </si>
  <si>
    <t>方洁 FUNJANE</t>
  </si>
  <si>
    <t>河南长尊企业管理有限公司</t>
  </si>
  <si>
    <t>清酒;⻩酒;⽩兰地;⽶酒;葡萄酒;⽩酒;⻘稞酒;果酒;威⼠忌;烧酒</t>
  </si>
  <si>
    <t>荣休</t>
  </si>
  <si>
    <t>山东景阳冈酒厂有限公司</t>
  </si>
  <si>
    <t>烈酒（饮料）;⽩酒;烧酒;烈酒;⽶酒;⾼粱酒;开胃酒;⾷⽤酒精;酒精饮料（啤酒除外）;果酒（含酒精）</t>
  </si>
  <si>
    <t>杨开均</t>
  </si>
  <si>
    <t>⽩酒;果酒（含酒精）;鸡尾酒;葡萄酒;酒精饮料（啤酒除外）;⽶酒;酒精饮料原汁;烧酒;⾷⽤酒精;烈酒（饮料）</t>
  </si>
  <si>
    <t>余记月</t>
  </si>
  <si>
    <t>广西锦义商贸有限公司</t>
  </si>
  <si>
    <t>⽩酒;烧酒;果酒（含酒精）;酒精饮料（啤酒除外）;⽼酒（中国蒸馏烈酒）;葡萄酒;汽酒;⾷⽤酒精;⻩酒;鸡尾酒</t>
  </si>
  <si>
    <t>圆酝</t>
  </si>
  <si>
    <t>重庆圆坊酒业有限公司</t>
  </si>
  <si>
    <t>葡萄酒;⾕物制蒸馏酒精饮料;烧酒;开胃酒;⽶酒;⽩酒;果酒（含酒精）;烈酒（饮料）;酒精饮料（啤酒除外）;清酒（⽇本⽶酒）</t>
  </si>
  <si>
    <t>半亩粮</t>
  </si>
  <si>
    <t>谢海峰</t>
  </si>
  <si>
    <t>果酒（含酒精）;⽶酒;烈酒（饮料）;汽酒;⽩酒;烧酒;葡萄酒;⽩兰地;酒精饮料（啤酒除外）;利⼝酒</t>
  </si>
  <si>
    <t>谷巷少康</t>
  </si>
  <si>
    <t>烈酒;⽼酒（中国蒸馏烈酒）;⽶酒;由⾕物蒸馏的⽩酒;果酒;⾷⽤酒精;⽩酒;烧酒;⽩⼲酒（中国⽩酒）;⾼粱酒</t>
  </si>
  <si>
    <t>蜀器</t>
  </si>
  <si>
    <t>党翠灵</t>
  </si>
  <si>
    <t>鸡尾酒;⽩酒;酒精饮料浓缩汁;薄荷酒;烧酒;⻩酒;伏特加酒;开胃酒;樱桃酒;利⼝酒</t>
  </si>
  <si>
    <t>悍得</t>
  </si>
  <si>
    <t>酒精饮料浓缩汁;鸡尾酒;开胃酒;樱桃酒;⻩酒;伏特加酒;薄荷酒;⽩酒;利⼝酒;烧酒</t>
  </si>
  <si>
    <t>县马号</t>
  </si>
  <si>
    <t>保定会琴商贸有限公司</t>
  </si>
  <si>
    <t>烧酒;⻘稞酒;果酒（含酒精）;葡萄酒;鸡尾酒;⽩酒;开胃酒;⽶酒;⾷⽤酒精;⻩酒</t>
  </si>
  <si>
    <t>龙寿无疆</t>
  </si>
  <si>
    <t>葡萄酒;⻩酒;⽶酒;⽩兰地;果酒（含酒精）;鸡尾酒;⽩酒;烧酒;威⼠忌;⾷⽤酒精</t>
  </si>
  <si>
    <t>星辰与歌声</t>
  </si>
  <si>
    <t>宁夏北石文化科技有限公司</t>
  </si>
  <si>
    <t>开胃酒;⽩兰地;葡萄酒;酒精饮料（啤酒除外）;酒精饮料原汁;预先混合的酒精饮料（以啤酒为主的除外）;果酒（含酒精）;蒸馏饮料;烈酒（饮料）;含⽔果酒精饮料</t>
  </si>
  <si>
    <t>花田笑</t>
  </si>
  <si>
    <t>贵州花田醉酒业有限公司</t>
  </si>
  <si>
    <t>果酒（含酒精）;鸡尾酒;⽩兰地;⽶酒;⻩酒;果酒;⾕物制蒸馏酒精饮料;葡萄酒;酒精饮料（啤酒除外）;⽩酒</t>
  </si>
  <si>
    <t>特洛森</t>
  </si>
  <si>
    <t>宁波酒胜供应链有限公司</t>
  </si>
  <si>
    <t>烧酒;开胃酒;利⼝酒;果酒（含酒精）;葡萄酒;酸酒（低等葡萄酒）;酒精饮料原汁;⻩酒;蒸煮提取物（利⼝酒和烈酒）;酒精饮料（啤酒除外）</t>
  </si>
  <si>
    <t>霞翅</t>
  </si>
  <si>
    <t>威⼠忌;不起泡葡萄酒;⽩酒;葡萄汽酒;⽶酒;起泡⽩葡萄酒;起泡红葡萄酒;葡萄酒;红葡萄酒;调制好的葡萄酒鸡尾酒</t>
  </si>
  <si>
    <t>芝娟</t>
  </si>
  <si>
    <t>王朝领</t>
  </si>
  <si>
    <t>威⼠忌;烈酒（饮料）;果酒（含酒精）;⽶酒;⻩酒;⽩酒;含⽔果酒精饮料;烧酒;⻘稞酒;⾷⽤酒精</t>
  </si>
  <si>
    <t>熊牛</t>
  </si>
  <si>
    <t>熊想向</t>
  </si>
  <si>
    <t>果酒（含酒精）;酒精饮料原汁;鸡尾酒;含⽔果酒精饮料;烈酒（饮料）;葡萄酒;⾕物制蒸馏酒精饮料;开胃酒;⽶酒;烧酒</t>
  </si>
  <si>
    <t>每维素</t>
  </si>
  <si>
    <t>刘振宇</t>
  </si>
  <si>
    <t>甜酒;⻩酒;开胃酒;果酒;⽶酒;清酒;葡萄酒;汽酒;⽩酒;⾷⽤酒精</t>
  </si>
  <si>
    <t>畅虹铜锣湾</t>
  </si>
  <si>
    <t>江宗良</t>
  </si>
  <si>
    <t>⽩酒;⻩酒;烈酒（饮料）;葡萄酒;鸡尾酒;酒精饮料（啤酒除外）;烧酒;开胃酒;⽶酒;含⽔果酒精饮料</t>
  </si>
  <si>
    <t>腾云驹</t>
  </si>
  <si>
    <t>梁文熙</t>
  </si>
  <si>
    <t>果酒（含酒精）;葡萄酒;汽酒;利⼝酒;烈酒（饮料）;⻩酒;⽶酒;⽩酒;烧酒;酒精饮料原汁</t>
  </si>
  <si>
    <t>健养道</t>
  </si>
  <si>
    <t>董周伟</t>
  </si>
  <si>
    <t>烧酒;鸡尾酒;清酒（⽇本⽶酒）;果酒（含酒精）;葡萄酒;⾷⽤酒精;⽶酒;⽩酒;⻘稞酒;⻩酒</t>
  </si>
  <si>
    <t>新泊地</t>
  </si>
  <si>
    <t>张福</t>
  </si>
  <si>
    <t>果酒（含酒精）;⻩酒;露酒;⽩酒;葡萄酒;⽶酒;烧酒（烈酒）;⽩⼲酒（中国⽩酒）;⾼粱酒;鸡尾酒</t>
  </si>
  <si>
    <t>掇醍</t>
  </si>
  <si>
    <t>深圳大隐文化有限公司</t>
  </si>
  <si>
    <t>含⽔果酒精饮料;⽶酒;⾕物制蒸馏酒精饮料;威⼠忌;⽩酒;葡萄酒;清酒（⽇本⽶酒）;酒精饮料（啤酒除外）;⻩酒;果酒（含酒精）</t>
  </si>
  <si>
    <t>牛亩粮</t>
  </si>
  <si>
    <t>葡萄酒;烈酒（饮料）;⽩酒;果酒（含酒精）;⽶酒;汽酒;利⼝酒;⽩兰地;酒精饮料（啤酒除外）;烧酒</t>
  </si>
  <si>
    <t>云如逸</t>
  </si>
  <si>
    <t>清酒（⽇本⽶酒）;汽酒;⻩酒;开胃酒;梅酒;⽔果汽酒;葡萄酒;蜂蜜酒;果酒（含酒精）;⽩酒</t>
  </si>
  <si>
    <t>顺盟</t>
  </si>
  <si>
    <t>⽩酒;烈酒;果酒（含酒精）;开胃酒;清酒（⽇本⽶酒）;酒精饮料（啤酒除外）;威⼠忌;葡萄酒;⻩酒;鸡尾酒</t>
  </si>
  <si>
    <t>摇滚企鹅</t>
  </si>
  <si>
    <t>张林</t>
  </si>
  <si>
    <t>伏特加酒;果酒;⽩酒;威⼠忌;⻘梅酒;⻩酒;朗姆酒;梅酒;红葡萄酒;杨梅酒</t>
  </si>
  <si>
    <t>信见</t>
  </si>
  <si>
    <t>烧酒;⻩酒;⽩兰地;葡萄酒;果酒（含酒精）;⽶酒;威⼠忌;鸡尾酒;⽩酒;⾷⽤酒精</t>
  </si>
  <si>
    <t>宜璞</t>
  </si>
  <si>
    <t>长宁县宜竹商贸有限公司</t>
  </si>
  <si>
    <t>⻩酒;梅酒;烈酒;葡萄酒;除啤酒外的酒精饮料;鸡尾酒;烧酒;⽩酒;酒精饮料（啤酒除外）;⽶酒</t>
  </si>
  <si>
    <t>友好熊猫</t>
  </si>
  <si>
    <t>四川生态智源企业管理有限公司</t>
  </si>
  <si>
    <t>鸡尾酒;⽶酒;烧酒;烈酒（饮料）;葡萄酒;果酒（含酒精）;⽩兰地;⻩酒;开胃酒;⽩酒</t>
  </si>
  <si>
    <t>乾酒仙</t>
  </si>
  <si>
    <t>黄诚</t>
  </si>
  <si>
    <t>烧酒;蒸馏饮料;葡萄酒;酒精饮料（啤酒除外）;威⼠忌;汽酒;⻩酒;⽩酒;果酒（含酒精）;⽶酒</t>
  </si>
  <si>
    <t>苏胜</t>
  </si>
  <si>
    <t>王洪</t>
  </si>
  <si>
    <t>开胃酒;清酒（⽇本⽶酒）;烈酒;果酒（含酒精）;⽩酒;酒精饮料（啤酒除外）;葡萄酒;鸡尾酒;⻩酒;威⼠忌</t>
  </si>
  <si>
    <t>龙生福</t>
  </si>
  <si>
    <t>项城市鑫润农业发展有限公司</t>
  </si>
  <si>
    <t>⽩兰地;⻘稞酒;汽酒;葡萄酒;酒精饮料（啤酒除外）;果酒;含⽔果酒精饮料;⽶酒;伏特加酒;⽩酒</t>
  </si>
  <si>
    <t>景留香</t>
  </si>
  <si>
    <t>长沙景留香酒业有限责任公司</t>
  </si>
  <si>
    <t>⽶酒;葡萄酒;果酒（含酒精）;苹果酒;⻩酒;⽩酒;鸡尾酒;威⼠忌;烧酒;⽩兰地</t>
  </si>
  <si>
    <t>云茂</t>
  </si>
  <si>
    <t>云南茂康商贸有限公司</t>
  </si>
  <si>
    <t>含⽔果酒精饮料;伏特加酒;利⼝酒;鸡尾酒;烈酒（饮料）;蒸煮提取物（利⼝酒和烈酒）;果酒（含酒精）;⽩兰地;预先混合的酒精饮料（以啤酒为主的除外）;⽩酒</t>
  </si>
  <si>
    <t>帮帮狼</t>
  </si>
  <si>
    <t>泉州市店小八网络科技有限公司</t>
  </si>
  <si>
    <t>半加⼯或未加⼯⽪⾰;⽑⽪;钱包（钱夹）;⼿提包;⾏李箱;⽪制家具罩;伞;⼿杖;动物⽤挽具;动物外套</t>
  </si>
  <si>
    <t>今回高原</t>
  </si>
  <si>
    <t>朱志彪</t>
  </si>
  <si>
    <t>清酒;葡萄酒;⻩酒;开胃酒;⽶酒;汽酒;⽩酒;⾷⽤酒精;果酒;甜酒</t>
  </si>
  <si>
    <t>至樽酩星</t>
  </si>
  <si>
    <t>葡萄酒;⻩酒;汽酒;清酒;果酒;⽩酒;⽩兰地;威⼠忌;⽶酒;烧酒</t>
  </si>
  <si>
    <t>神州通立</t>
  </si>
  <si>
    <t>神州通立电梯有限公司</t>
  </si>
  <si>
    <t>果酒（含酒精）;⻩酒;威⼠忌;烧酒（烈酒）;鸡尾酒;烈酒（饮料）;⽩酒;葡萄酒;酒精饮料浓缩汁;含⽔果酒精饮料</t>
  </si>
  <si>
    <t>标祥</t>
  </si>
  <si>
    <t>北京真益酒业有限公司</t>
  </si>
  <si>
    <t>威⼠忌;杜松⼦酒;鸡尾酒;⽩酒;⽩兰地;开胃酒;伏特加酒;朗姆酒;利⼝酒;葡萄酒</t>
  </si>
  <si>
    <t>赫斐斯 HEPHEUS</t>
  </si>
  <si>
    <t>青岛东霖建材科技有限公司</t>
  </si>
  <si>
    <t>葡萄酒;⻩酒;⽶酒;果酒;⽩兰地;威⼠忌;⾼粱酒;含酒精的饮料（啤酒除外）;鸡尾酒;⽩酒</t>
  </si>
  <si>
    <t>杭赋春</t>
  </si>
  <si>
    <t>杭州可优可贸易有限公司</t>
  </si>
  <si>
    <t>烈酒（饮料）;清酒（⽇本⽶酒）;⽶酒;清酒;⽩酒;葡萄酒;⻘稞酒;烧酒;果酒（含酒精）;⻩酒</t>
  </si>
  <si>
    <t>岐霖北极光</t>
  </si>
  <si>
    <t>烧酒;由⾕物蒸馏的⽩酒;朝鲜烧酒;烈酒;烈酒浓缩汁;烧酒（烈酒）;⽶酒;酒精饮料（啤酒除外）;⾼粱酒;⽼酒（中国蒸馏烈酒）</t>
  </si>
  <si>
    <t>嘉黛</t>
  </si>
  <si>
    <t>慧姿妍（上海）生物科技有限公司</t>
  </si>
  <si>
    <t>⽶酒;⽩酒;蒸煮提取物（利⼝酒和烈酒）;烈酒（饮料）;蒸馏饮料;酒精饮料（啤酒除外）;果酒（含酒精）;烧酒;酒精饮料浓缩汁;酒精饮料原汁</t>
  </si>
  <si>
    <t>晋游</t>
  </si>
  <si>
    <t>宋磊</t>
  </si>
  <si>
    <t>葡萄酒;果酒（含酒精）;⽶酒;⻩酒;烧酒;⽩酒;蒸馏饮料;酒精饮料（啤酒除外）;开胃酒;⾷⽤酒精</t>
  </si>
  <si>
    <t>豪栈</t>
  </si>
  <si>
    <t>叶凯进</t>
  </si>
  <si>
    <t>⽶酒;烧酒（烈酒）;⽩酒;⻩酒;⽼酒（中国蒸馏烈酒）;烧酒;⾼粱酒;果酒;甜酒;果酒（含酒精）</t>
  </si>
  <si>
    <t>梦动力</t>
  </si>
  <si>
    <t>佛山市九水商贸有限公司</t>
  </si>
  <si>
    <t>⽶酒;⻘稞酒;清酒（⽇本⽶酒）;⽩酒;含⽔果酒精饮料;葡萄酒;烧酒;⾷⽤酒精;开胃酒;⻩酒</t>
  </si>
  <si>
    <t>远富牛牛道</t>
  </si>
  <si>
    <t>陈秋伍</t>
  </si>
  <si>
    <t>餐后酒（利⼝酒和烈酒）;葡萄酒;烈酒（饮料）;蒸馏饮料;露酒;果酒（含酒精）;⽩酒;⾕物制蒸馏酒精饮料;⽶酒;苹果酒</t>
  </si>
  <si>
    <t>金杞弘韵</t>
  </si>
  <si>
    <t>⻩酒;⾷⽤酒精;开胃酒;烧酒;⾼粱酒;鸡尾酒;⽩酒;果酒（含酒精）;⽩⼲酒（中国⽩酒）;葡萄酒</t>
  </si>
  <si>
    <t>玫澜东方</t>
  </si>
  <si>
    <t>长沙朝麓文化活动策划工作有限公司</t>
  </si>
  <si>
    <t>果酒（含酒精）;伏特加酒;⻩酒;苹果酒;葡萄酒;⽶酒;烧酒;⽩酒;开胃酒;酒精饮料原汁</t>
  </si>
  <si>
    <t>奋汇供应链管理（北京）集团有限公司</t>
  </si>
  <si>
    <t>烈酒（饮料）;餐后酒（利⼝酒和烈酒）;⽩兰地;⽩酒;酒精饮料（啤酒除外）;⽶酒;⽩⼲酒（中国⽩酒）;果酒（含酒精）;酒精饮料原汁;葡萄酒</t>
  </si>
  <si>
    <t>重宾</t>
  </si>
  <si>
    <t>重庆宾馆有限公司</t>
  </si>
  <si>
    <t>⻩酒;红葡萄酒;⽩兰地;餐后酒（利⼝酒和烈酒）;伏特加酒;开胃酒;⽩酒;⾼粱酒;⾕物制蒸馏酒精饮料;⽩葡萄酒</t>
  </si>
  <si>
    <t>悍珍</t>
  </si>
  <si>
    <t>利⼝酒;⻩酒;鸡尾酒;伏特加酒;烧酒;樱桃酒;薄荷酒;⽩酒;酒精饮料浓缩汁;开胃酒</t>
  </si>
  <si>
    <t>华大侠</t>
  </si>
  <si>
    <t>张庆</t>
  </si>
  <si>
    <t>葡萄酒;蒸馏饮料;烧酒（烈酒）;含酒精的饮料（啤酒除外）;烧酒;⽩酒;⽶酒;⽩⼲酒（中国⽩酒）;烈酒;餐后酒（利⼝酒和烈酒）</t>
  </si>
  <si>
    <t>贡粱河</t>
  </si>
  <si>
    <t>⽶酒;⽩酒;烧酒（烈酒）;餐后酒（利⼝酒和烈酒）;含酒精的饮料（啤酒除外）;葡萄酒;蒸馏饮料;烈酒;⽩⼲酒（中国⽩酒）;烧酒</t>
  </si>
  <si>
    <t>田头井</t>
  </si>
  <si>
    <t>淮安天玥电子商务有限公司</t>
  </si>
  <si>
    <t>果酒;⻘稞酒;酒精饮料（啤酒除外）;⽩酒;烈酒（饮料）;清酒;葡萄酒;⽶酒;烧酒（烈酒）;⻩酒</t>
  </si>
  <si>
    <t>颍荷</t>
  </si>
  <si>
    <t>⽩酒;烈酒;烧酒;⽼酒（中国蒸馏烈酒）;⽶酒;由⾕物蒸馏的⽩酒;果酒;⾷⽤酒精;⾼粱酒;⽩⼲酒（中国⽩酒）</t>
  </si>
  <si>
    <t>贵如逸</t>
  </si>
  <si>
    <t>蜂蜜酒;清酒（⽇本⽶酒）;⽔果汽酒;汽酒;梅酒;⽩酒;开胃酒;果酒（含酒精）;葡萄酒;⻩酒</t>
  </si>
  <si>
    <t>中崛公馆</t>
  </si>
  <si>
    <t>吴左红</t>
  </si>
  <si>
    <t>烧酒;⻩酒;果酒（含酒精）;开胃酒;含⽔果酒精饮料;⽩酒;⽶酒;烈酒;酒精饮料（啤酒除外）;葡萄酒</t>
  </si>
  <si>
    <t>森源臻品</t>
  </si>
  <si>
    <t>额尔古纳市森源林业经营有限公司</t>
  </si>
  <si>
    <t>⽩酒;奶油利⼝酒;烈酒（饮料）;葡萄酒;烧酒;⽶酒;⻘稞酒;⾼粱酒;⻩酒;果酒（含酒精）</t>
  </si>
  <si>
    <t>展徽</t>
  </si>
  <si>
    <t>安徽展徽酒业有限公司</t>
  </si>
  <si>
    <t>开胃酒;葡萄酒;威⼠忌;⽩酒;果酒（含酒精）;酒精饮料（啤酒除外）;苹果酒;鸡尾酒;⻘稞酒;烧酒</t>
  </si>
  <si>
    <t>麟桂</t>
  </si>
  <si>
    <t>酒精饮料（啤酒除外）;果酒（含酒精）;⽩酒;蜂蜜酒;烧酒;⽶酒;葡萄酒;樱桃酒;开胃酒;⻩酒</t>
  </si>
  <si>
    <t>螳螂王</t>
  </si>
  <si>
    <t>酒精饮料（啤酒除外）;⽩兰地;⻩酒;烧酒;⽩酒;果酒;梨酒;⾼粱酒;⽶酒;葡萄酒</t>
  </si>
  <si>
    <t>吴族</t>
  </si>
  <si>
    <t>烧酒;⾼粱酒;甜酒;葡萄酒;⻩酒;⽼酒（中国蒸馏烈酒）;⽩酒;烈酒;⽶酒;⽩⼲酒（中国⽩酒）</t>
  </si>
  <si>
    <t>君莫怀</t>
  </si>
  <si>
    <t>威⼠忌;开胃酒;烈酒;清酒（⽇本⽶酒）;⻩酒;果酒（含酒精）;葡萄酒;鸡尾酒;⽩酒;酒精饮料（啤酒除外）</t>
  </si>
  <si>
    <t>勤道乐</t>
  </si>
  <si>
    <t>重庆味相随餐饮管理有限公司</t>
  </si>
  <si>
    <t>葡萄酒;⽶酒;伏特加酒;⽩酒;梨酒;威⼠忌;朗姆酒;烧酒;⽩兰地;苹果酒</t>
  </si>
  <si>
    <t>SK</t>
  </si>
  <si>
    <t>新濠世纪(深圳)国际贸易有限公司</t>
  </si>
  <si>
    <t>果酒;由⾕物蒸馏的⽩酒;葡萄酒;⽩葡萄酒;烈酒;⽩⼲酒（中国⽩酒）;红葡萄酒;⽼酒（中国蒸馏烈酒）;⽩酒;以葡萄酒为主的饮料</t>
  </si>
  <si>
    <t>液之恋</t>
  </si>
  <si>
    <t>宿迁熊天坊酒业有限公司</t>
  </si>
  <si>
    <t>鸡尾酒;⽶酒;果酒（含酒精）;葡萄酒;清酒（⽇本⽶酒）;⻩酒;烧酒;酒精饮料（啤酒除外）;⽩酒;烈酒（饮料）</t>
  </si>
  <si>
    <t>富皖</t>
  </si>
  <si>
    <t>甜果酒;烈酒（饮料）;⻩酒;薄荷酒;⽩酒;果酒（含酒精）;开胃酒;苹果酒;葡萄酒;鸡尾酒</t>
  </si>
  <si>
    <t>醉祖绵</t>
  </si>
  <si>
    <t>鸡尾酒;⽩酒;酒精饮料（啤酒除外）;开胃酒;朗姆酒;果酒;烧酒;利⼝酒;葡萄酒;清酒（⽇本⽶酒）</t>
  </si>
  <si>
    <t>涧静</t>
  </si>
  <si>
    <t>⽩酒;调制好的葡萄酒鸡尾酒;⽶酒;不起泡葡萄酒;红葡萄酒;威⼠忌;起泡⽩葡萄酒;起泡红葡萄酒;葡萄汽酒;葡萄酒</t>
  </si>
  <si>
    <t>理姐</t>
  </si>
  <si>
    <t>蔡芬</t>
  </si>
  <si>
    <t>威⼠忌;含酒精的⽓泡⽔;⽩酒;葡萄酒;⽶酒;⾼粱酒;清酒;⻩酒;朗姆酒;烧酒</t>
  </si>
  <si>
    <t>御坤牡丹园</t>
  </si>
  <si>
    <t>云南御坤文旅发展有限公司</t>
  </si>
  <si>
    <t>蜂蜜酒;梨酒;葡萄酒;酒精饮料浓缩汁;⻩酒;⽩酒;开胃酒;樱桃酒;⽶酒;酒精饮料（啤酒除外）</t>
  </si>
  <si>
    <t>典约</t>
  </si>
  <si>
    <t>何菲尔</t>
  </si>
  <si>
    <t>鸡尾酒;⻩酒;⽩酒;烈酒;威⼠忌;果酒（含酒精）;葡萄酒;清酒（⽇本⽶酒）;开胃酒;酒精饮料（啤酒除外）</t>
  </si>
  <si>
    <t>牟一堂</t>
  </si>
  <si>
    <t>徐国栋</t>
  </si>
  <si>
    <t>果酒（含酒精）;汽酒;含酒精⽔果饮料;蒸煮提取物（利⼝酒和烈酒）;蒸馏饮料;葡萄酒;利⼝酒;酒精饮料浓缩汁;⽩酒;烈酒</t>
  </si>
  <si>
    <t>北方义渠</t>
  </si>
  <si>
    <t>甘肃三郎液酒业有限公司</t>
  </si>
  <si>
    <t>⽶酒;⽩酒;⻩酒;⽼酒（中国蒸馏烈酒）;烈酒;甜酒;苦味酒;⽩⼲酒（中国⽩酒）;梅酒;果酒</t>
  </si>
  <si>
    <t>2024/05/18</t>
  </si>
  <si>
    <t>亨鑫大唐</t>
  </si>
  <si>
    <t>张建辉</t>
  </si>
  <si>
    <t>⽩酒;⻩酒;威⼠忌;开胃酒;鸡尾酒;清酒（⽇本⽶酒）;烈酒;葡萄酒;果酒（含酒精）;酒精饮料（啤酒除外）</t>
  </si>
  <si>
    <t>牵栗兴</t>
  </si>
  <si>
    <t>唐山智栗兴酒业有限公司</t>
  </si>
  <si>
    <t>烈酒（饮料）;威⼠忌;⻩酒;果酒（含酒精）;⽩⼲酒（中国⽩酒）;⽼酒（中国蒸馏烈酒）;酒精饮料（啤酒除外）;葡萄酒;⽩兰地;⽩酒</t>
  </si>
  <si>
    <t>紫娆坊</t>
  </si>
  <si>
    <t>汤井利</t>
  </si>
  <si>
    <t>烈酒（饮料）;⽩酒;蒸馏饮料;酒精饮料原汁;含⽔果酒精饮料;果酒（含酒精）;葡萄酒;烧酒;⽩兰地;⾷⽤酒精</t>
  </si>
  <si>
    <t>僕珂挐贸易（上海）有限公司</t>
  </si>
  <si>
    <t>威⼠忌;开胃酒;⽶酒;含⽔果酒精饮料;鸡尾酒;葡萄酒;烈酒;⽩兰地;⻩酒;果酒（含酒精）</t>
  </si>
  <si>
    <t>小波耀红</t>
  </si>
  <si>
    <t>内蒙古红番生物科技有限公司</t>
  </si>
  <si>
    <t>酒精饮料（啤酒除外）;⻘稞酒;果酒（含酒精）;清酒（⽇本⽶酒）;葡萄酒;⽶酒;烧酒;蒸馏饮料;⽩酒;⾷⽤酒精</t>
  </si>
  <si>
    <t>年痕</t>
  </si>
  <si>
    <t>山西封井酒业有限公司</t>
  </si>
  <si>
    <t>果酒（含酒精）;⽶酒;蒸煮提取物（利⼝酒和烈酒）;⽩兰地;酒精饮料（啤酒除外）;利⼝酒;含⽔果酒精饮料;清酒（⽇本⽶酒）;⽩酒;葡萄酒</t>
  </si>
  <si>
    <t>青久吟</t>
  </si>
  <si>
    <t>福锦科技有限公司</t>
  </si>
  <si>
    <t>⽩酒;酒精饮料（啤酒除外）;含⽔果酒精饮料;⻩酒;⽶酒;葡萄酒;⾷⽤酒精;鸡尾酒;⽩兰地;果酒（含酒精）</t>
  </si>
  <si>
    <t>岑泉康源</t>
  </si>
  <si>
    <t>广西鼎鑫农业开发有限公司</t>
  </si>
  <si>
    <t>茴芹酒（利⼝酒）;柑⾹酒;⽩酒;⻩酒;⽢蔗制酒精饮料;茴⾹酒（利⼝酒）;蒸馏饮料;⾕物制蒸馏酒精饮料;含酒精的⽓泡⽔;烈酒（饮料）</t>
  </si>
  <si>
    <t>岑泉崖源</t>
  </si>
  <si>
    <t>果酒（含酒精）;酒精饮料原汁;酒精饮料浓缩汁;⽶酒;伏特加酒;鸡尾酒;葡萄酒;威⼠忌;含⽔果酒精饮料;朗姆酒</t>
  </si>
  <si>
    <t>哈医津辅堂</t>
  </si>
  <si>
    <t>李振</t>
  </si>
  <si>
    <t>葡萄酒;⽶酒;烧酒;⽩酒;⾕物制蒸馏酒精饮料;鸡尾酒;酒精饮料（啤酒除外）;果酒（含酒精）;含⽔果酒精饮料;⻩酒</t>
  </si>
  <si>
    <t>美醉欢</t>
  </si>
  <si>
    <t>长沙市天心区诚财记广告经营部（个体工商户）</t>
  </si>
  <si>
    <t>⻩酒;清酒;烧酒;烈酒;果酒;⽩兰地;伏特加酒;⾷⽤酒精;⽩酒;威⼠忌</t>
  </si>
  <si>
    <t>茗仙招凤</t>
  </si>
  <si>
    <t>周贵平</t>
  </si>
  <si>
    <t>蒸馏饮料;酒精饮料（啤酒除外）;烈酒（饮料）;⽩酒;⾷⽤酒精;酒精饮料原汁;烧酒;葡萄酒;⽶酒;果酒（含酒精）</t>
  </si>
  <si>
    <t>龙居里</t>
  </si>
  <si>
    <t>游鹏</t>
  </si>
  <si>
    <t>⾼粱酒;葡萄酒;由⾕物蒸馏的⽩酒;果酒;⽩酒;⻘稞酒;露酒;⻩酒;⽩⼲酒（中国⽩酒）;⽼酒（中国蒸馏烈酒）</t>
  </si>
  <si>
    <t>振大鼎湖凤酒</t>
  </si>
  <si>
    <t>广东肇信农食品商贸有限公司</t>
  </si>
  <si>
    <t>鸡尾酒;⻘稞酒;⻩酒;利⼝酒;葡萄酒;果酒（含酒精）;烧酒;⽩酒;汽酒;⽶酒</t>
  </si>
  <si>
    <t>青久福</t>
  </si>
  <si>
    <t>美味可可餐饮有限公司</t>
  </si>
  <si>
    <t>果酒（含酒精）;葡萄酒;⽩酒;鸡尾酒;⾷⽤酒精;⽶酒;⽩兰地;含⽔果酒精饮料;⻩酒;酒精饮料（啤酒除外）</t>
  </si>
  <si>
    <t>大岩泉香</t>
  </si>
  <si>
    <t>李明文</t>
  </si>
  <si>
    <t>⽩酒;烧酒;蒸馏饮料;酒精饮料（啤酒除外）;⽶酒;酒精饮料原汁;⾷⽤酒精;烈酒（饮料）;葡萄酒;果酒（含酒精）</t>
  </si>
  <si>
    <t>半酩</t>
  </si>
  <si>
    <t>李跃水</t>
  </si>
  <si>
    <t>清酒;⽢蔗制酒精饮料;⾕物制蒸馏酒精饮料;⻩酒;烈酒（饮料）;烧酒;甜果酒;除啤酒外的酒精饮料;果酒（含酒精）;蒸馏饮料</t>
  </si>
  <si>
    <t>老顶福</t>
  </si>
  <si>
    <t>中山市李德裕文化传播有限公司</t>
  </si>
  <si>
    <t>薄荷酒;⽶酒;烧酒;尼⽡（以⽢蔗为主的酒精饮料）;⽩酒;⽼酒（中国蒸馏烈酒）;五加⽪酒（中国混合烈酒）;⽩兰地;威⼠忌;伏特加酒</t>
  </si>
  <si>
    <t>万洲诗香</t>
  </si>
  <si>
    <t>重庆九星儿酒庄有限公司</t>
  </si>
  <si>
    <t>葡萄酒;果酒（含酒精）;烧酒;酒精饮料（啤酒除外）;清酒;⻩酒;⾕物制蒸馏酒精饮料;蒸馏饮料;⽩酒;预先混合的酒精饮料（以啤酒为主的除外）</t>
  </si>
  <si>
    <t>酷睿龙</t>
  </si>
  <si>
    <t>深圳市酷睿龙科技有限公司</t>
  </si>
  <si>
    <t>⽩兰地;⽶酒;⻩酒;葡萄酒;⾕物制蒸馏酒精饮料;酒精饮料（啤酒除外）;果酒（含酒精）;烧酒;威⼠忌;鸡尾酒</t>
  </si>
  <si>
    <t>江上曲 酒</t>
  </si>
  <si>
    <t>重庆和天下农业开发有限公司</t>
  </si>
  <si>
    <t>酒精饮料原汁;蜂蜜酒;酒精饮料（啤酒除外）;含⽔果酒精饮料;葡萄酒;预先混合的酒精饮料（以啤酒为主的除外）;果酒（含酒精）;鸡尾酒;⻩酒;⽩酒</t>
  </si>
  <si>
    <t>吴雪信</t>
  </si>
  <si>
    <t>吴学信</t>
  </si>
  <si>
    <t>果酒（含酒精）;葡萄酒;酒精饮料原汁;⽶酒;蒸馏饮料;⽩酒;酒精饮料（啤酒除外）;烈酒（饮料）;⾷⽤酒精;烧酒</t>
  </si>
  <si>
    <t>杯汉赞斟</t>
  </si>
  <si>
    <t>张海彦</t>
  </si>
  <si>
    <t>含⽔果酒精饮料;烧酒;威⼠忌;葡萄酒;鸡尾酒;⻩酒;朗姆酒;果酒（含酒精）;⽩酒;酒精饮料（啤酒除外）</t>
  </si>
  <si>
    <t>夏金椹好</t>
  </si>
  <si>
    <t>北京广业志远商贸有限公司</t>
  </si>
  <si>
    <t>利⼝酒;酒精饮料原汁;果酒;甜酒;⽩酒;烧酒;烈酒（饮料）;含⽔果酒精饮料;⻩酒;⽔果汽酒</t>
  </si>
  <si>
    <t>INJOYLIFE</t>
  </si>
  <si>
    <t>珠海奥库商贸有限公司</t>
  </si>
  <si>
    <t>葡萄酒;⽶酒;鸡尾酒;威⼠忌;果酒;酒精饮料原汁;开胃酒;烈酒;⽩酒;烧酒</t>
  </si>
  <si>
    <t>新疆密尔岱酒业有限公司</t>
  </si>
  <si>
    <t>⾼粱酒;蒸馏饮料;含⽔果酒精饮料;⽩⼲酒（中国⽩酒）;预调甜酒;⽶酒;⻩酒;⽩酒;果酒;鸡尾酒</t>
  </si>
  <si>
    <t>生活印迹</t>
  </si>
  <si>
    <t>果酒;开胃酒;鸡尾酒;烈酒;⽩酒;烧酒;⽶酒;葡萄酒;酒精饮料原汁;威⼠忌</t>
  </si>
  <si>
    <t>葡运</t>
  </si>
  <si>
    <t>民权县有丰食品有限公司</t>
  </si>
  <si>
    <t>酒精饮料浓缩汁;红葡萄酒;佐餐酒;起泡⽩葡萄酒;甜酒;⽩葡萄酒;葡萄酒;⽩兰地;⽩酒;以葡萄酒为主的饮料</t>
  </si>
  <si>
    <t>驷驱越野人</t>
  </si>
  <si>
    <t>贵州省仁怀市四驱之家酒业有限公司</t>
  </si>
  <si>
    <t>⽶酒;烧酒;清酒;开胃酒;⽩酒;⾕物制蒸馏酒精饮料;葡萄酒;果酒;鸡尾酒;酒精饮料（啤酒除外）</t>
  </si>
  <si>
    <t>圣公千翠</t>
  </si>
  <si>
    <t>杨胜春</t>
  </si>
  <si>
    <t>威⼠忌;烧酒;⽩兰地;⽩酒;鸡尾酒;⽶酒;⻩酒;果酒;预先混合的酒精饮料（以啤酒为主的除外）;葡萄酒</t>
  </si>
  <si>
    <t>BUQNAH</t>
  </si>
  <si>
    <t>⽩兰地;鸡尾酒;葡萄酒;威⼠忌;含⽔果酒精饮料;开胃酒;果酒（含酒精）;烈酒;⽶酒;⻩酒</t>
  </si>
  <si>
    <t>敬春晓</t>
  </si>
  <si>
    <t>⾷⽤酒精;⽩酒;果酒;清酒;⽩兰地;⻩酒;烈酒;烧酒;伏特加酒;威⼠忌</t>
  </si>
  <si>
    <t>智栗兴</t>
  </si>
  <si>
    <t>⽩酒;葡萄酒;威⼠忌;⻩酒;果酒（含酒精）;酒精饮料（啤酒除外）;⽩⼲酒（中国⽩酒）;⽩兰地;烈酒（饮料）;⽼酒（中国蒸馏烈酒）</t>
  </si>
  <si>
    <t>维加斯罗宾纳</t>
  </si>
  <si>
    <t>香港哈伯纳集团有限公司</t>
  </si>
  <si>
    <t>葡萄酒;⽶酒;烧酒;果酒（含酒精）;酒精饮料原汁;含⽔果酒精饮料;⻩酒;⽩兰地;威⼠忌;⽩酒</t>
  </si>
  <si>
    <t>塘女西儿</t>
  </si>
  <si>
    <t>杭州钉钉健康管理有限公司</t>
  </si>
  <si>
    <t>果酒（含酒精）;⻩酒;⽩酒;⽶酒;葡萄酒</t>
  </si>
  <si>
    <t>弘历臻西</t>
  </si>
  <si>
    <t>中润康德医疗科技湖北有限公司</t>
  </si>
  <si>
    <t>酒精饮料（啤酒除外）;果酒（含酒精）;烧酒;蒸馏饮料;葡萄酒;⻩酒;⽶酒;烈酒（饮料）;⽩酒;鸡尾酒</t>
  </si>
  <si>
    <t>龙腾跃日</t>
  </si>
  <si>
    <t>唐磊</t>
  </si>
  <si>
    <t>⽶酒;烈酒;清酒;鸡尾酒;⽩酒;果酒;梨酒;烧酒;⽩兰地;⻩酒</t>
  </si>
  <si>
    <t>海淘气</t>
  </si>
  <si>
    <t>果酒（含酒精）;威⼠忌;⽩酒;酒精饮料（啤酒除外）;⻩酒;鸡尾酒;烈酒;葡萄酒;开胃酒;清酒（⽇本⽶酒）</t>
  </si>
  <si>
    <t>东方峤</t>
  </si>
  <si>
    <t>六安市籽霂生态农业有限公司</t>
  </si>
  <si>
    <t>果酒（含酒精）;鸡尾酒;烈酒（饮料）;⽶酒;蒸馏饮料;酒精饮料（啤酒除外）;⻩酒;葡萄酒;开胃酒;⽩酒</t>
  </si>
  <si>
    <t>久猪</t>
  </si>
  <si>
    <t>乐百氏久猪（广州）科技有限公司</t>
  </si>
  <si>
    <t>混合威⼠忌酒;⻩酒;⽩兰地;⽶酒;蒸馏饮料;开胃酒;酒精饮料（啤酒除外）;⻘稞酒;鸡尾酒;薄荷酒</t>
  </si>
  <si>
    <t>百将雄</t>
  </si>
  <si>
    <t>贵州南国估台酒业有限公司</t>
  </si>
  <si>
    <t>酒精饮料（啤酒除外）;烈酒（饮料）;⽩酒;⻩酒;葡萄酒;开胃酒;烧酒;⽶酒;⽼酒（中国蒸馏烈酒）;⾼粱酒</t>
  </si>
  <si>
    <t>米起林</t>
  </si>
  <si>
    <t>中农五洲农业发展有限公司</t>
  </si>
  <si>
    <t>蒸馏饮料;威⼠忌;酒精饮料浓缩汁;⾷⽤酒精;⽩酒;果酒（含酒精）;清酒（⽇本⽶酒）;酒精饮料原汁;⻩酒;酒精饮料（啤酒除外）</t>
  </si>
  <si>
    <t>情加义</t>
  </si>
  <si>
    <t>烧酒;⻩酒;梅酒;⾼粱酒;烈酒;⽶酒;果酒;葡萄酒;⽩酒;鸡尾酒</t>
  </si>
  <si>
    <t>太韵</t>
  </si>
  <si>
    <t>陕西金泉酒有限公司</t>
  </si>
  <si>
    <t>⽶酒;烈酒（饮料）;⾕物制蒸馏酒精饮料;⽩酒;⻩酒;汽酒;葡萄酒;果酒（含酒精）;清酒（⽇本⽶酒）;烧酒</t>
  </si>
  <si>
    <t>素子禾</t>
  </si>
  <si>
    <t>欧莱富（厦门）服饰有限公司</t>
  </si>
  <si>
    <t>葡萄酒;果酒;甜酒;⽩酒;⻘梅酒</t>
  </si>
  <si>
    <t>俱尊</t>
  </si>
  <si>
    <t>郑州方隅工艺品设计有限公司</t>
  </si>
  <si>
    <t>葡萄酒;酒精饮料（啤酒除外）;果酒（含酒精）;鸡尾酒;烧酒;⽩酒;蜂蜜酒;含⽔果酒精饮料;⽶酒;清酒（⽇本⽶酒）</t>
  </si>
  <si>
    <t>坤哲</t>
  </si>
  <si>
    <t>韩子文</t>
  </si>
  <si>
    <t>葡萄酒;清酒（⽇本⽶酒）;果酒（含酒精）;烧酒;⽶酒;酒精饮料（啤酒除外）;⽩酒;蜂蜜酒;含⽔果酒精饮料;鸡尾酒</t>
  </si>
  <si>
    <t>问鼎对白</t>
  </si>
  <si>
    <t>杨小彬</t>
  </si>
  <si>
    <t>鸡尾酒;酒精饮料（啤酒除外）;含⽔果酒精饮料;清酒（⽇本⽶酒）;蜂蜜酒;葡萄酒;⽶酒;烧酒;果酒（含酒精）;⽩酒</t>
  </si>
  <si>
    <t>仁刻</t>
  </si>
  <si>
    <t>鸡尾酒;含⽔果酒精饮料;酒精饮料（啤酒除外）;葡萄酒;蜂蜜酒;清酒（⽇本⽶酒）;⽶酒;果酒（含酒精）;⽩酒;烧酒</t>
  </si>
  <si>
    <t>悦糯</t>
  </si>
  <si>
    <t>符雨泽</t>
  </si>
  <si>
    <t>⻩酒;酒精饮料原汁;汽酒;烈酒（饮料）;⽶酒;⽩酒;利⼝酒;果酒（含酒精）;葡萄酒;烧酒</t>
  </si>
  <si>
    <t>太礼</t>
  </si>
  <si>
    <t>烧酒;⾕物制蒸馏酒精饮料;烈酒（饮料）;果酒（含酒精）;⽶酒;⽩酒;汽酒;葡萄酒;⻩酒;清酒（⽇本⽶酒）</t>
  </si>
  <si>
    <t>凤盼</t>
  </si>
  <si>
    <t>鸡尾酒;蜂蜜酒;⽩酒;葡萄酒;含⽔果酒精饮料;果酒（含酒精）;烧酒;清酒（⽇本⽶酒）;酒精饮料（啤酒除外）;⽶酒</t>
  </si>
  <si>
    <t>名凤典</t>
  </si>
  <si>
    <t>果酒（含酒精）;酒精饮料（啤酒除外）;蜂蜜酒;葡萄酒;烧酒;⽩酒;鸡尾酒;清酒（⽇本⽶酒）;含⽔果酒精饮料;⽶酒</t>
  </si>
  <si>
    <t>怡邦烧坊</t>
  </si>
  <si>
    <t>果酒（含酒精）;蜂蜜酒;酒精饮料（啤酒除外）;⽩酒;⽶酒;含⽔果酒精饮料;烧酒;鸡尾酒;葡萄酒;清酒（⽇本⽶酒）</t>
  </si>
  <si>
    <t>伟策</t>
  </si>
  <si>
    <t>葡萄酒;酒精饮料（啤酒除外）;烧酒;⽩酒;⽶酒;清酒（⽇本⽶酒）;鸡尾酒;蜂蜜酒;含⽔果酒精饮料;果酒（含酒精）</t>
  </si>
  <si>
    <t>情美义</t>
  </si>
  <si>
    <t>⽶酒;梅酒;⽩酒;⻩酒;烧酒;烈酒;⾼粱酒;鸡尾酒;葡萄酒;果酒</t>
  </si>
  <si>
    <t>情吉义</t>
  </si>
  <si>
    <t>葡萄酒;⽶酒;梅酒;⻩酒;鸡尾酒;烈酒;⾼粱酒;⽩酒;烧酒;果酒</t>
  </si>
  <si>
    <t>情久义</t>
  </si>
  <si>
    <t>葡萄酒;梅酒;烧酒;烈酒;果酒;鸡尾酒;⽩酒;⽶酒;⻩酒;⾼粱酒</t>
  </si>
  <si>
    <t>龙权御酒</t>
  </si>
  <si>
    <t>清酒（⽇本⽶酒）;烈酒;烈酒（饮料）;烧酒;酒精饮料（啤酒除外）;果酒（含酒精）;含⽔果酒精饮料;⽩酒;葡萄酒;鸡尾酒</t>
  </si>
  <si>
    <t>薯观智</t>
  </si>
  <si>
    <t>孙昊烨</t>
  </si>
  <si>
    <t>⽩酒;葡萄酒;朗姆酒;烧酒;威⼠忌;开胃酒;蜂蜜酒;鸡尾酒;⻩酒;⽶酒</t>
  </si>
  <si>
    <t>华风志</t>
  </si>
  <si>
    <t>北京慈雲影视文化传媒有限公司</t>
  </si>
  <si>
    <t>⽩兰地;果酒（含酒精）;鸡尾酒;威⼠忌;烧酒（烈酒）;⽩酒;葡萄酒;⽶酒;酒精饮料（啤酒除外）;⽼酒（中国蒸馏烈酒）</t>
  </si>
  <si>
    <t>鉴平</t>
  </si>
  <si>
    <t>清酒（⽇本⽶酒）;葡萄酒;蜂蜜酒;含⽔果酒精饮料;⽩酒;果酒（含酒精）;酒精饮料（啤酒除外）;⽶酒;烧酒;鸡尾酒</t>
  </si>
  <si>
    <t>情祥义</t>
  </si>
  <si>
    <t>葡萄酒;鸡尾酒;⽶酒;烧酒;⾼粱酒;烈酒;梅酒;⽩酒;果酒;⻩酒</t>
  </si>
  <si>
    <t>琚坪</t>
  </si>
  <si>
    <t>张平</t>
  </si>
  <si>
    <t>⻩酒;烈酒（饮料）;⾼粱酒;葡萄酒;⽶酒;汽酒;⽩酒;烧酒;酒精饮料（啤酒除外）;果酒（含酒精）</t>
  </si>
  <si>
    <t>情长义</t>
  </si>
  <si>
    <t>⽶酒;梅酒;果酒;葡萄酒;鸡尾酒;烧酒;⻩酒;烈酒;⾼粱酒;⽩酒</t>
  </si>
  <si>
    <t>情如义</t>
  </si>
  <si>
    <t>烈酒;葡萄酒;⻩酒;梅酒;⾼粱酒;果酒;鸡尾酒;⽶酒;烧酒;⽩酒</t>
  </si>
  <si>
    <t>泓隆邦</t>
  </si>
  <si>
    <t>山东泓隆邦商业集团有限公司</t>
  </si>
  <si>
    <t>蜂蜜酒;⻘稞酒;烧酒;葡萄酒;⾷⽤酒精;⽩酒;⽶酒;⻩酒;樱桃酒;果酒</t>
  </si>
  <si>
    <t>赋概</t>
  </si>
  <si>
    <t>鸡尾酒;⽩酒;清酒（⽇本⽶酒）;酒精饮料（啤酒除外）;蜂蜜酒;⽶酒;烧酒;果酒（含酒精）;葡萄酒;含⽔果酒精饮料</t>
  </si>
  <si>
    <t>条礼</t>
  </si>
  <si>
    <t>李智华</t>
  </si>
  <si>
    <t>葡萄酒;⽩酒;烧酒;蜂蜜酒;鸡尾酒;⽶酒;果酒（含酒精）;含⽔果酒精饮料;酒精饮料（啤酒除外）;清酒（⽇本⽶酒）</t>
  </si>
  <si>
    <t>欧南桥</t>
  </si>
  <si>
    <t>黄昌余</t>
  </si>
  <si>
    <t>⾼粱酒;果酒;⽩酒;苹果酒;⽢蔗制烈酒;苦荞酒;⽶酒;杨梅酒;葡萄酒;⻘稞酒</t>
  </si>
  <si>
    <t>SHIM</t>
  </si>
  <si>
    <t>内蒙古嘻咪项目管理有限公司</t>
  </si>
  <si>
    <t>果酒（含酒精）;⽩兰地;含⽔果酒精饮料;含酒精的⽓泡⽔;威⼠忌;⽢蔗制酒精饮料;烧酒;⽩酒;酒精饮料（啤酒除外）;预先混合的酒精饮料（以啤酒为主的除外）</t>
  </si>
  <si>
    <t>振娥宝</t>
  </si>
  <si>
    <t>贵州桃丰酒业商贸有限公司</t>
  </si>
  <si>
    <t>烧酒;⻩酒;酒精饮料（啤酒除外）;果酒（含酒精）;烈酒（饮料）;葡萄酒;利⼝酒;蜂蜜酒;⽶酒;⽩酒</t>
  </si>
  <si>
    <t>赋谈</t>
  </si>
  <si>
    <t>蜂蜜酒;清酒（⽇本⽶酒）;酒精饮料（啤酒除外）;⽶酒;⽩酒;鸡尾酒;含⽔果酒精饮料;果酒（含酒精）;葡萄酒;烧酒</t>
  </si>
  <si>
    <t>宝凯龙</t>
  </si>
  <si>
    <t>利⼝酒;烧酒;酒精饮料原汁;汽酒;⻩酒;果酒（含酒精）;葡萄酒;烈酒（饮料）;⽩酒;⽶酒</t>
  </si>
  <si>
    <t>藏名录</t>
  </si>
  <si>
    <t>清酒（⽇本⽶酒）;酒精饮料（啤酒除外）;⽩酒;果酒（含酒精）;⽶酒;蜂蜜酒;含⽔果酒精饮料;烧酒;鸡尾酒;葡萄酒</t>
  </si>
  <si>
    <t>情河义</t>
  </si>
  <si>
    <t>烈酒;葡萄酒;⻩酒;果酒;⾼粱酒;鸡尾酒;⽶酒;⽩酒;烧酒;梅酒</t>
  </si>
  <si>
    <t>情粮义</t>
  </si>
  <si>
    <t>梅酒;⽶酒;鸡尾酒;⽩酒;⾼粱酒;烧酒;⻩酒;果酒;烈酒;葡萄酒</t>
  </si>
  <si>
    <t>龙权国际</t>
  </si>
  <si>
    <t>含⽔果酒精饮料;果酒（含酒精）;葡萄酒;烧酒;⽩酒;鸡尾酒;烈酒（饮料）;烈酒;清酒（⽇本⽶酒）;酒精饮料（啤酒除外）</t>
  </si>
  <si>
    <t>娜个朋友</t>
  </si>
  <si>
    <t>北京王上王下传媒科技有限公司</t>
  </si>
  <si>
    <t>酒精饮料（啤酒除外）;威⼠忌;葡萄酒;伏特加酒;果酒;⽩酒;开胃酒;鸡尾酒;⽶酒;烧酒</t>
  </si>
  <si>
    <t>吉载</t>
  </si>
  <si>
    <t>酒精饮料（啤酒除外）;葡萄酒;烧酒;鸡尾酒;⽶酒;含⽔果酒精饮料;果酒（含酒精）;蜂蜜酒;⽩酒;清酒（⽇本⽶酒）</t>
  </si>
  <si>
    <t>中称</t>
  </si>
  <si>
    <t>烧酒;鸡尾酒;酒精饮料（啤酒除外）;果酒（含酒精）;⽶酒;清酒（⽇本⽶酒）;含⽔果酒精饮料;⽩酒;葡萄酒;蜂蜜酒</t>
  </si>
  <si>
    <t>汉岸</t>
  </si>
  <si>
    <t>葡萄酒;⽶酒;⽩酒;含⽔果酒精饮料;清酒（⽇本⽶酒）;酒精饮料（啤酒除外）;烧酒;鸡尾酒;蜂蜜酒;果酒（含酒精）</t>
  </si>
  <si>
    <t>享策</t>
  </si>
  <si>
    <t>葡萄酒;含⽔果酒精饮料;⽶酒;鸡尾酒;清酒（⽇本⽶酒）;蜂蜜酒;酒精饮料（啤酒除外）;⽩酒;果酒（含酒精）;烧酒</t>
  </si>
  <si>
    <t>岩洞湾</t>
  </si>
  <si>
    <t>中山市小榄镇皇庭世家制衣厂</t>
  </si>
  <si>
    <t>⾼粱酒;⽶酒;⻨芽威⼠忌;葡萄酒;⽩⼲酒（中国⽩酒）;甜酒;清酒（⽇本⽶酒）;烧酒;⽼酒（中国蒸馏烈酒）;⽩酒</t>
  </si>
  <si>
    <t>著迹</t>
  </si>
  <si>
    <t>鸡尾酒;葡萄酒;清酒（⽇本⽶酒）;⽶酒;含⽔果酒精饮料;烧酒;⽩酒;果酒（含酒精）;酒精饮料（啤酒除外）;蜂蜜酒</t>
  </si>
  <si>
    <t>中查</t>
  </si>
  <si>
    <t>⽩酒;葡萄酒;鸡尾酒;蜂蜜酒;烧酒;⽶酒;果酒（含酒精）;清酒（⽇本⽶酒）;含⽔果酒精饮料;酒精饮料（啤酒除外）</t>
  </si>
  <si>
    <t>共哲</t>
  </si>
  <si>
    <t>果酒（含酒精）;烧酒;⽩酒;酒精饮料（啤酒除外）;含⽔果酒精饮料;鸡尾酒;葡萄酒;蜂蜜酒;清酒（⽇本⽶酒）;⽶酒</t>
  </si>
  <si>
    <t>中递</t>
  </si>
  <si>
    <t>清酒（⽇本⽶酒）;含⽔果酒精饮料;果酒（含酒精）;鸡尾酒;酒精饮料（啤酒除外）;蜂蜜酒;⽶酒;烧酒;⽩酒;葡萄酒</t>
  </si>
  <si>
    <t>听秘</t>
  </si>
  <si>
    <t>蜂蜜酒;⽩酒;果酒（含酒精）;葡萄酒;烧酒;鸡尾酒;酒精饮料（啤酒除外）;含⽔果酒精饮料;⽶酒;清酒（⽇本⽶酒）</t>
  </si>
  <si>
    <t>帝痴</t>
  </si>
  <si>
    <t>⽩酒;鸡尾酒;清酒（⽇本⽶酒）;酒精饮料（啤酒除外）;⽶酒;果酒（含酒精）;葡萄酒;含⽔果酒精饮料;烧酒;蜂蜜酒</t>
  </si>
  <si>
    <t>金草帽博仕</t>
  </si>
  <si>
    <t>新疆中泽科技发展有限公司</t>
  </si>
  <si>
    <t>酒精饮料浓缩汁;酒精饮料（啤酒除外）;⽩酒;葡萄酒;⻘梅酒;⽶酒;以葡萄酒为主的饮料;⽩兰地;含⽔果酒精饮料;烈酒（饮料）</t>
  </si>
  <si>
    <t>著实</t>
  </si>
  <si>
    <t>清酒（⽇本⽶酒）;含⽔果酒精饮料;⽩酒;鸡尾酒;酒精饮料（啤酒除外）;⽶酒;果酒（含酒精）;葡萄酒;烧酒;蜂蜜酒</t>
  </si>
  <si>
    <t>柔栈</t>
  </si>
  <si>
    <t>葡萄酒;蜂蜜酒;含⽔果酒精饮料;⽶酒;⽩酒;鸡尾酒;清酒（⽇本⽶酒）;烧酒;酒精饮料（啤酒除外）;果酒（含酒精）</t>
  </si>
  <si>
    <t>丰著</t>
  </si>
  <si>
    <t>鸡尾酒;含⽔果酒精饮料;果酒（含酒精）;葡萄酒;⽩酒;酒精饮料（啤酒除外）;⽶酒;清酒（⽇本⽶酒）;烧酒;蜂蜜酒</t>
  </si>
  <si>
    <t>凤涌</t>
  </si>
  <si>
    <t>清酒（⽇本⽶酒）;果酒（含酒精）;酒精饮料（啤酒除外）;葡萄酒;鸡尾酒;⽩酒;⽶酒;蜂蜜酒;含⽔果酒精饮料;烧酒</t>
  </si>
  <si>
    <t>伊酒王年份</t>
  </si>
  <si>
    <t>文学</t>
  </si>
  <si>
    <t>⽶酒;含酒精的⽔果鸡尾酒饮料;烈酒;⻘稞酒;烧酒;果酒（含酒精）;蒸馏饮料;⽩酒;葡萄酒;⾼粱酒</t>
  </si>
  <si>
    <t>伊酒王特贡</t>
  </si>
  <si>
    <t>烧酒;⻘稞酒;⾼粱酒;蒸馏饮料;葡萄酒;烈酒;⽶酒;含酒精的⽔果鸡尾酒饮料;⽩酒;果酒（含酒精）</t>
  </si>
  <si>
    <t>告金弯</t>
  </si>
  <si>
    <t>王豪</t>
  </si>
  <si>
    <t>果酒（含酒精）;⽩酒;葡萄酒;清酒（⽇本⽶酒）;酒精饮料（啤酒除外）;⽶酒;烧酒;开胃酒;烈酒（饮料）;威⼠忌</t>
  </si>
  <si>
    <t>林裕湖440520********4839</t>
  </si>
  <si>
    <t>果酒（含酒精）;威⼠忌;朗姆酒;酒精饮料（啤酒除外）;利⼝酒;伏特加酒;开胃酒;⽩兰地;鸡尾酒;葡萄酒</t>
  </si>
  <si>
    <t>匠王匠</t>
  </si>
  <si>
    <t>⻩酒;⽩酒;果酒（含酒精）;鸡尾酒;烈酒（饮料）;酒精饮料（啤酒除外）;含⽔果酒精饮料;蒸馏饮料;⽶酒;苹果酒</t>
  </si>
  <si>
    <t>大什碗</t>
  </si>
  <si>
    <t>王文件</t>
  </si>
  <si>
    <t>烧酒;⻩酒;⽶酒;威⼠忌;朗姆酒;果酒（含酒精）;鸡尾酒;⻘稞酒;⽩酒;伏特加酒</t>
  </si>
  <si>
    <t>钱乘四进</t>
  </si>
  <si>
    <t>王会武</t>
  </si>
  <si>
    <t>⻘稞酒;⽩酒;⽶酒;⻩酒;含⽔果酒精饮料;鸡尾酒;酒精饮料（啤酒除外）;葡萄酒;蒸煮提取物（利⼝酒和烈酒）;果酒（含酒精）</t>
  </si>
  <si>
    <t>君不惑</t>
  </si>
  <si>
    <t>国药大健康产业有限公司</t>
  </si>
  <si>
    <t>威⼠忌;⻩酒;果酒（含酒精）;酒精饮料（啤酒除外）;⽶酒;鸡尾酒;⽩酒;⽩兰地;葡萄酒;预先混合的酒精饮料（以啤酒为主的除外）</t>
  </si>
  <si>
    <t>MOUNT WUYI MEMORY</t>
  </si>
  <si>
    <t>福建武夷山三茶集团有限公司</t>
  </si>
  <si>
    <t>烈酒（饮料）;⽶酒;⻩酒;葡萄酒;⻘梅酒;烧酒;⽩酒;开胃酒;酒精饮料原汁;⾷⽤酒精</t>
  </si>
  <si>
    <t>星生命</t>
  </si>
  <si>
    <t>广东海赫生物医药科技有限公司</t>
  </si>
  <si>
    <t>⻩酒;果酒（含酒精）;薄荷酒;葡萄酒;⽩酒;含⽔果酒精饮料;开胃酒;蒸馏饮料;威⼠忌;酒精饮料（啤酒除外）</t>
  </si>
  <si>
    <t>百工渡口</t>
  </si>
  <si>
    <t>王开飞</t>
  </si>
  <si>
    <t>葡萄酒;烧酒;⽶酒;果酒;酒精饮料（啤酒除外）;烈酒;威⼠忌;⽩酒;鸡尾酒;利⼝酒</t>
  </si>
  <si>
    <t>伊贡王</t>
  </si>
  <si>
    <t>⽩酒;烧酒;⻘稞酒;含酒精的⽔果鸡尾酒饮料;⾼粱酒;⽶酒;烈酒;果酒（含酒精）;蒸馏饮料;葡萄酒</t>
  </si>
  <si>
    <t>饷屿桑坪</t>
  </si>
  <si>
    <t>云阳县桑坪镇农业服务中心</t>
  </si>
  <si>
    <t>⽩酒;⾼粱酒;梅酒;葡萄酒;烧酒;清酒;⽶酒;果酒;烈酒;⻩酒</t>
  </si>
  <si>
    <t>牛克拉斯</t>
  </si>
  <si>
    <t>鸡尾酒;伏特加酒;⽩酒;露酒;⽩兰地;威⼠忌;⽶酒;⻩酒;葡萄酒;酒精饮料（啤酒除外）</t>
  </si>
  <si>
    <t>咏志</t>
  </si>
  <si>
    <t>开胃酒;清酒（⽇本⽶酒）;果酒;朗姆酒;利⼝酒;⽩酒;葡萄酒;鸡尾酒;烧酒;酒精饮料（啤酒除外）</t>
  </si>
  <si>
    <t>伊窖王大师</t>
  </si>
  <si>
    <t>⽩酒;蒸馏饮料;含酒精的⽔果鸡尾酒饮料;烈酒;⽶酒;烧酒;⻘稞酒;⾼粱酒;葡萄酒;果酒（含酒精）</t>
  </si>
  <si>
    <t>罗浮润</t>
  </si>
  <si>
    <t>惠州市天一和美健康管理有限公司</t>
  </si>
  <si>
    <t>含⽔果酒精饮料;⻩酒;露酒;果酒（含酒精）;威⼠忌;酒精饮料（啤酒除外）;⽩酒;葡萄酒;⽶酒;蒸馏饮料</t>
  </si>
  <si>
    <t>秘作</t>
  </si>
  <si>
    <t>曲阜孔圣宴酒业有限公司</t>
  </si>
  <si>
    <t>⽶酒;苹果酒;⾕物制蒸馏酒精饮料;⽩酒;果酒;蒸馏饮料;露酒;餐后酒（利⼝酒和烈酒）;烈酒（饮料）;葡萄酒</t>
  </si>
  <si>
    <t>全速健</t>
  </si>
  <si>
    <t>杨秧秧</t>
  </si>
  <si>
    <t>甜酒;开胃酒;⽶酒;果酒;⻩酒;葡萄酒;汽酒;⽩酒;⾷⽤酒精;清酒</t>
  </si>
  <si>
    <t>广州氢分子免疫学健康管理有限公司</t>
  </si>
  <si>
    <t>⽩兰地;蒸馏饮料;果酒（含酒精）;酒精饮料浓缩汁;⻩酒;⻘稞酒;⽩酒;梨酒;⽶酒;葡萄酒</t>
  </si>
  <si>
    <t>旭鹿元</t>
  </si>
  <si>
    <t>栗园园</t>
  </si>
  <si>
    <t>烈酒（饮料）;蒸馏⽶酒（泡盛酒）;⾕物制蒸馏酒精饮料;⽶酒;餐后酒（利⼝酒和烈酒）;开胃酒;酒精饮料原汁;酒精饮料（啤酒除外）;已调味的蒸馏酒;⽩酒</t>
  </si>
  <si>
    <t>曹红光</t>
  </si>
  <si>
    <t>清酒;葡萄酒;果酒;汽酒;⻩酒;⽩兰地;威⼠忌;酒精饮料原汁;⽶酒;⽩酒</t>
  </si>
  <si>
    <t>疆赐特贡</t>
  </si>
  <si>
    <t>果酒（含酒精）;蒸馏饮料;烈酒;葡萄酒;⽶酒;⾼粱酒;烧酒;含酒精的⽔果鸡尾酒饮料;⽩酒;⻘稞酒</t>
  </si>
  <si>
    <t>篱园笙</t>
  </si>
  <si>
    <t>宿州东篱农品电子商务有限公司</t>
  </si>
  <si>
    <t>⻩酒;鸡尾酒;⽩兰地;⻘稞酒;杨梅酒;果酒（含酒精）;烧酒;⽶酒;⽩酒;葡萄酒</t>
  </si>
  <si>
    <t>易宸名</t>
  </si>
  <si>
    <t>贵州省仁怀市禄弘酒业销售有限公司</t>
  </si>
  <si>
    <t>果酒（含酒精）;烈酒（饮料）;酒精饮料（啤酒除外）;蒸馏饮料;⽩酒;鸡尾酒;汽酒;⽼酒（中国蒸馏烈酒）;⻩酒;葡萄酒</t>
  </si>
  <si>
    <t>赤大人</t>
  </si>
  <si>
    <t>秦嘉馨</t>
  </si>
  <si>
    <t>鸡尾酒;⻩酒;⽩酒;开胃酒;烈酒;葡萄酒;威⼠忌;清酒（⽇本⽶酒）;酒精饮料（啤酒除外）;果酒（含酒精）</t>
  </si>
  <si>
    <t>秋悦小莫</t>
  </si>
  <si>
    <t>於峰</t>
  </si>
  <si>
    <t>烧酒;杨梅酒;梅酒;葡萄酒;朝鲜族⽶酒;果酒;⻩酒;含⽔果酒精饮料;⽩酒;⽶酒</t>
  </si>
  <si>
    <t>喻园风华</t>
  </si>
  <si>
    <t>贵州酒无之境酒业有限公司</t>
  </si>
  <si>
    <t>预先混合的酒精饮料（以啤酒为主的除外）;⻩酒;清酒（⽇本⽶酒）;烈酒（饮料）;⽶酒;葡萄酒;鸡尾酒;果酒（含酒精）;烧酒;⽩酒</t>
  </si>
  <si>
    <t>水获</t>
  </si>
  <si>
    <t>贾窍</t>
  </si>
  <si>
    <t>开胃酒;葡萄酒;汽酒;清酒;⾷⽤酒精;⽩酒;⽶酒;果酒;甜酒;⻩酒</t>
  </si>
  <si>
    <t>晋香道</t>
  </si>
  <si>
    <t>刘旭辉</t>
  </si>
  <si>
    <t>⽩酒;⻩酒;开胃酒;果酒;甜酒;⽶酒;葡萄酒;⾷⽤酒精;清酒;汽酒</t>
  </si>
  <si>
    <t>果田几亩</t>
  </si>
  <si>
    <t>李承华</t>
  </si>
  <si>
    <t>烧酒;鸡尾酒;酒精饮料（啤酒除外）;果酒（含酒精）;清酒;⽩酒;葡萄酒;蜂蜜酒;开胃酒;⻩酒</t>
  </si>
  <si>
    <t>烧蜜</t>
  </si>
  <si>
    <t>长春市酒加商贸有限责任公司</t>
  </si>
  <si>
    <t>鸡尾酒;葡萄酒;烧酒;果酒（含酒精）;⽶酒;酒精饮料原汁;利⼝酒;⽩酒;开胃酒;烈酒（饮料）</t>
  </si>
  <si>
    <t>罗庆淮</t>
  </si>
  <si>
    <t>⻩酒;开胃酒;葡萄酒;酒精饮料（啤酒除外）;含⽔果酒精饮料;酒精饮料浓缩汁;⽶酒;⽩酒;烧酒;酒精饮料原汁</t>
  </si>
  <si>
    <t>华宸万里</t>
  </si>
  <si>
    <t>贵州晓匠香酒业销售有限公司</t>
  </si>
  <si>
    <t>⾕物制蒸馏酒精饮料;餐后酒（利⼝酒和烈酒）;苹果酒;⽶酒;蒸馏饮料;⽩酒;果酒（含酒精）;葡萄酒;烈酒（饮料）;露酒</t>
  </si>
  <si>
    <t>胡子远明</t>
  </si>
  <si>
    <t>贵州朝台酒业有限公司</t>
  </si>
  <si>
    <t>葡萄酒;威⼠忌;露酒;酒精饮料（啤酒除外）;鸡尾酒;果酒（含酒精）;烧酒;⽶酒;烈酒（饮料）;⽩酒</t>
  </si>
  <si>
    <t>大胡子远明</t>
  </si>
  <si>
    <t>烈酒（饮料）;露酒;鸡尾酒;葡萄酒;⽩酒;酒精饮料（啤酒除外）;烧酒;威⼠忌;⽶酒;果酒（含酒精）</t>
  </si>
  <si>
    <t>伊力王英雄岁月</t>
  </si>
  <si>
    <t>烧酒;含酒精的⽔果鸡尾酒饮料;⽩酒;烈酒;⾼粱酒;⽶酒;蒸馏饮料;⻘稞酒;果酒（含酒精）;葡萄酒</t>
  </si>
  <si>
    <t>伊特老</t>
  </si>
  <si>
    <t>果酒（含酒精）;⽩酒;蒸馏饮料;烧酒;⾼粱酒;含酒精的⽔果鸡尾酒饮料;葡萄酒;⽶酒;烈酒;⻘稞酒</t>
  </si>
  <si>
    <t>方街熊猫水</t>
  </si>
  <si>
    <t>徐广流440121********1212</t>
  </si>
  <si>
    <t>酒精饮料（啤酒除外）;⻩酒;⽩酒;烧酒;⽶酒;果酒;开胃酒;葡萄酒;烈酒（饮料）;薄荷酒</t>
  </si>
  <si>
    <t>玺皇子</t>
  </si>
  <si>
    <t>王亚平</t>
  </si>
  <si>
    <t>葡萄酒;酒精饮料（啤酒除外）;⻩酒;开胃酒;威⼠忌;烈酒;果酒（含酒精）;鸡尾酒;清酒（⽇本⽶酒）;⽩酒</t>
  </si>
  <si>
    <t>汉贝德</t>
  </si>
  <si>
    <t>攀枝花市润泉商贸有限公司</t>
  </si>
  <si>
    <t>葡萄酒;酒精饮料（啤酒除外）;含⽔果酒精饮料;⽶酒;⽩酒;果酒（含酒精）;烈酒（饮料）;⻩酒;鸡尾酒;烧酒</t>
  </si>
  <si>
    <t>盎口</t>
  </si>
  <si>
    <t>烈酒（饮料）;酒精饮料（啤酒除外）;⽶酒;⽩酒;含⽔果酒精饮料;鸡尾酒;烧酒;果酒（含酒精）;葡萄酒;⻩酒</t>
  </si>
  <si>
    <t>尽邀</t>
  </si>
  <si>
    <t>葡萄酒;清酒（⽇本⽶酒）;烧酒;酒精饮料（啤酒除外）;利⼝酒;⽩酒;开胃酒;果酒;朗姆酒;鸡尾酒</t>
  </si>
  <si>
    <t>吾慧品</t>
  </si>
  <si>
    <t>上海吾慧品品牌管理有限公司</t>
  </si>
  <si>
    <t>⽩酒;开胃酒;鸡尾酒;蜂蜜酒;葡萄酒;含⽔果酒精饮料;果酒;威⼠忌;⻩酒;⽩兰地</t>
  </si>
  <si>
    <t>今豆</t>
  </si>
  <si>
    <t>张文文</t>
  </si>
  <si>
    <t>果酒;⾷⽤酒精;⻩酒;清酒;⽶酒;葡萄酒;开胃酒;汽酒;⽩酒;甜酒</t>
  </si>
  <si>
    <t>礼宾华</t>
  </si>
  <si>
    <t>郝银生</t>
  </si>
  <si>
    <t>鸡尾酒;开胃酒;果酒;朗姆酒;利⼝酒;葡萄酒;清酒（⽇本⽶酒）;烧酒;酒精饮料（啤酒除外）;⽩酒</t>
  </si>
  <si>
    <t>原生代</t>
  </si>
  <si>
    <t>周海鹏</t>
  </si>
  <si>
    <t>汽酒;甜酒;⾷⽤酒精;⽶酒;葡萄酒;⻩酒;开胃酒;果酒;⽩酒;清酒</t>
  </si>
  <si>
    <t>卡图曙光</t>
  </si>
  <si>
    <t>林广华</t>
  </si>
  <si>
    <t>果酒（含酒精）;鸡尾酒;以葡萄酒为主的开胃酒;⽩酒;葡萄酒;桃红葡萄酒;红葡萄酒;起泡红葡萄酒;⽶酒;蒸煮提取物（利⼝酒和烈酒）</t>
  </si>
  <si>
    <t>善蕴堂</t>
  </si>
  <si>
    <t>华美时尚集团有限公司</t>
  </si>
  <si>
    <t>⽩酒;酒精饮料（啤酒除外）;酒精饮料浓缩汁;蒸馏饮料;葡萄酒;鸡尾酒;威⼠忌;果酒（含酒精）;⾕物制蒸馏酒精饮料;⽶酒</t>
  </si>
  <si>
    <t>佳趣</t>
  </si>
  <si>
    <t>北京十方界酒业有限公司</t>
  </si>
  <si>
    <t>苹果酒;葡萄酒;果酒（含酒精）;樱桃酒;⽩酒;鸡尾酒;蜂蜜酒;梨酒;⻩酒;⽶酒</t>
  </si>
  <si>
    <t>亟福</t>
  </si>
  <si>
    <t>福州市裕满福贸易有限公司</t>
  </si>
  <si>
    <t>⾷⽤酒精;烧酒（烈酒）;⻘梅酒;蒸馏⽶酒（泡盛酒）;⾼粱酒;红葡萄酒;⽩葡萄酒;清酒;⽩⼲酒（中国⽩酒）;烈性⼲酒;鸡尾酒;⽶酒;烧酒;⻩酒;果酒（含酒精）;葡萄酒;⽩酒;烈酒</t>
  </si>
  <si>
    <t>伊王红王</t>
  </si>
  <si>
    <t>蒸馏饮料;烧酒;⽩酒;烈酒;⽶酒;⾼粱酒;含酒精的⽔果鸡尾酒饮料;葡萄酒;果酒（含酒精）;⻘稞酒</t>
  </si>
  <si>
    <t>远航之心</t>
  </si>
  <si>
    <t>贵州省仁怀市陶坛醇酒业有限公司</t>
  </si>
  <si>
    <t>烧酒;⽩兰地;威⼠忌;⽩酒;朗姆酒;⽶酒;清酒;酒精饮料（啤酒除外）;烈酒;葡萄酒</t>
  </si>
  <si>
    <t>阅海览山</t>
  </si>
  <si>
    <t>康楷</t>
  </si>
  <si>
    <t>葡萄酒;汽酒;⽩酒;蜂蜜酒;⽩兰地;⽶酒;⻘稞酒;⻩酒;果酒（含酒精）;清酒（⽇本⽶酒）</t>
  </si>
  <si>
    <t>饷愉舌端</t>
  </si>
  <si>
    <t>云阳县军盛粮油有限公司</t>
  </si>
  <si>
    <t>果酒;⽶酒;⻩酒;⾼粱酒;葡萄酒;清酒;烈酒;⽩酒;烧酒;梅酒</t>
  </si>
  <si>
    <t>伊特原</t>
  </si>
  <si>
    <t>⽶酒;⽩酒;葡萄酒;果酒（含酒精）;⾼粱酒;⻘稞酒;含酒精的⽔果鸡尾酒饮料;蒸馏饮料;烧酒;烈酒</t>
  </si>
  <si>
    <t>伊酒至尊</t>
  </si>
  <si>
    <t>⽶酒;烧酒;⾼粱酒;含酒精的⽔果鸡尾酒饮料;烈酒;⻘稞酒;葡萄酒;果酒（含酒精）;蒸馏饮料;⽩酒</t>
  </si>
  <si>
    <t>周小食</t>
  </si>
  <si>
    <t>郑州尚兴科贸有限公司</t>
  </si>
  <si>
    <t>鸡尾酒;果酒（含酒精）;⽩酒;烧酒;蜂蜜酒;酒精饮料（啤酒除外）;葡萄酒;⽶酒;清酒（⽇本⽶酒）;含⽔果酒精饮料</t>
  </si>
  <si>
    <t>捌拾马</t>
  </si>
  <si>
    <t>贵州黔中欣马商贸有限公司</t>
  </si>
  <si>
    <t>已调味的蒸馏酒;果酒（含酒精）;苹果酒;⽩酒;葡萄酒;⽶酒;杨梅酒;⾼粱酒;开胃酒;烈酒（饮料）</t>
  </si>
  <si>
    <t>飞效</t>
  </si>
  <si>
    <t>张明伟</t>
  </si>
  <si>
    <t>果酒;汽酒;清酒;甜酒;⻩酒;开胃酒;⽩酒;⽶酒;葡萄酒;⾷⽤酒精</t>
  </si>
  <si>
    <t>中好民</t>
  </si>
  <si>
    <t>⽩酒;⻩酒;鸡尾酒;开胃酒;⽶酒;葡萄酒;酒精饮料（啤酒除外）;烧酒;含⽔果酒精饮料;烈酒（饮料）</t>
  </si>
  <si>
    <t>遵珍</t>
  </si>
  <si>
    <t>贵州遵珍酒业有限公司</t>
  </si>
  <si>
    <t>开胃酒;薄荷酒;利⼝酒;酒精饮料（啤酒除外）;⻩酒;蒸馏饮料;威⼠忌;烧酒;葡萄酒;⽶酒</t>
  </si>
  <si>
    <t>疆风华</t>
  </si>
  <si>
    <t>唐成涛</t>
  </si>
  <si>
    <t>⽩酒;葡萄酒;果酒;⽩葡萄酒;露酒;酒精饮料（啤酒除外）;红葡萄酒;⽶酒;⻩酒;清酒</t>
  </si>
  <si>
    <t>贵州酒因真金酒业有限公司</t>
  </si>
  <si>
    <t>⽩酒;苹果酒;烈酒（饮料）;⾕物制蒸馏酒精饮料;蒸馏饮料;⽶酒;果酒（含酒精）;餐后酒（利⼝酒和烈酒）;露酒;葡萄酒</t>
  </si>
  <si>
    <t>元欢伯邸</t>
  </si>
  <si>
    <t>广西古鼎文化科技有限公司</t>
  </si>
  <si>
    <t>葡萄酒;⽩酒;烧酒;烈酒;果酒</t>
  </si>
  <si>
    <t>酉升</t>
  </si>
  <si>
    <t>石家庄东汇贸易有限公司</t>
  </si>
  <si>
    <t>⽩酒;⻩酒;⽼酒（中国蒸馏烈酒）;利⼝酒;清酒（⽇本⽶酒）;⽶酒;烧酒;梨酒;葡萄酒;果酒</t>
  </si>
  <si>
    <t>荣故乡</t>
  </si>
  <si>
    <t>怀宁县荣故家庭农场</t>
  </si>
  <si>
    <t>伏特加酒;威⼠忌;果酒（含酒精）;烧酒;酒精饮料（啤酒除外）;⽶酒;葡萄酒;预先混合的酒精饮料（以啤酒为主的除外）;鸡尾酒;⽩酒</t>
  </si>
  <si>
    <t>德发之光</t>
  </si>
  <si>
    <t>含⽔果酒精饮料;开胃酒;果酒（含酒精）;⽩酒;酒精饮料（啤酒除外）;樱桃酒;葡萄酒;蜂蜜酒;鸡尾酒;⽶酒</t>
  </si>
  <si>
    <t>观其心</t>
  </si>
  <si>
    <t>广州上河文化传媒有限公司</t>
  </si>
  <si>
    <t>⽩酒;清酒;⾷⽤酒精;果酒（含酒精）;⽶酒;鸡尾酒;⾼粱酒;酒精饮料（啤酒除外）;⻩酒;葡萄酒</t>
  </si>
  <si>
    <t>御九龙</t>
  </si>
  <si>
    <t>王圆圆</t>
  </si>
  <si>
    <t>葡萄酒;威⼠忌;酒精饮料（啤酒除外）;烈酒;⻩酒;果酒（含酒精）;开胃酒;清酒（⽇本⽶酒）;⽩酒;鸡尾酒</t>
  </si>
  <si>
    <t>红僖运</t>
  </si>
  <si>
    <t>四平市居香商贸有限公司</t>
  </si>
  <si>
    <t>酒精饮料（啤酒除外）;鸡尾酒;⻩酒;果酒（含酒精）;烧酒;⾷⽤酒精;⾕物制蒸馏酒精饮料;⽩酒;⽶酒;葡萄酒</t>
  </si>
  <si>
    <t>全球仕</t>
  </si>
  <si>
    <t>刘银钟</t>
  </si>
  <si>
    <t>⽶酒;葡萄酒;甜酒;⽩酒;⾷⽤酒精;果酒;汽酒;清酒;开胃酒;⻩酒</t>
  </si>
  <si>
    <t>景泽致远</t>
  </si>
  <si>
    <t>陕西景泽致远酒业有限公司</t>
  </si>
  <si>
    <t>葡萄酒;威⼠忌;酒精饮料（啤酒除外）;⽩酒;开胃酒;薄荷酒;蒸馏饮料;⻩酒;果酒（含酒精）;含⽔果酒精饮料</t>
  </si>
  <si>
    <t>百穗</t>
  </si>
  <si>
    <t>烈酒（饮料）;预先混合的酒精饮料（以啤酒为主的除外）;以葡萄酒为主的饮料;酒精饮料原汁;含⽔果酒精饮料;露酒;利⼝酒;梨酒;酒精饮料浓缩汁;⽶酒;⾕物制蒸馏酒精饮料</t>
  </si>
  <si>
    <t>状元绅</t>
  </si>
  <si>
    <t>敬彦霞</t>
  </si>
  <si>
    <t>烈酒（饮料）;蒸煮提取物（利⼝酒和烈酒）;葡萄酒;含⽔果酒精饮料;⽶酒;⽩酒;酒精饮料原汁;⻩酒;蒸馏饮料;果酒（含酒精）</t>
  </si>
  <si>
    <t>琯胤</t>
  </si>
  <si>
    <t>韩静</t>
  </si>
  <si>
    <t>含酒精的⽓泡⽔;⻩酒;伏特加酒;果酒（含酒精）;⽶酒;⾕物制蒸馏酒精饮料;含⽔果酒精饮料;烧酒;⽩酒;葡萄酒</t>
  </si>
  <si>
    <t>伊酒贡大师特贡</t>
  </si>
  <si>
    <t>含酒精的⽔果鸡尾酒饮料;⽩酒;蒸馏饮料;烈酒;⻘稞酒;⾼粱酒;葡萄酒;果酒（含酒精）;⽶酒;烧酒</t>
  </si>
  <si>
    <t>RON TEPUY EL RON POR DESCUBRIR</t>
  </si>
  <si>
    <t>德普伊品牌有限公司</t>
  </si>
  <si>
    <t>朗姆酒</t>
  </si>
  <si>
    <t>泰元祥</t>
  </si>
  <si>
    <t>⽩酒;⽩兰地;⽶酒;烧酒;鸡尾酒;威⼠忌;果酒（含酒精）;葡萄酒;⾷⽤酒精;⻩酒</t>
  </si>
  <si>
    <t>春中客</t>
  </si>
  <si>
    <t>谢亚峰</t>
  </si>
  <si>
    <t>酒精饮料浓缩汁;⻩酒;烧酒;伏特加酒;樱桃酒;薄荷酒;开胃酒;⽩酒;鸡尾酒;利⼝酒</t>
  </si>
  <si>
    <t>观之胤</t>
  </si>
  <si>
    <t>⻩酒;烧酒;⽩酒;伏特加酒;果酒（含酒精）;⾕物制蒸馏酒精饮料;葡萄酒;含⽔果酒精饮料;含酒精的⽓泡⽔;⽶酒</t>
  </si>
  <si>
    <t>糯悟</t>
  </si>
  <si>
    <t>娄嘉诚</t>
  </si>
  <si>
    <t>⽶酒;葡萄酒;佐餐酒;烧酒;⽩酒;⻩酒;⽩⼲酒（中国⽩酒）;含酒精的饮料（啤酒除外）;果酒;汽酒</t>
  </si>
  <si>
    <t>福长永</t>
  </si>
  <si>
    <t>安徽福长永健康产业发展有限公司</t>
  </si>
  <si>
    <t>葡萄酒;果酒（含酒精）;⽶酒;含⽔果酒精饮料;烈酒（饮料）;酒精饮料（啤酒除外）</t>
  </si>
  <si>
    <t>骋邦</t>
  </si>
  <si>
    <t>刘月姣</t>
  </si>
  <si>
    <t>开胃酒;樱桃酒;鸡尾酒;⻩酒;伏特加酒;⽩酒;利⼝酒;酒精饮料浓缩汁;烧酒;薄荷酒</t>
  </si>
  <si>
    <t>酒三邻</t>
  </si>
  <si>
    <t>桥西区轩思工艺美术品店</t>
  </si>
  <si>
    <t>⾷⽤酒精;鸡尾酒;⽶酒;烈酒（饮料）;⻩酒;⽩酒;清酒（⽇本⽶酒）;利⼝酒;伏特加酒;威⼠忌</t>
  </si>
  <si>
    <t>曹佳梦</t>
  </si>
  <si>
    <t>威⼠忌;汽酒;⽩酒;清酒;⽩兰地;⽶酒;葡萄酒;果酒;⻩酒;酒精饮料原汁</t>
  </si>
  <si>
    <t>鸿运初透</t>
  </si>
  <si>
    <t>王和吉</t>
  </si>
  <si>
    <t>蒸馏饮料;⻩酒;酒精饮料（啤酒除外）;⽶酒;果酒（含酒精）;⽩酒;酒精饮料原汁;葡萄酒;清酒（⽇本⽶酒）;酒精饮料浓缩汁</t>
  </si>
  <si>
    <t>伊酒贡年份特贡</t>
  </si>
  <si>
    <t>⻘稞酒;烧酒;葡萄酒;蒸馏饮料;烈酒;含酒精的⽔果鸡尾酒饮料;⽩酒;果酒（含酒精）;⽶酒;⾼粱酒</t>
  </si>
  <si>
    <t>七湃</t>
  </si>
  <si>
    <t>吴雄波</t>
  </si>
  <si>
    <t>⽩酒;开胃酒;威⼠忌;酒精饮料（啤酒除外）;葡萄酒;清酒（⽇本⽶酒）;烈酒;鸡尾酒;果酒（含酒精）;⻩酒</t>
  </si>
  <si>
    <t>粽掼情</t>
  </si>
  <si>
    <t>陇东耀发</t>
  </si>
  <si>
    <t>庆城县耀发农牧有限公司</t>
  </si>
  <si>
    <t>开胃酒;黄酒;果酒（含酒精）;米酒;葡萄酒;薄荷酒;白酒;高粱酒;烈酒;以葡萄酒为主的饮料</t>
  </si>
  <si>
    <t>奋进小酒</t>
  </si>
  <si>
    <t>北京中宏视界广告传媒有限公司</t>
  </si>
  <si>
    <t>威⼠忌;葡萄酒;⻩酒;⽩兰地;烈酒;⽩酒;鸡尾酒;朗姆酒;⽼酒（中国蒸馏烈酒）;含酒精的饮料（啤酒除外）</t>
  </si>
  <si>
    <t>鲍依依</t>
  </si>
  <si>
    <t>李治伟</t>
  </si>
  <si>
    <t>起泡红葡萄酒;由⾕物蒸馏的⽩酒;以葡萄酒为主的饮料;含酒精的⽓泡⽔;清酒;含酒精的充⽓饮料（啤酒除外）;⻩酒;⽩酒;含酒精的饮料（啤酒除外）;⽩⼲酒（中国⽩酒）</t>
  </si>
  <si>
    <t>恒珠</t>
  </si>
  <si>
    <t>刘云山</t>
  </si>
  <si>
    <t>威⼠忌;葡萄酒;烈酒;果酒（含酒精）;⻩酒;⽩酒;开胃酒;鸡尾酒;清酒（⽇本⽶酒）;酒精饮料（啤酒除外）</t>
  </si>
  <si>
    <t>王乾江</t>
  </si>
  <si>
    <t>贵州顾君商贸有限公司</t>
  </si>
  <si>
    <t>果酒（含酒精）;烈酒（饮料）;烧酒;⽶酒;威⼠忌;开胃酒;葡萄酒;清酒（⽇本⽶酒）;⾕物制蒸馏酒精饮料;⽩酒</t>
  </si>
  <si>
    <t>HIDDEN QUEEN</t>
  </si>
  <si>
    <t>陈瑞</t>
  </si>
  <si>
    <t>鸡尾酒;烧酒;酒精饮料（啤酒除外）;⻩酒;葡萄酒;⽶酒;果酒（含酒精）;烈酒（饮料）;⽩酒;⾼粱酒</t>
  </si>
  <si>
    <t>晴萱山海</t>
  </si>
  <si>
    <t>秦皇岛市晴萱家庭农场</t>
  </si>
  <si>
    <t>葡萄酒;⽶酒;⻩酒;含⽔果酒精饮料;清酒（⽇本⽶酒）;烧酒;⽩酒;果酒（含酒精）;开胃酒;⻘稞酒</t>
  </si>
  <si>
    <t>泸巧巧</t>
  </si>
  <si>
    <t>宋华勇</t>
  </si>
  <si>
    <t>葡萄酒;蒸馏饮料;烈酒（饮料）;果酒（含酒精）;苹果酒;⽶酒;以葡萄酒为主的饮料;⽩酒;烧酒;鸡尾酒</t>
  </si>
  <si>
    <t>HIDDEN KING</t>
  </si>
  <si>
    <t>酒精饮料（啤酒除外）;⽶酒;⾼粱酒;烧酒;葡萄酒;烈酒（饮料）;⽩酒;鸡尾酒;⻩酒;果酒（含酒精）</t>
  </si>
  <si>
    <t>恒爽</t>
  </si>
  <si>
    <t>葡萄酒;开胃酒;威⼠忌;酒精饮料（啤酒除外）;烈酒;清酒（⽇本⽶酒）;果酒（含酒精）;⽩酒;⻩酒;鸡尾酒</t>
  </si>
  <si>
    <t>海远醇</t>
  </si>
  <si>
    <t>介休市海远能源有限责任公司</t>
  </si>
  <si>
    <t>烧酒;⽼酒（中国蒸馏烈酒）;⽩酒;由⾕物蒸馏的⽩酒;⻩酒;⾼粱酒;葡萄酒;酒精饮料（啤酒除外）;⾕物制蒸馏酒精饮料;烈酒（饮料）</t>
  </si>
  <si>
    <t>苑份</t>
  </si>
  <si>
    <t>王占昌</t>
  </si>
  <si>
    <t>威⼠忌;预先混合的酒精饮料（以啤酒为主的除外）;酒精饮料（啤酒除外）;葡萄酒;⾷⽤酒精;清酒（⽇本⽶酒）;⽩酒;含⽔果酒精饮料;⻩酒;烈酒（饮料）</t>
  </si>
  <si>
    <t>柔园</t>
  </si>
  <si>
    <t>⽩酒;鸡尾酒;清酒（⽇本⽶酒）;朗姆酒;葡萄酒;烧酒;果酒;利⼝酒;开胃酒;酒精饮料（啤酒除外）</t>
  </si>
  <si>
    <t>饮园</t>
  </si>
  <si>
    <t>鸡尾酒;利⼝酒;⽩酒;开胃酒;烧酒;葡萄酒;果酒;酒精饮料（啤酒除外）;朗姆酒;清酒（⽇本⽶酒）</t>
  </si>
  <si>
    <t>通达江山</t>
  </si>
  <si>
    <t>⽶酒;⻘稞酒;烧酒;清酒（⽇本⽶酒）;葡萄酒;威⼠忌;果酒（含酒精）;⽩酒;⽩兰地;⻩酒</t>
  </si>
  <si>
    <t>唐欢伯邸</t>
  </si>
  <si>
    <t>烧酒;葡萄酒;烈酒;⽩酒;果酒</t>
  </si>
  <si>
    <t>威⼠忌;⽶酒;葡萄酒;果酒（含酒精）;以葡萄酒为主的饮料;⻩酒;蒸馏饮料;含⽔果酒精饮料;⽩酒;酒精饮料浓缩汁</t>
  </si>
  <si>
    <t>涧江醇</t>
  </si>
  <si>
    <t>剑阁县剑江醇酒业有限公司</t>
  </si>
  <si>
    <t>⻩酒;⽶酒;蒸馏饮料;预先混合的酒精饮料（以啤酒为主的除外）;茴⾹酒;⾕物制蒸馏酒精饮料;果酒（含酒精）;酒精饮料（啤酒除外）;烈酒（饮料）;⽩酒</t>
  </si>
  <si>
    <t>匠众年</t>
  </si>
  <si>
    <t>河北众年商贸有限公司</t>
  </si>
  <si>
    <t>含⽔果酒精饮料;果酒（含酒精）;烧酒;葡萄酒;清酒（⽇本⽶酒）;⻩酒;汽酒;⽩酒;⽶酒;鸡尾酒</t>
  </si>
  <si>
    <t>态伏</t>
  </si>
  <si>
    <t>果酒;⻩酒;葡萄酒;含酒精的饮料（啤酒除外）;⽩酒;烧酒（烈酒）;烧酒;⽼酒（中国蒸馏烈酒）;鸡尾酒;⾼粱酒</t>
  </si>
  <si>
    <t>央工</t>
  </si>
  <si>
    <t>果酒;威⼠忌;⽶酒;⽩酒;葡萄酒;烈酒;酒精饮料（啤酒除外）;鸡尾酒;利⼝酒;烧酒</t>
  </si>
  <si>
    <t>山苏池</t>
  </si>
  <si>
    <t>成都六间竹文化有限公司</t>
  </si>
  <si>
    <t>烈酒（饮料）;鸡尾酒;⽩酒;蒸馏饮料;酒精饮料（啤酒除外）;威⼠忌;葡萄酒;清酒（⽇本⽶酒）;⽶酒;果酒（含酒精）</t>
  </si>
  <si>
    <t>闽云</t>
  </si>
  <si>
    <t>⻩酒;开胃酒;烈酒;清酒（⽇本⽶酒）;果酒（含酒精）;葡萄酒;⽩酒;威⼠忌;鸡尾酒;酒精饮料（啤酒除外）</t>
  </si>
  <si>
    <t>汉庭湖</t>
  </si>
  <si>
    <t>徐州豪沃商贸有限公司</t>
  </si>
  <si>
    <t>葡萄酒;含⽔果酒精饮料;⽼酒（中国蒸馏烈酒）;⽩酒;酒精饮料浓缩汁;果酒（含酒精）;烧酒;⽩⼲酒（中国⽩酒）;酒精饮料原汁;酒精饮料（啤酒除外）</t>
  </si>
  <si>
    <t>湘芙王</t>
  </si>
  <si>
    <t>罗玉满</t>
  </si>
  <si>
    <t>果酒（含酒精）;酒精饮料原汁;⾕物制蒸馏酒精饮料;烧酒;⾼粱酒;⽩酒;烈酒（饮料）;酒精饮料（啤酒除外）;酒精饮料浓缩汁</t>
  </si>
  <si>
    <t>吴和福</t>
  </si>
  <si>
    <t>⻘稞酒;烈酒（饮料）;⻩酒;⽩酒;葡萄酒;烧酒;⽩兰地;鸡尾酒;开胃酒;酒精饮料（啤酒除外）</t>
  </si>
  <si>
    <t>自在巅峰</t>
  </si>
  <si>
    <t>葡萄酒;鸡尾酒;烧酒;威⼠忌;果酒（含酒精）;⾷⽤酒精;⻩酒;⽶酒;⽩酒;⽩兰地</t>
  </si>
  <si>
    <t>双土无量山</t>
  </si>
  <si>
    <t>重庆市云阳县双土镇供销合作社有限公司</t>
  </si>
  <si>
    <t>⾼粱酒;果酒;葡萄酒;⻩酒;⽶酒;烧酒;烈酒;⽩酒;清酒;梅酒</t>
  </si>
  <si>
    <t>伊王蓝王</t>
  </si>
  <si>
    <t>⽩酒;果酒（含酒精）;蒸馏饮料;烈酒;含酒精的⽔果鸡尾酒饮料;⽶酒;⾼粱酒;葡萄酒;烧酒;⻘稞酒</t>
  </si>
  <si>
    <t>醉酣父</t>
  </si>
  <si>
    <t>鸡尾酒;利⼝酒;果酒;清酒（⽇本⽶酒）;烧酒;葡萄酒;朗姆酒;酒精饮料（啤酒除外）;开胃酒;⽩酒</t>
  </si>
  <si>
    <t>HHCJL</t>
  </si>
  <si>
    <t>东莞市宏浩五金制品有限公司</t>
  </si>
  <si>
    <t>⽩酒;⽩葡萄酒;鸡尾酒;烧酒;⽶酒;茴⾹酒（利⼝酒）;⽩兰地;果酒（含酒精）;威⼠忌;以葡萄酒为主的饮料</t>
  </si>
  <si>
    <t>含⽔果酒精饮料;果酒（含酒精）;鸡尾酒;酒精饮料（啤酒除外）;⽶酒;⽩酒;蒸馏饮料;苹果酒;烈酒（饮料）;⻩酒</t>
  </si>
  <si>
    <t>溢流香舒玥</t>
  </si>
  <si>
    <t>瑞昌市溢香农产品有限公司</t>
  </si>
  <si>
    <t>⻩酒;烈酒;⽩酒;果酒;含酒精⽔果饮料;果酒（含酒精）;⽶酒;烧酒（烈酒）;葡萄酒;汽酒</t>
  </si>
  <si>
    <t>豫之谷</t>
  </si>
  <si>
    <t>清酒（⽇本⽶酒）;朗姆酒;利⼝酒;⽩酒;烧酒;鸡尾酒;开胃酒;果酒;酒精饮料（啤酒除外）;葡萄酒</t>
  </si>
  <si>
    <t>白水三川</t>
  </si>
  <si>
    <t>河南恒泰伟业建材有限公司</t>
  </si>
  <si>
    <t>烈酒（饮料）;威⼠忌;酒精饮料（啤酒除外）;伏特加酒;鸡尾酒;⽩酒;葡萄酒;烧酒;果酒（含酒精）;蒸馏饮料</t>
  </si>
  <si>
    <t>瑰麋</t>
  </si>
  <si>
    <t>含⽔果酒精饮料;开胃酒;鸡尾酒;⽶酒;酒精饮料（啤酒除外）;果酒（含酒精）;樱桃酒;⽩酒;葡萄酒;蜂蜜酒</t>
  </si>
  <si>
    <t>⾕物制蒸馏酒精饮料;⽩酒;烈酒（饮料）;⻩酒;⽼酒（中国蒸馏烈酒）;葡萄酒;酒精饮料（啤酒除外）;烧酒;由⾕物蒸馏的⽩酒;⾼粱酒</t>
  </si>
  <si>
    <t>态御</t>
  </si>
  <si>
    <t>含酒精的饮料（啤酒除外）;⽼酒（中国蒸馏烈酒）;果酒;鸡尾酒;烧酒;⾼粱酒;烧酒（烈酒）;葡萄酒;⽩酒;⻩酒</t>
  </si>
  <si>
    <t>红僖情</t>
  </si>
  <si>
    <t>⽩酒;果酒（含酒精）;⾕物制蒸馏酒精饮料;⽶酒;⾷⽤酒精;烧酒;鸡尾酒;酒精饮料（啤酒除外）;葡萄酒;⻩酒</t>
  </si>
  <si>
    <t>瑰靡</t>
  </si>
  <si>
    <t>含⽔果酒精饮料;开胃酒;樱桃酒;⽶酒;葡萄酒;蜂蜜酒;酒精饮料（啤酒除外）;鸡尾酒;果酒（含酒精）;⽩酒</t>
  </si>
  <si>
    <t>森命树</t>
  </si>
  <si>
    <t>孟海洋</t>
  </si>
  <si>
    <t>果酒;开胃酒;清酒;⽩酒;⽶酒;甜酒;⾷⽤酒精;⻩酒;汽酒;葡萄酒</t>
  </si>
  <si>
    <t>桑坪黒松林</t>
  </si>
  <si>
    <t>果酒;烈酒;梅酒;清酒;⽩酒;⽶酒;烧酒;葡萄酒;⾼粱酒;⻩酒</t>
  </si>
  <si>
    <t>崖刻</t>
  </si>
  <si>
    <t>果酒（含酒精）;烈酒（饮料）;⽩酒;葡萄酒;⽼酒（中国蒸馏烈酒）;蒸馏饮料;鸡尾酒;⽶酒;⾷⽤酒精;烧酒</t>
  </si>
  <si>
    <t>三禹羌酒</t>
  </si>
  <si>
    <t>四川禹酒酒业有限公司</t>
  </si>
  <si>
    <t>果酒（含酒精）;露酒;清酒;⽶酒;甜酒;⽩酒;蜂蜜酒;含酒精的饮料（啤酒除外）;⻩酒;葡萄酒</t>
  </si>
  <si>
    <t>冰湖牧场</t>
  </si>
  <si>
    <t>新疆天山冰湖葡萄酒业有限公司</t>
  </si>
  <si>
    <t>烈酒（饮料）;酒精饮料（啤酒除外）;葡萄酒;果酒（含酒精）;蒸煮提取物（利⼝酒和烈酒）;开胃酒;蒸馏饮料;⽩兰地;酒精饮料原汁;利⼝酒</t>
  </si>
  <si>
    <t>元时康道</t>
  </si>
  <si>
    <t>中和康善(焦作)生物科技有限公司</t>
  </si>
  <si>
    <t>酒精饮料（啤酒除外）;葡萄酒;⻘稞酒;含⽔果酒精饮料;开胃酒;露酒;⽶酒;果酒（含酒精）;⽩酒;⻩酒</t>
  </si>
  <si>
    <t>柔声</t>
  </si>
  <si>
    <t>王佳蕾</t>
  </si>
  <si>
    <t>清酒（⽇本⽶酒）;威⼠忌;⽩酒;⻩酒;葡萄酒;酒精饮料（啤酒除外）;果酒（含酒精）;烈酒;开胃酒;鸡尾酒</t>
  </si>
  <si>
    <t>红隋</t>
  </si>
  <si>
    <t>酒精饮料（啤酒除外）;果酒（含酒精）;⻩酒;烧酒;开胃酒;⽶酒;餐后酒（利⼝酒和烈酒）;烈酒（饮料）;⽩酒;鸡尾酒</t>
  </si>
  <si>
    <t>仲蠡</t>
  </si>
  <si>
    <t>张鹏</t>
  </si>
  <si>
    <t>葡萄酒;含酒精的鸡尾酒混合饮品;含⽔果酒精饮料;由⾕物蒸馏的⽩酒;蒸煮提取物（利⼝酒和烈酒）;烧酒;⽩酒;⽼酒（中国蒸馏烈酒）;预先混合的酒精饮料（以啤酒为主的除外）;汽酒</t>
  </si>
  <si>
    <t>伊王黄王</t>
  </si>
  <si>
    <t>⽶酒;葡萄酒;烈酒;烧酒;含酒精的⽔果鸡尾酒饮料;⾼粱酒;蒸馏饮料;⻘稞酒;⽩酒;果酒（含酒精）</t>
  </si>
  <si>
    <t>SOVR</t>
  </si>
  <si>
    <t>郑宗惠</t>
  </si>
  <si>
    <t>开胃酒;鸡尾酒;葡萄酒;烈酒（饮料）;米酒;老酒（中国蒸馏烈酒）;白酒;黄酒;烧酒;白干酒（中国白酒）</t>
  </si>
  <si>
    <t>棠乾燕</t>
  </si>
  <si>
    <t>周德付</t>
  </si>
  <si>
    <t>⽩兰地;烧酒;苹果酒;⽩酒;果酒（含酒精）;伏特加酒;⽶酒;葡萄酒;⻩酒;开胃酒</t>
  </si>
  <si>
    <t>笑言愁</t>
  </si>
  <si>
    <t>⾷⽤酒精;威⼠忌;葡萄酒;⽶酒;⽩兰地;果酒（含酒精）;⽩酒;烧酒;⻩酒</t>
  </si>
  <si>
    <t>摩桑</t>
  </si>
  <si>
    <t>叶礼平</t>
  </si>
  <si>
    <t>酒精饮料（啤酒除外）;烧酒;⾷⽤酒精;鸡尾酒;葡萄酒;⽶酒;⻩酒;⽩兰地;伏特加酒;⽩酒</t>
  </si>
  <si>
    <t>成渝枞树湾</t>
  </si>
  <si>
    <t>云阳县大阳镇农业服务中心</t>
  </si>
  <si>
    <t>梅酒;⽶酒;⾼粱酒;果酒;葡萄酒;清酒;⻩酒;烈酒;烧酒;⽩酒</t>
  </si>
  <si>
    <t>成渝葵阿斗</t>
  </si>
  <si>
    <t>烈酒;梅酒;葡萄酒;⻩酒;烧酒;⽶酒;⾼粱酒;果酒;清酒;⽩酒</t>
  </si>
  <si>
    <t>符合山</t>
  </si>
  <si>
    <t>烈酒（饮料）;烧酒;⾷⽤酒精;鸡尾酒;葡萄酒;果酒（含酒精）;蒸馏饮料;⽶酒;⽼酒（中国蒸馏烈酒）;⽩酒</t>
  </si>
  <si>
    <t>纵濠壹加捌</t>
  </si>
  <si>
    <t>仁怀市纵濠酒业有限公司</t>
  </si>
  <si>
    <t>鸡尾酒;⻩酒;⻘稞酒;威⼠忌;⽩酒;⽶酒;葡萄酒;烈酒（饮料）;伏特加酒;酒精饮料（啤酒除外）</t>
  </si>
  <si>
    <t>祈心</t>
  </si>
  <si>
    <t>赵耀煜</t>
  </si>
  <si>
    <t>⽩兰地;威⼠忌;葡萄酒;果酒;汽酒;⻩酒;清酒;⽶酒;烧酒;⽩酒</t>
  </si>
  <si>
    <t>啡小咖</t>
  </si>
  <si>
    <t>梁勇</t>
  </si>
  <si>
    <t>鸡尾酒;⻩酒;⽩酒;伏特加酒;果酒（含酒精）;⽶酒;汽酒;清酒（⽇本⽶酒）;葡萄酒;朗姆酒</t>
  </si>
  <si>
    <t>宜日生机</t>
  </si>
  <si>
    <t>张硕琴</t>
  </si>
  <si>
    <t>⽩酒;果酒;⾷⽤酒精;汽酒;⻩酒;甜酒;开胃酒;⽶酒;葡萄酒;清酒</t>
  </si>
  <si>
    <t>冠县瑶姬生物科技有限公司</t>
  </si>
  <si>
    <t>烧酒;⽩酒;清酒（⽇本⽶酒）;果酒（含酒精）;⽶酒;酒精饮料（啤酒除外）;葡萄酒;⻩酒;烈酒（饮料）;鸡尾酒</t>
  </si>
  <si>
    <t>浠淋</t>
  </si>
  <si>
    <t>余梁聪445121********2636</t>
  </si>
  <si>
    <t>葡萄酒;鸡尾酒;果酒（含酒精）;⽩酒;⾷⽤酒精;烈酒;⽶酒;酒精饮料（啤酒除外）;⻩酒;⾕物制蒸馏酒精饮料</t>
  </si>
  <si>
    <t>渝双石岗坪</t>
  </si>
  <si>
    <t>云阳县石岗坪水果种植专业合作社</t>
  </si>
  <si>
    <t>果酒;清酒;葡萄酒;烧酒;⻩酒;梅酒;⽩酒;⽶酒;烈酒;⾼粱酒</t>
  </si>
  <si>
    <t>漠澳泰</t>
  </si>
  <si>
    <t>张地</t>
  </si>
  <si>
    <t>开胃酒;蒸馏饮料;威⼠忌;含⽔果酒精饮料;薄荷酒;酒精饮料（啤酒除外）;⻩酒;葡萄酒;⽩酒;果酒（含酒精）</t>
  </si>
  <si>
    <t>绅粮坊</t>
  </si>
  <si>
    <t>南宫市绅粮酒坊</t>
  </si>
  <si>
    <t>果酒（含酒精）;烈酒（饮料）;⽩兰地;⽩酒;⽶酒;含酒精的⽓泡⽔;葡萄酒;以葡萄酒为主的饮料;鸡尾酒;⾼粱酒</t>
  </si>
  <si>
    <t>郴火火</t>
  </si>
  <si>
    <t>黄春晓</t>
  </si>
  <si>
    <t>酒精饮料（啤酒除外）;葡萄酒;⽶酒;以葡萄酒为主的饮料;烧酒;烈酒（饮料）;开胃酒;⽩酒;⻩酒;⾕物制蒸馏酒精饮料</t>
  </si>
  <si>
    <t>伊酒王</t>
  </si>
  <si>
    <t>⽩酒;葡萄酒;烧酒;含酒精的⽔果鸡尾酒饮料;蒸馏饮料;果酒（含酒精）;⽶酒;烈酒;⾼粱酒;⻘稞酒</t>
  </si>
  <si>
    <t>伊窖王荣耀</t>
  </si>
  <si>
    <t>葡萄酒;果酒（含酒精）;⽶酒;烈酒;⽩酒;烧酒;⻘稞酒;⾼粱酒;含酒精的⽔果鸡尾酒饮料;蒸馏饮料</t>
  </si>
  <si>
    <t>帝王龙权·帝藏</t>
  </si>
  <si>
    <t>含⽔果酒精饮料;⽩酒;烈酒（饮料）;葡萄酒;烈酒;果酒（含酒精）;烧酒;酒精饮料（啤酒除外）;清酒（⽇本⽶酒）;鸡尾酒</t>
  </si>
  <si>
    <t>豫宗</t>
  </si>
  <si>
    <t>徐佳铭</t>
  </si>
  <si>
    <t>⽼酒（中国蒸馏烈酒）;⾼粱酒;⻩酒;酒精饮料（啤酒除外）;蒸馏饮料;⽩酒;果酒（含酒精）;烧酒;烈酒（饮料）;⽶酒</t>
  </si>
  <si>
    <t>匠王匠王台</t>
  </si>
  <si>
    <t>鸡尾酒;烈酒（饮料）;酒精饮料（啤酒除外）;⽩酒;⽶酒;含⽔果酒精饮料;⻩酒;果酒（含酒精）;苹果酒;蒸馏饮料</t>
  </si>
  <si>
    <t>古园台</t>
  </si>
  <si>
    <t>鸡尾酒;开胃酒;清酒（⽇本⽶酒）;果酒;烧酒;利⼝酒;⽩酒;葡萄酒;酒精饮料（啤酒除外）;朗姆酒</t>
  </si>
  <si>
    <t>春日美</t>
  </si>
  <si>
    <t>成都宸睿泽博科技有限公司</t>
  </si>
  <si>
    <t>⽶酒;⻩酒;⽩酒;清酒（⽇本⽶酒）;开胃酒;葡萄酒;酒精饮料（啤酒除外）;⻘稞酒;以葡萄酒为主的饮料;烧酒</t>
  </si>
  <si>
    <t>醉寨壶里</t>
  </si>
  <si>
    <t>李婷婷</t>
  </si>
  <si>
    <t>烧酒;⻩酒;⾼粱酒;鸡尾酒;梅酒;果酒;葡萄酒;⾕物制蒸馏酒精饮料;烈酒;⽶酒</t>
  </si>
  <si>
    <t>玩天工</t>
  </si>
  <si>
    <t>秦皇岛发明古今科技有限责任公司</t>
  </si>
  <si>
    <t>⻩酒;⽶酒</t>
  </si>
  <si>
    <t>伊酒贡特贡</t>
  </si>
  <si>
    <t>⽶酒;⾼粱酒;含酒精的⽔果鸡尾酒饮料;⽩酒;烈酒;烧酒;⻘稞酒;葡萄酒;果酒（含酒精）;蒸馏饮料</t>
  </si>
  <si>
    <t>迸川</t>
  </si>
  <si>
    <t>黄强伟</t>
  </si>
  <si>
    <t>⽩酒;开胃酒;清酒（⽇本⽶酒）;⻩酒;果酒（含酒精）;威⼠忌;酒精饮料（啤酒除外）;烈酒;鸡尾酒;葡萄酒</t>
  </si>
  <si>
    <t>豪影</t>
  </si>
  <si>
    <t>吕刚福</t>
  </si>
  <si>
    <t>⾷⽤酒精;果酒（含酒精）;烈酒（饮料）;酒精饮料（啤酒除外）;葡萄酒;⽩酒;⽶酒;含⽔果酒精饮料;柑⾹酒;烧酒</t>
  </si>
  <si>
    <t>南站有才</t>
  </si>
  <si>
    <t>曹明彩</t>
  </si>
  <si>
    <t>烧酒;汽酒;⽶酒;⽩酒;葡萄酒;烈酒（饮料）;鸡尾酒;⻩酒;苹果酒;果酒（含酒精）</t>
  </si>
  <si>
    <t>一杆秤</t>
  </si>
  <si>
    <t>成都轩尧商贸有限公司</t>
  </si>
  <si>
    <t>开胃酒;⽩兰地;薄荷酒;鸡尾酒;⽩酒;果酒;葡萄酒;苦味酒;威⼠忌;酒精饮料（啤酒除外）</t>
  </si>
  <si>
    <t>韭火火</t>
  </si>
  <si>
    <t>果酒（含酒精）;烧酒;含酒精的⽓泡⽔;预先混合的酒精饮料（以啤酒为主的除外）;⽩酒;烈酒（饮料）;⽶酒;葡萄酒;酒精饮料（啤酒除外）;以葡萄酒为主的饮料</t>
  </si>
  <si>
    <t>贵州道牌酒业有限公司</t>
  </si>
  <si>
    <t>安康姆</t>
  </si>
  <si>
    <t>善德（广州）生物科技有限公司</t>
  </si>
  <si>
    <t>⽢蔗制酒精饮料;梨酒;果酒;含酒精⽔果饮料;蜂蜜酒;苹果酒;葡萄酒;开胃酒;汽酒;⾷⽤酒精</t>
  </si>
  <si>
    <t>各皂坝</t>
  </si>
  <si>
    <t>李平科</t>
  </si>
  <si>
    <t>鸡尾酒;酒精饮料浓缩汁;⾷⽤酒精;⽩酒;⻩酒;苹果酒;酒精饮料原汁;⽶酒;⻘稞酒;蒸馏饮料</t>
  </si>
  <si>
    <t>格马逊</t>
  </si>
  <si>
    <t>格马逊环境技术（上海）有限公司</t>
  </si>
  <si>
    <t>酒精饮料原汁;含⽔果酒精饮料;苦味酒;⾷⽤酒精;葡萄酒;烈酒（饮料）;蒸馏饮料;⽶酒;⽩酒;果酒（含酒精）</t>
  </si>
  <si>
    <t>老殿隆</t>
  </si>
  <si>
    <t>贵州旭诚食品有限责任公司</t>
  </si>
  <si>
    <t>⾕物制蒸馏酒精饮料;果酒（含酒精）;⻘稞酒;伏特加酒;⽶酒;薄荷酒;苦味酒;⽩兰地;⻩酒;烧酒</t>
  </si>
  <si>
    <t>屿恩露</t>
  </si>
  <si>
    <t>恩施市友御食品有限公司</t>
  </si>
  <si>
    <t>⾷⽤酒精;苦荞酒;⽶酒;含酒精的⽓泡⽔;⾼粱酒;蜂蜜酒;⽩酒;果酒（含酒精）;葡萄酒;⻩酒</t>
  </si>
  <si>
    <t>OVIK</t>
  </si>
  <si>
    <t>廖浩钧</t>
  </si>
  <si>
    <t>鸡尾酒;⽩酒;⻩酒;⽩⼲酒（中国⽩酒）;烈酒（饮料）;开胃酒;烧酒;⽶酒;葡萄酒;⽼酒（中国蒸馏烈酒）</t>
  </si>
  <si>
    <t>窗恋</t>
  </si>
  <si>
    <t>贵州省仁怀市茅耀酒业有限公司</t>
  </si>
  <si>
    <t>烈酒（饮料）;⽼酒（中国蒸馏烈酒）;果酒;葡萄酒;⽩⼲酒（中国⽩酒）;⾼粱酒;⽩酒;酒精饮料（啤酒除外）;鸡尾酒;烈酒</t>
  </si>
  <si>
    <t>汉唐长安</t>
  </si>
  <si>
    <t>任红波</t>
  </si>
  <si>
    <t>汽酒;⾷⽤酒精;⽩酒;酒精饮料原汁;樱桃⽩兰地;含⽜奶的鸡尾酒;⽩⼲酒（中国⽩酒）;果酒（含酒精）;葡萄酒;⽔果汽酒</t>
  </si>
  <si>
    <t>鸡尾酒;含⽔果酒精饮料;⽩酒;蒸馏饮料;⽶酒;⻩酒;苹果酒;烈酒（饮料）;酒精饮料（啤酒除外）;果酒（含酒精）</t>
  </si>
  <si>
    <t>香也</t>
  </si>
  <si>
    <t>⻩酒;清酒;果酒;汽酒;开胃酒;⾷⽤酒精;⽩酒;⽶酒;葡萄酒;甜酒</t>
  </si>
  <si>
    <t>如煜酒</t>
  </si>
  <si>
    <t>美国时装大师时尚集团有限公司</t>
  </si>
  <si>
    <t>葡萄酒;⽶酒;烧酒;红葡萄酒;威⼠忌;果酒;烈酒;⽩酒;酒精饮料（啤酒除外）;⻩酒</t>
  </si>
  <si>
    <t>凤祥柳</t>
  </si>
  <si>
    <t>陕西博美名汇连锁管理有限公司</t>
  </si>
  <si>
    <t>果酒（含酒精）;苹果酒;⻩酒;⽩酒;⽼酒（中国蒸馏烈酒）;苦味酒;酒精饮料（啤酒除外）;烧酒;⽶酒;清酒</t>
  </si>
  <si>
    <t>袁久伍</t>
  </si>
  <si>
    <t>云阳县袁腾水果种植有限责任公司</t>
  </si>
  <si>
    <t>⽩酒;清酒;⻩酒;⾼粱酒;葡萄酒;梅酒;烧酒;⽶酒;果酒;烈酒</t>
  </si>
  <si>
    <t>麦果匠</t>
  </si>
  <si>
    <t>广东麦果匠食品有限公司</t>
  </si>
  <si>
    <t>酒精饮料原汁;含⽔果酒精饮料;⽶酒;果酒;⾕物制蒸馏酒精饮料;烧酒;开胃酒;⻩酒;葡萄酒;⽩酒</t>
  </si>
  <si>
    <t>峡中情</t>
  </si>
  <si>
    <t>吴友洪</t>
  </si>
  <si>
    <t>烧酒;酒精饮料（啤酒除外）;⾷⽤酒精;果酒（含酒精）;葡萄酒;⻩酒;⻘稞酒;⽩酒;蒸馏饮料;⽶酒</t>
  </si>
  <si>
    <t>徽束</t>
  </si>
  <si>
    <t>罗慈英</t>
  </si>
  <si>
    <t>⽩酒;烈酒;开胃酒;酒精饮料（啤酒除外）;葡萄酒;威⼠忌;果酒（含酒精）;鸡尾酒;清酒（⽇本⽶酒）;⻩酒</t>
  </si>
  <si>
    <t>徽胜</t>
  </si>
  <si>
    <t>果酒（含酒精）;⻩酒;开胃酒;酒精饮料（啤酒除外）;清酒（⽇本⽶酒）;烈酒;鸡尾酒;葡萄酒;威⼠忌;⽩酒</t>
  </si>
  <si>
    <t>赢大律</t>
  </si>
  <si>
    <t>贵州战狼出行科技有限公司</t>
  </si>
  <si>
    <t>⽩酒;⻩酒;烈酒;伏特加酒;酒精饮料（啤酒除外）;⽩⼲酒（中国⽩酒）;⽶酒;葡萄酒;⽼酒（中国蒸馏烈酒）;烧酒</t>
  </si>
  <si>
    <t>石釜琼</t>
  </si>
  <si>
    <t>⽼酒（中国蒸馏烈酒）;烈酒（饮料）;果酒（含酒精）;蒸馏饮料;⾷⽤酒精;烧酒;鸡尾酒;⽩酒;⽶酒;葡萄酒</t>
  </si>
  <si>
    <t>瑰谧</t>
  </si>
  <si>
    <t>含⽔果酒精饮料;果酒（含酒精）;酒精饮料（啤酒除外）;樱桃酒;葡萄酒;鸡尾酒;开胃酒;⽩酒;蜂蜜酒;⽶酒</t>
  </si>
  <si>
    <t>妙城佳酿</t>
  </si>
  <si>
    <t>仁怀市仁杰白酒经营部</t>
  </si>
  <si>
    <t>⾼粱酒;⽩酒</t>
  </si>
  <si>
    <t>城墙口</t>
  </si>
  <si>
    <t>齐兴华</t>
  </si>
  <si>
    <t>开胃酒;汽酒;⽩酒;⽶酒;⻩酒;甜酒;葡萄酒;果酒;清酒;⾷⽤酒精</t>
  </si>
  <si>
    <t>皇凤龙尊</t>
  </si>
  <si>
    <t>苹果酒;葡萄酒;⾕物制蒸馏酒精饮料;餐后酒（利⼝酒和烈酒）;⽶酒;⽩酒;蒸馏饮料;烈酒（饮料）;露酒;果酒</t>
  </si>
  <si>
    <t>有龙在天</t>
  </si>
  <si>
    <t>⽩兰地;烧酒;⽶酒;鸡尾酒;葡萄酒;⻩酒;威⼠忌;果酒（含酒精）;⾷⽤酒精;⽩酒</t>
  </si>
  <si>
    <t>三禹王酒</t>
  </si>
  <si>
    <t>露酒;含酒精的饮料（啤酒除外）;果酒（含酒精）;葡萄酒;蜂蜜酒;⻩酒;⽩酒;甜酒;⽶酒;清酒</t>
  </si>
  <si>
    <t>渝万云朵</t>
  </si>
  <si>
    <t>云阳县保企桑蚕养殖专业合作社</t>
  </si>
  <si>
    <t>⽩酒;烈酒;⻩酒;⽶酒;葡萄酒;果酒;梅酒;清酒;烧酒;⾼粱酒</t>
  </si>
  <si>
    <t>伊酒贡</t>
  </si>
  <si>
    <t>含酒精的⽔果鸡尾酒饮料;蒸馏饮料;烈酒;⽩酒;⽶酒;葡萄酒;烧酒;⻘稞酒;果酒（含酒精）;⾼粱酒</t>
  </si>
  <si>
    <t>小聪象</t>
  </si>
  <si>
    <t>赵远珅</t>
  </si>
  <si>
    <t>清酒;⽩酒;葡萄酒;⾷⽤酒精;果酒;开胃酒;甜酒;汽酒;⽶酒;⻩酒</t>
  </si>
  <si>
    <t>晔醇钻</t>
  </si>
  <si>
    <t>长沙市酱香好物贸易有限公司</t>
  </si>
  <si>
    <t>2024/05/22</t>
  </si>
  <si>
    <t>和辰瑜</t>
  </si>
  <si>
    <t>常德珠江新产品开发有限公司</t>
  </si>
  <si>
    <t>⽶酒;梅酒;含酒精的饮料（啤酒除外）;果酒;葡萄酒;调制好的葡萄酒鸡尾酒;烧酒;甜酒;⽩酒;朗姆酒</t>
  </si>
  <si>
    <t>北京鼓山文化有限公司</t>
  </si>
  <si>
    <t>烈酒（饮料）;⽩酒;葡萄酒;果酒（含酒精）;清酒（⽇本⽶酒）;威⼠忌;蒸馏饮料;含⽔果酒精饮料;⽶酒;鸡尾酒</t>
  </si>
  <si>
    <t>歌默颂</t>
  </si>
  <si>
    <t>广州二八法则科技有限公司</t>
  </si>
  <si>
    <t>葡萄酒;含⽔果酒精饮料;威⼠忌;开胃酒;⽩酒;含酒精的鸡尾酒混合饮品;清酒（⽇本⽶酒）;⽩兰地;酒精饮料（啤酒除外）;⽶酒</t>
  </si>
  <si>
    <t>欧雅尚堡</t>
  </si>
  <si>
    <t>欧雅尚堡（上海）进出口有限公司</t>
  </si>
  <si>
    <t>樱桃酒;烧酒;⻩酒;开胃酒;⽩酒;⽶酒;葡萄酒;鸡尾酒;⽩兰地;梨酒</t>
  </si>
  <si>
    <t>充王</t>
  </si>
  <si>
    <t>杭州飞象品牌营销策划有限公司</t>
  </si>
  <si>
    <t>葡萄酒;⽶酒;含⽔果酒精饮料;烧酒;⽢蔗制酒精饮料;清酒（⽇本⽶酒）;⽼酒（中国蒸馏烈酒）;⽩酒;⻩酒;酒精饮料（啤酒除外）</t>
  </si>
  <si>
    <t>晋有度</t>
  </si>
  <si>
    <t>清酒（⽇本⽶酒）;果酒（含酒精）;梨酒;⽶酒;⻩酒;含酒精的⽓泡⽔;烧酒;葡萄酒;烈酒（饮料）;⽩酒</t>
  </si>
  <si>
    <t>道万年</t>
  </si>
  <si>
    <t>黄晓玲</t>
  </si>
  <si>
    <t>葡萄酒;果酒（含酒精）;烈酒;⻩酒;清酒（⽇本⽶酒）;开胃酒;⽩酒;酒精饮料（啤酒除外）;威⼠忌;鸡尾酒</t>
  </si>
  <si>
    <t>道山宝原</t>
  </si>
  <si>
    <t>福建碧海逸阳科技有限公司</t>
  </si>
  <si>
    <t>葡萄酒;威⼠忌;伏特加酒;梅酒;⽩酒;果酒;⽼酒（中国蒸馏烈酒）;⻩酒;⽶酒;⾼粱酒</t>
  </si>
  <si>
    <t>苏英怀</t>
  </si>
  <si>
    <t>葡萄酒;⽩兰地;⽶酒;⻩酒;蒸馏饮料;⽩酒;鸡尾酒;烧酒;果酒（含酒精）;威⼠忌</t>
  </si>
  <si>
    <t>倍魔</t>
  </si>
  <si>
    <t>深圳市倍魔科技有限公司</t>
  </si>
  <si>
    <t>鸡尾酒;⾷⽤酒精;果酒;威⼠忌;葡萄酒;⽩酒</t>
  </si>
  <si>
    <t>偶遇天使</t>
  </si>
  <si>
    <t>河南世培商贸有限公司</t>
  </si>
  <si>
    <t>开胃酒;果酒（含酒精）;苹果酒;葡萄酒;薄荷酒;清酒（⽇本⽶酒）;⽶酒;伏特加酒;鸡尾酒;⽩兰地</t>
  </si>
  <si>
    <t>司隶台</t>
  </si>
  <si>
    <t>葡萄酒;清酒（⽇本⽶酒）;⽶酒;⽩兰地;⻩酒;伏特加酒;⽩酒;烈酒（饮料）;威⼠忌;朗姆酒</t>
  </si>
  <si>
    <t>今相贵</t>
  </si>
  <si>
    <t>吴俊燕</t>
  </si>
  <si>
    <t>⽶酒;烧酒;⽩酒;⽩⼲酒（中国⽩酒）;葡萄酒;预先混合的酒精饮料（以啤酒为主的除外）;⻩酒;⽼酒（中国蒸馏烈酒）;含⽔果酒精饮料;威⼠忌</t>
  </si>
  <si>
    <t>阳之圣</t>
  </si>
  <si>
    <t>合肥捌玖点医疗器械有限公司</t>
  </si>
  <si>
    <t>酒精饮料（啤酒除外）;⾷⽤酒精;酒精饮料原汁;⻩酒;含⽔果酒精饮料;葡萄酒;烧酒;开胃酒;蒸馏饮料;果酒（含酒精）</t>
  </si>
  <si>
    <t>小鹿嘉</t>
  </si>
  <si>
    <t>东莞市小鹿农产品供应链有限公司</t>
  </si>
  <si>
    <t>蒸馏饮料;葡萄酒;⽶酒;利⼝酒;果酒（含酒精）;威⼠忌;蒸煮提取物（利⼝酒和烈酒）;含⽔果酒精饮料;酒精饮料浓缩汁;烈酒（饮料）</t>
  </si>
  <si>
    <t>华泰达</t>
  </si>
  <si>
    <t>宁津泰达酒业有限公司</t>
  </si>
  <si>
    <t>烧酒;葡萄酒;⽶酒;鸡尾酒;威⼠忌;⽩酒;⽩兰地;伏特加酒;红葡萄酒;烈酒（饮料）</t>
  </si>
  <si>
    <t>预先混合的酒精饮料（以啤酒为主的除外）;鸡尾酒;威⼠忌;葡萄酒;⽶酒;伏特加酒;烧酒;⽩酒;酒精饮料（啤酒除外）;果酒（含酒精）</t>
  </si>
  <si>
    <t>烈酒（饮料）;威⼠忌;⽶酒;蒸馏饮料;酒精饮料（啤酒除外）;果酒（含酒精）;鸡尾酒;葡萄酒;清酒（⽇本⽶酒）;⽩酒</t>
  </si>
  <si>
    <t>沂蒙巅</t>
  </si>
  <si>
    <t>庞纪清</t>
  </si>
  <si>
    <t>⻩酒;威⼠忌;葡萄酒;果酒（含酒精）;开胃酒;伏特加酒;⽶酒;烧酒;鸡尾酒;⽩酒</t>
  </si>
  <si>
    <t>雪城佳宾</t>
  </si>
  <si>
    <t>赵时</t>
  </si>
  <si>
    <t>烧酒;⾕物制蒸馏酒精饮料;果酒;清酒;蜂蜜酒;⽶酒;利⼝酒;露酒;含酒精的饮料（啤酒除外）;刺五加酒</t>
  </si>
  <si>
    <t>白园</t>
  </si>
  <si>
    <t>清酒（⽇本⽶酒）;朗姆酒;鸡尾酒;开胃酒;利⼝酒;果酒;烧酒;⽩酒;葡萄酒;酒精饮料（啤酒除外）</t>
  </si>
  <si>
    <t>路易法兰迪</t>
  </si>
  <si>
    <t>深圳市玛圣贸易有限公司</t>
  </si>
  <si>
    <t>杜松⼦酒;威⼠忌;朗姆酒;清酒（⽇本⽶酒）;烈酒（饮料）;利⼝酒;⽩兰地;果酒（含酒精）;葡萄酒;伏特加酒</t>
  </si>
  <si>
    <t>纯波</t>
  </si>
  <si>
    <t>横州市纯翠白酒有限公司</t>
  </si>
  <si>
    <t>⽩酒;⽶酒;鸡尾酒;利⼝酒;含⽔果酒精饮料;⻩酒;葡萄酒;威⼠忌;烧酒;烈酒（饮料）</t>
  </si>
  <si>
    <t>福藏盛事</t>
  </si>
  <si>
    <t>烈酒（饮料）;⽶酒;葡萄酒;蒸馏饮料;⾕物制蒸馏酒精饮料;⽩酒;露酒;餐后酒（利⼝酒和烈酒）;苹果酒;果酒（含酒精）</t>
  </si>
  <si>
    <t>皇城汉将</t>
  </si>
  <si>
    <t>露酒;⽶酒;苹果酒;果酒（含酒精）;餐后酒（利⼝酒和烈酒）;蒸馏饮料;⽩酒;葡萄酒;⾕物制蒸馏酒精饮料;烈酒（饮料）</t>
  </si>
  <si>
    <t>锋味大唐</t>
  </si>
  <si>
    <t>代晶晶</t>
  </si>
  <si>
    <t>清酒;⽩酒;葡萄酒;开胃酒;⻩酒;甜酒;⽶酒;汽酒;⾷⽤酒精;果酒</t>
  </si>
  <si>
    <t>源香美人</t>
  </si>
  <si>
    <t>天津市蓟州区福春家庭农场</t>
  </si>
  <si>
    <t>酒精饮料（啤酒除外）;蒸馏饮料;烧酒;⾷⽤酒精;⽩酒;葡萄酒;清酒;鸡尾酒;⽶酒;果酒</t>
  </si>
  <si>
    <t>梅迹</t>
  </si>
  <si>
    <t>何为英</t>
  </si>
  <si>
    <t>烈酒（饮料）;⽩兰地;威⼠忌;葡萄酒;⻩酒;⽩酒;鸡尾酒;清酒;除啤酒外的酒精饮料;果酒（含酒精）</t>
  </si>
  <si>
    <t>宸梦想</t>
  </si>
  <si>
    <t>清酒（⽇本⽶酒）;酒精饮料（啤酒除外）;⻘稞酒;⽶酒;葡萄酒;以葡萄酒为主的饮料;⽩酒;⻩酒;开胃酒;烧酒</t>
  </si>
  <si>
    <t>汇江向海</t>
  </si>
  <si>
    <t>⽶酒;⾼粱酒;鸡尾酒;烧酒;⻩酒;烈酒;⽩酒;梅酒;葡萄酒;果酒</t>
  </si>
  <si>
    <t>西北恋</t>
  </si>
  <si>
    <t>王康辉</t>
  </si>
  <si>
    <t>威⼠忌;酒精饮料（啤酒除外）;⽶酒;⻩酒;葡萄酒;果酒（含酒精）;烈酒（饮料）;⽩酒;烧酒;蒸馏饮料</t>
  </si>
  <si>
    <t>怀美人</t>
  </si>
  <si>
    <t>孙洪权</t>
  </si>
  <si>
    <t>葡萄酒;⽩酒;鸡尾酒;酒精饮料（啤酒除外）;⻩酒;果酒（含酒精）;开胃酒;清酒（⽇本⽶酒）;威⼠忌;烈酒</t>
  </si>
  <si>
    <t>RONG GU XIANG</t>
  </si>
  <si>
    <t>伏特加酒;威⼠忌;烧酒;⽩酒;鸡尾酒;葡萄酒;果酒（含酒精）;⽶酒;预先混合的酒精饮料（以啤酒为主的除外）;酒精饮料（啤酒除外）</t>
  </si>
  <si>
    <t>中优天下</t>
  </si>
  <si>
    <t>已调味的蒸馏酒;酒精饮料（啤酒除外）;⾼粱酒;果酒;⽩⼲酒（中国⽩酒）;⽼酒（中国蒸馏烈酒）;含酒精的饮料（啤酒除外）;⽩酒;烧酒（烈酒）;由⾕物蒸馏的⽩酒</t>
  </si>
  <si>
    <t>如释青尘</t>
  </si>
  <si>
    <t>郭佳维</t>
  </si>
  <si>
    <t>鸡尾酒;酒精饮料（啤酒除外）;⽶酒;葡萄酒;⽩酒;汽酒;预先混合的酒精饮料（以啤酒为主的除外）;烧酒;烈酒（饮料）;果酒（含酒精）</t>
  </si>
  <si>
    <t>甜烁</t>
  </si>
  <si>
    <t>广西甜烁农业科技有限公司</t>
  </si>
  <si>
    <t>烈酒（饮料）;⽩兰地;⽶酒;含酒精⽔果饮料;蒸馏饮料;葡萄酒;⾷⽤酒精;鸡尾酒;⾕物制蒸馏酒精饮料;果酒（含酒精）</t>
  </si>
  <si>
    <t>时空洞境</t>
  </si>
  <si>
    <t>湖南锦标酒业有限公司</t>
  </si>
  <si>
    <t>⽩酒;清酒（⽇本⽶酒）;威⼠忌;酒精饮料（啤酒除外）;果酒（含酒精）;⻩酒;烈酒;开胃酒;葡萄酒;鸡尾酒</t>
  </si>
  <si>
    <t>麒麟龙</t>
  </si>
  <si>
    <t>⾕物制蒸馏酒精饮料;⽶酒;苹果酒;果酒（含酒精）;葡萄酒;烈酒（饮料）;蒸馏饮料;⽩酒;餐后酒（利⼝酒和烈酒）;露酒</t>
  </si>
  <si>
    <t>醉两汉汉魂</t>
  </si>
  <si>
    <t>⾷⽤酒精;酒精饮料（啤酒除外）;⽩酒;预先混合的酒精饮料（以啤酒为主的除外）;威⼠忌;果酒;⻩酒;⾕物制蒸馏酒精饮料;葡萄酒;⽶酒</t>
  </si>
  <si>
    <t>无双骄子</t>
  </si>
  <si>
    <t>吴国泰</t>
  </si>
  <si>
    <t>威⼠忌;⻩酒;烈酒（饮料）;鸡尾酒;⽩酒;除啤酒外的酒精饮料;葡萄酒;清酒;果酒（含酒精）;⽩兰地</t>
  </si>
  <si>
    <t>義品王子</t>
  </si>
  <si>
    <t>果酒;葡萄酒;蒸馏饮料;烈酒（饮料）;⾕物制蒸馏酒精饮料;露酒;餐后酒（利⼝酒和烈酒）;⽩酒;⽶酒;苹果酒</t>
  </si>
  <si>
    <t>东健金鹿</t>
  </si>
  <si>
    <t>湖南东健药业有限公司</t>
  </si>
  <si>
    <t>⽩酒;⽶酒;葡萄酒;烧酒;清酒;鸡尾酒;果酒（含酒精）;⻩酒;酒精饮料（啤酒除外）;威⼠忌</t>
  </si>
  <si>
    <t>2024/05/21</t>
  </si>
  <si>
    <t>岩中趣</t>
  </si>
  <si>
    <t>武夷山岩中趣茶业有限公司</t>
  </si>
  <si>
    <t>果酒（含酒精）;汽酒;⻩酒;开胃酒;⽩酒;蒸馏饮料;烈酒（饮料）;⽶酒;酒精饮料（啤酒除外）;葡萄酒</t>
  </si>
  <si>
    <t>谋到</t>
  </si>
  <si>
    <t>苏州谋到数字科技有限公司</t>
  </si>
  <si>
    <t>果酒（含酒精）;鸡尾酒;⽩兰地;⽶酒;⾷⽤酒精;⽩酒;烧酒;葡萄酒;⻩酒;酒精饮料（啤酒除外）</t>
  </si>
  <si>
    <t>宋城十里</t>
  </si>
  <si>
    <t>王存锋</t>
  </si>
  <si>
    <t>蜂蜜酒;清酒（⽇本⽶酒）;威⼠忌;伏特加酒;⽩酒;⾷⽤酒精;⽩兰地;⽶酒;⻘稞酒;⻩酒;烧酒</t>
  </si>
  <si>
    <t>五伦图</t>
  </si>
  <si>
    <t>赋象建材（深圳）集团有限公司</t>
  </si>
  <si>
    <t>烧酒;葡萄酒;⽶酒;⽩酒;⽩⼲酒（中国⽩酒）;威⼠忌;预先混合的酒精饮料（以啤酒为主的除外）;⽼酒（中国蒸馏烈酒）;含⽔果酒精饮料;⻩酒</t>
  </si>
  <si>
    <t>庞泉净八</t>
  </si>
  <si>
    <t>⾷⽤酒精;葡萄酒;⻩酒;蒸煮提取物（利⼝酒和烈酒）;烧酒;⽩酒;烈酒浓缩汁;⾼粱酒;烈酒（饮料）;⽩⼲酒（中国⽩酒）</t>
  </si>
  <si>
    <t>益御珍</t>
  </si>
  <si>
    <t>陆祖希</t>
  </si>
  <si>
    <t>⽩兰地;烧酒;⾕物制蒸馏酒精饮料;葡萄酒;⻩酒;以葡萄酒为主的饮料;⽶酒;⽩酒;含⽔果酒精饮料;威⼠忌</t>
  </si>
  <si>
    <t>今回金陵</t>
  </si>
  <si>
    <t>马亚飞</t>
  </si>
  <si>
    <t>汽酒;⽩酒;葡萄酒;甜酒;清酒;果酒;⾷⽤酒精;⻩酒;开胃酒;⽶酒</t>
  </si>
  <si>
    <t>醉满道</t>
  </si>
  <si>
    <t>黄慧东</t>
  </si>
  <si>
    <t>果酒（含酒精）;烈酒（饮料）;清酒（⽇本⽶酒）;⽩兰地;汽酒;⽩酒;⻩酒;葡萄酒;酒精饮料（啤酒除外）;伏特加酒</t>
  </si>
  <si>
    <t>春和窖良得利</t>
  </si>
  <si>
    <t>烧酒;酒精饮料原汁;鸡尾酒;果酒（含酒精）;⽶酒;酒精饮料（啤酒除外）;威⼠忌;开胃酒;⽩酒;葡萄酒</t>
  </si>
  <si>
    <t>寻酒梦</t>
  </si>
  <si>
    <t>朱月红</t>
  </si>
  <si>
    <t>鸡尾酒;威⼠忌;⽶酒;烧酒;⽩酒;⽩兰地;蒸馏饮料;葡萄酒;⻩酒;果酒（含酒精）</t>
  </si>
  <si>
    <t>清花酒霄</t>
  </si>
  <si>
    <t>侯刘东</t>
  </si>
  <si>
    <t>⽼酒（中国蒸馏烈酒）;⾼粱酒;烈酒;开胃酒;果酒;汽酒;由⾕物蒸馏的⽩酒;葡萄酒;酒精饮料（啤酒除外）;⽩酒</t>
  </si>
  <si>
    <t>酉福清花</t>
  </si>
  <si>
    <t>葡萄酒;汽酒;果酒;烈酒;由⾕物蒸馏的⽩酒;酒精饮料（啤酒除外）;⽼酒（中国蒸馏烈酒）;⾼粱酒;⽩酒;开胃酒</t>
  </si>
  <si>
    <t>科施福 KOSEFUL</t>
  </si>
  <si>
    <t>四川科施福农业科技有限公司</t>
  </si>
  <si>
    <t>果酒（含酒精）;樱桃酒;含酒精⽔果饮料;⽩酒;⾼粱酒;苹果酒;葡萄酒;酒精饮料（啤酒除外）;红葡萄酒;烧酒</t>
  </si>
  <si>
    <t>汉福瑞</t>
  </si>
  <si>
    <t>⽩酒;葡萄酒;⻩酒;⽶酒;威⼠忌;鸡尾酒;蒸馏饮料;烧酒;⽩兰地;果酒（含酒精）</t>
  </si>
  <si>
    <t>武珞</t>
  </si>
  <si>
    <t>苏州武珞控股集团有限公司</t>
  </si>
  <si>
    <t>薄荷酒</t>
  </si>
  <si>
    <t>虎步印</t>
  </si>
  <si>
    <t>金花企业（集团）股份有限公司</t>
  </si>
  <si>
    <t>含酒精的⽓泡⽔;蒸煮提取物（利⼝酒和烈酒）;酒精饮料（啤酒除外）;含酒精的饮料（啤酒除外）;烈酒（饮料）;酒精饮料原汁;果酒（含酒精）;蒸馏饮料;⽩酒;⾷⽤酒精</t>
  </si>
  <si>
    <t>湖漫谷</t>
  </si>
  <si>
    <t>温岭市供水有限公司</t>
  </si>
  <si>
    <t>烧酒;由⾕物蒸馏的⽩酒;杨梅酒;⽶酒;⽩酒;⻩酒;五加⽪酒（中国混合烈酒）;⻘梅酒;⽼酒（中国蒸馏烈酒）;葡萄酒</t>
  </si>
  <si>
    <t>麹醇堂</t>
  </si>
  <si>
    <t>株式会社麹醇堂</t>
  </si>
  <si>
    <t>含⽔果酒精饮料;朝鲜烧酒;蒸馏⽶酒（泡盛酒）;马格利酒（朝鲜传统⽶酒）;含酒精⽔果饮料;⽇式甜⽶酒;清酒;鸡尾酒;⽶酒;烧酒（烈酒）</t>
  </si>
  <si>
    <t>香率</t>
  </si>
  <si>
    <t>薄荷酒;鸡尾酒;葡萄酒;威⼠忌;⾷⽤酒精;果酒（含酒精）;烈酒（饮料）;露酒;⽶酒;⽩酒</t>
  </si>
  <si>
    <t>寿美斋</t>
  </si>
  <si>
    <t>吴国彬</t>
  </si>
  <si>
    <t>米酒;葡萄酒;清酒;开胃酒;白酒;食用酒精;黄酒;汽酒;甜酒;果酒</t>
  </si>
  <si>
    <t>沛醺</t>
  </si>
  <si>
    <t>武勇强</t>
  </si>
  <si>
    <t>烈酒（饮料）;⽩酒;鸡尾酒;含⽔果酒精饮料;清酒;蒸馏饮料;果酒（含酒精）;威⼠忌;酒精饮料原汁;烧酒</t>
  </si>
  <si>
    <t>曼陀花开</t>
  </si>
  <si>
    <t>王柏程</t>
  </si>
  <si>
    <t>鸡尾酒;⽩酒;汽酒;烧酒;⻩酒;葡萄酒;开胃酒;预先混合的酒精饮料（以啤酒为主的除外）;⾷⽤酒精;果酒（含酒精）</t>
  </si>
  <si>
    <t>松岛湖</t>
  </si>
  <si>
    <t>烈酒（饮料）;⽩兰地;含酒精的鸡尾酒混合饮品;威⼠忌;⽩酒;朗姆酒;蒸馏饮料;⻨芽威⼠忌;烧酒;伏特加酒</t>
  </si>
  <si>
    <t>何其彬</t>
  </si>
  <si>
    <t>何其彬340223********2230</t>
  </si>
  <si>
    <t>⽶酒;⾼粱酒;果酒;烈酒（饮料）;葡萄酒;⻩酒;⽩酒;清酒;朗姆酒（酒精饮料）;⾕物制蒸馏酒精饮料</t>
  </si>
  <si>
    <t>LEAGUE OF ONOS KNIGHTS</t>
  </si>
  <si>
    <t>广东宏强酒厂有限责任公司</t>
  </si>
  <si>
    <t>酒精饮料（啤酒除外）;混合威⼠忌酒;葡萄酒;威⼠忌;⽇本梅⼦酒;鸡尾酒;⽩兰地;清酒（⽇本⽶酒）;⽶酒;⻨芽威⼠忌</t>
  </si>
  <si>
    <t>红盖美</t>
  </si>
  <si>
    <t>贾建云</t>
  </si>
  <si>
    <t>⽩兰地;葡萄酒;鸡尾酒;预先混合的酒精饮料（以啤酒为主的除外）;酒精饮料（啤酒除外）;⽩酒;⻩酒;果酒（含酒精）;⽶酒;威⼠忌</t>
  </si>
  <si>
    <t>京有味</t>
  </si>
  <si>
    <t>云南泰有味进出口贸易有限责任公司</t>
  </si>
  <si>
    <t>烈酒;⾼粱酒;⽼酒（中国蒸馏烈酒）;果酒（含酒精）;⽩酒;葡萄酒;烧酒;⽶酒;⻩酒;清酒</t>
  </si>
  <si>
    <t>仁澜醉</t>
  </si>
  <si>
    <t>丁洁</t>
  </si>
  <si>
    <t>⽩酒;烧酒;葡萄酒;预先混合的酒精饮料（以啤酒为主的除外）;甜酒;⽼酒（中国蒸馏烈酒）;果酒（含酒精）;酒精饮料（啤酒除外）;烈酒;果酒</t>
  </si>
  <si>
    <t>八冠王</t>
  </si>
  <si>
    <t>鸡尾酒;烧酒;⽩酒;蒸馏饮料;⽶酒;葡萄酒;⻩酒;威⼠忌;果酒（含酒精）;⽩兰地</t>
  </si>
  <si>
    <t>川赤仙</t>
  </si>
  <si>
    <t>⽶酒;果酒（含酒精）;鸡尾酒;⻩酒;⽩酒;威⼠忌;葡萄酒;蒸馏饮料;⽩兰地;烧酒</t>
  </si>
  <si>
    <t>贵中友</t>
  </si>
  <si>
    <t>果酒（含酒精）;葡萄酒;蒸馏饮料;⽩兰地;⽶酒;⻩酒;烧酒;⽩酒;鸡尾酒;威⼠忌</t>
  </si>
  <si>
    <t>金花虎固</t>
  </si>
  <si>
    <t>果酒（含酒精）;蒸馏饮料;⽩酒;⾷⽤酒精;含酒精的⽓泡⽔;酒精饮料原汁;烈酒（饮料）;含酒精的饮料（啤酒除外）;蒸煮提取物（利⼝酒和烈酒）;酒精饮料（啤酒除外）</t>
  </si>
  <si>
    <t>近月流云</t>
  </si>
  <si>
    <t>福鼎市鼎晟辉生物科技有限公司</t>
  </si>
  <si>
    <t>⽩酒;⾷⽤酒精;葡萄酒;⽶酒;⾼粱酒;汽酒;果酒（含酒精）;开胃酒;预先混合的酒精饮料（以啤酒为主的除外）;⻩酒</t>
  </si>
  <si>
    <t>福贺宝樽</t>
  </si>
  <si>
    <t>樱桃酒;威⼠忌;蒸馏饮料;⾼粱酒;⽩⼲酒（中国⽩酒）;酒精饮料（啤酒除外）;梅酒;⽩酒;烈酒（饮料）;果酒（含酒精）</t>
  </si>
  <si>
    <t>凤迎朝</t>
  </si>
  <si>
    <t>周小英</t>
  </si>
  <si>
    <t>⽩酒;⻩酒;开胃酒;鸡尾酒;葡萄酒;⽼酒（中国蒸馏烈酒）;烈酒（饮料）;⽩⼲酒（中国⽩酒）;烧酒;⽶酒</t>
  </si>
  <si>
    <t>赵扁确</t>
  </si>
  <si>
    <t>杭州扁确科技有限公司</t>
  </si>
  <si>
    <t>⽼酒（中国蒸馏烈酒）;⽶酒;⾼粱酒;蒸馏⽶酒（泡盛酒）;⽩酒;烧酒;烈酒;蝮蛇酒;⻩酒;⽩⼲酒（中国⽩酒）</t>
  </si>
  <si>
    <t>雨棠</t>
  </si>
  <si>
    <t>川物集(四川)品牌管理有限公司</t>
  </si>
  <si>
    <t>果酒（含酒精）;梅酒;果酒;清酒;⽩酒;⻘梅酒;汽酒;⽶酒;⻩酒;利⼝酒</t>
  </si>
  <si>
    <t>晋粮洞</t>
  </si>
  <si>
    <t>山西粮投粮油集团有限公司</t>
  </si>
  <si>
    <t>⽩酒;果酒（含酒精）;⽶酒;葡萄酒;烈酒（饮料）;威⼠忌;蒸馏饮料;酒精饮料（啤酒除外）;⻩酒;⽩兰地</t>
  </si>
  <si>
    <t>江娱枫</t>
  </si>
  <si>
    <t>吴亮</t>
  </si>
  <si>
    <t>果酒（含酒精）;蒸馏饮料;⽩酒;烈酒（饮料）;酒精饮料原汁;含⽔果酒精饮料;烧酒;清酒;威⼠忌;鸡尾酒</t>
  </si>
  <si>
    <t>酣榻</t>
  </si>
  <si>
    <t>橐龠心坊（广东）智能生物科技有限公司</t>
  </si>
  <si>
    <t>⽶酒;⽩酒;⽩兰地;红葡萄酒;起泡红葡萄酒;⻩酒;威⼠忌;含酒精的⽓泡⽔;果酒（含酒精）;含⽔果酒精饮料</t>
  </si>
  <si>
    <t>杏玉青</t>
  </si>
  <si>
    <t>山西清香清花原浆酒业有限公司</t>
  </si>
  <si>
    <t>⾷⽤酒精;含⽔果酒精饮料;⽩酒;鸡尾酒;⽶酒;烧酒;葡萄酒;清酒（⽇本⽶酒）;预先混合的酒精饮料（以啤酒为主的除外）;⻩酒</t>
  </si>
  <si>
    <t>畅芳华</t>
  </si>
  <si>
    <t>龚述清</t>
  </si>
  <si>
    <t>烈酒;开胃酒;葡萄酒;威⼠忌;⽩酒;酒精饮料（啤酒除外）;⻩酒;果酒（含酒精）;清酒（⽇本⽶酒）;鸡尾酒</t>
  </si>
  <si>
    <t>井歌</t>
  </si>
  <si>
    <t>鸡尾酒;⻩酒;威⼠忌;⽩酒;果酒（含酒精）;葡萄酒;除啤酒外的酒精饮料;烈酒;⽶酒;清酒（⽇本⽶酒）</t>
  </si>
  <si>
    <t>六茸堂</t>
  </si>
  <si>
    <t>马小奎</t>
  </si>
  <si>
    <t>甜酒;汽酒;⽶酒;⾷⽤酒精;⻩酒;开胃酒;清酒;⽩酒;葡萄酒;果酒</t>
  </si>
  <si>
    <t>画剑纯</t>
  </si>
  <si>
    <t>⻘稞酒;鸡尾酒;威⼠忌;⽩兰地;葡萄酒;⽩酒;⻩酒;烧酒;⽶酒;烈酒</t>
  </si>
  <si>
    <t>养森方</t>
  </si>
  <si>
    <t>张育科</t>
  </si>
  <si>
    <t>⽶酒;清酒;果酒;汽酒;⾷⽤酒精;葡萄酒;⻩酒;⽩酒;开胃酒;甜酒</t>
  </si>
  <si>
    <t>摩口</t>
  </si>
  <si>
    <t>北京微家科技有限公司</t>
  </si>
  <si>
    <t>⻩酒;葡萄酒;果酒（含酒精）;⽶酒;含⽔果酒精饮料;烧酒（烈酒）;⽼酒（中国蒸馏烈酒）;⽩酒;酒精饮料（啤酒除外）;烈性⼲酒</t>
  </si>
  <si>
    <t>颂立</t>
  </si>
  <si>
    <t>江门市新会区柑园主陈皮茶业有限公司</t>
  </si>
  <si>
    <t>⽶酒;⻩酒;开胃酒;蜂蜜酒;葡萄酒;蒸馏饮料;⽩酒;烧酒;果酒（含酒精）;预先混合的酒精饮料（以啤酒为主的除外）</t>
  </si>
  <si>
    <t>黔福城</t>
  </si>
  <si>
    <t>贵州福城饮食文化管理有限公司</t>
  </si>
  <si>
    <t>葡萄酒;⾷⽤酒精;⻩酒;樱桃酒;酸酒（低等葡萄酒）;⽩酒;杜松⼦酒;烈酒（饮料）;蜂蜜酒;⽩兰地</t>
  </si>
  <si>
    <t>巧福清花</t>
  </si>
  <si>
    <t>靳鸿瑞</t>
  </si>
  <si>
    <t>开胃酒;⾼粱酒;酒精饮料（啤酒除外）;由⾕物蒸馏的⽩酒;⽼酒（中国蒸馏烈酒）;烈酒;葡萄酒;⽩酒;汽酒;果酒</t>
  </si>
  <si>
    <t>时觥</t>
  </si>
  <si>
    <t>戴文锋</t>
  </si>
  <si>
    <t>鸡尾酒;⽶酒;⻩酒;⽩酒;烧酒;清酒（⽇本⽶酒）;含⽔果酒精饮料;果酒（含酒精）;葡萄酒;烈酒（饮料）</t>
  </si>
  <si>
    <t>豪廷世佳</t>
  </si>
  <si>
    <t>豪廷世佳(丽水)供应链有限公司</t>
  </si>
  <si>
    <t>⽶酒;⽩⼲酒（中国⽩酒）;⽩酒;烈酒;甜酒;果酒（含酒精）;葡萄酒;果酒;⾼粱酒;清酒</t>
  </si>
  <si>
    <t>瑞玲祥</t>
  </si>
  <si>
    <t>重庆瑞玲祥文化传播有限公司</t>
  </si>
  <si>
    <t>⻩酒;葡萄酒;⽶酒;梅酒;清酒;果酒;烈酒（饮料）;⽩酒;烧酒（烈酒）;⾼粱酒</t>
  </si>
  <si>
    <t>岭背</t>
  </si>
  <si>
    <t>博罗县观音阁镇小圆子烘焙</t>
  </si>
  <si>
    <t>汽酒;⾼粱酒;含酒精⽔果饮料;蒸煮提取物（利⼝酒和烈酒）;⻩酒;⽩酒;果酒;⽼酒（中国蒸馏烈酒）;葡萄酒;⽶酒</t>
  </si>
  <si>
    <t>聃心静</t>
  </si>
  <si>
    <t>薄荷酒;⻘稞酒;⽩酒;含酒精⽔果饮料;果酒;⽶酒;⻩酒;以葡萄酒为主的饮料;含酒精的⽓泡⽔;果酒（含酒精）</t>
  </si>
  <si>
    <t>劲馨</t>
  </si>
  <si>
    <t>黄进慰</t>
  </si>
  <si>
    <t>鸡尾酒;葡萄酒;威⼠忌;含⽔果酒精饮料;果酒（含酒精）;⽶酒;⻩酒;⽩酒;烧酒;⽩兰地</t>
  </si>
  <si>
    <t>茶问花</t>
  </si>
  <si>
    <t>黄海波</t>
  </si>
  <si>
    <t>含酒精的饮料（啤酒除外）;果酒;葡萄酒;⻩酒;⾼粱酒;松叶酒;甜酒;⾷⽤酒精;⽩酒;⽶酒;清酒</t>
  </si>
  <si>
    <t>雅朵喜悦</t>
  </si>
  <si>
    <t>上海雅朵喜悦酒店有限公司</t>
  </si>
  <si>
    <t>⾕物制蒸馏酒精饮料;果酒（含酒精）;汽酒;烧酒;酒精饮料（啤酒除外）;清酒;烈酒（饮料）;⽶酒;蒸煮提取物（利⼝酒和烈酒）;⾷⽤酒精</t>
  </si>
  <si>
    <t>长合仙</t>
  </si>
  <si>
    <t>封开县长合文化发展有限公司</t>
  </si>
  <si>
    <t>葡萄酒;⽩酒;⽶酒;烧酒;烈酒（饮料）;果酒（含酒精）;清酒;鸡尾酒;利⼝酒;⻩酒</t>
  </si>
  <si>
    <t>颜襄公</t>
  </si>
  <si>
    <t>花雕酒;烧酒;⽩酒;蒸馏饮料;清酒;威⼠忌;酒精饮料原汁;葡萄酒</t>
  </si>
  <si>
    <t>虎元尚将</t>
  </si>
  <si>
    <t>蒸馏饮料;烈酒（饮料）;酒精饮料（啤酒除外）;⽩酒;含酒精的饮料（啤酒除外）;⾷⽤酒精;蒸煮提取物（利⼝酒和烈酒）;含酒精的⽓泡⽔;酒精饮料原汁;果酒（含酒精）</t>
  </si>
  <si>
    <t>聿妍</t>
  </si>
  <si>
    <t>烈酒;⽶酒;葡萄酒;⾼粱酒;烧酒;果酒;⽩酒;露酒;蝮蛇酒;⻩酒</t>
  </si>
  <si>
    <t>金赞喜</t>
  </si>
  <si>
    <t>岳阳圣德珹文化科技有限公司</t>
  </si>
  <si>
    <t>葡萄酒;果酒;⾷⽤酒精;⻩酒;⾕物制蒸馏酒精饮料;酒精饮料（啤酒除外）;⽩酒;蜂蜜酒;烧酒;⽶酒</t>
  </si>
  <si>
    <t>御酒谣</t>
  </si>
  <si>
    <t>烧酒;果酒（含酒精）;⻩酒;蒸馏饮料;鸡尾酒;威⼠忌;⽶酒;葡萄酒;⽩酒;⽩兰地</t>
  </si>
  <si>
    <t>椰岛元老</t>
  </si>
  <si>
    <t>海南椰岛（集团）股份有限公司</t>
  </si>
  <si>
    <t>⽶酒;蒸煮提取物（利⼝酒和烈酒）;鸡尾酒;露酒;汽酒;⽩酒;⻩酒;葡萄酒;酒精饮料（啤酒除外）;果酒（含酒精）</t>
  </si>
  <si>
    <t>虎阳健将</t>
  </si>
  <si>
    <t>果酒（含酒精）;烈酒（饮料）;⾷⽤酒精;蒸馏饮料;酒精饮料原汁;含酒精的饮料（啤酒除外）;含酒精的⽓泡⽔;⽩酒;蒸煮提取物（利⼝酒和烈酒）;酒精饮料（啤酒除外）</t>
  </si>
  <si>
    <t>椰岛尚老</t>
  </si>
  <si>
    <t>⽶酒;葡萄酒;露酒;酒精饮料（啤酒除外）;蒸煮提取物（利⼝酒和烈酒）;鸡尾酒;⽩酒;汽酒;⻩酒;果酒（含酒精）</t>
  </si>
  <si>
    <t>阳阳丰兴园</t>
  </si>
  <si>
    <t>北京东方阳阳企业管理有限公司</t>
  </si>
  <si>
    <t>葡萄酒;⽩酒;⽩兰地;酒精饮料原汁;酒精饮料（啤酒除外）;开胃酒;果酒;蒸馏饮料;梨酒;⻩酒</t>
  </si>
  <si>
    <t>醇容南</t>
  </si>
  <si>
    <t>王雨</t>
  </si>
  <si>
    <t>含⽔果酒精饮料;⽩酒;酒精饮料原汁;烧酒;果酒（含酒精）;清酒;烈酒（饮料）;威⼠忌;蒸馏饮料;鸡尾酒</t>
  </si>
  <si>
    <t>旌樽</t>
  </si>
  <si>
    <t>四川臣创智合医药科技有限公司</t>
  </si>
  <si>
    <t>果酒（含酒精）;葡萄酒;⽩酒;⽶酒</t>
  </si>
  <si>
    <t>麻楮纯</t>
  </si>
  <si>
    <t>黄德华</t>
  </si>
  <si>
    <t>酒精饮料（啤酒除外）;⽩酒;⽩兰地;薄荷酒;已调味的蒸馏酒;果酒（含酒精）;烧酒;⻩酒;⽶酒;红葡萄酒</t>
  </si>
  <si>
    <t>浔客来</t>
  </si>
  <si>
    <t>三书六礼(南昌)电子商务有限公司</t>
  </si>
  <si>
    <t>葡萄酒;⽶酒;⻩酒;酒精饮料（啤酒除外）;清酒（⽇本⽶酒）;烧酒;⽩酒;甜酒;果酒（含酒精）;烈酒（饮料）</t>
  </si>
  <si>
    <t>怀庄甄品</t>
  </si>
  <si>
    <t>蒸馏饮料;⽶酒;⽩酒;苹果酒;餐后酒（利⼝酒和烈酒）;⾕物制蒸馏酒精饮料;露酒;果酒（含酒精）;葡萄酒;烈酒（饮料）</t>
  </si>
  <si>
    <t>乐儒翼·星辰之恋</t>
  </si>
  <si>
    <t>付卓群</t>
  </si>
  <si>
    <t>威⼠忌;以葡萄酒为主的饮料;⽩酒;烈酒;葡萄酒;红葡萄酒;开胃酒;⽩兰地;果酒;含酒精的鸡尾酒混合饮品</t>
  </si>
  <si>
    <t>颐和丹</t>
  </si>
  <si>
    <t>钟正委</t>
  </si>
  <si>
    <t>⾕物制蒸馏酒精饮料;⽩酒;果酒（含酒精）;葡萄酒;酒精饮料（啤酒除外）;汽酒;蒸馏饮料;烈酒（饮料）;预先混合的酒精饮料（以啤酒为主的除外）;⻩酒</t>
  </si>
  <si>
    <t>清月初上</t>
  </si>
  <si>
    <t>清酒;开胃酒;⽩⼲酒（中国⽩酒）;⽩酒;⻘稞酒;果酒;⽼酒（中国蒸馏烈酒）;烧酒;⾼粱酒;葡萄酒</t>
  </si>
  <si>
    <t>虎古集</t>
  </si>
  <si>
    <t>果酒（含酒精）;含酒精的饮料（啤酒除外）;酒精饮料（啤酒除外）;蒸馏饮料;蒸煮提取物（利⼝酒和烈酒）;含酒精的⽓泡⽔;酒精饮料原汁;烈酒（饮料）;⽩酒;⾷⽤酒精</t>
  </si>
  <si>
    <t>虎固集</t>
  </si>
  <si>
    <t>蒸馏饮料;⾷⽤酒精;果酒（含酒精）;烈酒（饮料）;酒精饮料（啤酒除外）;含酒精的⽓泡⽔;酒精饮料原汁;含酒精的饮料（啤酒除外）;蒸煮提取物（利⼝酒和烈酒）;⽩酒</t>
  </si>
  <si>
    <t>溱源山</t>
  </si>
  <si>
    <t>广州花都区花城天声电子商行（个体工商户）</t>
  </si>
  <si>
    <t>果酒（含酒精）;⽩酒;伏特加酒;蜂蜜酒;威⼠忌;⽩兰地;⽶酒;葡萄酒;⾕物制蒸馏酒精饮料;酒精饮料（啤酒除外）</t>
  </si>
  <si>
    <t>将客谜</t>
  </si>
  <si>
    <t>王鹏</t>
  </si>
  <si>
    <t>烧酒;清酒;威⼠忌;酒精饮料原汁;含⽔果酒精饮料;烈酒（饮料）;蒸馏饮料;⽩酒;果酒（含酒精）;鸡尾酒</t>
  </si>
  <si>
    <t>云下凳上</t>
  </si>
  <si>
    <t>成都东部新区石板凳街道乡村振兴服务中心</t>
  </si>
  <si>
    <t>蜂蜜酒;酒精饮料原汁;烧酒;甜果酒;⽩酒;酒精饮料浓缩汁;葡萄酒;果酒（含酒精）;酒精饮料（啤酒除外）;含⽔果酒精饮料</t>
  </si>
  <si>
    <t>杰孚</t>
  </si>
  <si>
    <t>潍坊米悦美时品牌管理有限公司</t>
  </si>
  <si>
    <t>鸡尾酒;杜松⼦酒;清酒（⽇本⽶酒）;伏特加酒;⽩兰地;利⼝酒;葡萄酒;威⼠忌;朗姆酒;果酒（含酒精）</t>
  </si>
  <si>
    <t>陈伟342923********0010</t>
  </si>
  <si>
    <t>果酒;清酒;烧酒;酒精饮料（啤酒除外）;烈酒;⻩酒;⽩酒;⽶酒;葡萄酒;鸡尾酒</t>
  </si>
  <si>
    <t>K</t>
  </si>
  <si>
    <t>劳斯国际贸易有限公司</t>
  </si>
  <si>
    <t>⻘稞酒;果酒（含酒精）;清酒（⽇本⽶酒）;⽶酒;⽩酒;鸡尾酒;⻩酒;利⼝酒;烈酒（饮料）;葡萄酒</t>
  </si>
  <si>
    <t>OSCI</t>
  </si>
  <si>
    <t>开胃酒;⽩⼲酒（中国⽩酒）;鸡尾酒;⽶酒;烈酒（饮料）;⻩酒;烧酒;葡萄酒;⽼酒（中国蒸馏烈酒）;⽩酒</t>
  </si>
  <si>
    <t>成都玛萨斯贝斯科技有限公司</t>
  </si>
  <si>
    <t>烈酒;开胃酒;鸡尾酒;酒精饮料（啤酒除外）;⽩酒;果酒（含酒精）;威⼠忌;薄荷酒;酒精饮料浓缩汁;餐后酒（利⼝酒和烈酒）</t>
  </si>
  <si>
    <t>听遇</t>
  </si>
  <si>
    <t>广州千美荟健康科技有限公司</t>
  </si>
  <si>
    <t>烈酒（饮料）;⾷⽤酒精;⽩酒;果酒（含酒精）;葡萄酒;除啤酒外的酒精饮料;⻩酒;烧酒;清酒（⽇本⽶酒）;酒精饮料（啤酒除外）</t>
  </si>
  <si>
    <t>纽带帮</t>
  </si>
  <si>
    <t>张兴文</t>
  </si>
  <si>
    <t>⽩兰地;红葡萄酒;含⽔果酒精饮料;葡萄酒;清酒;⻩酒;⽶酒;威⼠忌;烧酒;⽩酒</t>
  </si>
  <si>
    <t>哈哆喏司</t>
  </si>
  <si>
    <t>温州市随新食品配送有限公司</t>
  </si>
  <si>
    <t>开胃酒;烧酒;鸡尾酒;果酒（含酒精）;⽶酒;蒸馏⽶酒（泡盛酒）;⽩酒;薄荷酒;烈酒（饮料）;⻩酒</t>
  </si>
  <si>
    <t>靓豪派</t>
  </si>
  <si>
    <t>陈韬</t>
  </si>
  <si>
    <t>利⼝酒;⽶酒;⻘稞酒;⻩酒;烧酒;果酒;葡萄酒;⽩酒;蒸馏饮料;酒精饮料（啤酒除外）</t>
  </si>
  <si>
    <t>RIVERSCAPE ESTATE</t>
  </si>
  <si>
    <t>舒路酒业有限公司</t>
  </si>
  <si>
    <t>⻩酒;烧酒;蜂蜜酒;鸡尾酒;⽩兰地;⽩酒;⾷⽤酒精;开胃酒;苹果酒;葡萄酒</t>
  </si>
  <si>
    <t>千群山</t>
  </si>
  <si>
    <t>深圳市大小时代国际创意文化有限公司</t>
  </si>
  <si>
    <t>葡萄酒;蒸馏饮料;酒精饮料（啤酒除外）;⻩酒;鸡尾酒;果酒（含酒精）;烧酒;⽩酒;⽶酒;烈酒（饮料）</t>
  </si>
  <si>
    <t>衢哥</t>
  </si>
  <si>
    <t>杭州小妙果装饰材料有限公司</t>
  </si>
  <si>
    <t>蒸馏饮料;⽩兰地;⾷⽤酒精;⾕物制蒸馏酒精饮料;⽩酒;开胃酒;葡萄酒;利⼝酒;烈酒（饮料）;果酒（含酒精）</t>
  </si>
  <si>
    <t>雨禾青龙醉</t>
  </si>
  <si>
    <t>青龙满族自治县雨禾酒业有限公司</t>
  </si>
  <si>
    <t>葡萄酒;果酒（含酒精）;⽩酒;烧酒;⽶酒;酒精饮料原汁;⻩酒;⾷⽤酒精;朗姆酒;威⼠忌</t>
  </si>
  <si>
    <t>喜酌宗</t>
  </si>
  <si>
    <t>晏洋</t>
  </si>
  <si>
    <t>⽩酒;果酒（含酒精）;酒精饮料原汁;清酒;蒸馏饮料;鸡尾酒;含⽔果酒精饮料;烧酒;威⼠忌;烈酒（饮料）</t>
  </si>
  <si>
    <t>外卖狼</t>
  </si>
  <si>
    <t>彭上星</t>
  </si>
  <si>
    <t>⽶酒;含⽔果酒精饮料;⽩酒;葡萄酒;酒精饮料（啤酒除外）;⻩酒;鸡尾酒;烈酒（饮料）;⽩兰地;威⼠忌</t>
  </si>
  <si>
    <t>云南正孚建筑材料有限公司</t>
  </si>
  <si>
    <t>⾷⽤酒精;⾕物制蒸馏酒精饮料;果酒（含酒精）;⽩酒;⽶酒;⻩酒;蒸煮提取物（利⼝酒和烈酒）;烧酒;⽼酒（中国蒸馏烈酒）;葡萄酒</t>
  </si>
  <si>
    <t>糯诵</t>
  </si>
  <si>
    <t>⽩⼲酒（中国⽩酒）;葡萄酒;含酒精的饮料（啤酒除外）;果酒;⻩酒;⽶酒;佐餐酒;烧酒;⽩酒;汽酒</t>
  </si>
  <si>
    <t>麦庚</t>
  </si>
  <si>
    <t>吴亚东</t>
  </si>
  <si>
    <t>果酒（含酒精）;蒸馏饮料;⽩酒;威⼠忌;烧酒;鸡尾酒;酒精饮料原汁;含⽔果酒精饮料;清酒;烈酒（饮料）</t>
  </si>
  <si>
    <t>莎莎坤</t>
  </si>
  <si>
    <t>青岛马榴鲜餐饮服务管理有限公司</t>
  </si>
  <si>
    <t>烧酒;酒精饮料（啤酒除外）;⾷⽤酒精;⽩酒;果酒;鸡尾酒;⻩酒;已调味的⻨芽酿制的酒精饮料（啤酒除外）;⽶酒;葡萄酒</t>
  </si>
  <si>
    <t>虎固健将</t>
  </si>
  <si>
    <t>蒸馏饮料;含酒精的饮料（啤酒除外）;含酒精的⽓泡⽔;酒精饮料原汁;⾷⽤酒精;蒸煮提取物（利⼝酒和烈酒）;果酒（含酒精）;烈酒（饮料）;⽩酒;酒精饮料（啤酒除外）</t>
  </si>
  <si>
    <t>纪舞剑</t>
  </si>
  <si>
    <t>鸡尾酒;葡萄酒;⻘稞酒;⽩酒;⽶酒;烈酒;⽩兰地;威⼠忌;⻩酒;烧酒</t>
  </si>
  <si>
    <t>钧傅</t>
  </si>
  <si>
    <t>陈小琴</t>
  </si>
  <si>
    <t>威⼠忌;果酒（含酒精）;烧酒;⻩酒;⾷⽤酒精;⽩酒;⽶酒;含⽔果酒精饮料;⻘稞酒;烈酒（饮料）</t>
  </si>
  <si>
    <t>守康济元</t>
  </si>
  <si>
    <t>谢兴梅</t>
  </si>
  <si>
    <t>汽酒;蒸馏饮料;酒精饮料（啤酒除外）;⻩酒;烈酒（饮料）;开胃酒;⽶酒;⾷⽤酒精;⽩酒;果酒（含酒精）</t>
  </si>
  <si>
    <t>闯鹿</t>
  </si>
  <si>
    <t>邱卫鸣</t>
  </si>
  <si>
    <t>葡萄酒;⻩酒;鸡尾酒;酒精饮料（啤酒除外）;⾼粱酒;含酒精的⽓泡⽔;⽩酒;果酒（含酒精）;烧酒;⽶酒</t>
  </si>
  <si>
    <t>浯芝水润</t>
  </si>
  <si>
    <t>青岛恒运工艺品有限公司</t>
  </si>
  <si>
    <t>预先混合的酒精饮料（以啤酒为主的除外）;⻩酒;酒精饮料（啤酒除外）;⽩酒;果酒（含酒精）;烧酒;⽩兰地;⽶酒;葡萄酒;⾼粱酒</t>
  </si>
  <si>
    <t>醉樽桂</t>
  </si>
  <si>
    <t>武夷山半斗茶业有限公司</t>
  </si>
  <si>
    <t>汽酒;酒精饮料原汁;⽶酒;葡萄酒;⾷⽤酒精;⻩酒;烧酒;烈酒（饮料）;⽩酒;开胃酒</t>
  </si>
  <si>
    <t>东冶逸丞</t>
  </si>
  <si>
    <t>鸡尾酒;酒精饮料浓缩汁;⽶酒;汽酒;⽩酒;葡萄酒;开胃酒;含⽔果酒精饮料;烧酒;⾷⽤酒精</t>
  </si>
  <si>
    <t>朱岩璋</t>
  </si>
  <si>
    <t>大头哥投资（武夷山）有限公司</t>
  </si>
  <si>
    <t>汽酒;⽩酒;果酒（含酒精）;蒸馏饮料;烈酒（饮料）;葡萄酒;⻩酒;开胃酒;酒精饮料（啤酒除外）;⽶酒</t>
  </si>
  <si>
    <t>波洲</t>
  </si>
  <si>
    <t>姚含艺</t>
  </si>
  <si>
    <t>⽶酒;果酒;⽩酒;⾷⽤酒精;蜂蜜酒;葡萄酒;烈酒;开胃酒;鸡尾酒;酒精饮料（啤酒除外）</t>
  </si>
  <si>
    <t>六角鼎</t>
  </si>
  <si>
    <t>樊华</t>
  </si>
  <si>
    <t>⽶酒;果酒;含⽔果酒精饮料;烧酒;⽩酒;⻩酒;烈酒;由⾕物蒸馏的⽩酒;汽酒;⾼粱酒</t>
  </si>
  <si>
    <t>醇叶原</t>
  </si>
  <si>
    <t>王梁</t>
  </si>
  <si>
    <t>含⽔果酒精饮料;烧酒;⽩酒;烈酒（饮料）;果酒（含酒精）;酒精饮料原汁;鸡尾酒;清酒;威⼠忌;蒸馏饮料</t>
  </si>
  <si>
    <t>宋九鸣</t>
  </si>
  <si>
    <t>宋小朋</t>
  </si>
  <si>
    <t>汽酒;烧酒;由⾕物蒸馏的⽩酒;⾷⽤酒精;⾕物制蒸馏酒精饮料;葡萄酒;咖啡利⼝酒;⽩酒;⻘稞酒;⻩酒</t>
  </si>
  <si>
    <t>天德人家</t>
  </si>
  <si>
    <t>天德坊（济宁）电子商贸有限公司</t>
  </si>
  <si>
    <t>金花虎步</t>
  </si>
  <si>
    <t>烈酒（饮料）;果酒（含酒精）;酒精饮料（啤酒除外）;⾷⽤酒精;含酒精的饮料（啤酒除外）;含酒精的⽓泡⽔;酒精饮料原汁;蒸馏饮料;⽩酒;蒸煮提取物（利⼝酒和烈酒）</t>
  </si>
  <si>
    <t>铂玺</t>
  </si>
  <si>
    <t>柯思琪</t>
  </si>
  <si>
    <t>汽酒;果酒（含酒精）;葡萄酒;⽩兰地;⽩酒;⻩酒;酒精饮料（啤酒除外）;伏特加酒;烈酒（饮料）;清酒（⽇本⽶酒）</t>
  </si>
  <si>
    <t>XOHRAT 削合热提</t>
  </si>
  <si>
    <t>阿卜杜热合曼·如则麦麦提</t>
  </si>
  <si>
    <t>红葡萄酒;威⼠忌;朗姆酒（酒精饮料）;⽼酒（中国蒸馏烈酒）;⽩酒;混合威⼠忌酒;含⽔果酒精饮料;烈酒;开胃酒;果酒</t>
  </si>
  <si>
    <t>星歌迷</t>
  </si>
  <si>
    <t>河南歌迷文化娱乐有限公司</t>
  </si>
  <si>
    <t>利⼝酒;烧酒;⽩酒;⽩兰地;⻩酒;果酒;葡萄酒;酒精饮料（啤酒除外）;⽶酒;开胃酒</t>
  </si>
  <si>
    <t>四皇叔</t>
  </si>
  <si>
    <t>四皇叔（上海）食品有限公司</t>
  </si>
  <si>
    <t>烧酒（烈酒）;葡萄酒;鸡尾酒;开胃酒;⽶酒;⽩酒;威⼠忌;⽩兰地;清酒;果酒（含酒精）</t>
  </si>
  <si>
    <t>美其亚</t>
  </si>
  <si>
    <t>张艺媛</t>
  </si>
  <si>
    <t>葡萄酒;⽶酒;汽酒;⻩酒;果酒;烧酒;烈酒;甜酒;清酒;⽩酒</t>
  </si>
  <si>
    <t>凤英怀</t>
  </si>
  <si>
    <t>葡萄酒;威⼠忌;鸡尾酒;⽩兰地;⽩酒;蒸馏饮料;果酒（含酒精）;⽶酒;烧酒;⻩酒</t>
  </si>
  <si>
    <t>双辞</t>
  </si>
  <si>
    <t>葡萄酒;清酒（⽇本⽶酒）;果酒;利⼝酒;烧酒;开胃酒;酒精饮料（啤酒除外）;朗姆酒;⽩酒;鸡尾酒</t>
  </si>
  <si>
    <t>怀傅</t>
  </si>
  <si>
    <t>含⽔果酒精饮料;烈酒（饮料）;⾷⽤酒精;果酒（含酒精）;⻩酒;⻘稞酒;⽩酒;威⼠忌;⽶酒;烧酒</t>
  </si>
  <si>
    <t>星福瑞</t>
  </si>
  <si>
    <t>威⼠忌;葡萄酒;⽩兰地;⽶酒;⽩酒;果酒（含酒精）;鸡尾酒;⻩酒;蒸馏饮料;烧酒</t>
  </si>
  <si>
    <t>乡善物美</t>
  </si>
  <si>
    <t>源升态（重庆）生物科技有限责任公司</t>
  </si>
  <si>
    <t>开胃酒;葡萄酒;⽶酒;⽩酒;伏特加酒;果酒（含酒精）;薄荷酒;⻩酒;酒精饮料（啤酒除外）;烧酒</t>
  </si>
  <si>
    <t>温州市龙湾区农业产业联合会</t>
  </si>
  <si>
    <t>鸡尾酒;含⽔果酒精饮料;葡萄酒;⽩酒;开胃酒;酒精饮料（啤酒除外）;⻩酒;杨梅酒;果酒（含酒精）;薄荷酒</t>
  </si>
  <si>
    <t>且稡</t>
  </si>
  <si>
    <t>自贡得煜商贸有限责任公司</t>
  </si>
  <si>
    <t>果酒;⻩酒;⽩酒;⽩⼲酒（中国⽩酒）;⾼粱酒;⽶酒;⻘稞酒;⾷⽤酒精;⽼酒（中国蒸馏烈酒）;烧酒（烈酒）</t>
  </si>
  <si>
    <t>有度澍</t>
  </si>
  <si>
    <t>⾷⽤酒精;⽼酒（中国蒸馏烈酒）;⾼粱酒;⽩⼲酒（中国⽩酒）;⻩酒;⽩酒;果酒;⽶酒;烧酒（烈酒）;⻘稞酒</t>
  </si>
  <si>
    <t>纯江雁</t>
  </si>
  <si>
    <t>王声飞</t>
  </si>
  <si>
    <t>烧酒;威⼠忌;酒精饮料原汁;⽩酒;鸡尾酒;含⽔果酒精饮料;烈酒（饮料）;果酒（含酒精）;清酒;蒸馏饮料</t>
  </si>
  <si>
    <t>酒九予你</t>
  </si>
  <si>
    <t>晋江市唐锦鹿商贸有限公司</t>
  </si>
  <si>
    <t>⽩兰地;葡萄酒;酒精饮料（啤酒除外）;⽩酒;⽶酒;清酒;烈酒;烧酒;果酒;威⼠忌</t>
  </si>
  <si>
    <t>帝壶川</t>
  </si>
  <si>
    <t>谢浪宇</t>
  </si>
  <si>
    <t>果酒（含酒精）;烈酒（饮料）;含⽔果酒精饮料;⽩酒;蒸馏饮料;威⼠忌;酒精饮料原汁;鸡尾酒;烧酒;清酒</t>
  </si>
  <si>
    <t>古壹零捌坊</t>
  </si>
  <si>
    <t>可可莱特食品有限公司</t>
  </si>
  <si>
    <t>葡萄酒;酒精饮料（啤酒除外）;⽩兰地;鸡尾酒;⻩酒;含⽔果酒精饮料;⽩酒;⽶酒;果酒（含酒精）;⾷⽤酒精</t>
  </si>
  <si>
    <t>乐儒翼·美之泉</t>
  </si>
  <si>
    <t>⽩酒;含酒精的鸡尾酒混合饮品;以葡萄酒为主的饮料;开胃酒;果酒;红葡萄酒;⽩兰地;烈酒;威⼠忌;葡萄酒</t>
  </si>
  <si>
    <t>叠翠留香</t>
  </si>
  <si>
    <t>葡萄酒;预先混合的酒精饮料（以啤酒为主的除外）;⾷⽤酒精;果酒（含酒精）;汽酒;⽩酒;开胃酒;⻩酒;⾼粱酒;⽶酒</t>
  </si>
  <si>
    <t>萃掌门</t>
  </si>
  <si>
    <t>王康稳</t>
  </si>
  <si>
    <t>果酒;汽酒;甜酒;⽩酒;⾷⽤酒精;开胃酒;清酒;⽶酒;⻩酒;葡萄酒</t>
  </si>
  <si>
    <t>烈酒（饮料）;甜果酒;葡萄酒;⽩酒;⽩⼲酒（中国⽩酒）;⻩酒;清酒;酒精饮料（啤酒除外）;烧酒;果酒（含酒精）</t>
  </si>
  <si>
    <t>璞小丫</t>
  </si>
  <si>
    <t>宁夏东方裕兴酒庄有限公司</t>
  </si>
  <si>
    <t>⾷⽤酒精;烧酒;果酒（含酒精）;开胃酒;汽酒;⻘稞酒;薄荷酒;威⼠忌;伏特加酒;烈酒（饮料）</t>
  </si>
  <si>
    <t>嗨富莱</t>
  </si>
  <si>
    <t>刘玉霞</t>
  </si>
  <si>
    <t>葡萄酒;酒精饮料（啤酒除外）;⽩兰地;含⽔果酒精饮料;果酒;⽔果汽酒;⽩酒;⻘梅酒;威⼠忌;红葡萄酒</t>
  </si>
  <si>
    <t>雁门三犁</t>
  </si>
  <si>
    <t>山西雁门三犁农业科技有限公司</t>
  </si>
  <si>
    <t>预先混合的酒精饮料（以啤酒为主的除外）;⻘稞酒;果酒（含酒精）;蒸馏饮料;含⽔果酒精饮料;⻩酒;⽩酒;葡萄酒;⾕物制蒸馏酒精饮料;汽酒</t>
  </si>
  <si>
    <t>勇鳄</t>
  </si>
  <si>
    <t>杨排凤</t>
  </si>
  <si>
    <t>薄荷酒;伏特加酒;鸡尾酒;利⼝酒;烧酒;⻩酒;⽩酒;开胃酒;酒精饮料浓缩汁;樱桃酒</t>
  </si>
  <si>
    <t>庞泉秋实</t>
  </si>
  <si>
    <t>烧酒;⻩酒;烈酒浓缩汁;⽩酒;蒸煮提取物（利⼝酒和烈酒）;烈酒（饮料）;⾷⽤酒精;⽩⼲酒（中国⽩酒）;⾼粱酒;葡萄酒</t>
  </si>
  <si>
    <t>华胜欣</t>
  </si>
  <si>
    <t>万源市华胜农业开发有限责任公司</t>
  </si>
  <si>
    <t>烈酒;由⾕物蒸馏的⽩酒;烧酒（烈酒）;⾕物制蒸馏酒精饮料;已调味的蒸馏酒;烧酒;⽩酒;蒸煮提取物（利⼝酒和烈酒）</t>
  </si>
  <si>
    <t>越野和谐堂</t>
  </si>
  <si>
    <t>黑龙江双电科技有限公司</t>
  </si>
  <si>
    <t>蒸馏饮料;果酒（含酒精）;烈酒（饮料）;⻩酒;蜂蜜酒;⻘稞酒;烧酒;苹果酒;葡萄酒;酒精饮料（啤酒除外）</t>
  </si>
  <si>
    <t>立客来</t>
  </si>
  <si>
    <t>金增兴</t>
  </si>
  <si>
    <t>果酒;汽酒;甜酒;清酒;⽶酒;葡萄酒;⻩酒;开胃酒;⾷⽤酒精;⽩酒</t>
  </si>
  <si>
    <t>金花虎</t>
  </si>
  <si>
    <t>果酒（含酒精）;蒸馏饮料;含酒精的饮料（啤酒除外）;含酒精的⽓泡⽔;酒精饮料原汁;蒸煮提取物（利⼝酒和烈酒）;⽩酒;烈酒（饮料）;酒精饮料（啤酒除外）;⾷⽤酒精</t>
  </si>
  <si>
    <t>TONS YOUNG</t>
  </si>
  <si>
    <t>亳州市白公起健康科技有限公司</t>
  </si>
  <si>
    <t>⾷⽤酒精;葡萄酒;烧酒;蒸煮提取物（利⼝酒和烈酒）;酒精饮料（啤酒除外）;⽶酒;鸡尾酒;果酒（含酒精）;⽩酒;⻩酒</t>
  </si>
  <si>
    <t>朵邦人</t>
  </si>
  <si>
    <t>青岛海川高科贸易有限公司</t>
  </si>
  <si>
    <t>伏特加酒;⽩兰地;威⼠忌;⽶酒;⽩酒;鸡尾酒;葡萄酒;果酒（含酒精）;⻩酒;烧酒</t>
  </si>
  <si>
    <t>林杏清韵</t>
  </si>
  <si>
    <t>⾼粱酒;开胃酒;葡萄酒;汽酒;烈酒;⽼酒（中国蒸馏烈酒）;果酒;酒精饮料（啤酒除外）;由⾕物蒸馏的⽩酒;⽩酒</t>
  </si>
  <si>
    <t>汇文</t>
  </si>
  <si>
    <t>亨富（天津）国际贸易有限公司</t>
  </si>
  <si>
    <t>酒精饮料（啤酒除外）;果酒（含酒精）;鸡尾酒;葡萄酒;以葡萄酒为主的饮料;威⼠忌;⽩酒;烧酒;汽酒;⽩兰地</t>
  </si>
  <si>
    <t>科施福</t>
  </si>
  <si>
    <t>烧酒;葡萄酒;含酒精⽔果饮料;红葡萄酒;酒精饮料（啤酒除外）;⽩酒;苹果酒;樱桃酒;果酒（含酒精）;⾼粱酒</t>
  </si>
  <si>
    <t>花为缘</t>
  </si>
  <si>
    <t>无锡花为媒文化传媒有限公司</t>
  </si>
  <si>
    <t>鸡尾酒;含⽔果酒精饮料;伏特加酒;⽶酒;⽩酒;甜酒;果酒（含酒精）;酒精饮料（啤酒除外）;烈酒;含酒精的⽓泡⽔</t>
  </si>
  <si>
    <t>遇见浔季</t>
  </si>
  <si>
    <t>嘉兴十里醉商贸有限公司</t>
  </si>
  <si>
    <t>果酒（含酒精）;⽶酒;预调甜酒;清酒;酒精饮料（啤酒除外）;⻩酒;含⽔果酒精饮料;⽔果汽酒;葡萄酒;⽩酒</t>
  </si>
  <si>
    <t>守印酒</t>
  </si>
  <si>
    <t>山西卓越鲸海投资有限公司</t>
  </si>
  <si>
    <t>葡萄酒;⽩酒;⻩酒;以葡萄酒为主的饮料;烧酒;⽩兰地;酒精饮料（啤酒除外）;鸡尾酒;清酒（⽇本⽶酒）;⽩⼲酒（中国⽩酒）</t>
  </si>
  <si>
    <t>云味胜</t>
  </si>
  <si>
    <t>杨莉</t>
  </si>
  <si>
    <t>葡萄酒;酒精饮料原汁;酒精饮料（啤酒除外）;⽩酒;烈酒（饮料）;清酒（⽇本⽶酒）;威⼠忌;伏特加酒;鸡尾酒;⽶酒</t>
  </si>
  <si>
    <t>虎固印</t>
  </si>
  <si>
    <t>果酒（含酒精）;烈酒（饮料）;酒精饮料（啤酒除外）;含酒精的饮料（啤酒除外）;含酒精的⽓泡⽔;蒸馏饮料;⽩酒;蒸煮提取物（利⼝酒和烈酒）;酒精饮料原汁;⾷⽤酒精</t>
  </si>
  <si>
    <t>咸耕</t>
  </si>
  <si>
    <t>夏若金</t>
  </si>
  <si>
    <t>嗨老叔 HI UNCLE DARK</t>
  </si>
  <si>
    <t>马庆朝</t>
  </si>
  <si>
    <t>果酒（含酒精）;苹果酒;葡萄酒;⽶酒;烈酒（饮料）;⽼酒（中国蒸馏烈酒）;酒精饮料原汁;含⽔果酒精饮料;⽩酒;⾕物制蒸馏酒精饮料</t>
  </si>
  <si>
    <t>叮小越</t>
  </si>
  <si>
    <t>德兴华磊贸易有限公司</t>
  </si>
  <si>
    <t>果酒（含酒精）;⽩酒;⽩⼲酒（中国⽩酒）;蒸馏饮料;以朗姆酒为主的饮料;⾼粱酒;清酒;黑覆盆⼦酒;甜酒;⽶酒</t>
  </si>
  <si>
    <t>牛若初</t>
  </si>
  <si>
    <t>丘马腾</t>
  </si>
  <si>
    <t>⽶酒;⽼酒（中国蒸馏烈酒）;烧酒;葡萄酒;⽩酒;⾷⽤酒精;⻩酒;⾼粱酒;果酒;汽酒</t>
  </si>
  <si>
    <t>九洲隆腾</t>
  </si>
  <si>
    <t>厦门万木争荣环保科技有限公司</t>
  </si>
  <si>
    <t>烈酒（饮料）;蒸馏饮料;酒精饮料（啤酒除外）;⽶酒;烧酒;⽩酒;果酒;⻩酒;⾼粱酒;露酒</t>
  </si>
  <si>
    <t>浯景水润</t>
  </si>
  <si>
    <t>⻩酒;⽩酒;⽩兰地;预先混合的酒精饮料（以啤酒为主的除外）;烧酒;酒精饮料（啤酒除外）;⾼粱酒;葡萄酒;果酒（含酒精）;⽶酒</t>
  </si>
  <si>
    <t>蒗渠</t>
  </si>
  <si>
    <t>李建权</t>
  </si>
  <si>
    <t>烧酒;鸡尾酒;⽶酒;葡萄酒;烈酒（饮料）;果酒（含酒精）;酒精饮料（啤酒除外）;⻩酒;⽩酒;清酒（⽇本⽶酒）</t>
  </si>
  <si>
    <t>舌常酒家</t>
  </si>
  <si>
    <t>左忠亚</t>
  </si>
  <si>
    <t>由⾕物蒸馏的⽩酒;苦荞酒;餐后酒（利⼝酒和烈酒）;开胃酒;佐餐酒;⽶酒;果酒（含酒精）;以葡萄酒为主的饮料;⽩⼲酒（中国⽩酒）;酒精饮料（啤酒除外）</t>
  </si>
  <si>
    <t>静心台</t>
  </si>
  <si>
    <t>福建维新远国际商贸有限公司</t>
  </si>
  <si>
    <t>⽩兰地;威⼠忌;清酒（⽇本⽶酒）;烈酒;⽩酒;葡萄酒;伏特加酒;⽶酒;鸡尾酒;⻩酒</t>
  </si>
  <si>
    <t>果添真</t>
  </si>
  <si>
    <t>李富花</t>
  </si>
  <si>
    <t>⽩酒;清酒;甜酒;开胃酒;⽶酒;⾷⽤酒精;⻩酒;果酒;汽酒;葡萄酒</t>
  </si>
  <si>
    <t>鲁至申</t>
  </si>
  <si>
    <t>鸡尾酒;⽩酒;烧酒;⻩酒;⽶酒;清酒（⽇本⽶酒）;果酒（含酒精）;开胃酒;酒精饮料（啤酒除外）;葡萄酒</t>
  </si>
  <si>
    <t>陈国兴</t>
  </si>
  <si>
    <t>果酒;⽶酒;⻩酒;⾼粱酒;烈酒（饮料）;烧酒;葡萄酒;⽩酒;清酒（⽇本⽶酒）;烈性⼲酒</t>
  </si>
  <si>
    <t>SPLENDID MOUNTAIN</t>
  </si>
  <si>
    <t>赵伟荣</t>
  </si>
  <si>
    <t>⻩酒;果酒（含酒精）;烧酒;⽶酒;伏特加酒;⽩兰地;苹果酒;⽩酒;开胃酒;葡萄酒</t>
  </si>
  <si>
    <t>弘古今</t>
  </si>
  <si>
    <t>威⼠忌;开胃酒;鸡尾酒;酒精饮料（啤酒除外）;果酒（含酒精）;⻩酒;清酒（⽇本⽶酒）;⽩酒;烈酒;葡萄酒</t>
  </si>
  <si>
    <t>澄山川</t>
  </si>
  <si>
    <t>果酒（含酒精）;酒精饮料（啤酒除外）;⽩酒;烈酒;葡萄酒;鸡尾酒;⻩酒;威⼠忌;开胃酒;清酒（⽇本⽶酒）</t>
  </si>
  <si>
    <t>得龄公</t>
  </si>
  <si>
    <t>山西甲客传媒有限公司</t>
  </si>
  <si>
    <t>刺五加酒;葡萄酒;烈酒;果酒（含酒精）;五加⽪酒（中国混合烈酒）;⾼粱酒;⽩酒;⻩酒;烧酒;⽼酒（中国蒸馏烈酒）</t>
  </si>
  <si>
    <t>纯选</t>
  </si>
  <si>
    <t>泽实润康（北京）医疗科技有限公司</t>
  </si>
  <si>
    <t>酒精饮料（啤酒除外）;露酒;葡萄酒;⾕物制蒸馏酒精饮料;⽩酒;果酒;含⽔果酒精饮料</t>
  </si>
  <si>
    <t>雨禾龙酒</t>
  </si>
  <si>
    <t>威⼠忌;酒精饮料原汁;⾷⽤酒精;朗姆酒;⽶酒;⽩酒;烧酒;葡萄酒;⻩酒;果酒（含酒精）</t>
  </si>
  <si>
    <t>今庭江河</t>
  </si>
  <si>
    <t>⻩酒;鸡尾酒;葡萄酒;⽩兰地;威⼠忌;⽩酒;烧酒;⽶酒;烈酒;⻘稞酒</t>
  </si>
  <si>
    <t>卿智醉</t>
  </si>
  <si>
    <t>郑新跃</t>
  </si>
  <si>
    <t>⽩酒;鸡尾酒;威⼠忌;开胃酒;预先混合的酒精饮料（以啤酒为主的除外）;葡萄酒;果酒;清酒;烈酒;利⼝酒</t>
  </si>
  <si>
    <t>虎步健将</t>
  </si>
  <si>
    <t>⾷⽤酒精;⽩酒;酒精饮料原汁;蒸馏饮料;含酒精的⽓泡⽔;蒸煮提取物（利⼝酒和烈酒）;果酒（含酒精）;烈酒（饮料）;含酒精的饮料（啤酒除外）;酒精饮料（啤酒除外）</t>
  </si>
  <si>
    <t>丹弗中绿</t>
  </si>
  <si>
    <t>浙江丹弗中绿科技股份有限公司</t>
  </si>
  <si>
    <t>⻩酒;开胃酒;⽩兰地;⽩酒;⽶酒;利⼝酒;梨酒;烧酒;果酒（含酒精）;苦味酒</t>
  </si>
  <si>
    <t>明州月</t>
  </si>
  <si>
    <t>浙江平天实业控股集团有限公司</t>
  </si>
  <si>
    <t>葡萄酒;⽶酒;⽼酒（中国蒸馏烈酒）;果酒;⻩酒;鸡尾酒;烧酒;杨梅酒;⽩酒;含酒精⽔果饮料</t>
  </si>
  <si>
    <t>岭龙神</t>
  </si>
  <si>
    <t>黄建华</t>
  </si>
  <si>
    <t>清酒（⽇本⽶酒）;⽶酒;⽩酒;⻩酒;烧酒;酒精饮料原汁;酒精饮料（啤酒除外）;⻘稞酒;果酒（含酒精）;⾷⽤酒精</t>
  </si>
  <si>
    <t>圣禄</t>
  </si>
  <si>
    <t>果酒（含酒精）;葡萄酒;烧酒;鸡尾酒;⽶酒;威⼠忌;⽩酒;⻩酒;⽩兰地;蒸馏饮料</t>
  </si>
  <si>
    <t>文者酒</t>
  </si>
  <si>
    <t>彭志永</t>
  </si>
  <si>
    <t>酒精饮料（啤酒除外）;汽酒;鸡尾酒;⽩酒;伏特加酒;葡萄酒;烈酒;烧酒;开胃酒;⽶酒</t>
  </si>
  <si>
    <t>旺水河</t>
  </si>
  <si>
    <t>中和农信农业集团有限公司</t>
  </si>
  <si>
    <t>葡萄酒;威⼠忌;蒸馏饮料;⾷⽤酒精;⽩酒;烈酒（饮料）;伏特加酒;⽶酒;朗姆酒;蜂蜜酒</t>
  </si>
  <si>
    <t>美斟天下</t>
  </si>
  <si>
    <t>⽼酒（中国蒸馏烈酒）;果酒（含酒精）;⽶酒;⽩酒;⻩酒;⾼粱酒;葡萄酒;烈酒;烧酒;蒸馏饮料</t>
  </si>
  <si>
    <t>枝味四季</t>
  </si>
  <si>
    <t>深圳市华荟天地餐饮管理有限公司</t>
  </si>
  <si>
    <t>酒精饮料（啤酒除外）;伏特加酒;葡萄酒;开胃酒;蒸馏饮料;⽶酒;烧酒;果酒（含酒精）;烈酒;⽩酒</t>
  </si>
  <si>
    <t>鸿福纪</t>
  </si>
  <si>
    <t>蒸馏饮料;清酒（⽇本⽶酒）;⻘稞酒;⾷⽤酒精;⽶酒;果酒（含酒精）;烧酒;葡萄酒;酒精饮料（啤酒除外）;⽩酒</t>
  </si>
  <si>
    <t>苏舟客</t>
  </si>
  <si>
    <t>张阿帅</t>
  </si>
  <si>
    <t>⽩酒;果酒（含酒精）;葡萄酒;⽶酒;⻩酒;⽩兰地;⾷⽤酒精;酒精饮料（啤酒除外）;含⽔果酒精饮料;鸡尾酒</t>
  </si>
  <si>
    <t>MOORISH CEDAR</t>
  </si>
  <si>
    <t>张程茗370686********0414</t>
  </si>
  <si>
    <t>樱桃酒;⽩兰地;⽩酒;果酒（含酒精）;酒精饮料（啤酒除外）;利⼝酒;威⼠忌;伏特加酒;烧酒;葡萄酒</t>
  </si>
  <si>
    <t>CHIMERAST</t>
  </si>
  <si>
    <t>利⼝酒;⽩兰地;威⼠忌;酒精饮料（啤酒除外）;⽩酒;果酒（含酒精）;樱桃酒;葡萄酒;烧酒;伏特加酒</t>
  </si>
  <si>
    <t>蒸馏饮料;葡萄酒;果酒（含酒精）;鸡尾酒;⽩酒;清酒（⽇本⽶酒）;含⽔果酒精饮料;⽶酒;烈酒（饮料）;威⼠忌</t>
  </si>
  <si>
    <t>春光和晨</t>
  </si>
  <si>
    <t>烧酒;开胃酒;⾷⽤酒精;葡萄酒;含⽔果酒精饮料;酒精饮料（啤酒除外）;酒精饮料原汁;果酒（含酒精）;⻩酒;蒸馏饮料</t>
  </si>
  <si>
    <t>鑫田野</t>
  </si>
  <si>
    <t>桂林田野生态农业科技有限责任公司</t>
  </si>
  <si>
    <t>清酒（⽇本⽶酒）;⻩酒;烈酒（饮料）;烧酒;⽩酒;鸡尾酒;葡萄酒;⽶酒;酒精饮料（啤酒除外）;果酒（含酒精）</t>
  </si>
  <si>
    <t>艾妮霏凡</t>
  </si>
  <si>
    <t>广州羲和生物科技有限公司</t>
  </si>
  <si>
    <t>⻘稞酒;葡萄酒;鸡尾酒;樱桃酒;⽩酒;威⼠忌;⽩兰地;含⽔果酒精饮料;果酒;含酒精的⽓泡⽔</t>
  </si>
  <si>
    <t>拼肚肚</t>
  </si>
  <si>
    <t>浙江亿链网络科技有限公司</t>
  </si>
  <si>
    <t>果酒（含酒精）;⻩酒;清酒;含⽔果酒精饮料;甜果酒;鸡尾酒;烈酒（饮料）;威⼠忌;⽩酒;⽶酒</t>
  </si>
  <si>
    <t>泰丰粮</t>
  </si>
  <si>
    <t>石家庄成洋商贸有限公司</t>
  </si>
  <si>
    <t>利⼝酒;含酒精的鸡尾酒混合饮品;含酒精⽔果饮料;蒸煮提取物（利⼝酒和烈酒）;酒精饮料（啤酒除外）;调制好的葡萄酒鸡尾酒;葡萄酒;以朗姆酒为主的饮料;果酒（含酒精）;⽩酒</t>
  </si>
  <si>
    <t>阡陌公子</t>
  </si>
  <si>
    <t>上海良楚实业有限公司</t>
  </si>
  <si>
    <t>⽩酒;鸡尾酒;葡萄酒;烈酒（饮料）;⽶酒;果酒（含酒精）;清酒（⽇本⽶酒）;威⼠忌;酒精饮料（啤酒除外）;⻩酒</t>
  </si>
  <si>
    <t>风自举</t>
  </si>
  <si>
    <t>郑州阿成互联科技有限公司</t>
  </si>
  <si>
    <t>汽酒;葡萄酒;酒精饮料（啤酒除外）;利⼝酒;果酒（含酒精）;清酒;⽩酒;⽶酒;蒸馏饮料;含⽔果酒精饮料</t>
  </si>
  <si>
    <t>威狸斯 小酒馆</t>
  </si>
  <si>
    <t>孝感市高新技术开发区威茶餐饮店</t>
  </si>
  <si>
    <t>果酒（含酒精）;葡萄酒;鸡尾酒;酒精饮料（啤酒除外）</t>
  </si>
  <si>
    <t>凡树</t>
  </si>
  <si>
    <t>成都市黄金堰酒厂</t>
  </si>
  <si>
    <t>⻩酒;⾷⽤酒精;酒精饮料原汁;⽶酒;果酒(含酒精);葡萄酒;烈酒(饮料);蒸煮提取物(利⼝酒和烈酒);⽩兰地;⽩酒</t>
  </si>
  <si>
    <t>禄境</t>
  </si>
  <si>
    <t>白雪</t>
  </si>
  <si>
    <t>蜂蜜酒;果酒（含酒精）;⽩酒;清酒（⽇本⽶酒）;含⽔果酒精饮料;酒精饮料（啤酒除外）;葡萄酒;⽶酒;鸡尾酒;烧酒</t>
  </si>
  <si>
    <t>昱邦</t>
  </si>
  <si>
    <t>东莞市昱邦食品有限责任公司</t>
  </si>
  <si>
    <t>果酒（含酒精）;酒精饮料原汁;葡萄酒;烈酒（饮料）;⽩酒;⽶酒;烧酒;餐后酒（利⼝酒和烈酒）</t>
  </si>
  <si>
    <t>领跑梦揽金</t>
  </si>
  <si>
    <t>南京领跑梦一号餐饮有限公司</t>
  </si>
  <si>
    <t>含⽔果酒精饮料;清酒;烈酒（饮料）;伏特加酒;酒精饮料（啤酒除外）;葡萄酒;⻩酒;⽶酒;⾕物制蒸馏酒精饮料;烧酒</t>
  </si>
  <si>
    <t>品景轩</t>
  </si>
  <si>
    <t>云南福彭科技有限公司</t>
  </si>
  <si>
    <t>伏特加酒;含酒精蛋奶酒;餐后酒（利⼝酒和烈酒）;葡萄酒;烧酒;清酒（⽇本⽶酒）;酒精饮料（啤酒除外）;果酒（含酒精）;⽶酒;⽩酒</t>
  </si>
  <si>
    <t>趣丸大创</t>
  </si>
  <si>
    <t>趣丸大创(浙江)文化创意有限公司</t>
  </si>
  <si>
    <t>烈酒（饮料）;葡萄酒;蜂蜜酒;⻩酒;⽶酒;酒精饮料（啤酒除外）;鸡尾酒;清酒（⽇本⽶酒）;果酒（含酒精）;⾷⽤酒精</t>
  </si>
  <si>
    <t>吉顺盛</t>
  </si>
  <si>
    <t>长岭县三十号乡农盛种植农民专业合作社</t>
  </si>
  <si>
    <t>⽶酒;鸡尾酒;⾷⽤酒精;葡萄酒;酒精饮料（啤酒除外）;⽩兰地;蜂蜜酒;威⼠忌;烧酒;⽩酒</t>
  </si>
  <si>
    <t>ICYHANNA</t>
  </si>
  <si>
    <t>广东长隆文化产业有限公司</t>
  </si>
  <si>
    <t>开胃酒;⾷⽤酒精;酒精饮料（啤酒除外）;⽶酒;烈酒（饮料）;⽩酒;⻩酒;烧酒;蒸馏饮料;葡萄酒</t>
  </si>
  <si>
    <t>理闻仙</t>
  </si>
  <si>
    <t>阙文荣</t>
  </si>
  <si>
    <t>⽼酒（中国蒸馏烈酒）;由⾕物蒸馏的⽩酒;葡萄酒;⻩酒;⽶酒;烈性⼲酒;⽩⼲酒（中国⽩酒）;⽩酒;烧酒;⾼粱酒</t>
  </si>
  <si>
    <t>热气球月落</t>
  </si>
  <si>
    <t>上海衡融昌酒业有限责任公司</t>
  </si>
  <si>
    <t>薄荷酒;开胃酒;鸡尾酒;清酒（⽇本⽶酒）;果酒（含酒精）;葡萄酒;⽩兰地;含⽔果酒精饮料;⽩酒;⽶酒</t>
  </si>
  <si>
    <t>匠诸侯</t>
  </si>
  <si>
    <t>烧酒;⽩酒;威⼠忌;预先混合的酒精饮料（以啤酒为主的除外）;⽩⼲酒（中国⽩酒）;⽼酒（中国蒸馏烈酒）;含⽔果酒精饮料;⽶酒;葡萄酒;⻩酒</t>
  </si>
  <si>
    <t>天剑神川</t>
  </si>
  <si>
    <t>长沙葡提科技信息有限公司</t>
  </si>
  <si>
    <t>威⼠忌;烧酒;清酒;⽶酒;酒精饮料（啤酒除外）;果酒;⽩酒;葡萄酒;⽩兰地;朗姆酒</t>
  </si>
  <si>
    <t>珍妙汇</t>
  </si>
  <si>
    <t>张思瑞</t>
  </si>
  <si>
    <t>含⽔果酒精饮料;清酒;⽩酒;烧酒;酒精饮料原汁;鸡尾酒;威⼠忌;蒸馏饮料;果酒（含酒精）;烈酒（饮料）</t>
  </si>
  <si>
    <t>YTOT</t>
  </si>
  <si>
    <t>东莞市宇瞳光学科技股份有限公司</t>
  </si>
  <si>
    <t>酒精饮料（啤酒除外）;含⽔果酒精饮料;烧酒;果酒（含酒精）;烈酒（饮料）;⽶酒;⽩酒;⾷⽤酒精;汽酒;蒸馏饮料</t>
  </si>
  <si>
    <t>九滩河</t>
  </si>
  <si>
    <t>喻崇华</t>
  </si>
  <si>
    <t>⽩酒;薄荷酒;苦味酒;烧酒;朗姆酒;⻩酒;果酒（含酒精）;利⼝酒;伏特加酒;⽶酒</t>
  </si>
  <si>
    <t>BALVERY</t>
  </si>
  <si>
    <t>果酒（含酒精）;葡萄酒;⽩兰地;烧酒;伏特加酒;威⼠忌;⽩酒;樱桃酒;酒精饮料（啤酒除外）;利⼝酒</t>
  </si>
  <si>
    <t>曲玲珑</t>
  </si>
  <si>
    <t>杭州不水就行科技有限公司</t>
  </si>
  <si>
    <t>烧酒;⽩酒;葡萄酒;清酒;⾼粱酒;果酒;⻘稞酒;⽶酒;⻩酒;甜酒</t>
  </si>
  <si>
    <t>CISCMERMAID</t>
  </si>
  <si>
    <t>伏特加酒;烧酒;⽩兰地;⽩酒;酒精饮料（啤酒除外）;利⼝酒;威⼠忌;果酒（含酒精）;樱桃酒;葡萄酒</t>
  </si>
  <si>
    <t>刷美洁</t>
  </si>
  <si>
    <t>诸暨市佳驿日用品有限公司</t>
  </si>
  <si>
    <t>⽶酒;葡萄酒;开胃酒;果酒（含酒精）;⽩酒;⻩酒;蒸馏饮料;酒精饮料（啤酒除外）;含⽔果酒精饮料;威⼠忌</t>
  </si>
  <si>
    <t>稻时令</t>
  </si>
  <si>
    <t>五常市稻时令农业有限公司</t>
  </si>
  <si>
    <t>蒸馏饮料;⽩酒;⽶酒;⽩⼲酒（中国⽩酒）;烧酒;⻩酒;⾕物制蒸馏酒精饮料;⽼酒（中国蒸馏烈酒）;酒精饮料（啤酒除外）;由⾕物蒸馏的⽩酒</t>
  </si>
  <si>
    <t>虹盛源</t>
  </si>
  <si>
    <t>德阳无界时空链数字科技有限公司</t>
  </si>
  <si>
    <t>⽶酒;⽩酒;酒精饮料（啤酒除外）;⻘稞酒;烈酒（饮料）;葡萄酒;清酒（⽇本⽶酒）;伏特加酒;果酒（含酒精）;含⽔果酒精饮料</t>
  </si>
  <si>
    <t>BESCZE</t>
  </si>
  <si>
    <t>果酒（含酒精）;樱桃酒;酒精饮料（啤酒除外）;葡萄酒;⽩兰地;伏特加酒;烧酒;⽩酒;利⼝酒;威⼠忌</t>
  </si>
  <si>
    <t>蒙焱牧</t>
  </si>
  <si>
    <t>丁杰胜</t>
  </si>
  <si>
    <t>⻩酒;烧酒;含酒精蛋奶酒;葡萄酒;含⽔果酒精饮料;⽩酒;由⾕物蒸馏的⽩酒;⾼粱酒;鸡尾酒;酒精饮料原汁</t>
  </si>
  <si>
    <t>阅川青岚</t>
  </si>
  <si>
    <t>阅川青岚（北京）文化发展有限公司</t>
  </si>
  <si>
    <t>果酒（含酒精）;葡萄酒;烈酒（饮料）;烧酒;⻩酒;⽩酒;⽩兰地;清酒（⽇本⽶酒）;以葡萄酒为主的饮料;⽶酒</t>
  </si>
  <si>
    <t>GLENNAGEL</t>
  </si>
  <si>
    <t>厦门朋莉供应链有限公司</t>
  </si>
  <si>
    <t>清酒（⽇本⽶酒）;威⼠忌;混合威⼠忌酒;利⼝酒;⽩兰地;朗姆酒;葡萄酒;伏特加酒;⻨芽威⼠忌;烈酒（饮料）</t>
  </si>
  <si>
    <t>谭英怀</t>
  </si>
  <si>
    <t>鸡尾酒;葡萄酒;⽩兰地;烧酒;威⼠忌;⻩酒;果酒（含酒精）;⽶酒;蒸馏饮料;⽩酒</t>
  </si>
  <si>
    <t>HRQX 海润仟僖</t>
  </si>
  <si>
    <t>北京海润仟僖科贸有限公司</t>
  </si>
  <si>
    <t>含⽔果酒精饮料;葡萄酒;⾷⽤酒精;⽩酒;酒精饮料（啤酒除外）;⻩酒;果酒（含酒精）;由⾕物蒸馏的⽩酒;⽶酒;蜂蜜酒</t>
  </si>
  <si>
    <t>嘉骑世家</t>
  </si>
  <si>
    <t>深圳嘉酒甄选供应链有限公司</t>
  </si>
  <si>
    <t>烈酒;除啤酒外的酒精饮料;含酒精的充⽓饮料（啤酒除外）;葡萄酒;烈酒（饮料）;起泡红葡萄酒;⽩酒;⽩兰地;以葡萄酒为主的饮料;红葡萄酒</t>
  </si>
  <si>
    <t>长河万古流</t>
  </si>
  <si>
    <t>陕西黄河文化博物馆</t>
  </si>
  <si>
    <t>⽶酒;⾕物制蒸馏酒精饮料;咖啡利⼝酒;⾼粱酒;蒸馏饮料;⽼酒（中国蒸馏烈酒）;葡萄酒;开胃酒;由⾕物蒸馏的⽩酒;⽩酒</t>
  </si>
  <si>
    <t>富生源</t>
  </si>
  <si>
    <t>徐维忠</t>
  </si>
  <si>
    <t>⽶酒;⻩酒;果酒;⾷⽤酒精;清酒;葡萄酒;汽酒;⽩酒;含⽔果酒精饮料;烧酒</t>
  </si>
  <si>
    <t>展迈</t>
  </si>
  <si>
    <t>郑州展迈商贸有限公司</t>
  </si>
  <si>
    <t>以葡萄酒为主的饮料;除啤酒外的酒精饮料;葡萄酒;果酒（含酒精）;⻩酒;⽩酒;由⾕物蒸馏的⽩酒;伏特加酒;烧酒（烈酒）;⾼粱酒</t>
  </si>
  <si>
    <t>有莳野</t>
  </si>
  <si>
    <t>陈宇飞</t>
  </si>
  <si>
    <t>酒精饮料（啤酒除外）;含酒精的⽓泡⽔;蒸煮提取物（利⼝酒和烈酒）;蒸馏饮料;汽酒;含酒精⽔果饮料;含酒精的饮料（啤酒除外）;酒精饮料原汁;预先混合的酒精饮料（以啤酒为主的除外）;含⽔果酒精饮料</t>
  </si>
  <si>
    <t>烈酒（饮料）;⽶酒;鸡尾酒;威⼠忌;葡萄酒;果酒（含酒精）;蒸馏饮料;含⽔果酒精饮料;⽩酒;清酒（⽇本⽶酒）</t>
  </si>
  <si>
    <t>奋悦</t>
  </si>
  <si>
    <t>吴永斌</t>
  </si>
  <si>
    <t>威⼠忌;清酒（⽇本⽶酒）;酒精饮料原汁;烈酒;⽩酒;酒精饮料（啤酒除外）;⾷⽤酒精;鸡尾酒;伏特加酒;烧酒</t>
  </si>
  <si>
    <t>宏家大山</t>
  </si>
  <si>
    <t>金寨县元一冬瓜山铅锌矿有限公司</t>
  </si>
  <si>
    <t>⽶酒;⻩酒;⽩酒;清酒;威⼠忌;⽩兰地;果酒;伏特加酒;葡萄酒;烧酒</t>
  </si>
  <si>
    <t>匡庐韵</t>
  </si>
  <si>
    <t>张长平</t>
  </si>
  <si>
    <t>开胃酒;酒精饮料（啤酒除外）;⽩酒;⽼酒（中国蒸馏烈酒）;烈酒;蒸煮提取物（利⼝酒和烈酒）;蜂蜜酒;预先混合的酒精饮料（以啤酒为主的除外）;烧酒;果酒</t>
  </si>
  <si>
    <t>蒙久久</t>
  </si>
  <si>
    <t>白长青</t>
  </si>
  <si>
    <t>威⼠忌;酒精饮料（啤酒除外）;⽶酒;烧酒;利⼝酒;⻩酒;⾷⽤酒精;果酒（含酒精）;葡萄酒;⽩酒</t>
  </si>
  <si>
    <t>孔府仁礼</t>
  </si>
  <si>
    <t>曲阜孔府家酒酿造有限公司</t>
  </si>
  <si>
    <t>⽶酒;⽩酒;威⼠忌;含⽔果酒精饮料;利⼝酒;葡萄酒;⽩兰地;酒精饮料（啤酒除外）;⾷⽤酒精;烈酒（饮料）</t>
  </si>
  <si>
    <t>CH·JZYC</t>
  </si>
  <si>
    <t>杭州初禾品牌管理有限公司</t>
  </si>
  <si>
    <t>烈酒（饮料）;鸡尾酒;利⼝酒;苹果酒;果酒;蜂蜜酒;葡萄酒;酒精饮料（啤酒除外）;⽶酒;含⽔果酒精饮料</t>
  </si>
  <si>
    <t>戴斯半岛</t>
  </si>
  <si>
    <t>高博浩</t>
  </si>
  <si>
    <t>烈酒（饮料）;⽶酒;鸡尾酒;葡萄酒;果酒（含酒精）;酒精饮料（啤酒除外）;⻩酒;烧酒;⽩酒;清酒（⽇本⽶酒）</t>
  </si>
  <si>
    <t>谧宗典藏</t>
  </si>
  <si>
    <t>陇药皇甫谧制药（甘肃）有限公司</t>
  </si>
  <si>
    <t>烧酒;甜酒;⻩酒;清酒;⽼酒（中国蒸馏烈酒）;蒸馏⽶酒（泡盛酒）;汽酒;⽶酒;果酒;露酒</t>
  </si>
  <si>
    <t>晋绥黄河湾</t>
  </si>
  <si>
    <t>山西晋绥黄河湾农业科技股份有限公司</t>
  </si>
  <si>
    <t>⽶酒;酒精饮料（啤酒除外）;⻩酒;⽩酒;鸡尾酒;清酒（⽇本⽶酒）;烈酒（饮料）;果酒（含酒精）;烧酒;葡萄酒</t>
  </si>
  <si>
    <t>路邑宣言</t>
  </si>
  <si>
    <t>钟志明</t>
  </si>
  <si>
    <t>清酒（⽇本⽶酒）;烈酒;开胃酒;酒精饮料（啤酒除外）;果酒（含酒精）;鸡尾酒;⽩酒;⻩酒;威⼠忌;葡萄酒</t>
  </si>
  <si>
    <t>孔府陶韵</t>
  </si>
  <si>
    <t>含⽔果酒精饮料;⾷⽤酒精;葡萄酒;利⼝酒;烈酒（饮料）;⽩酒;⽩兰地;威⼠忌;⽶酒;酒精饮料（啤酒除外）</t>
  </si>
  <si>
    <t>况趣</t>
  </si>
  <si>
    <t>张珠</t>
  </si>
  <si>
    <t>清酒;果酒（含酒精）;烈酒（饮料）;蒸馏饮料;威⼠忌;⽩酒;酒精饮料原汁;鸡尾酒;含⽔果酒精饮料;烧酒</t>
  </si>
  <si>
    <t>BELLE FINE</t>
  </si>
  <si>
    <t>果酒（含酒精）;酒精饮料（啤酒除外）;伏特加酒;利⼝酒;威⼠忌;⽩酒;葡萄酒;樱桃酒;⽩兰地;烧酒</t>
  </si>
  <si>
    <t>蓓馨锦</t>
  </si>
  <si>
    <t>清酒（⽇本⽶酒）;酒精饮料原汁;烈酒;⽩酒;鸡尾酒;烧酒;酒精饮料（啤酒除外）;伏特加酒;威⼠忌;⾷⽤酒精</t>
  </si>
  <si>
    <t>南国玥色</t>
  </si>
  <si>
    <t>黑龙江玖贝科技有限公司</t>
  </si>
  <si>
    <t>鸡尾酒;汽酒;含酒精的⽓泡⽔;酒精饮料浓缩汁;含⽔果酒精饮料;酒精饮料（啤酒除外）;⽩酒;⻘稞酒;酒精饮料原汁;⽩兰地</t>
  </si>
  <si>
    <t>荥之澜</t>
  </si>
  <si>
    <t>杨仕琼</t>
  </si>
  <si>
    <t>⽩兰地;酒精饮料（啤酒除外）;果酒（含酒精）;⽩酒;⽶酒;⻩酒;⻘稞酒;开胃酒;葡萄酒;鸡尾酒</t>
  </si>
  <si>
    <t>倒天福</t>
  </si>
  <si>
    <t>祖吉伍</t>
  </si>
  <si>
    <t>餐后酒（利⼝酒和烈酒）;⾕物制蒸馏酒精饮料;汽酒;烧酒;⽶酒;⽩酒;果酒;酒精饮料原汁;葡萄酒;⻩酒</t>
  </si>
  <si>
    <t>梦英怀</t>
  </si>
  <si>
    <t>鸡尾酒;⻩酒;蒸馏饮料;果酒（含酒精）;⽩酒;⽩兰地;威⼠忌;⽶酒;烧酒;葡萄酒</t>
  </si>
  <si>
    <t>宸东</t>
  </si>
  <si>
    <t>史晓东</t>
  </si>
  <si>
    <t>汽酒;威⼠忌;含⽔果酒精饮料;酒精饮料（啤酒除外）;葡萄酒;果酒（含酒精）;鸡尾酒;蒸馏饮料;烧酒;⽩酒</t>
  </si>
  <si>
    <t>悦渠</t>
  </si>
  <si>
    <t>重庆惠鑫农业有限公司</t>
  </si>
  <si>
    <t>⽶酒;鸡尾酒;汽酒;预先混合的酒精饮料（以啤酒为主的除外）;⽩酒;果酒（含酒精）;⻩酒;⾕物制蒸馏酒精饮料;葡萄酒;威⼠忌</t>
  </si>
  <si>
    <t>龙鼎沣</t>
  </si>
  <si>
    <t>青岛恒通顺商贸有限公司</t>
  </si>
  <si>
    <t>葡萄酒;⽩酒;果酒（含酒精）;利⼝酒;⽶酒;⽩兰地;⻩酒;酒精饮料（啤酒除外）;威⼠忌;烈酒（饮料）</t>
  </si>
  <si>
    <t>黔有有</t>
  </si>
  <si>
    <t>梨酒;⽶酒;葡萄酒;清酒（⽇本⽶酒）;烧酒;含酒精的⽓泡⽔;⻩酒;⽩酒;烈酒（饮料）;果酒（含酒精）</t>
  </si>
  <si>
    <t>有郸当</t>
  </si>
  <si>
    <t>智麦品牌策划（郑州）有限公司</t>
  </si>
  <si>
    <t>⽩酒;鸡尾酒;葡萄酒;蜂蜜酒;果酒（含酒精）;⻘稞酒;⻩酒;烈酒（饮料）;⽶酒;酒精饮料（啤酒除外）</t>
  </si>
  <si>
    <t>鸿众林</t>
  </si>
  <si>
    <t>果酒（含酒精）;蒸馏饮料;葡萄酒;酒精饮料（啤酒除外）;⻘稞酒;⽩酒;清酒（⽇本⽶酒）;⾷⽤酒精;烧酒;⽶酒</t>
  </si>
  <si>
    <t>孔府礼物</t>
  </si>
  <si>
    <t>威⼠忌;酒精饮料（啤酒除外）;葡萄酒;利⼝酒;⽩酒;⾷⽤酒精;烈酒（饮料）;⽶酒;⽩兰地;含⽔果酒精饮料</t>
  </si>
  <si>
    <t>⻩酒;果酒（含酒精）;葡萄酒;烈酒（饮料）;⽶酒;酒精饮料（啤酒除外）;鸡尾酒;⾷⽤酒精;清酒（⽇本⽶酒）;蜂蜜酒</t>
  </si>
  <si>
    <t>深圳市午秋食吉餐饮管理有限公司</t>
  </si>
  <si>
    <t>果酒（含酒精）;⽶酒;伏特加酒;开胃酒;清酒（⽇本⽶酒）;烈酒（饮料）;威⼠忌;含⽔果酒精饮料;葡萄酒;蒸煮提取物（利⼝酒和烈酒）</t>
  </si>
  <si>
    <t>情麓</t>
  </si>
  <si>
    <t>史海瑜</t>
  </si>
  <si>
    <t>⽶酒;⽩酒;汽酒;清酒;酒精饮料（啤酒除外）;果酒（含酒精）;蒸馏饮料;含⽔果酒精饮料;葡萄酒;利⼝酒</t>
  </si>
  <si>
    <t>竹灿</t>
  </si>
  <si>
    <t>含⽔果酒精饮料;葡萄酒;⽩酒;预先混合的酒精饮料（以啤酒为主的除外）;⽩⼲酒（中国⽩酒）;⽼酒（中国蒸馏烈酒）;⻩酒;威⼠忌;⽶酒;烧酒</t>
  </si>
  <si>
    <t>问鼎风采</t>
  </si>
  <si>
    <t>陈雪芬</t>
  </si>
  <si>
    <t>果酒（含酒精）;开胃酒;⽩酒;烈酒;⻩酒;清酒（⽇本⽶酒）;鸡尾酒;葡萄酒;酒精饮料（啤酒除外）;威⼠忌</t>
  </si>
  <si>
    <t>莫高天乐</t>
  </si>
  <si>
    <t>甘肃莫高实业发展股份有限公司</t>
  </si>
  <si>
    <t>⽩兰地;⾕物制蒸馏酒精饮料;果酒（含酒精）;酒精饮料（啤酒除外）;⽩酒;含⽔果酒精饮料;加烈葡萄酒;烈酒;以葡萄酒为主的饮料;葡萄酒</t>
  </si>
  <si>
    <t>宛枳舟</t>
  </si>
  <si>
    <t>张金方</t>
  </si>
  <si>
    <t>朝鲜族⽶酒;红葡萄酒;马格利酒（朝鲜传统⽶酒）;预调甜酒;甜果酒;甜酒;⽇式甜⽶酒;除啤酒外的酒精饮料;⽶酒;蒸馏⽶酒（泡盛酒）</t>
  </si>
  <si>
    <t>雅美塞拉</t>
  </si>
  <si>
    <t>杰嘉西雅卡里安公司</t>
  </si>
  <si>
    <t>葡萄酒;汽酒</t>
  </si>
  <si>
    <t>YARANDOT</t>
  </si>
  <si>
    <t>樱桃酒;威⼠忌;伏特加酒;烧酒;⽩酒;利⼝酒;⽩兰地;葡萄酒;酒精饮料（啤酒除外）;果酒（含酒精）</t>
  </si>
  <si>
    <t>天井兰</t>
  </si>
  <si>
    <t>迦禾科技（温州）有限公司</t>
  </si>
  <si>
    <t>果酒;⽶酒;葡萄酒;鸡尾酒;⽩酒;清酒;烧酒;烈酒;甜酒;威⼠忌</t>
  </si>
  <si>
    <t>小糊将</t>
  </si>
  <si>
    <t>果酒（含酒精）;鸡尾酒;蒸馏饮料;威⼠忌;⽩兰地;烧酒;⽩酒;葡萄酒;⻩酒;⽶酒</t>
  </si>
  <si>
    <t>谧宗经典</t>
  </si>
  <si>
    <t>露酒;汽酒;甜酒;⻩酒;⽶酒;清酒;蒸馏⽶酒（泡盛酒）;烧酒;果酒;⽼酒（中国蒸馏烈酒）</t>
  </si>
  <si>
    <t>璞小玉</t>
  </si>
  <si>
    <t>魏亚芬</t>
  </si>
  <si>
    <t>酒精饮料（啤酒除外）;⻩酒;⽶酒;杨梅酒;葡萄酒;烈酒（饮料）;果酒;⾷⽤酒精;⽩酒;鸡尾酒</t>
  </si>
  <si>
    <t>EOYA</t>
  </si>
  <si>
    <t>酒时刻（广州）电子商务有限公司</t>
  </si>
  <si>
    <t>果酒（含酒精）;蒸馏饮料;葡萄酒;⽶酒;梅酒;利⼝酒;⽩兰地;威⼠忌;酒精饮料（啤酒除外）;鸡尾酒</t>
  </si>
  <si>
    <t>振武堂</t>
  </si>
  <si>
    <t>黑龙江省福恩缘医疗用品有限公司</t>
  </si>
  <si>
    <t>⽩酒;果酒;汽酒;酒精饮料原汁;含⽔果酒精饮料;⽶酒;⻩酒;蒸馏饮料;葡萄酒;开胃酒</t>
  </si>
  <si>
    <t>研朵</t>
  </si>
  <si>
    <t>山东仁迪生物工程集团有限公司</t>
  </si>
  <si>
    <t>果酒（含酒精）;⾷⽤酒精;⽩兰地;蒸馏饮料;含⽔果酒精饮料;⽩酒;蒸煮提取物（利⼝酒和烈酒）;葡萄酒;鸡尾酒;酒精饮料（啤酒除外）</t>
  </si>
  <si>
    <t>孔府仁乐</t>
  </si>
  <si>
    <t>葡萄酒;酒精饮料（啤酒除外）;含⽔果酒精饮料;威⼠忌;⽩兰地;⾷⽤酒精;⽩酒;烈酒（饮料）;利⼝酒;⽶酒</t>
  </si>
  <si>
    <t>元欣</t>
  </si>
  <si>
    <t>青岛源鑫木业有限公司</t>
  </si>
  <si>
    <t>烧酒;烧酒（烈酒）;清酒;⽩酒;⾼粱酒;烈酒;⽶酒;果酒;葡萄酒;⻩酒</t>
  </si>
  <si>
    <t>德利雅</t>
  </si>
  <si>
    <t>果酒（含酒精）;烈酒（饮料）;清酒（⽇本⽶酒）;鸡尾酒;⽩酒;烧酒;⽶酒;酒精饮料（啤酒除外）;⻩酒;葡萄酒</t>
  </si>
  <si>
    <t>儒素</t>
  </si>
  <si>
    <t>深圳市佗王山文化传媒有限公司</t>
  </si>
  <si>
    <t>葡萄酒;⽶酒;烈酒（饮料）;⽩兰地;鸡尾酒;果酒（含酒精）;苹果酒;伏特加酒;⽩酒;汽酒</t>
  </si>
  <si>
    <t>宋少侠</t>
  </si>
  <si>
    <t>周岳阳</t>
  </si>
  <si>
    <t>⽩酒;威⼠忌;烈酒;酒精饮料（啤酒除外）;鸡尾酒;葡萄酒;果酒（含酒精）;开胃酒;清酒（⽇本⽶酒）;⻩酒</t>
  </si>
  <si>
    <t>凯创</t>
  </si>
  <si>
    <t>深圳市凯创国威酒业有限公司</t>
  </si>
  <si>
    <t>⻩酒;烧酒;烈酒（饮料）;清酒（⽇本⽶酒）;果酒（含酒精）;葡萄酒;威⼠忌;酒精饮料（啤酒除外）;⽶酒;⽩兰地</t>
  </si>
  <si>
    <t>吉福隋记</t>
  </si>
  <si>
    <t>山东莱尔特电气科技有限公司</t>
  </si>
  <si>
    <t>酒精饮料（啤酒除外）;烈酒（饮料）;葡萄酒;伏特加酒;⽩酒;蜂蜜酒;樱桃酒;烧酒;⽶酒;果酒（含酒精）</t>
  </si>
  <si>
    <t>圣福瑞</t>
  </si>
  <si>
    <t>果酒（含酒精）;鸡尾酒;⻩酒;蒸馏饮料;⽩酒;⽶酒;葡萄酒;⽩兰地;烧酒;威⼠忌</t>
  </si>
  <si>
    <t>贤福贵</t>
  </si>
  <si>
    <t>方家成</t>
  </si>
  <si>
    <t>葡萄酒;烈酒（饮料）;烧酒;⽩酒;果酒（含酒精）;⽶酒;利⼝酒;威⼠忌;预先混合的酒精饮料（以啤酒为主的除外）;⻩酒</t>
  </si>
  <si>
    <t>虎戈</t>
  </si>
  <si>
    <t>果酒;酒精饮料（啤酒除外）;⽩酒;混合威⼠忌酒;⻩酒;开胃酒;露酒;薄荷酒;蒸馏饮料;⽶酒</t>
  </si>
  <si>
    <t>师香</t>
  </si>
  <si>
    <t>广州市豹成亿家品牌管理有限公司</t>
  </si>
  <si>
    <t>含⽔果酒精饮料;鸡尾酒;烈酒（饮料）;酒精饮料浓缩汁;⽶酒;果酒（含酒精）;以葡萄酒为主的饮料;⽩酒;餐后酒（利⼝酒和烈酒）;酒精饮料原汁</t>
  </si>
  <si>
    <t>檀礼</t>
  </si>
  <si>
    <t>项彩珠</t>
  </si>
  <si>
    <t>果酒（含酒精）;⽩⼲酒（中国⽩酒）;⽶酒;⻩酒;五加⽪酒（中国混合烈酒）;⽼酒（中国蒸馏烈酒）;⽩酒;烈酒;葡萄酒;⾼粱酒</t>
  </si>
  <si>
    <t>曹记鑫超</t>
  </si>
  <si>
    <t>东莞市黄江鑫超日用百货店</t>
  </si>
  <si>
    <t>鸡尾酒;果酒;蒸馏饮料;⽩酒;⽶酒;⻩酒;含⽔果酒精饮料;开胃酒;烧酒;除啤酒外的酒精饮料</t>
  </si>
  <si>
    <t>清酒（⽇本⽶酒）;酒精饮料原汁;⻩酒;⾷⽤酒精;烧酒;果酒（含酒精）;酒精饮料（啤酒除外）;⽶酒;⻘稞酒;⽩酒</t>
  </si>
  <si>
    <t>幽馨</t>
  </si>
  <si>
    <t>威⼠忌;鸡尾酒;酒精饮料（啤酒除外）;伏特加酒;⾷⽤酒精;烈酒;烧酒;⽩酒;酒精饮料原汁;清酒（⽇本⽶酒）</t>
  </si>
  <si>
    <t>晋英怀</t>
  </si>
  <si>
    <t>⻩酒;威⼠忌;⽩兰地;鸡尾酒;⽶酒;烧酒;⽩酒;果酒（含酒精）;蒸馏饮料;葡萄酒</t>
  </si>
  <si>
    <t>吉蕴天青</t>
  </si>
  <si>
    <t>吉林省佳农商贸有限公司</t>
  </si>
  <si>
    <t>⽩酒;果酒;⽩⼲酒（中国⽩酒）;⽼酒（中国蒸馏烈酒）;⽶酒;红葡萄酒;清酒（⽇本⽶酒）;烧酒（烈酒）;葡萄酒;烈酒（饮料）</t>
  </si>
  <si>
    <t>物悦山海</t>
  </si>
  <si>
    <t>鸡尾酒;威⼠忌;烈酒（饮料）;⾼粱酒;⽶酒;果酒（含酒精）;烧酒;葡萄酒;⽩酒;酒精饮料（啤酒除外）</t>
  </si>
  <si>
    <t>黎物</t>
  </si>
  <si>
    <t>海南黎物新零售有限公司</t>
  </si>
  <si>
    <t>⽩酒;⻩酒;酒精饮料（啤酒除外）;预先混合的酒精饮料（以啤酒为主的除外）;⾕物制蒸馏酒精饮料;鸡尾酒;⽶酒;果酒（含酒精）;葡萄酒;烧酒</t>
  </si>
  <si>
    <t>藏地密码奢悦府</t>
  </si>
  <si>
    <t>方雪</t>
  </si>
  <si>
    <t>酒精饮料（啤酒除外）;⻘稞酒;鸡尾酒;⽶酒;⻩酒;烈酒（饮料）;⽩酒;果酒（含酒精）;开胃酒;葡萄酒</t>
  </si>
  <si>
    <t>果万田</t>
  </si>
  <si>
    <t>咸丽凤</t>
  </si>
  <si>
    <t>鸡尾酒;清酒（⽇本⽶酒）;酒精饮料（啤酒除外）;含⽔果酒精饮料;⽩酒;果酒（含酒精）;葡萄酒;朗姆酒;樱桃酒;苹果酒</t>
  </si>
  <si>
    <t>好运清花</t>
  </si>
  <si>
    <t>蔺瑞华</t>
  </si>
  <si>
    <t>⾼粱酒;⽩酒;烈酒（饮料）;由⾕物蒸馏的⽩酒;果酒（含酒精）;露酒;烧酒（烈酒）;⽼酒（中国蒸馏烈酒）;烧酒;⽩⼲酒（中国⽩酒）</t>
  </si>
  <si>
    <t>宝迹台</t>
  </si>
  <si>
    <t>烈酒（饮料）;⽩兰地;⽩酒;⻩酒;清酒（⽇本⽶酒）;朗姆酒;葡萄酒;威⼠忌;⽶酒;伏特加酒</t>
  </si>
  <si>
    <t>可优</t>
  </si>
  <si>
    <t>任亚利</t>
  </si>
  <si>
    <t>⽶酒;清酒（⽇本⽶酒）;烧酒;⽩酒;⻩酒;果酒（含酒精）;鸡尾酒;葡萄酒;酒精饮料（啤酒除外）;烈酒（饮料）</t>
  </si>
  <si>
    <t>物悦正和</t>
  </si>
  <si>
    <t>烈酒（饮料）;鸡尾酒;⾼粱酒;⽶酒;葡萄酒;烧酒;威⼠忌;⽩酒;果酒（含酒精）;酒精饮料（啤酒除外）</t>
  </si>
  <si>
    <t>虎南玖</t>
  </si>
  <si>
    <t>重庆酒友玖友商贸有限公司</t>
  </si>
  <si>
    <t>杜松⼦酒;⽼酒（中国蒸馏烈酒）;⽩酒;⻩酒;蒸馏饮料;酒精饮料（啤酒除外）;⾷⽤酒精;葡萄酒;威⼠忌;烈酒（饮料）</t>
  </si>
  <si>
    <t>月小芙</t>
  </si>
  <si>
    <t>烧酒;⽩酒;葡萄酒;开胃酒;烈酒（饮料）;酒精饮料（啤酒除外）;⽶酒;⾷⽤酒精;蒸馏饮料;⻩酒</t>
  </si>
  <si>
    <t>粮英怀</t>
  </si>
  <si>
    <t>⽩酒;果酒（含酒精）;⻩酒;蒸馏饮料;鸡尾酒;威⼠忌;烧酒;葡萄酒;⽶酒;⽩兰地</t>
  </si>
  <si>
    <t>蒙师傅</t>
  </si>
  <si>
    <t>邹焕兵</t>
  </si>
  <si>
    <t>威⼠忌;⽩⼲酒（中国⽩酒）;葡萄酒;利⼝酒;⽶酒;⾷⽤酒精;蒸馏饮料;烈酒（饮料）;⽩酒;含⽔果酒精饮料</t>
  </si>
  <si>
    <t>隆上江南</t>
  </si>
  <si>
    <t>陇南利麟商贸有限公司</t>
  </si>
  <si>
    <t>威⼠忌;烈酒（饮料）;利⼝酒;⻩酒;清酒;葡萄酒;果酒（含酒精）;⽩酒;⽶酒;烧酒</t>
  </si>
  <si>
    <t>猴洞山</t>
  </si>
  <si>
    <t>浙江亮保生物科技有限公司</t>
  </si>
  <si>
    <t>葡萄酒;清酒（⽇本⽶酒）;⻘稞酒;烧酒;⽶酒;⽩酒;⻩酒;果酒（含酒精）;含⽔果酒精饮料;开胃酒</t>
  </si>
  <si>
    <t>梦想豪韵</t>
  </si>
  <si>
    <t>崔萍</t>
  </si>
  <si>
    <t>⽩酒;酒精饮料（啤酒除外）;⽶酒;清酒;烈酒（饮料）;葡萄酒;⻩酒;含⽔果酒精饮料;果酒;烧酒</t>
  </si>
  <si>
    <t>莫高天歌</t>
  </si>
  <si>
    <t>含⽔果酒精饮料;以葡萄酒为主的饮料;烈酒;酒精饮料（啤酒除外）;果酒（含酒精）;⽩兰地;⾕物制蒸馏酒精饮料;⽩酒;加烈葡萄酒;葡萄酒</t>
  </si>
  <si>
    <t>繁坤</t>
  </si>
  <si>
    <t>成都繁坤家具有限公司</t>
  </si>
  <si>
    <t>⽩酒;葡萄酒;清酒（⽇本⽶酒）;⽶酒</t>
  </si>
  <si>
    <t>交之交</t>
  </si>
  <si>
    <t>河北光的智能科技有限公司</t>
  </si>
  <si>
    <t>烧酒;果酒（含酒精）;开胃酒;烈酒（饮料）;⻩酒;清酒（⽇本⽶酒）;⽶酒;鸡尾酒;⽩酒;葡萄酒</t>
  </si>
  <si>
    <t>谒者台</t>
  </si>
  <si>
    <t>威⼠忌;⽩酒;⽶酒;葡萄酒;⻩酒;朗姆酒;伏特加酒;烈酒（饮料）;清酒（⽇本⽶酒）;⽩兰地</t>
  </si>
  <si>
    <t>齐齐碰</t>
  </si>
  <si>
    <t>佛山市放松青文化创意有限公司</t>
  </si>
  <si>
    <t>清酒（⽇本⽶酒）;⻘稞酒;酒精饮料（啤酒除外）;鸡尾酒;⻩酒;葡萄酒;⽩酒;⽶酒;果酒（含酒精）;蒸馏饮料</t>
  </si>
  <si>
    <t>2024/05/23</t>
  </si>
  <si>
    <t>山东九令商贸有限公司</t>
  </si>
  <si>
    <t>⻘稞酒;清酒（⽇本⽶酒）;⻩酒;果酒（含酒精）;烧酒;葡萄酒;樱桃酒;烈酒（饮料）;⽩酒;⽶酒</t>
  </si>
  <si>
    <t>云贵鲜踪林</t>
  </si>
  <si>
    <t>广东健安高科（集团）有限公司</t>
  </si>
  <si>
    <t>开胃酒;⾷⽤酒精;⽶酒;葡萄酒;鸡尾酒;⻩酒;樱桃酒;⻘稞酒;⽩酒;蜂蜜酒</t>
  </si>
  <si>
    <t>虹桥熊猫</t>
  </si>
  <si>
    <t>雅格斯丹集团有限公司</t>
  </si>
  <si>
    <t>烧酒;威⼠忌;樱桃酒;⽩酒;⻩酒;清酒（⽇本⽶酒）;酒精饮料原汁;蜂蜜酒;含⽔果酒精饮料;葡萄酒</t>
  </si>
  <si>
    <t>丽莲鲸选</t>
  </si>
  <si>
    <t>上海丽莲时代实业有限公司</t>
  </si>
  <si>
    <t>果酒;葡萄酒;蒸馏饮料;⽶酒;⻩酒;酒精饮料（啤酒除外）;烈酒;⽩酒;甜酒;汽酒</t>
  </si>
  <si>
    <t>宴汇天骄</t>
  </si>
  <si>
    <t>鄂尔多斯市春回矿业有限责任公司</t>
  </si>
  <si>
    <t>果酒（含酒精）;蒸馏饮料;⽢蔗制酒精饮料;酒精饮料（啤酒除外）;以葡萄酒为主的饮料;预先混合的酒精饮料（以啤酒为主的除外）;⾕物制蒸馏酒精饮料;葡萄酒;烈酒（饮料）;⽶酒</t>
  </si>
  <si>
    <t>竹叶青 酒</t>
  </si>
  <si>
    <t>⽩兰地;蒸煮提取物（利⼝酒和烈酒）;果酒（含酒精）;鸡尾酒;含⽔果酒精饮料;烧酒;⽩酒;葡萄酒;酒精饮料（啤酒除外）;蒸馏饮料</t>
  </si>
  <si>
    <t>雪妮雅</t>
  </si>
  <si>
    <t>吴雪云</t>
  </si>
  <si>
    <t>果酒（含酒精）;鸡尾酒;含⽔果酒精饮料;伏特加酒;威⼠忌;葡萄酒;⽩兰地;⽩酒;烈酒（饮料）;酒精饮料（啤酒除外）</t>
  </si>
  <si>
    <t>鸡尾酒;葡萄酒;蒸煮提取物（利⼝酒和烈酒）;含⽔果酒精饮料;果酒（含酒精）;蒸馏饮料;⽩兰地;烧酒;酒精饮料（啤酒除外）;⽩酒</t>
  </si>
  <si>
    <t>羊磴河</t>
  </si>
  <si>
    <t>重庆佳佑文化传媒有限公司</t>
  </si>
  <si>
    <t>鸡尾酒;以葡萄酒为主的饮料;⽩酒;甜酒;果酒;威⼠忌;烈酒（饮料）;含⽔果酒精饮料;除啤酒外的酒精饮料;果酒（含酒精）</t>
  </si>
  <si>
    <t>谷宴仁</t>
  </si>
  <si>
    <t>陈美菱</t>
  </si>
  <si>
    <t>2024/05/24</t>
  </si>
  <si>
    <t>仁合誉满</t>
  </si>
  <si>
    <t>山东仁合超市有限公司</t>
  </si>
  <si>
    <t>⽩酒;烧酒;⻩酒;果酒（含酒精）;威⼠忌;葡萄酒;烈酒（饮料）;⽶酒;鸡尾酒;开胃酒</t>
  </si>
  <si>
    <t>2024/05/25</t>
  </si>
  <si>
    <t>燕赵本</t>
  </si>
  <si>
    <t>邯郸燕赵骄子酒业有限公司</t>
  </si>
  <si>
    <t>苦荞酒;⽩酒;⻩酒;⽶酒;烧酒;梅酒;露酒;葡萄酒;果酒;清酒</t>
  </si>
  <si>
    <t>众凯瑞</t>
  </si>
  <si>
    <t>娄底市经济技术开发区龙邦百货商行（个体工商户）</t>
  </si>
  <si>
    <t>鸡尾酒;⻩酒;葡萄酒;烈酒（饮料）;伏特加酒;酒精饮料（啤酒除外）;⽶酒;开胃酒;⽩酒;烧酒</t>
  </si>
  <si>
    <t>茗鹿人家</t>
  </si>
  <si>
    <t>长春市双阳区东燃鹿业有限公司</t>
  </si>
  <si>
    <t>⾕物制蒸馏酒精饮料;含⽔果酒精饮料;⽶酒;烧酒;⽩酒;葡萄酒;酒精饮料（啤酒除外）;⻩酒;果酒（含酒精）;开胃酒</t>
  </si>
  <si>
    <t>2024/05/27</t>
  </si>
  <si>
    <t>鹰仑堡</t>
  </si>
  <si>
    <t>哈尔滨薜琉璃贸易有限公司</t>
  </si>
  <si>
    <t>葡萄酒;烈酒（饮料）;蒸馏饮料;酒精饮料原汁;苹果酒;果酒（含酒精）;酒精饮料（啤酒除外）;⽩酒;⽶酒;鸡尾酒</t>
  </si>
  <si>
    <t>山西得裕酒业有限责任公司</t>
  </si>
  <si>
    <t>⽩酒;果酒（含酒精）;⻩酒;⽶酒;⻘稞酒;清酒（⽇本⽶酒）;酒精饮料（啤酒除外）;⾕物制蒸馏酒精饮料;烧酒;葡萄酒</t>
  </si>
  <si>
    <t>麒麟狮虎王 KIRIN LION TIGER KING</t>
  </si>
  <si>
    <t>陈彬</t>
  </si>
  <si>
    <t>烈酒（饮料）;⽩酒;果酒（含酒精）;鸡尾酒;蒸煮提取物（利⼝酒和烈酒）;葡萄酒;威⼠忌;酒精饮料（啤酒除外）;⽶酒;清酒（⽇本⽶酒）</t>
  </si>
  <si>
    <t>纤奢</t>
  </si>
  <si>
    <t>黄日俊</t>
  </si>
  <si>
    <t>⽩酒;⽶酒;鸡尾酒;清酒（⽇本⽶酒）;蜂蜜酒;葡萄酒;烧酒;酒精饮料（啤酒除外）;果酒（含酒精）;含⽔果酒精饮料</t>
  </si>
  <si>
    <t>望见林悦</t>
  </si>
  <si>
    <t>⾼粱酒;⻘稞酒;⽩酒;葡萄酒;⽶酒;奶油利⼝酒;⻩酒;果酒（含酒精）;烈酒（饮料）;烧酒</t>
  </si>
  <si>
    <t>鸣竽轩</t>
  </si>
  <si>
    <t>三河市雲知菊园餐饮管理有限公司</t>
  </si>
  <si>
    <t>⽩酒;果酒（含酒精）;葡萄酒;烈酒（饮料）;烧酒;⻩酒;⽶酒;鸡尾酒;酒精饮料（啤酒除外）;清酒（⽇本⽶酒）</t>
  </si>
  <si>
    <t>蒙之舟</t>
  </si>
  <si>
    <t>郭富才</t>
  </si>
  <si>
    <t>⻩酒;开胃酒;烧酒;⽩酒;鸡尾酒;葡萄酒;烈酒（饮料）;⻘稞酒;⽶酒;伏特加酒</t>
  </si>
  <si>
    <t>宏娇阳</t>
  </si>
  <si>
    <t>常宁市娇阳酒业有限公司</t>
  </si>
  <si>
    <t>酒精饮料（啤酒除外）;⾕物制蒸馏酒精饮料;⽩酒;果酒（含酒精）;甜酒;⽶酒;烈酒（饮料）;⾼粱酒;开胃酒;葡萄酒</t>
  </si>
  <si>
    <t>北九鼎</t>
  </si>
  <si>
    <t>魏裕平</t>
  </si>
  <si>
    <t>⻩酒;葡萄酒;蜂蜜酒;果酒（含酒精）;开胃酒;⽶酒;烧酒;⽩酒;酒精饮料（啤酒除外）;含⽔果酒精饮料</t>
  </si>
  <si>
    <t>村里瓦屋</t>
  </si>
  <si>
    <t>重庆庆特实业有限公司</t>
  </si>
  <si>
    <t>烈酒;果酒;⽩酒;酒精饮料（啤酒除外）;露酒;⾼粱酒;烧酒;⽩⼲酒（中国⽩酒）;⽶酒;蒸煮提取物（利⼝酒和烈酒）</t>
  </si>
  <si>
    <t>战力康</t>
  </si>
  <si>
    <t>重庆双邦生物科技有限公司</t>
  </si>
  <si>
    <t>开胃酒;已调味的⻨芽酿制的酒精饮料（啤酒除外）;⻩酒;⽩酒;烧酒;⽶酒;伏特加酒;鸡尾酒;⽩兰地;威⼠忌</t>
  </si>
  <si>
    <t>暴风机甲</t>
  </si>
  <si>
    <t>广东精一家具股份有限公司英陆华分公司</t>
  </si>
  <si>
    <t>酒精饮料原汁;烈酒;果酒;⽩兰地;威⼠忌;⽩酒;烧酒;⻩酒;含酒精的饮料（啤酒除外）;葡萄酒</t>
  </si>
  <si>
    <t>第二妈妈</t>
  </si>
  <si>
    <t>冷明</t>
  </si>
  <si>
    <t>⾕物制蒸馏酒精饮料;蒸馏饮料;⻩酒;酒精饮料（啤酒除外）;⽩酒;⽶酒;薄荷酒;果酒（含酒精）;葡萄酒;烈酒（饮料）</t>
  </si>
  <si>
    <t>蒙赛瀚</t>
  </si>
  <si>
    <t>内蒙古哈腾商贸有限公司</t>
  </si>
  <si>
    <t>果酒（含酒精）;汽酒;⻩酒;鸡尾酒;⽩酒;⽩兰地;开胃酒;含⽔果酒精饮料;⽶酒;葡萄酒</t>
  </si>
  <si>
    <t>万客祥</t>
  </si>
  <si>
    <t>吕军香</t>
  </si>
  <si>
    <t>酒精饮料（啤酒除外）;⻩酒;清酒（⽇本⽶酒）;烧酒;⽩酒;鸡尾酒;葡萄酒;烈酒（饮料）;⽶酒;果酒（含酒精）</t>
  </si>
  <si>
    <t>SWIWISH</t>
  </si>
  <si>
    <t>四川省数字县域商业发展有限责任公司</t>
  </si>
  <si>
    <t>餐后酒（利⼝酒和烈酒）;朗姆酒;⻩酒;⽩葡萄酒;果酒（含酒精）;⽇式甜⽶酒;以葡萄酒为主的饮料;⽩⼲酒（中国⽩酒）;清酒;草莓酒</t>
  </si>
  <si>
    <t>卡洛兰菲</t>
  </si>
  <si>
    <t>阜阳穆菲商贸有限公司</t>
  </si>
  <si>
    <t>威⼠忌;清酒;酒精饮料（啤酒除外）;烧酒;伏特加酒;葡萄酒;鸡尾酒;⻘稞酒;朗姆酒;⽩兰地</t>
  </si>
  <si>
    <t>桦韵佳美</t>
  </si>
  <si>
    <t>娄佳军230822********6416</t>
  </si>
  <si>
    <t>⽶酒;朝鲜族⽶酒;除啤酒外的酒精饮料;⽩酒;果酒（含酒精）;蜂蜜酒;烧酒;烈酒;⽩⼲酒（中国⽩酒）;烈酒（饮料）</t>
  </si>
  <si>
    <t>2024/05/29</t>
  </si>
  <si>
    <t>赉北云浪香</t>
  </si>
  <si>
    <t>镇赉荣达酒业有限责任公司</t>
  </si>
  <si>
    <t>蒸煮提取物（利⼝酒和烈酒）;开胃酒;烈酒;果酒（含酒精）;⽩酒;烧酒;酒精饮料浓缩汁;葡萄酒;含⽔果酒精饮料;⻩酒</t>
  </si>
  <si>
    <t>赉北至臻贡</t>
  </si>
  <si>
    <t>蒸煮提取物（利⼝酒和烈酒）;烧酒;含⽔果酒精饮料;果酒（含酒精）;⻩酒;开胃酒;酒精饮料浓缩汁;⽩酒;葡萄酒;烈酒</t>
  </si>
  <si>
    <t>THE DIGITAL SPIRITS PROJECT</t>
  </si>
  <si>
    <t>芝华士控股（知识产权）有限公司</t>
  </si>
  <si>
    <t>东圣鸿韻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</si>
</sst>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/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3" fillId="0" borderId="1" xfId="2" applyBorder="1" applyAlignment="1">
      <alignment horizontal="right"/>
    </xf>
    <xf numFmtId="0" fontId="3" fillId="0" borderId="1" xfId="2" applyBorder="1"/>
    <xf numFmtId="0" fontId="4" fillId="0" borderId="1" xfId="1" applyFill="1" applyBorder="1" applyAlignment="1"/>
  </cellXfs>
  <cellStyles count="3">
    <cellStyle name="ハイパーリンク" xfId="1" builtinId="8"/>
    <cellStyle name="標準" xfId="0" builtinId="0"/>
    <cellStyle name="標準_1901th" xfId="2" xr:uid="{59485378-E594-49D9-9C04-21C23B58B9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3239"/>
  <sheetViews>
    <sheetView tabSelected="1" zoomScaleNormal="100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10" t="s">
        <v>9</v>
      </c>
      <c r="C2" s="10" t="s">
        <v>299</v>
      </c>
      <c r="D2" s="10" t="s">
        <v>300</v>
      </c>
      <c r="E2" s="11" t="str">
        <f>+HYPERLINK("http://trademark.i-assist.jp/data/china/image_1898th/50400384.pdf", "50400384")</f>
        <v>50400384</v>
      </c>
      <c r="F2" s="10" t="s">
        <v>4443</v>
      </c>
      <c r="G2" s="10" t="s">
        <v>4444</v>
      </c>
      <c r="H2" s="10" t="s">
        <v>4445</v>
      </c>
      <c r="I2" s="10" t="s">
        <v>4446</v>
      </c>
    </row>
    <row r="3" spans="1:9" x14ac:dyDescent="0.15">
      <c r="A3" s="9">
        <v>2</v>
      </c>
      <c r="B3" s="10" t="s">
        <v>9</v>
      </c>
      <c r="C3" s="10" t="s">
        <v>299</v>
      </c>
      <c r="D3" s="10" t="s">
        <v>300</v>
      </c>
      <c r="E3" s="11" t="str">
        <f>+HYPERLINK("http://trademark.i-assist.jp/data/china/image_1898th/59426175.pdf", "59426175")</f>
        <v>59426175</v>
      </c>
      <c r="F3" s="10" t="s">
        <v>4447</v>
      </c>
      <c r="G3" s="10" t="s">
        <v>4448</v>
      </c>
      <c r="H3" s="10" t="s">
        <v>4449</v>
      </c>
      <c r="I3" s="10" t="s">
        <v>4450</v>
      </c>
    </row>
    <row r="4" spans="1:9" x14ac:dyDescent="0.15">
      <c r="A4" s="9">
        <v>3</v>
      </c>
      <c r="B4" s="10" t="s">
        <v>9</v>
      </c>
      <c r="C4" s="10" t="s">
        <v>299</v>
      </c>
      <c r="D4" s="10" t="s">
        <v>300</v>
      </c>
      <c r="E4" s="11" t="str">
        <f>+HYPERLINK("http://trademark.i-assist.jp/data/china/image_1898th/65346030.pdf", "65346030")</f>
        <v>65346030</v>
      </c>
      <c r="F4" s="10" t="s">
        <v>4925</v>
      </c>
      <c r="G4" s="10" t="s">
        <v>78</v>
      </c>
      <c r="H4" s="10" t="s">
        <v>4926</v>
      </c>
      <c r="I4" s="10" t="s">
        <v>4927</v>
      </c>
    </row>
    <row r="5" spans="1:9" x14ac:dyDescent="0.15">
      <c r="A5" s="9">
        <v>4</v>
      </c>
      <c r="B5" s="10" t="s">
        <v>9</v>
      </c>
      <c r="C5" s="10" t="s">
        <v>299</v>
      </c>
      <c r="D5" s="10" t="s">
        <v>300</v>
      </c>
      <c r="E5" s="11" t="str">
        <f>+HYPERLINK("http://trademark.i-assist.jp/data/china/image_1898th/65351399.pdf", "65351399")</f>
        <v>65351399</v>
      </c>
      <c r="F5" s="10" t="s">
        <v>4928</v>
      </c>
      <c r="G5" s="10" t="s">
        <v>78</v>
      </c>
      <c r="H5" s="10" t="s">
        <v>4926</v>
      </c>
      <c r="I5" s="10" t="s">
        <v>4927</v>
      </c>
    </row>
    <row r="6" spans="1:9" x14ac:dyDescent="0.15">
      <c r="A6" s="9">
        <v>5</v>
      </c>
      <c r="B6" s="10" t="s">
        <v>9</v>
      </c>
      <c r="C6" s="10" t="s">
        <v>299</v>
      </c>
      <c r="D6" s="10" t="s">
        <v>300</v>
      </c>
      <c r="E6" s="11" t="str">
        <f>+HYPERLINK("http://trademark.i-assist.jp/data/china/image_1898th/65482179.pdf", "65482179")</f>
        <v>65482179</v>
      </c>
      <c r="F6" s="10" t="s">
        <v>4929</v>
      </c>
      <c r="G6" s="10" t="s">
        <v>10</v>
      </c>
      <c r="H6" s="10" t="s">
        <v>4930</v>
      </c>
      <c r="I6" s="10" t="s">
        <v>4931</v>
      </c>
    </row>
    <row r="7" spans="1:9" x14ac:dyDescent="0.15">
      <c r="A7" s="9">
        <v>6</v>
      </c>
      <c r="B7" s="10" t="s">
        <v>9</v>
      </c>
      <c r="C7" s="10" t="s">
        <v>299</v>
      </c>
      <c r="D7" s="10" t="s">
        <v>300</v>
      </c>
      <c r="E7" s="11" t="str">
        <f>+HYPERLINK("http://trademark.i-assist.jp/data/china/image_1898th/66536624.pdf", "66536624")</f>
        <v>66536624</v>
      </c>
      <c r="F7" s="10" t="s">
        <v>4932</v>
      </c>
      <c r="G7" s="10" t="s">
        <v>705</v>
      </c>
      <c r="H7" s="10" t="s">
        <v>4933</v>
      </c>
      <c r="I7" s="10" t="s">
        <v>4934</v>
      </c>
    </row>
    <row r="8" spans="1:9" x14ac:dyDescent="0.15">
      <c r="A8" s="9">
        <v>7</v>
      </c>
      <c r="B8" s="10" t="s">
        <v>9</v>
      </c>
      <c r="C8" s="10" t="s">
        <v>299</v>
      </c>
      <c r="D8" s="10" t="s">
        <v>300</v>
      </c>
      <c r="E8" s="11" t="str">
        <f>+HYPERLINK("http://trademark.i-assist.jp/data/china/image_1898th/66544552.pdf", "66544552")</f>
        <v>66544552</v>
      </c>
      <c r="F8" s="10" t="s">
        <v>704</v>
      </c>
      <c r="G8" s="10" t="s">
        <v>705</v>
      </c>
      <c r="H8" s="10" t="s">
        <v>4935</v>
      </c>
      <c r="I8" s="10" t="s">
        <v>4934</v>
      </c>
    </row>
    <row r="9" spans="1:9" x14ac:dyDescent="0.15">
      <c r="A9" s="9">
        <v>8</v>
      </c>
      <c r="B9" s="10" t="s">
        <v>9</v>
      </c>
      <c r="C9" s="10" t="s">
        <v>299</v>
      </c>
      <c r="D9" s="10" t="s">
        <v>300</v>
      </c>
      <c r="E9" s="11" t="str">
        <f>+HYPERLINK("http://trademark.i-assist.jp/data/china/image_1898th/66796037.pdf", "66796037")</f>
        <v>66796037</v>
      </c>
      <c r="F9" s="10" t="s">
        <v>5123</v>
      </c>
      <c r="G9" s="10" t="s">
        <v>27</v>
      </c>
      <c r="H9" s="10" t="s">
        <v>5124</v>
      </c>
      <c r="I9" s="10" t="s">
        <v>5125</v>
      </c>
    </row>
    <row r="10" spans="1:9" x14ac:dyDescent="0.15">
      <c r="A10" s="9">
        <v>9</v>
      </c>
      <c r="B10" s="10" t="s">
        <v>9</v>
      </c>
      <c r="C10" s="10" t="s">
        <v>299</v>
      </c>
      <c r="D10" s="10" t="s">
        <v>300</v>
      </c>
      <c r="E10" s="11" t="str">
        <f>+HYPERLINK("http://trademark.i-assist.jp/data/china/image_1898th/67499114.pdf", "67499114")</f>
        <v>67499114</v>
      </c>
      <c r="F10" s="10" t="s">
        <v>5126</v>
      </c>
      <c r="G10" s="10" t="s">
        <v>5127</v>
      </c>
      <c r="H10" s="10" t="s">
        <v>5128</v>
      </c>
      <c r="I10" s="10" t="s">
        <v>5129</v>
      </c>
    </row>
    <row r="11" spans="1:9" x14ac:dyDescent="0.15">
      <c r="A11" s="9">
        <v>10</v>
      </c>
      <c r="B11" s="10" t="s">
        <v>9</v>
      </c>
      <c r="C11" s="10" t="s">
        <v>299</v>
      </c>
      <c r="D11" s="10" t="s">
        <v>300</v>
      </c>
      <c r="E11" s="11" t="str">
        <f>+HYPERLINK("http://trademark.i-assist.jp/data/china/image_1898th/67573795.pdf", "67573795")</f>
        <v>67573795</v>
      </c>
      <c r="F11" s="10" t="s">
        <v>5130</v>
      </c>
      <c r="G11" s="10" t="s">
        <v>151</v>
      </c>
      <c r="H11" s="10" t="s">
        <v>5131</v>
      </c>
      <c r="I11" s="10" t="s">
        <v>5132</v>
      </c>
    </row>
    <row r="12" spans="1:9" x14ac:dyDescent="0.15">
      <c r="A12" s="9">
        <v>11</v>
      </c>
      <c r="B12" s="10" t="s">
        <v>9</v>
      </c>
      <c r="C12" s="10" t="s">
        <v>299</v>
      </c>
      <c r="D12" s="10" t="s">
        <v>300</v>
      </c>
      <c r="E12" s="11" t="str">
        <f>+HYPERLINK("http://trademark.i-assist.jp/data/china/image_1898th/67585639.pdf", "67585639")</f>
        <v>67585639</v>
      </c>
      <c r="F12" s="10" t="s">
        <v>8880</v>
      </c>
      <c r="G12" s="10" t="s">
        <v>8881</v>
      </c>
      <c r="H12" s="10" t="s">
        <v>22</v>
      </c>
      <c r="I12" s="10" t="s">
        <v>5132</v>
      </c>
    </row>
    <row r="13" spans="1:9" x14ac:dyDescent="0.15">
      <c r="A13" s="9">
        <v>12</v>
      </c>
      <c r="B13" s="10" t="s">
        <v>9</v>
      </c>
      <c r="C13" s="10" t="s">
        <v>299</v>
      </c>
      <c r="D13" s="10" t="s">
        <v>300</v>
      </c>
      <c r="E13" s="11" t="str">
        <f>+HYPERLINK("http://trademark.i-assist.jp/data/china/image_1898th/67595317.pdf", "67595317")</f>
        <v>67595317</v>
      </c>
      <c r="F13" s="10" t="s">
        <v>8882</v>
      </c>
      <c r="G13" s="10" t="s">
        <v>151</v>
      </c>
      <c r="H13" s="10" t="s">
        <v>5131</v>
      </c>
      <c r="I13" s="10" t="s">
        <v>5132</v>
      </c>
    </row>
    <row r="14" spans="1:9" x14ac:dyDescent="0.15">
      <c r="A14" s="9">
        <v>13</v>
      </c>
      <c r="B14" s="10" t="s">
        <v>9</v>
      </c>
      <c r="C14" s="10" t="s">
        <v>299</v>
      </c>
      <c r="D14" s="10" t="s">
        <v>300</v>
      </c>
      <c r="E14" s="11" t="str">
        <f>+HYPERLINK("http://trademark.i-assist.jp/data/china/image_1898th/67630496.pdf", "67630496")</f>
        <v>67630496</v>
      </c>
      <c r="F14" s="10" t="s">
        <v>597</v>
      </c>
      <c r="G14" s="10" t="s">
        <v>598</v>
      </c>
      <c r="H14" s="10" t="s">
        <v>599</v>
      </c>
      <c r="I14" s="10" t="s">
        <v>600</v>
      </c>
    </row>
    <row r="15" spans="1:9" x14ac:dyDescent="0.15">
      <c r="A15" s="9">
        <v>14</v>
      </c>
      <c r="B15" s="10" t="s">
        <v>9</v>
      </c>
      <c r="C15" s="10" t="s">
        <v>299</v>
      </c>
      <c r="D15" s="10" t="s">
        <v>300</v>
      </c>
      <c r="E15" s="11" t="str">
        <f>+HYPERLINK("http://trademark.i-assist.jp/data/china/image_1898th/67826761.pdf", "67826761")</f>
        <v>67826761</v>
      </c>
      <c r="F15" s="10" t="s">
        <v>601</v>
      </c>
      <c r="G15" s="10" t="s">
        <v>13</v>
      </c>
      <c r="H15" s="10" t="s">
        <v>14</v>
      </c>
      <c r="I15" s="10" t="s">
        <v>602</v>
      </c>
    </row>
    <row r="16" spans="1:9" x14ac:dyDescent="0.15">
      <c r="A16" s="9">
        <v>15</v>
      </c>
      <c r="B16" s="10" t="s">
        <v>9</v>
      </c>
      <c r="C16" s="10" t="s">
        <v>299</v>
      </c>
      <c r="D16" s="10" t="s">
        <v>300</v>
      </c>
      <c r="E16" s="11" t="str">
        <f>+HYPERLINK("http://trademark.i-assist.jp/data/china/image_1898th/68459856.pdf", "68459856")</f>
        <v>68459856</v>
      </c>
      <c r="F16" s="10" t="s">
        <v>603</v>
      </c>
      <c r="G16" s="10" t="s">
        <v>604</v>
      </c>
      <c r="H16" s="10" t="s">
        <v>12</v>
      </c>
      <c r="I16" s="10" t="s">
        <v>605</v>
      </c>
    </row>
    <row r="17" spans="1:9" x14ac:dyDescent="0.15">
      <c r="A17" s="9">
        <v>16</v>
      </c>
      <c r="B17" s="10" t="s">
        <v>9</v>
      </c>
      <c r="C17" s="10" t="s">
        <v>299</v>
      </c>
      <c r="D17" s="10" t="s">
        <v>300</v>
      </c>
      <c r="E17" s="11" t="str">
        <f>+HYPERLINK("http://trademark.i-assist.jp/data/china/image_1898th/68481008.pdf", "68481008")</f>
        <v>68481008</v>
      </c>
      <c r="F17" s="10" t="s">
        <v>606</v>
      </c>
      <c r="G17" s="10" t="s">
        <v>607</v>
      </c>
      <c r="H17" s="10" t="s">
        <v>608</v>
      </c>
      <c r="I17" s="10" t="s">
        <v>609</v>
      </c>
    </row>
    <row r="18" spans="1:9" x14ac:dyDescent="0.15">
      <c r="A18" s="9">
        <v>17</v>
      </c>
      <c r="B18" s="10" t="s">
        <v>9</v>
      </c>
      <c r="C18" s="10" t="s">
        <v>299</v>
      </c>
      <c r="D18" s="10" t="s">
        <v>300</v>
      </c>
      <c r="E18" s="11" t="str">
        <f>+HYPERLINK("http://trademark.i-assist.jp/data/china/image_1898th/68793977.pdf", "68793977")</f>
        <v>68793977</v>
      </c>
      <c r="F18" s="10" t="s">
        <v>19</v>
      </c>
      <c r="G18" s="10" t="s">
        <v>610</v>
      </c>
      <c r="H18" s="10" t="s">
        <v>611</v>
      </c>
      <c r="I18" s="10" t="s">
        <v>612</v>
      </c>
    </row>
    <row r="19" spans="1:9" x14ac:dyDescent="0.15">
      <c r="A19" s="9">
        <v>18</v>
      </c>
      <c r="B19" s="10" t="s">
        <v>9</v>
      </c>
      <c r="C19" s="10" t="s">
        <v>299</v>
      </c>
      <c r="D19" s="10" t="s">
        <v>300</v>
      </c>
      <c r="E19" s="11" t="str">
        <f>+HYPERLINK("http://trademark.i-assist.jp/data/china/image_1898th/69061887.pdf", "69061887")</f>
        <v>69061887</v>
      </c>
      <c r="F19" s="10" t="s">
        <v>613</v>
      </c>
      <c r="G19" s="10" t="s">
        <v>614</v>
      </c>
      <c r="H19" s="10" t="s">
        <v>615</v>
      </c>
      <c r="I19" s="10" t="s">
        <v>616</v>
      </c>
    </row>
    <row r="20" spans="1:9" x14ac:dyDescent="0.15">
      <c r="A20" s="9">
        <v>19</v>
      </c>
      <c r="B20" s="10" t="s">
        <v>9</v>
      </c>
      <c r="C20" s="10" t="s">
        <v>299</v>
      </c>
      <c r="D20" s="10" t="s">
        <v>300</v>
      </c>
      <c r="E20" s="11" t="str">
        <f>+HYPERLINK("http://trademark.i-assist.jp/data/china/image_1898th/69759995.pdf", "69759995")</f>
        <v>69759995</v>
      </c>
      <c r="F20" s="10" t="s">
        <v>19</v>
      </c>
      <c r="G20" s="10" t="s">
        <v>617</v>
      </c>
      <c r="H20" s="10" t="s">
        <v>618</v>
      </c>
      <c r="I20" s="10" t="s">
        <v>619</v>
      </c>
    </row>
    <row r="21" spans="1:9" x14ac:dyDescent="0.15">
      <c r="A21" s="9">
        <v>20</v>
      </c>
      <c r="B21" s="10" t="s">
        <v>9</v>
      </c>
      <c r="C21" s="10" t="s">
        <v>299</v>
      </c>
      <c r="D21" s="10" t="s">
        <v>300</v>
      </c>
      <c r="E21" s="11" t="str">
        <f>+HYPERLINK("http://trademark.i-assist.jp/data/china/image_1898th/70364467.pdf", "70364467")</f>
        <v>70364467</v>
      </c>
      <c r="F21" s="10" t="s">
        <v>620</v>
      </c>
      <c r="G21" s="10" t="s">
        <v>621</v>
      </c>
      <c r="H21" s="10" t="s">
        <v>622</v>
      </c>
      <c r="I21" s="10" t="s">
        <v>623</v>
      </c>
    </row>
    <row r="22" spans="1:9" x14ac:dyDescent="0.15">
      <c r="A22" s="9">
        <v>21</v>
      </c>
      <c r="B22" s="10" t="s">
        <v>9</v>
      </c>
      <c r="C22" s="10" t="s">
        <v>299</v>
      </c>
      <c r="D22" s="10" t="s">
        <v>300</v>
      </c>
      <c r="E22" s="11" t="str">
        <f>+HYPERLINK("http://trademark.i-assist.jp/data/china/image_1898th/70604061.pdf", "70604061")</f>
        <v>70604061</v>
      </c>
      <c r="F22" s="10" t="s">
        <v>54</v>
      </c>
      <c r="G22" s="10" t="s">
        <v>55</v>
      </c>
      <c r="H22" s="10" t="s">
        <v>624</v>
      </c>
      <c r="I22" s="10" t="s">
        <v>625</v>
      </c>
    </row>
    <row r="23" spans="1:9" x14ac:dyDescent="0.15">
      <c r="A23" s="9">
        <v>22</v>
      </c>
      <c r="B23" s="10" t="s">
        <v>9</v>
      </c>
      <c r="C23" s="10" t="s">
        <v>299</v>
      </c>
      <c r="D23" s="10" t="s">
        <v>300</v>
      </c>
      <c r="E23" s="11" t="str">
        <f>+HYPERLINK("http://trademark.i-assist.jp/data/china/image_1898th/70842711.pdf", "70842711")</f>
        <v>70842711</v>
      </c>
      <c r="F23" s="10" t="s">
        <v>626</v>
      </c>
      <c r="G23" s="10" t="s">
        <v>627</v>
      </c>
      <c r="H23" s="10" t="s">
        <v>628</v>
      </c>
      <c r="I23" s="10" t="s">
        <v>629</v>
      </c>
    </row>
    <row r="24" spans="1:9" x14ac:dyDescent="0.15">
      <c r="A24" s="9">
        <v>23</v>
      </c>
      <c r="B24" s="10" t="s">
        <v>9</v>
      </c>
      <c r="C24" s="10" t="s">
        <v>299</v>
      </c>
      <c r="D24" s="10" t="s">
        <v>300</v>
      </c>
      <c r="E24" s="11" t="str">
        <f>+HYPERLINK("http://trademark.i-assist.jp/data/china/image_1898th/71036593.pdf", "71036593")</f>
        <v>71036593</v>
      </c>
      <c r="F24" s="10" t="s">
        <v>630</v>
      </c>
      <c r="G24" s="10" t="s">
        <v>631</v>
      </c>
      <c r="H24" s="10" t="s">
        <v>632</v>
      </c>
      <c r="I24" s="10" t="s">
        <v>633</v>
      </c>
    </row>
    <row r="25" spans="1:9" x14ac:dyDescent="0.15">
      <c r="A25" s="9">
        <v>24</v>
      </c>
      <c r="B25" s="10" t="s">
        <v>9</v>
      </c>
      <c r="C25" s="10" t="s">
        <v>299</v>
      </c>
      <c r="D25" s="10" t="s">
        <v>300</v>
      </c>
      <c r="E25" s="11" t="str">
        <f>+HYPERLINK("http://trademark.i-assist.jp/data/china/image_1898th/71105190.pdf", "71105190")</f>
        <v>71105190</v>
      </c>
      <c r="F25" s="10" t="s">
        <v>634</v>
      </c>
      <c r="G25" s="10" t="s">
        <v>635</v>
      </c>
      <c r="H25" s="10" t="s">
        <v>636</v>
      </c>
      <c r="I25" s="10" t="s">
        <v>16</v>
      </c>
    </row>
    <row r="26" spans="1:9" x14ac:dyDescent="0.15">
      <c r="A26" s="9">
        <v>25</v>
      </c>
      <c r="B26" s="10" t="s">
        <v>9</v>
      </c>
      <c r="C26" s="10" t="s">
        <v>299</v>
      </c>
      <c r="D26" s="10" t="s">
        <v>300</v>
      </c>
      <c r="E26" s="11" t="str">
        <f>+HYPERLINK("http://trademark.i-assist.jp/data/china/image_1898th/71112281.pdf", "71112281")</f>
        <v>71112281</v>
      </c>
      <c r="F26" s="10" t="s">
        <v>637</v>
      </c>
      <c r="G26" s="10" t="s">
        <v>20</v>
      </c>
      <c r="H26" s="10" t="s">
        <v>638</v>
      </c>
      <c r="I26" s="10" t="s">
        <v>16</v>
      </c>
    </row>
    <row r="27" spans="1:9" x14ac:dyDescent="0.15">
      <c r="A27" s="9">
        <v>26</v>
      </c>
      <c r="B27" s="10" t="s">
        <v>9</v>
      </c>
      <c r="C27" s="10" t="s">
        <v>299</v>
      </c>
      <c r="D27" s="10" t="s">
        <v>300</v>
      </c>
      <c r="E27" s="11" t="str">
        <f>+HYPERLINK("http://trademark.i-assist.jp/data/china/image_1898th/71278268.pdf", "71278268")</f>
        <v>71278268</v>
      </c>
      <c r="F27" s="10" t="s">
        <v>639</v>
      </c>
      <c r="G27" s="10" t="s">
        <v>640</v>
      </c>
      <c r="H27" s="10" t="s">
        <v>641</v>
      </c>
      <c r="I27" s="10" t="s">
        <v>17</v>
      </c>
    </row>
    <row r="28" spans="1:9" x14ac:dyDescent="0.15">
      <c r="A28" s="9">
        <v>27</v>
      </c>
      <c r="B28" s="10" t="s">
        <v>9</v>
      </c>
      <c r="C28" s="10" t="s">
        <v>299</v>
      </c>
      <c r="D28" s="10" t="s">
        <v>300</v>
      </c>
      <c r="E28" s="11" t="str">
        <f>+HYPERLINK("http://trademark.i-assist.jp/data/china/image_1898th/71388984.pdf", "71388984")</f>
        <v>71388984</v>
      </c>
      <c r="F28" s="10" t="s">
        <v>642</v>
      </c>
      <c r="G28" s="10" t="s">
        <v>643</v>
      </c>
      <c r="H28" s="10" t="s">
        <v>644</v>
      </c>
      <c r="I28" s="10" t="s">
        <v>645</v>
      </c>
    </row>
    <row r="29" spans="1:9" x14ac:dyDescent="0.15">
      <c r="A29" s="9">
        <v>28</v>
      </c>
      <c r="B29" s="10" t="s">
        <v>9</v>
      </c>
      <c r="C29" s="10" t="s">
        <v>299</v>
      </c>
      <c r="D29" s="10" t="s">
        <v>300</v>
      </c>
      <c r="E29" s="11" t="str">
        <f>+HYPERLINK("http://trademark.i-assist.jp/data/china/image_1898th/71409092.pdf", "71409092")</f>
        <v>71409092</v>
      </c>
      <c r="F29" s="10" t="s">
        <v>646</v>
      </c>
      <c r="G29" s="10" t="s">
        <v>647</v>
      </c>
      <c r="H29" s="10" t="s">
        <v>648</v>
      </c>
      <c r="I29" s="10" t="s">
        <v>645</v>
      </c>
    </row>
    <row r="30" spans="1:9" x14ac:dyDescent="0.15">
      <c r="A30" s="9">
        <v>29</v>
      </c>
      <c r="B30" s="10" t="s">
        <v>9</v>
      </c>
      <c r="C30" s="10" t="s">
        <v>299</v>
      </c>
      <c r="D30" s="10" t="s">
        <v>300</v>
      </c>
      <c r="E30" s="11" t="str">
        <f>+HYPERLINK("http://trademark.i-assist.jp/data/china/image_1898th/71448318.pdf", "71448318")</f>
        <v>71448318</v>
      </c>
      <c r="F30" s="10" t="s">
        <v>649</v>
      </c>
      <c r="G30" s="10" t="s">
        <v>650</v>
      </c>
      <c r="H30" s="10" t="s">
        <v>651</v>
      </c>
      <c r="I30" s="10" t="s">
        <v>652</v>
      </c>
    </row>
    <row r="31" spans="1:9" x14ac:dyDescent="0.15">
      <c r="A31" s="9">
        <v>30</v>
      </c>
      <c r="B31" s="10" t="s">
        <v>9</v>
      </c>
      <c r="C31" s="10" t="s">
        <v>299</v>
      </c>
      <c r="D31" s="10" t="s">
        <v>300</v>
      </c>
      <c r="E31" s="11" t="str">
        <f>+HYPERLINK("http://trademark.i-assist.jp/data/china/image_1898th/71450530.pdf", "71450530")</f>
        <v>71450530</v>
      </c>
      <c r="F31" s="10" t="s">
        <v>653</v>
      </c>
      <c r="G31" s="10" t="s">
        <v>15</v>
      </c>
      <c r="H31" s="10" t="s">
        <v>654</v>
      </c>
      <c r="I31" s="10" t="s">
        <v>652</v>
      </c>
    </row>
    <row r="32" spans="1:9" x14ac:dyDescent="0.15">
      <c r="A32" s="9">
        <v>31</v>
      </c>
      <c r="B32" s="10" t="s">
        <v>9</v>
      </c>
      <c r="C32" s="10" t="s">
        <v>299</v>
      </c>
      <c r="D32" s="10" t="s">
        <v>300</v>
      </c>
      <c r="E32" s="11" t="str">
        <f>+HYPERLINK("http://trademark.i-assist.jp/data/china/image_1898th/71496030.pdf", "71496030")</f>
        <v>71496030</v>
      </c>
      <c r="F32" s="10" t="s">
        <v>655</v>
      </c>
      <c r="G32" s="10" t="s">
        <v>656</v>
      </c>
      <c r="H32" s="10" t="s">
        <v>657</v>
      </c>
      <c r="I32" s="10" t="s">
        <v>658</v>
      </c>
    </row>
    <row r="33" spans="1:9" x14ac:dyDescent="0.15">
      <c r="A33" s="9">
        <v>32</v>
      </c>
      <c r="B33" s="10" t="s">
        <v>9</v>
      </c>
      <c r="C33" s="10" t="s">
        <v>299</v>
      </c>
      <c r="D33" s="10" t="s">
        <v>300</v>
      </c>
      <c r="E33" s="11" t="str">
        <f>+HYPERLINK("http://trademark.i-assist.jp/data/china/image_1898th/71520659.pdf", "71520659")</f>
        <v>71520659</v>
      </c>
      <c r="F33" s="10" t="s">
        <v>659</v>
      </c>
      <c r="G33" s="10" t="s">
        <v>660</v>
      </c>
      <c r="H33" s="10" t="s">
        <v>661</v>
      </c>
      <c r="I33" s="10" t="s">
        <v>18</v>
      </c>
    </row>
    <row r="34" spans="1:9" x14ac:dyDescent="0.15">
      <c r="A34" s="9">
        <v>33</v>
      </c>
      <c r="B34" s="10" t="s">
        <v>9</v>
      </c>
      <c r="C34" s="10" t="s">
        <v>299</v>
      </c>
      <c r="D34" s="10" t="s">
        <v>300</v>
      </c>
      <c r="E34" s="11" t="str">
        <f>+HYPERLINK("http://trademark.i-assist.jp/data/china/image_1898th/71594505.pdf", "71594505")</f>
        <v>71594505</v>
      </c>
      <c r="F34" s="10" t="s">
        <v>662</v>
      </c>
      <c r="G34" s="10" t="s">
        <v>663</v>
      </c>
      <c r="H34" s="10" t="s">
        <v>664</v>
      </c>
      <c r="I34" s="10" t="s">
        <v>665</v>
      </c>
    </row>
    <row r="35" spans="1:9" x14ac:dyDescent="0.15">
      <c r="A35" s="9">
        <v>34</v>
      </c>
      <c r="B35" s="10" t="s">
        <v>9</v>
      </c>
      <c r="C35" s="10" t="s">
        <v>299</v>
      </c>
      <c r="D35" s="10" t="s">
        <v>300</v>
      </c>
      <c r="E35" s="11" t="str">
        <f>+HYPERLINK("http://trademark.i-assist.jp/data/china/image_1898th/71644605.pdf", "71644605")</f>
        <v>71644605</v>
      </c>
      <c r="F35" s="10" t="s">
        <v>666</v>
      </c>
      <c r="G35" s="10" t="s">
        <v>667</v>
      </c>
      <c r="H35" s="10" t="s">
        <v>668</v>
      </c>
      <c r="I35" s="10" t="s">
        <v>669</v>
      </c>
    </row>
    <row r="36" spans="1:9" x14ac:dyDescent="0.15">
      <c r="A36" s="9">
        <v>35</v>
      </c>
      <c r="B36" s="10" t="s">
        <v>9</v>
      </c>
      <c r="C36" s="10" t="s">
        <v>299</v>
      </c>
      <c r="D36" s="10" t="s">
        <v>300</v>
      </c>
      <c r="E36" s="11" t="str">
        <f>+HYPERLINK("http://trademark.i-assist.jp/data/china/image_1898th/71669235.pdf", "71669235")</f>
        <v>71669235</v>
      </c>
      <c r="F36" s="10" t="s">
        <v>670</v>
      </c>
      <c r="G36" s="10" t="s">
        <v>671</v>
      </c>
      <c r="H36" s="10" t="s">
        <v>672</v>
      </c>
      <c r="I36" s="10" t="s">
        <v>21</v>
      </c>
    </row>
    <row r="37" spans="1:9" x14ac:dyDescent="0.15">
      <c r="A37" s="9">
        <v>36</v>
      </c>
      <c r="B37" s="10" t="s">
        <v>9</v>
      </c>
      <c r="C37" s="10" t="s">
        <v>299</v>
      </c>
      <c r="D37" s="10" t="s">
        <v>300</v>
      </c>
      <c r="E37" s="11" t="str">
        <f>+HYPERLINK("http://trademark.i-assist.jp/data/china/image_1898th/71812373.pdf", "71812373")</f>
        <v>71812373</v>
      </c>
      <c r="F37" s="10" t="s">
        <v>655</v>
      </c>
      <c r="G37" s="10" t="s">
        <v>656</v>
      </c>
      <c r="H37" s="10" t="s">
        <v>673</v>
      </c>
      <c r="I37" s="10" t="s">
        <v>23</v>
      </c>
    </row>
    <row r="38" spans="1:9" x14ac:dyDescent="0.15">
      <c r="A38" s="9">
        <v>37</v>
      </c>
      <c r="B38" s="10" t="s">
        <v>9</v>
      </c>
      <c r="C38" s="10" t="s">
        <v>299</v>
      </c>
      <c r="D38" s="10" t="s">
        <v>300</v>
      </c>
      <c r="E38" s="11" t="str">
        <f>+HYPERLINK("http://trademark.i-assist.jp/data/china/image_1898th/71814229.pdf", "71814229")</f>
        <v>71814229</v>
      </c>
      <c r="F38" s="10" t="s">
        <v>674</v>
      </c>
      <c r="G38" s="10" t="s">
        <v>675</v>
      </c>
      <c r="H38" s="10" t="s">
        <v>676</v>
      </c>
      <c r="I38" s="10" t="s">
        <v>23</v>
      </c>
    </row>
    <row r="39" spans="1:9" x14ac:dyDescent="0.15">
      <c r="A39" s="9">
        <v>38</v>
      </c>
      <c r="B39" s="10" t="s">
        <v>9</v>
      </c>
      <c r="C39" s="10" t="s">
        <v>299</v>
      </c>
      <c r="D39" s="10" t="s">
        <v>300</v>
      </c>
      <c r="E39" s="11" t="str">
        <f>+HYPERLINK("http://trademark.i-assist.jp/data/china/image_1898th/72074753.pdf", "72074753")</f>
        <v>72074753</v>
      </c>
      <c r="F39" s="10" t="s">
        <v>677</v>
      </c>
      <c r="G39" s="10" t="s">
        <v>678</v>
      </c>
      <c r="H39" s="10" t="s">
        <v>679</v>
      </c>
      <c r="I39" s="10" t="s">
        <v>680</v>
      </c>
    </row>
    <row r="40" spans="1:9" x14ac:dyDescent="0.15">
      <c r="A40" s="9">
        <v>39</v>
      </c>
      <c r="B40" s="10" t="s">
        <v>9</v>
      </c>
      <c r="C40" s="10" t="s">
        <v>299</v>
      </c>
      <c r="D40" s="10" t="s">
        <v>300</v>
      </c>
      <c r="E40" s="11" t="str">
        <f>+HYPERLINK("http://trademark.i-assist.jp/data/china/image_1898th/72129085.pdf", "72129085")</f>
        <v>72129085</v>
      </c>
      <c r="F40" s="10" t="s">
        <v>681</v>
      </c>
      <c r="G40" s="10" t="s">
        <v>682</v>
      </c>
      <c r="H40" s="10" t="s">
        <v>683</v>
      </c>
      <c r="I40" s="10" t="s">
        <v>24</v>
      </c>
    </row>
    <row r="41" spans="1:9" x14ac:dyDescent="0.15">
      <c r="A41" s="9">
        <v>40</v>
      </c>
      <c r="B41" s="10" t="s">
        <v>9</v>
      </c>
      <c r="C41" s="10" t="s">
        <v>299</v>
      </c>
      <c r="D41" s="10" t="s">
        <v>300</v>
      </c>
      <c r="E41" s="11" t="str">
        <f>+HYPERLINK("http://trademark.i-assist.jp/data/china/image_1898th/72155961.pdf", "72155961")</f>
        <v>72155961</v>
      </c>
      <c r="F41" s="10" t="s">
        <v>684</v>
      </c>
      <c r="G41" s="10" t="s">
        <v>685</v>
      </c>
      <c r="H41" s="10" t="s">
        <v>686</v>
      </c>
      <c r="I41" s="10" t="s">
        <v>26</v>
      </c>
    </row>
    <row r="42" spans="1:9" x14ac:dyDescent="0.15">
      <c r="A42" s="9">
        <v>41</v>
      </c>
      <c r="B42" s="10" t="s">
        <v>9</v>
      </c>
      <c r="C42" s="10" t="s">
        <v>299</v>
      </c>
      <c r="D42" s="10" t="s">
        <v>300</v>
      </c>
      <c r="E42" s="11" t="str">
        <f>+HYPERLINK("http://trademark.i-assist.jp/data/china/image_1898th/72556606.pdf", "72556606")</f>
        <v>72556606</v>
      </c>
      <c r="F42" s="10" t="s">
        <v>687</v>
      </c>
      <c r="G42" s="10" t="s">
        <v>688</v>
      </c>
      <c r="H42" s="10" t="s">
        <v>689</v>
      </c>
      <c r="I42" s="10" t="s">
        <v>690</v>
      </c>
    </row>
    <row r="43" spans="1:9" x14ac:dyDescent="0.15">
      <c r="A43" s="9">
        <v>42</v>
      </c>
      <c r="B43" s="10" t="s">
        <v>9</v>
      </c>
      <c r="C43" s="10" t="s">
        <v>299</v>
      </c>
      <c r="D43" s="10" t="s">
        <v>300</v>
      </c>
      <c r="E43" s="11" t="str">
        <f>+HYPERLINK("http://trademark.i-assist.jp/data/china/image_1898th/72609001.pdf", "72609001")</f>
        <v>72609001</v>
      </c>
      <c r="F43" s="10" t="s">
        <v>691</v>
      </c>
      <c r="G43" s="10" t="s">
        <v>692</v>
      </c>
      <c r="H43" s="10" t="s">
        <v>693</v>
      </c>
      <c r="I43" s="10" t="s">
        <v>28</v>
      </c>
    </row>
    <row r="44" spans="1:9" x14ac:dyDescent="0.15">
      <c r="A44" s="9">
        <v>43</v>
      </c>
      <c r="B44" s="10" t="s">
        <v>9</v>
      </c>
      <c r="C44" s="10" t="s">
        <v>299</v>
      </c>
      <c r="D44" s="10" t="s">
        <v>300</v>
      </c>
      <c r="E44" s="11" t="str">
        <f>+HYPERLINK("http://trademark.i-assist.jp/data/china/image_1898th/72623998.pdf", "72623998")</f>
        <v>72623998</v>
      </c>
      <c r="F44" s="10" t="s">
        <v>694</v>
      </c>
      <c r="G44" s="10" t="s">
        <v>695</v>
      </c>
      <c r="H44" s="10" t="s">
        <v>696</v>
      </c>
      <c r="I44" s="10" t="s">
        <v>28</v>
      </c>
    </row>
    <row r="45" spans="1:9" x14ac:dyDescent="0.15">
      <c r="A45" s="9">
        <v>44</v>
      </c>
      <c r="B45" s="10" t="s">
        <v>9</v>
      </c>
      <c r="C45" s="10" t="s">
        <v>299</v>
      </c>
      <c r="D45" s="10" t="s">
        <v>300</v>
      </c>
      <c r="E45" s="11" t="str">
        <f>+HYPERLINK("http://trademark.i-assist.jp/data/china/image_1898th/72775821.pdf", "72775821")</f>
        <v>72775821</v>
      </c>
      <c r="F45" s="10" t="s">
        <v>697</v>
      </c>
      <c r="G45" s="10" t="s">
        <v>698</v>
      </c>
      <c r="H45" s="10" t="s">
        <v>699</v>
      </c>
      <c r="I45" s="10" t="s">
        <v>29</v>
      </c>
    </row>
    <row r="46" spans="1:9" x14ac:dyDescent="0.15">
      <c r="A46" s="9">
        <v>45</v>
      </c>
      <c r="B46" s="10" t="s">
        <v>9</v>
      </c>
      <c r="C46" s="10" t="s">
        <v>299</v>
      </c>
      <c r="D46" s="10" t="s">
        <v>300</v>
      </c>
      <c r="E46" s="11" t="str">
        <f>+HYPERLINK("http://trademark.i-assist.jp/data/china/image_1898th/72849572.pdf", "72849572")</f>
        <v>72849572</v>
      </c>
      <c r="F46" s="10" t="s">
        <v>700</v>
      </c>
      <c r="G46" s="10" t="s">
        <v>701</v>
      </c>
      <c r="H46" s="10" t="s">
        <v>702</v>
      </c>
      <c r="I46" s="10" t="s">
        <v>703</v>
      </c>
    </row>
    <row r="47" spans="1:9" x14ac:dyDescent="0.15">
      <c r="A47" s="9">
        <v>46</v>
      </c>
      <c r="B47" s="10" t="s">
        <v>9</v>
      </c>
      <c r="C47" s="10" t="s">
        <v>299</v>
      </c>
      <c r="D47" s="10" t="s">
        <v>300</v>
      </c>
      <c r="E47" s="11" t="str">
        <f>+HYPERLINK("http://trademark.i-assist.jp/data/china/image_1898th/72944799.pdf", "72944799")</f>
        <v>72944799</v>
      </c>
      <c r="F47" s="10" t="s">
        <v>704</v>
      </c>
      <c r="G47" s="10" t="s">
        <v>705</v>
      </c>
      <c r="H47" s="10" t="s">
        <v>706</v>
      </c>
      <c r="I47" s="10" t="s">
        <v>707</v>
      </c>
    </row>
    <row r="48" spans="1:9" x14ac:dyDescent="0.15">
      <c r="A48" s="9">
        <v>47</v>
      </c>
      <c r="B48" s="10" t="s">
        <v>9</v>
      </c>
      <c r="C48" s="10" t="s">
        <v>299</v>
      </c>
      <c r="D48" s="10" t="s">
        <v>300</v>
      </c>
      <c r="E48" s="11" t="str">
        <f>+HYPERLINK("http://trademark.i-assist.jp/data/china/image_1898th/72989902.pdf", "72989902")</f>
        <v>72989902</v>
      </c>
      <c r="F48" s="10" t="s">
        <v>19</v>
      </c>
      <c r="G48" s="10" t="s">
        <v>708</v>
      </c>
      <c r="H48" s="10" t="s">
        <v>709</v>
      </c>
      <c r="I48" s="10" t="s">
        <v>710</v>
      </c>
    </row>
    <row r="49" spans="1:9" x14ac:dyDescent="0.15">
      <c r="A49" s="9">
        <v>48</v>
      </c>
      <c r="B49" s="10" t="s">
        <v>9</v>
      </c>
      <c r="C49" s="10" t="s">
        <v>299</v>
      </c>
      <c r="D49" s="10" t="s">
        <v>300</v>
      </c>
      <c r="E49" s="11" t="str">
        <f>+HYPERLINK("http://trademark.i-assist.jp/data/china/image_1898th/72998336.pdf", "72998336")</f>
        <v>72998336</v>
      </c>
      <c r="F49" s="10" t="s">
        <v>711</v>
      </c>
      <c r="G49" s="10" t="s">
        <v>712</v>
      </c>
      <c r="H49" s="10" t="s">
        <v>713</v>
      </c>
      <c r="I49" s="10" t="s">
        <v>710</v>
      </c>
    </row>
    <row r="50" spans="1:9" x14ac:dyDescent="0.15">
      <c r="A50" s="9">
        <v>49</v>
      </c>
      <c r="B50" s="10" t="s">
        <v>9</v>
      </c>
      <c r="C50" s="10" t="s">
        <v>299</v>
      </c>
      <c r="D50" s="10" t="s">
        <v>300</v>
      </c>
      <c r="E50" s="11" t="str">
        <f>+HYPERLINK("http://trademark.i-assist.jp/data/china/image_1898th/73075094.pdf", "73075094")</f>
        <v>73075094</v>
      </c>
      <c r="F50" s="10" t="s">
        <v>714</v>
      </c>
      <c r="G50" s="10" t="s">
        <v>715</v>
      </c>
      <c r="H50" s="10" t="s">
        <v>716</v>
      </c>
      <c r="I50" s="10" t="s">
        <v>717</v>
      </c>
    </row>
    <row r="51" spans="1:9" x14ac:dyDescent="0.15">
      <c r="A51" s="9">
        <v>50</v>
      </c>
      <c r="B51" s="10" t="s">
        <v>9</v>
      </c>
      <c r="C51" s="10" t="s">
        <v>299</v>
      </c>
      <c r="D51" s="10" t="s">
        <v>300</v>
      </c>
      <c r="E51" s="11" t="str">
        <f>+HYPERLINK("http://trademark.i-assist.jp/data/china/image_1898th/73151704.pdf", "73151704")</f>
        <v>73151704</v>
      </c>
      <c r="F51" s="10" t="s">
        <v>718</v>
      </c>
      <c r="G51" s="10" t="s">
        <v>719</v>
      </c>
      <c r="H51" s="10" t="s">
        <v>720</v>
      </c>
      <c r="I51" s="10" t="s">
        <v>721</v>
      </c>
    </row>
    <row r="52" spans="1:9" x14ac:dyDescent="0.15">
      <c r="A52" s="9">
        <v>51</v>
      </c>
      <c r="B52" s="10" t="s">
        <v>9</v>
      </c>
      <c r="C52" s="10" t="s">
        <v>299</v>
      </c>
      <c r="D52" s="10" t="s">
        <v>300</v>
      </c>
      <c r="E52" s="11" t="str">
        <f>+HYPERLINK("http://trademark.i-assist.jp/data/china/image_1898th/73183058.pdf", "73183058")</f>
        <v>73183058</v>
      </c>
      <c r="F52" s="10" t="s">
        <v>722</v>
      </c>
      <c r="G52" s="10" t="s">
        <v>723</v>
      </c>
      <c r="H52" s="10" t="s">
        <v>724</v>
      </c>
      <c r="I52" s="10" t="s">
        <v>30</v>
      </c>
    </row>
    <row r="53" spans="1:9" x14ac:dyDescent="0.15">
      <c r="A53" s="9">
        <v>52</v>
      </c>
      <c r="B53" s="10" t="s">
        <v>9</v>
      </c>
      <c r="C53" s="10" t="s">
        <v>299</v>
      </c>
      <c r="D53" s="10" t="s">
        <v>300</v>
      </c>
      <c r="E53" s="11" t="str">
        <f>+HYPERLINK("http://trademark.i-assist.jp/data/china/image_1898th/73194261.pdf", "73194261")</f>
        <v>73194261</v>
      </c>
      <c r="F53" s="10" t="s">
        <v>725</v>
      </c>
      <c r="G53" s="10" t="s">
        <v>726</v>
      </c>
      <c r="H53" s="10" t="s">
        <v>727</v>
      </c>
      <c r="I53" s="10" t="s">
        <v>31</v>
      </c>
    </row>
    <row r="54" spans="1:9" x14ac:dyDescent="0.15">
      <c r="A54" s="9">
        <v>53</v>
      </c>
      <c r="B54" s="10" t="s">
        <v>9</v>
      </c>
      <c r="C54" s="10" t="s">
        <v>299</v>
      </c>
      <c r="D54" s="10" t="s">
        <v>300</v>
      </c>
      <c r="E54" s="11" t="str">
        <f>+HYPERLINK("http://trademark.i-assist.jp/data/china/image_1898th/73234660.pdf", "73234660")</f>
        <v>73234660</v>
      </c>
      <c r="F54" s="10" t="s">
        <v>728</v>
      </c>
      <c r="G54" s="10" t="s">
        <v>729</v>
      </c>
      <c r="H54" s="10" t="s">
        <v>730</v>
      </c>
      <c r="I54" s="10" t="s">
        <v>32</v>
      </c>
    </row>
    <row r="55" spans="1:9" x14ac:dyDescent="0.15">
      <c r="A55" s="9">
        <v>54</v>
      </c>
      <c r="B55" s="10" t="s">
        <v>9</v>
      </c>
      <c r="C55" s="10" t="s">
        <v>299</v>
      </c>
      <c r="D55" s="10" t="s">
        <v>300</v>
      </c>
      <c r="E55" s="11" t="str">
        <f>+HYPERLINK("http://trademark.i-assist.jp/data/china/image_1898th/73248602.pdf", "73248602")</f>
        <v>73248602</v>
      </c>
      <c r="F55" s="10" t="s">
        <v>731</v>
      </c>
      <c r="G55" s="10" t="s">
        <v>732</v>
      </c>
      <c r="H55" s="10" t="s">
        <v>733</v>
      </c>
      <c r="I55" s="10" t="s">
        <v>33</v>
      </c>
    </row>
    <row r="56" spans="1:9" x14ac:dyDescent="0.15">
      <c r="A56" s="9">
        <v>55</v>
      </c>
      <c r="B56" s="10" t="s">
        <v>9</v>
      </c>
      <c r="C56" s="10" t="s">
        <v>299</v>
      </c>
      <c r="D56" s="10" t="s">
        <v>300</v>
      </c>
      <c r="E56" s="11" t="str">
        <f>+HYPERLINK("http://trademark.i-assist.jp/data/china/image_1898th/73409790.pdf", "73409790")</f>
        <v>73409790</v>
      </c>
      <c r="F56" s="10" t="s">
        <v>734</v>
      </c>
      <c r="G56" s="10" t="s">
        <v>735</v>
      </c>
      <c r="H56" s="10" t="s">
        <v>736</v>
      </c>
      <c r="I56" s="10" t="s">
        <v>737</v>
      </c>
    </row>
    <row r="57" spans="1:9" x14ac:dyDescent="0.15">
      <c r="A57" s="9">
        <v>56</v>
      </c>
      <c r="B57" s="10" t="s">
        <v>9</v>
      </c>
      <c r="C57" s="10" t="s">
        <v>299</v>
      </c>
      <c r="D57" s="10" t="s">
        <v>300</v>
      </c>
      <c r="E57" s="11" t="str">
        <f>+HYPERLINK("http://trademark.i-assist.jp/data/china/image_1898th/73418737.pdf", "73418737")</f>
        <v>73418737</v>
      </c>
      <c r="F57" s="10" t="s">
        <v>738</v>
      </c>
      <c r="G57" s="10" t="s">
        <v>739</v>
      </c>
      <c r="H57" s="10" t="s">
        <v>740</v>
      </c>
      <c r="I57" s="10" t="s">
        <v>737</v>
      </c>
    </row>
    <row r="58" spans="1:9" x14ac:dyDescent="0.15">
      <c r="A58" s="9">
        <v>57</v>
      </c>
      <c r="B58" s="10" t="s">
        <v>9</v>
      </c>
      <c r="C58" s="10" t="s">
        <v>299</v>
      </c>
      <c r="D58" s="10" t="s">
        <v>300</v>
      </c>
      <c r="E58" s="11" t="str">
        <f>+HYPERLINK("http://trademark.i-assist.jp/data/china/image_1898th/73427070.pdf", "73427070")</f>
        <v>73427070</v>
      </c>
      <c r="F58" s="10" t="s">
        <v>741</v>
      </c>
      <c r="G58" s="10" t="s">
        <v>742</v>
      </c>
      <c r="H58" s="10" t="s">
        <v>743</v>
      </c>
      <c r="I58" s="10" t="s">
        <v>737</v>
      </c>
    </row>
    <row r="59" spans="1:9" x14ac:dyDescent="0.15">
      <c r="A59" s="9">
        <v>58</v>
      </c>
      <c r="B59" s="10" t="s">
        <v>9</v>
      </c>
      <c r="C59" s="10" t="s">
        <v>299</v>
      </c>
      <c r="D59" s="10" t="s">
        <v>300</v>
      </c>
      <c r="E59" s="11" t="str">
        <f>+HYPERLINK("http://trademark.i-assist.jp/data/china/image_1898th/73428722.pdf", "73428722")</f>
        <v>73428722</v>
      </c>
      <c r="F59" s="10" t="s">
        <v>744</v>
      </c>
      <c r="G59" s="10" t="s">
        <v>745</v>
      </c>
      <c r="H59" s="10" t="s">
        <v>746</v>
      </c>
      <c r="I59" s="10" t="s">
        <v>737</v>
      </c>
    </row>
    <row r="60" spans="1:9" x14ac:dyDescent="0.15">
      <c r="A60" s="9">
        <v>59</v>
      </c>
      <c r="B60" s="10" t="s">
        <v>9</v>
      </c>
      <c r="C60" s="10" t="s">
        <v>299</v>
      </c>
      <c r="D60" s="10" t="s">
        <v>300</v>
      </c>
      <c r="E60" s="11" t="str">
        <f>+HYPERLINK("http://trademark.i-assist.jp/data/china/image_1898th/73430074.pdf", "73430074")</f>
        <v>73430074</v>
      </c>
      <c r="F60" s="10" t="s">
        <v>747</v>
      </c>
      <c r="G60" s="10" t="s">
        <v>748</v>
      </c>
      <c r="H60" s="10" t="s">
        <v>749</v>
      </c>
      <c r="I60" s="10" t="s">
        <v>737</v>
      </c>
    </row>
    <row r="61" spans="1:9" x14ac:dyDescent="0.15">
      <c r="A61" s="9">
        <v>60</v>
      </c>
      <c r="B61" s="10" t="s">
        <v>9</v>
      </c>
      <c r="C61" s="10" t="s">
        <v>299</v>
      </c>
      <c r="D61" s="10" t="s">
        <v>300</v>
      </c>
      <c r="E61" s="11" t="str">
        <f>+HYPERLINK("http://trademark.i-assist.jp/data/china/image_1898th/73461553.pdf", "73461553")</f>
        <v>73461553</v>
      </c>
      <c r="F61" s="10" t="s">
        <v>750</v>
      </c>
      <c r="G61" s="10" t="s">
        <v>751</v>
      </c>
      <c r="H61" s="10" t="s">
        <v>752</v>
      </c>
      <c r="I61" s="10" t="s">
        <v>753</v>
      </c>
    </row>
    <row r="62" spans="1:9" x14ac:dyDescent="0.15">
      <c r="A62" s="9">
        <v>61</v>
      </c>
      <c r="B62" s="10" t="s">
        <v>9</v>
      </c>
      <c r="C62" s="10" t="s">
        <v>299</v>
      </c>
      <c r="D62" s="10" t="s">
        <v>300</v>
      </c>
      <c r="E62" s="11" t="str">
        <f>+HYPERLINK("http://trademark.i-assist.jp/data/china/image_1898th/73504089.pdf", "73504089")</f>
        <v>73504089</v>
      </c>
      <c r="F62" s="10" t="s">
        <v>754</v>
      </c>
      <c r="G62" s="10" t="s">
        <v>755</v>
      </c>
      <c r="H62" s="10" t="s">
        <v>756</v>
      </c>
      <c r="I62" s="10" t="s">
        <v>757</v>
      </c>
    </row>
    <row r="63" spans="1:9" x14ac:dyDescent="0.15">
      <c r="A63" s="9">
        <v>62</v>
      </c>
      <c r="B63" s="10" t="s">
        <v>9</v>
      </c>
      <c r="C63" s="10" t="s">
        <v>299</v>
      </c>
      <c r="D63" s="10" t="s">
        <v>300</v>
      </c>
      <c r="E63" s="11" t="str">
        <f>+HYPERLINK("http://trademark.i-assist.jp/data/china/image_1898th/73516126.pdf", "73516126")</f>
        <v>73516126</v>
      </c>
      <c r="F63" s="10" t="s">
        <v>758</v>
      </c>
      <c r="G63" s="10" t="s">
        <v>759</v>
      </c>
      <c r="H63" s="10" t="s">
        <v>760</v>
      </c>
      <c r="I63" s="10" t="s">
        <v>757</v>
      </c>
    </row>
    <row r="64" spans="1:9" x14ac:dyDescent="0.15">
      <c r="A64" s="9">
        <v>63</v>
      </c>
      <c r="B64" s="10" t="s">
        <v>9</v>
      </c>
      <c r="C64" s="10" t="s">
        <v>299</v>
      </c>
      <c r="D64" s="10" t="s">
        <v>300</v>
      </c>
      <c r="E64" s="11" t="str">
        <f>+HYPERLINK("http://trademark.i-assist.jp/data/china/image_1898th/73519023.pdf", "73519023")</f>
        <v>73519023</v>
      </c>
      <c r="F64" s="10" t="s">
        <v>761</v>
      </c>
      <c r="G64" s="10" t="s">
        <v>762</v>
      </c>
      <c r="H64" s="10" t="s">
        <v>763</v>
      </c>
      <c r="I64" s="10" t="s">
        <v>757</v>
      </c>
    </row>
    <row r="65" spans="1:9" x14ac:dyDescent="0.15">
      <c r="A65" s="9">
        <v>64</v>
      </c>
      <c r="B65" s="10" t="s">
        <v>9</v>
      </c>
      <c r="C65" s="10" t="s">
        <v>299</v>
      </c>
      <c r="D65" s="10" t="s">
        <v>300</v>
      </c>
      <c r="E65" s="11" t="str">
        <f>+HYPERLINK("http://trademark.i-assist.jp/data/china/image_1898th/73615334.pdf", "73615334")</f>
        <v>73615334</v>
      </c>
      <c r="F65" s="10" t="s">
        <v>764</v>
      </c>
      <c r="G65" s="10" t="s">
        <v>765</v>
      </c>
      <c r="H65" s="10" t="s">
        <v>766</v>
      </c>
      <c r="I65" s="10" t="s">
        <v>35</v>
      </c>
    </row>
    <row r="66" spans="1:9" x14ac:dyDescent="0.15">
      <c r="A66" s="9">
        <v>65</v>
      </c>
      <c r="B66" s="10" t="s">
        <v>9</v>
      </c>
      <c r="C66" s="10" t="s">
        <v>299</v>
      </c>
      <c r="D66" s="10" t="s">
        <v>300</v>
      </c>
      <c r="E66" s="11" t="str">
        <f>+HYPERLINK("http://trademark.i-assist.jp/data/china/image_1898th/73681017.pdf", "73681017")</f>
        <v>73681017</v>
      </c>
      <c r="F66" s="10" t="s">
        <v>54</v>
      </c>
      <c r="G66" s="10" t="s">
        <v>55</v>
      </c>
      <c r="H66" s="10" t="s">
        <v>767</v>
      </c>
      <c r="I66" s="10" t="s">
        <v>768</v>
      </c>
    </row>
    <row r="67" spans="1:9" x14ac:dyDescent="0.15">
      <c r="A67" s="9">
        <v>66</v>
      </c>
      <c r="B67" s="10" t="s">
        <v>9</v>
      </c>
      <c r="C67" s="10" t="s">
        <v>299</v>
      </c>
      <c r="D67" s="10" t="s">
        <v>300</v>
      </c>
      <c r="E67" s="11" t="str">
        <f>+HYPERLINK("http://trademark.i-assist.jp/data/china/image_1898th/73691432.pdf", "73691432")</f>
        <v>73691432</v>
      </c>
      <c r="F67" s="10" t="s">
        <v>769</v>
      </c>
      <c r="G67" s="10" t="s">
        <v>233</v>
      </c>
      <c r="H67" s="10" t="s">
        <v>770</v>
      </c>
      <c r="I67" s="10" t="s">
        <v>771</v>
      </c>
    </row>
    <row r="68" spans="1:9" x14ac:dyDescent="0.15">
      <c r="A68" s="9">
        <v>67</v>
      </c>
      <c r="B68" s="10" t="s">
        <v>9</v>
      </c>
      <c r="C68" s="10" t="s">
        <v>299</v>
      </c>
      <c r="D68" s="10" t="s">
        <v>300</v>
      </c>
      <c r="E68" s="11" t="str">
        <f>+HYPERLINK("http://trademark.i-assist.jp/data/china/image_1898th/73693215.pdf", "73693215")</f>
        <v>73693215</v>
      </c>
      <c r="F68" s="10" t="s">
        <v>772</v>
      </c>
      <c r="G68" s="10" t="s">
        <v>773</v>
      </c>
      <c r="H68" s="10" t="s">
        <v>774</v>
      </c>
      <c r="I68" s="10" t="s">
        <v>771</v>
      </c>
    </row>
    <row r="69" spans="1:9" x14ac:dyDescent="0.15">
      <c r="A69" s="9">
        <v>68</v>
      </c>
      <c r="B69" s="10" t="s">
        <v>9</v>
      </c>
      <c r="C69" s="10" t="s">
        <v>299</v>
      </c>
      <c r="D69" s="10" t="s">
        <v>300</v>
      </c>
      <c r="E69" s="11" t="str">
        <f>+HYPERLINK("http://trademark.i-assist.jp/data/china/image_1898th/73720602.pdf", "73720602")</f>
        <v>73720602</v>
      </c>
      <c r="F69" s="10" t="s">
        <v>775</v>
      </c>
      <c r="G69" s="10" t="s">
        <v>776</v>
      </c>
      <c r="H69" s="10" t="s">
        <v>777</v>
      </c>
      <c r="I69" s="10" t="s">
        <v>778</v>
      </c>
    </row>
    <row r="70" spans="1:9" x14ac:dyDescent="0.15">
      <c r="A70" s="9">
        <v>69</v>
      </c>
      <c r="B70" s="10" t="s">
        <v>9</v>
      </c>
      <c r="C70" s="10" t="s">
        <v>299</v>
      </c>
      <c r="D70" s="10" t="s">
        <v>300</v>
      </c>
      <c r="E70" s="11" t="str">
        <f>+HYPERLINK("http://trademark.i-assist.jp/data/china/image_1898th/73825331.pdf", "73825331")</f>
        <v>73825331</v>
      </c>
      <c r="F70" s="10" t="s">
        <v>779</v>
      </c>
      <c r="G70" s="10" t="s">
        <v>780</v>
      </c>
      <c r="H70" s="10" t="s">
        <v>781</v>
      </c>
      <c r="I70" s="10" t="s">
        <v>782</v>
      </c>
    </row>
    <row r="71" spans="1:9" x14ac:dyDescent="0.15">
      <c r="A71" s="9">
        <v>70</v>
      </c>
      <c r="B71" s="10" t="s">
        <v>9</v>
      </c>
      <c r="C71" s="10" t="s">
        <v>299</v>
      </c>
      <c r="D71" s="10" t="s">
        <v>300</v>
      </c>
      <c r="E71" s="11" t="str">
        <f>+HYPERLINK("http://trademark.i-assist.jp/data/china/image_1898th/73842381.pdf", "73842381")</f>
        <v>73842381</v>
      </c>
      <c r="F71" s="10" t="s">
        <v>783</v>
      </c>
      <c r="G71" s="10" t="s">
        <v>784</v>
      </c>
      <c r="H71" s="10" t="s">
        <v>785</v>
      </c>
      <c r="I71" s="10" t="s">
        <v>782</v>
      </c>
    </row>
    <row r="72" spans="1:9" x14ac:dyDescent="0.15">
      <c r="A72" s="9">
        <v>71</v>
      </c>
      <c r="B72" s="10" t="s">
        <v>9</v>
      </c>
      <c r="C72" s="10" t="s">
        <v>299</v>
      </c>
      <c r="D72" s="10" t="s">
        <v>300</v>
      </c>
      <c r="E72" s="11" t="str">
        <f>+HYPERLINK("http://trademark.i-assist.jp/data/china/image_1898th/73942847.pdf", "73942847")</f>
        <v>73942847</v>
      </c>
      <c r="F72" s="10" t="s">
        <v>786</v>
      </c>
      <c r="G72" s="10" t="s">
        <v>787</v>
      </c>
      <c r="H72" s="10" t="s">
        <v>788</v>
      </c>
      <c r="I72" s="10" t="s">
        <v>789</v>
      </c>
    </row>
    <row r="73" spans="1:9" x14ac:dyDescent="0.15">
      <c r="A73" s="9">
        <v>72</v>
      </c>
      <c r="B73" s="10" t="s">
        <v>9</v>
      </c>
      <c r="C73" s="10" t="s">
        <v>299</v>
      </c>
      <c r="D73" s="10" t="s">
        <v>300</v>
      </c>
      <c r="E73" s="11" t="str">
        <f>+HYPERLINK("http://trademark.i-assist.jp/data/china/image_1898th/74019087.pdf", "74019087")</f>
        <v>74019087</v>
      </c>
      <c r="F73" s="10" t="s">
        <v>790</v>
      </c>
      <c r="G73" s="10" t="s">
        <v>791</v>
      </c>
      <c r="H73" s="10" t="s">
        <v>792</v>
      </c>
      <c r="I73" s="10" t="s">
        <v>793</v>
      </c>
    </row>
    <row r="74" spans="1:9" x14ac:dyDescent="0.15">
      <c r="A74" s="9">
        <v>73</v>
      </c>
      <c r="B74" s="10" t="s">
        <v>9</v>
      </c>
      <c r="C74" s="10" t="s">
        <v>299</v>
      </c>
      <c r="D74" s="10" t="s">
        <v>300</v>
      </c>
      <c r="E74" s="11" t="str">
        <f>+HYPERLINK("http://trademark.i-assist.jp/data/china/image_1898th/74051139.pdf", "74051139")</f>
        <v>74051139</v>
      </c>
      <c r="F74" s="10" t="s">
        <v>794</v>
      </c>
      <c r="G74" s="10" t="s">
        <v>795</v>
      </c>
      <c r="H74" s="10" t="s">
        <v>796</v>
      </c>
      <c r="I74" s="10" t="s">
        <v>36</v>
      </c>
    </row>
    <row r="75" spans="1:9" x14ac:dyDescent="0.15">
      <c r="A75" s="9">
        <v>74</v>
      </c>
      <c r="B75" s="10" t="s">
        <v>9</v>
      </c>
      <c r="C75" s="10" t="s">
        <v>299</v>
      </c>
      <c r="D75" s="10" t="s">
        <v>300</v>
      </c>
      <c r="E75" s="11" t="str">
        <f>+HYPERLINK("http://trademark.i-assist.jp/data/china/image_1898th/74177449.pdf", "74177449")</f>
        <v>74177449</v>
      </c>
      <c r="F75" s="10" t="s">
        <v>797</v>
      </c>
      <c r="G75" s="10" t="s">
        <v>798</v>
      </c>
      <c r="H75" s="10" t="s">
        <v>799</v>
      </c>
      <c r="I75" s="10" t="s">
        <v>37</v>
      </c>
    </row>
    <row r="76" spans="1:9" x14ac:dyDescent="0.15">
      <c r="A76" s="9">
        <v>75</v>
      </c>
      <c r="B76" s="10" t="s">
        <v>9</v>
      </c>
      <c r="C76" s="10" t="s">
        <v>299</v>
      </c>
      <c r="D76" s="10" t="s">
        <v>300</v>
      </c>
      <c r="E76" s="11" t="str">
        <f>+HYPERLINK("http://trademark.i-assist.jp/data/china/image_1898th/74204620.pdf", "74204620")</f>
        <v>74204620</v>
      </c>
      <c r="F76" s="10" t="s">
        <v>800</v>
      </c>
      <c r="G76" s="10" t="s">
        <v>801</v>
      </c>
      <c r="H76" s="10" t="s">
        <v>802</v>
      </c>
      <c r="I76" s="10" t="s">
        <v>803</v>
      </c>
    </row>
    <row r="77" spans="1:9" x14ac:dyDescent="0.15">
      <c r="A77" s="9">
        <v>76</v>
      </c>
      <c r="B77" s="10" t="s">
        <v>9</v>
      </c>
      <c r="C77" s="10" t="s">
        <v>299</v>
      </c>
      <c r="D77" s="10" t="s">
        <v>300</v>
      </c>
      <c r="E77" s="11" t="str">
        <f>+HYPERLINK("http://trademark.i-assist.jp/data/china/image_1898th/74266815.pdf", "74266815")</f>
        <v>74266815</v>
      </c>
      <c r="F77" s="10" t="s">
        <v>804</v>
      </c>
      <c r="G77" s="10" t="s">
        <v>805</v>
      </c>
      <c r="H77" s="10" t="s">
        <v>806</v>
      </c>
      <c r="I77" s="10" t="s">
        <v>807</v>
      </c>
    </row>
    <row r="78" spans="1:9" x14ac:dyDescent="0.15">
      <c r="A78" s="9">
        <v>77</v>
      </c>
      <c r="B78" s="10" t="s">
        <v>9</v>
      </c>
      <c r="C78" s="10" t="s">
        <v>299</v>
      </c>
      <c r="D78" s="10" t="s">
        <v>300</v>
      </c>
      <c r="E78" s="11" t="str">
        <f>+HYPERLINK("http://trademark.i-assist.jp/data/china/image_1898th/74342842.pdf", "74342842")</f>
        <v>74342842</v>
      </c>
      <c r="F78" s="10" t="s">
        <v>808</v>
      </c>
      <c r="G78" s="10" t="s">
        <v>809</v>
      </c>
      <c r="H78" s="10" t="s">
        <v>810</v>
      </c>
      <c r="I78" s="10" t="s">
        <v>811</v>
      </c>
    </row>
    <row r="79" spans="1:9" x14ac:dyDescent="0.15">
      <c r="A79" s="9">
        <v>78</v>
      </c>
      <c r="B79" s="10" t="s">
        <v>9</v>
      </c>
      <c r="C79" s="10" t="s">
        <v>299</v>
      </c>
      <c r="D79" s="10" t="s">
        <v>300</v>
      </c>
      <c r="E79" s="11" t="str">
        <f>+HYPERLINK("http://trademark.i-assist.jp/data/china/image_1898th/74394882.pdf", "74394882")</f>
        <v>74394882</v>
      </c>
      <c r="F79" s="10" t="s">
        <v>812</v>
      </c>
      <c r="G79" s="10" t="s">
        <v>813</v>
      </c>
      <c r="H79" s="10" t="s">
        <v>814</v>
      </c>
      <c r="I79" s="10" t="s">
        <v>815</v>
      </c>
    </row>
    <row r="80" spans="1:9" x14ac:dyDescent="0.15">
      <c r="A80" s="9">
        <v>79</v>
      </c>
      <c r="B80" s="10" t="s">
        <v>9</v>
      </c>
      <c r="C80" s="10" t="s">
        <v>299</v>
      </c>
      <c r="D80" s="10" t="s">
        <v>300</v>
      </c>
      <c r="E80" s="11" t="str">
        <f>+HYPERLINK("http://trademark.i-assist.jp/data/china/image_1898th/74424496.pdf", "74424496")</f>
        <v>74424496</v>
      </c>
      <c r="F80" s="10" t="s">
        <v>19</v>
      </c>
      <c r="G80" s="10" t="s">
        <v>816</v>
      </c>
      <c r="H80" s="10" t="s">
        <v>817</v>
      </c>
      <c r="I80" s="10" t="s">
        <v>38</v>
      </c>
    </row>
    <row r="81" spans="1:9" x14ac:dyDescent="0.15">
      <c r="A81" s="9">
        <v>80</v>
      </c>
      <c r="B81" s="10" t="s">
        <v>9</v>
      </c>
      <c r="C81" s="10" t="s">
        <v>299</v>
      </c>
      <c r="D81" s="10" t="s">
        <v>300</v>
      </c>
      <c r="E81" s="11" t="str">
        <f>+HYPERLINK("http://trademark.i-assist.jp/data/china/image_1898th/74452121.pdf", "74452121")</f>
        <v>74452121</v>
      </c>
      <c r="F81" s="10" t="s">
        <v>818</v>
      </c>
      <c r="G81" s="10" t="s">
        <v>819</v>
      </c>
      <c r="H81" s="10" t="s">
        <v>820</v>
      </c>
      <c r="I81" s="10" t="s">
        <v>40</v>
      </c>
    </row>
    <row r="82" spans="1:9" x14ac:dyDescent="0.15">
      <c r="A82" s="9">
        <v>81</v>
      </c>
      <c r="B82" s="10" t="s">
        <v>9</v>
      </c>
      <c r="C82" s="10" t="s">
        <v>299</v>
      </c>
      <c r="D82" s="10" t="s">
        <v>300</v>
      </c>
      <c r="E82" s="11" t="str">
        <f>+HYPERLINK("http://trademark.i-assist.jp/data/china/image_1898th/74465383.pdf", "74465383")</f>
        <v>74465383</v>
      </c>
      <c r="F82" s="10" t="s">
        <v>821</v>
      </c>
      <c r="G82" s="10" t="s">
        <v>39</v>
      </c>
      <c r="H82" s="10" t="s">
        <v>822</v>
      </c>
      <c r="I82" s="10" t="s">
        <v>40</v>
      </c>
    </row>
    <row r="83" spans="1:9" x14ac:dyDescent="0.15">
      <c r="A83" s="9">
        <v>82</v>
      </c>
      <c r="B83" s="10" t="s">
        <v>9</v>
      </c>
      <c r="C83" s="10" t="s">
        <v>299</v>
      </c>
      <c r="D83" s="10" t="s">
        <v>300</v>
      </c>
      <c r="E83" s="11" t="str">
        <f>+HYPERLINK("http://trademark.i-assist.jp/data/china/image_1898th/74846074.pdf", "74846074")</f>
        <v>74846074</v>
      </c>
      <c r="F83" s="10" t="s">
        <v>823</v>
      </c>
      <c r="G83" s="10" t="s">
        <v>824</v>
      </c>
      <c r="H83" s="10" t="s">
        <v>825</v>
      </c>
      <c r="I83" s="10" t="s">
        <v>826</v>
      </c>
    </row>
    <row r="84" spans="1:9" x14ac:dyDescent="0.15">
      <c r="A84" s="9">
        <v>83</v>
      </c>
      <c r="B84" s="10" t="s">
        <v>9</v>
      </c>
      <c r="C84" s="10" t="s">
        <v>299</v>
      </c>
      <c r="D84" s="10" t="s">
        <v>300</v>
      </c>
      <c r="E84" s="11" t="str">
        <f>+HYPERLINK("http://trademark.i-assist.jp/data/china/image_1898th/75041410.pdf", "75041410")</f>
        <v>75041410</v>
      </c>
      <c r="F84" s="10" t="s">
        <v>827</v>
      </c>
      <c r="G84" s="10" t="s">
        <v>828</v>
      </c>
      <c r="H84" s="10" t="s">
        <v>829</v>
      </c>
      <c r="I84" s="10" t="s">
        <v>830</v>
      </c>
    </row>
    <row r="85" spans="1:9" x14ac:dyDescent="0.15">
      <c r="A85" s="9">
        <v>84</v>
      </c>
      <c r="B85" s="10" t="s">
        <v>9</v>
      </c>
      <c r="C85" s="10" t="s">
        <v>299</v>
      </c>
      <c r="D85" s="10" t="s">
        <v>300</v>
      </c>
      <c r="E85" s="11" t="str">
        <f>+HYPERLINK("http://trademark.i-assist.jp/data/china/image_1898th/75381653.pdf", "75381653")</f>
        <v>75381653</v>
      </c>
      <c r="F85" s="10" t="s">
        <v>831</v>
      </c>
      <c r="G85" s="10" t="s">
        <v>832</v>
      </c>
      <c r="H85" s="10" t="s">
        <v>833</v>
      </c>
      <c r="I85" s="10" t="s">
        <v>834</v>
      </c>
    </row>
    <row r="86" spans="1:9" x14ac:dyDescent="0.15">
      <c r="A86" s="9">
        <v>85</v>
      </c>
      <c r="B86" s="10" t="s">
        <v>9</v>
      </c>
      <c r="C86" s="10" t="s">
        <v>299</v>
      </c>
      <c r="D86" s="10" t="s">
        <v>300</v>
      </c>
      <c r="E86" s="11" t="str">
        <f>+HYPERLINK("http://trademark.i-assist.jp/data/china/image_1898th/75462572.pdf", "75462572")</f>
        <v>75462572</v>
      </c>
      <c r="F86" s="10" t="s">
        <v>835</v>
      </c>
      <c r="G86" s="10" t="s">
        <v>836</v>
      </c>
      <c r="H86" s="10" t="s">
        <v>837</v>
      </c>
      <c r="I86" s="10" t="s">
        <v>838</v>
      </c>
    </row>
    <row r="87" spans="1:9" x14ac:dyDescent="0.15">
      <c r="A87" s="9">
        <v>86</v>
      </c>
      <c r="B87" s="10" t="s">
        <v>9</v>
      </c>
      <c r="C87" s="10" t="s">
        <v>299</v>
      </c>
      <c r="D87" s="10" t="s">
        <v>300</v>
      </c>
      <c r="E87" s="11" t="str">
        <f>+HYPERLINK("http://trademark.i-assist.jp/data/china/image_1898th/75952370A.pdf", "75952370A")</f>
        <v>75952370A</v>
      </c>
      <c r="F87" s="10" t="s">
        <v>839</v>
      </c>
      <c r="G87" s="10" t="s">
        <v>840</v>
      </c>
      <c r="H87" s="10" t="s">
        <v>841</v>
      </c>
      <c r="I87" s="10" t="s">
        <v>842</v>
      </c>
    </row>
    <row r="88" spans="1:9" x14ac:dyDescent="0.15">
      <c r="A88" s="9">
        <v>87</v>
      </c>
      <c r="B88" s="10" t="s">
        <v>9</v>
      </c>
      <c r="C88" s="10" t="s">
        <v>299</v>
      </c>
      <c r="D88" s="10" t="s">
        <v>300</v>
      </c>
      <c r="E88" s="11" t="str">
        <f>+HYPERLINK("http://trademark.i-assist.jp/data/china/image_1898th/76241798.pdf", "76241798")</f>
        <v>76241798</v>
      </c>
      <c r="F88" s="10" t="s">
        <v>843</v>
      </c>
      <c r="G88" s="10" t="s">
        <v>844</v>
      </c>
      <c r="H88" s="10" t="s">
        <v>845</v>
      </c>
      <c r="I88" s="10" t="s">
        <v>846</v>
      </c>
    </row>
    <row r="89" spans="1:9" x14ac:dyDescent="0.15">
      <c r="A89" s="9">
        <v>88</v>
      </c>
      <c r="B89" s="10" t="s">
        <v>9</v>
      </c>
      <c r="C89" s="10" t="s">
        <v>299</v>
      </c>
      <c r="D89" s="10" t="s">
        <v>300</v>
      </c>
      <c r="E89" s="11" t="str">
        <f>+HYPERLINK("http://trademark.i-assist.jp/data/china/image_1898th/76437484.pdf", "76437484")</f>
        <v>76437484</v>
      </c>
      <c r="F89" s="10" t="s">
        <v>847</v>
      </c>
      <c r="G89" s="10" t="s">
        <v>111</v>
      </c>
      <c r="H89" s="10" t="s">
        <v>848</v>
      </c>
      <c r="I89" s="10" t="s">
        <v>849</v>
      </c>
    </row>
    <row r="90" spans="1:9" x14ac:dyDescent="0.15">
      <c r="A90" s="9">
        <v>89</v>
      </c>
      <c r="B90" s="10" t="s">
        <v>9</v>
      </c>
      <c r="C90" s="10" t="s">
        <v>299</v>
      </c>
      <c r="D90" s="10" t="s">
        <v>300</v>
      </c>
      <c r="E90" s="11" t="str">
        <f>+HYPERLINK("http://trademark.i-assist.jp/data/china/image_1898th/76445972.pdf", "76445972")</f>
        <v>76445972</v>
      </c>
      <c r="F90" s="10" t="s">
        <v>850</v>
      </c>
      <c r="G90" s="10" t="s">
        <v>111</v>
      </c>
      <c r="H90" s="10" t="s">
        <v>851</v>
      </c>
      <c r="I90" s="10" t="s">
        <v>849</v>
      </c>
    </row>
    <row r="91" spans="1:9" x14ac:dyDescent="0.15">
      <c r="A91" s="9">
        <v>90</v>
      </c>
      <c r="B91" s="10" t="s">
        <v>9</v>
      </c>
      <c r="C91" s="10" t="s">
        <v>299</v>
      </c>
      <c r="D91" s="10" t="s">
        <v>300</v>
      </c>
      <c r="E91" s="11" t="str">
        <f>+HYPERLINK("http://trademark.i-assist.jp/data/china/image_1898th/76535380.pdf", "76535380")</f>
        <v>76535380</v>
      </c>
      <c r="F91" s="10" t="s">
        <v>852</v>
      </c>
      <c r="G91" s="10" t="s">
        <v>853</v>
      </c>
      <c r="H91" s="10" t="s">
        <v>854</v>
      </c>
      <c r="I91" s="10" t="s">
        <v>855</v>
      </c>
    </row>
    <row r="92" spans="1:9" x14ac:dyDescent="0.15">
      <c r="A92" s="9">
        <v>91</v>
      </c>
      <c r="B92" s="10" t="s">
        <v>9</v>
      </c>
      <c r="C92" s="10" t="s">
        <v>299</v>
      </c>
      <c r="D92" s="10" t="s">
        <v>300</v>
      </c>
      <c r="E92" s="11" t="str">
        <f>+HYPERLINK("http://trademark.i-assist.jp/data/china/image_1898th/76635922.pdf", "76635922")</f>
        <v>76635922</v>
      </c>
      <c r="F92" s="10" t="s">
        <v>856</v>
      </c>
      <c r="G92" s="10" t="s">
        <v>857</v>
      </c>
      <c r="H92" s="10" t="s">
        <v>858</v>
      </c>
      <c r="I92" s="10" t="s">
        <v>859</v>
      </c>
    </row>
    <row r="93" spans="1:9" x14ac:dyDescent="0.15">
      <c r="A93" s="9">
        <v>92</v>
      </c>
      <c r="B93" s="10" t="s">
        <v>9</v>
      </c>
      <c r="C93" s="10" t="s">
        <v>299</v>
      </c>
      <c r="D93" s="10" t="s">
        <v>300</v>
      </c>
      <c r="E93" s="11" t="str">
        <f>+HYPERLINK("http://trademark.i-assist.jp/data/china/image_1898th/76748115.pdf", "76748115")</f>
        <v>76748115</v>
      </c>
      <c r="F93" s="10" t="s">
        <v>860</v>
      </c>
      <c r="G93" s="10" t="s">
        <v>861</v>
      </c>
      <c r="H93" s="10" t="s">
        <v>862</v>
      </c>
      <c r="I93" s="10" t="s">
        <v>863</v>
      </c>
    </row>
    <row r="94" spans="1:9" x14ac:dyDescent="0.15">
      <c r="A94" s="9">
        <v>93</v>
      </c>
      <c r="B94" s="10" t="s">
        <v>9</v>
      </c>
      <c r="C94" s="10" t="s">
        <v>299</v>
      </c>
      <c r="D94" s="10" t="s">
        <v>300</v>
      </c>
      <c r="E94" s="11" t="str">
        <f>+HYPERLINK("http://trademark.i-assist.jp/data/china/image_1898th/76853210.pdf", "76853210")</f>
        <v>76853210</v>
      </c>
      <c r="F94" s="10" t="s">
        <v>864</v>
      </c>
      <c r="G94" s="10" t="s">
        <v>865</v>
      </c>
      <c r="H94" s="10" t="s">
        <v>866</v>
      </c>
      <c r="I94" s="10" t="s">
        <v>44</v>
      </c>
    </row>
    <row r="95" spans="1:9" x14ac:dyDescent="0.15">
      <c r="A95" s="9">
        <v>94</v>
      </c>
      <c r="B95" s="10" t="s">
        <v>9</v>
      </c>
      <c r="C95" s="10" t="s">
        <v>299</v>
      </c>
      <c r="D95" s="10" t="s">
        <v>300</v>
      </c>
      <c r="E95" s="11" t="str">
        <f>+HYPERLINK("http://trademark.i-assist.jp/data/china/image_1898th/76879616.pdf", "76879616")</f>
        <v>76879616</v>
      </c>
      <c r="F95" s="10" t="s">
        <v>867</v>
      </c>
      <c r="G95" s="10" t="s">
        <v>868</v>
      </c>
      <c r="H95" s="10" t="s">
        <v>869</v>
      </c>
      <c r="I95" s="10" t="s">
        <v>45</v>
      </c>
    </row>
    <row r="96" spans="1:9" x14ac:dyDescent="0.15">
      <c r="A96" s="9">
        <v>95</v>
      </c>
      <c r="B96" s="10" t="s">
        <v>9</v>
      </c>
      <c r="C96" s="10" t="s">
        <v>299</v>
      </c>
      <c r="D96" s="10" t="s">
        <v>300</v>
      </c>
      <c r="E96" s="11" t="str">
        <f>+HYPERLINK("http://trademark.i-assist.jp/data/china/image_1898th/76903180.pdf", "76903180")</f>
        <v>76903180</v>
      </c>
      <c r="F96" s="10" t="s">
        <v>870</v>
      </c>
      <c r="G96" s="10" t="s">
        <v>871</v>
      </c>
      <c r="H96" s="10" t="s">
        <v>872</v>
      </c>
      <c r="I96" s="10" t="s">
        <v>873</v>
      </c>
    </row>
    <row r="97" spans="1:9" x14ac:dyDescent="0.15">
      <c r="A97" s="9">
        <v>96</v>
      </c>
      <c r="B97" s="10" t="s">
        <v>9</v>
      </c>
      <c r="C97" s="10" t="s">
        <v>299</v>
      </c>
      <c r="D97" s="10" t="s">
        <v>300</v>
      </c>
      <c r="E97" s="11" t="str">
        <f>+HYPERLINK("http://trademark.i-assist.jp/data/china/image_1898th/76930375.pdf", "76930375")</f>
        <v>76930375</v>
      </c>
      <c r="F97" s="10" t="s">
        <v>874</v>
      </c>
      <c r="G97" s="10" t="s">
        <v>875</v>
      </c>
      <c r="H97" s="10" t="s">
        <v>876</v>
      </c>
      <c r="I97" s="10" t="s">
        <v>877</v>
      </c>
    </row>
    <row r="98" spans="1:9" x14ac:dyDescent="0.15">
      <c r="A98" s="9">
        <v>97</v>
      </c>
      <c r="B98" s="10" t="s">
        <v>9</v>
      </c>
      <c r="C98" s="10" t="s">
        <v>299</v>
      </c>
      <c r="D98" s="10" t="s">
        <v>300</v>
      </c>
      <c r="E98" s="11" t="str">
        <f>+HYPERLINK("http://trademark.i-assist.jp/data/china/image_1898th/76939509.pdf", "76939509")</f>
        <v>76939509</v>
      </c>
      <c r="F98" s="10" t="s">
        <v>878</v>
      </c>
      <c r="G98" s="10" t="s">
        <v>879</v>
      </c>
      <c r="H98" s="10" t="s">
        <v>880</v>
      </c>
      <c r="I98" s="10" t="s">
        <v>877</v>
      </c>
    </row>
    <row r="99" spans="1:9" x14ac:dyDescent="0.15">
      <c r="A99" s="9">
        <v>98</v>
      </c>
      <c r="B99" s="10" t="s">
        <v>9</v>
      </c>
      <c r="C99" s="10" t="s">
        <v>299</v>
      </c>
      <c r="D99" s="10" t="s">
        <v>300</v>
      </c>
      <c r="E99" s="11" t="str">
        <f>+HYPERLINK("http://trademark.i-assist.jp/data/china/image_1898th/76941671.pdf", "76941671")</f>
        <v>76941671</v>
      </c>
      <c r="F99" s="10" t="s">
        <v>881</v>
      </c>
      <c r="G99" s="10" t="s">
        <v>882</v>
      </c>
      <c r="H99" s="10" t="s">
        <v>883</v>
      </c>
      <c r="I99" s="10" t="s">
        <v>46</v>
      </c>
    </row>
    <row r="100" spans="1:9" x14ac:dyDescent="0.15">
      <c r="A100" s="9">
        <v>99</v>
      </c>
      <c r="B100" s="10" t="s">
        <v>9</v>
      </c>
      <c r="C100" s="10" t="s">
        <v>299</v>
      </c>
      <c r="D100" s="10" t="s">
        <v>300</v>
      </c>
      <c r="E100" s="11" t="str">
        <f>+HYPERLINK("http://trademark.i-assist.jp/data/china/image_1898th/76942759.pdf", "76942759")</f>
        <v>76942759</v>
      </c>
      <c r="F100" s="10" t="s">
        <v>884</v>
      </c>
      <c r="G100" s="10" t="s">
        <v>885</v>
      </c>
      <c r="H100" s="10" t="s">
        <v>886</v>
      </c>
      <c r="I100" s="10" t="s">
        <v>46</v>
      </c>
    </row>
    <row r="101" spans="1:9" x14ac:dyDescent="0.15">
      <c r="A101" s="9">
        <v>100</v>
      </c>
      <c r="B101" s="10" t="s">
        <v>9</v>
      </c>
      <c r="C101" s="10" t="s">
        <v>299</v>
      </c>
      <c r="D101" s="10" t="s">
        <v>300</v>
      </c>
      <c r="E101" s="11" t="str">
        <f>+HYPERLINK("http://trademark.i-assist.jp/data/china/image_1898th/76943255A.pdf", "76943255A")</f>
        <v>76943255A</v>
      </c>
      <c r="F101" s="10" t="s">
        <v>887</v>
      </c>
      <c r="G101" s="10" t="s">
        <v>111</v>
      </c>
      <c r="H101" s="10" t="s">
        <v>34</v>
      </c>
      <c r="I101" s="10" t="s">
        <v>46</v>
      </c>
    </row>
    <row r="102" spans="1:9" x14ac:dyDescent="0.15">
      <c r="A102" s="9">
        <v>101</v>
      </c>
      <c r="B102" s="10" t="s">
        <v>9</v>
      </c>
      <c r="C102" s="10" t="s">
        <v>299</v>
      </c>
      <c r="D102" s="10" t="s">
        <v>300</v>
      </c>
      <c r="E102" s="11" t="str">
        <f>+HYPERLINK("http://trademark.i-assist.jp/data/china/image_1898th/76955361.pdf", "76955361")</f>
        <v>76955361</v>
      </c>
      <c r="F102" s="10" t="s">
        <v>301</v>
      </c>
      <c r="G102" s="10" t="s">
        <v>302</v>
      </c>
      <c r="H102" s="10" t="s">
        <v>303</v>
      </c>
      <c r="I102" s="10" t="s">
        <v>48</v>
      </c>
    </row>
    <row r="103" spans="1:9" x14ac:dyDescent="0.15">
      <c r="A103" s="9">
        <v>102</v>
      </c>
      <c r="B103" s="10" t="s">
        <v>9</v>
      </c>
      <c r="C103" s="10" t="s">
        <v>299</v>
      </c>
      <c r="D103" s="10" t="s">
        <v>300</v>
      </c>
      <c r="E103" s="11" t="str">
        <f>+HYPERLINK("http://trademark.i-assist.jp/data/china/image_1898th/76968577.pdf", "76968577")</f>
        <v>76968577</v>
      </c>
      <c r="F103" s="10" t="s">
        <v>304</v>
      </c>
      <c r="G103" s="10" t="s">
        <v>305</v>
      </c>
      <c r="H103" s="10" t="s">
        <v>306</v>
      </c>
      <c r="I103" s="10" t="s">
        <v>48</v>
      </c>
    </row>
    <row r="104" spans="1:9" x14ac:dyDescent="0.15">
      <c r="A104" s="9">
        <v>103</v>
      </c>
      <c r="B104" s="10" t="s">
        <v>9</v>
      </c>
      <c r="C104" s="10" t="s">
        <v>299</v>
      </c>
      <c r="D104" s="10" t="s">
        <v>300</v>
      </c>
      <c r="E104" s="11" t="str">
        <f>+HYPERLINK("http://trademark.i-assist.jp/data/china/image_1898th/77073348.pdf", "77073348")</f>
        <v>77073348</v>
      </c>
      <c r="F104" s="10" t="s">
        <v>307</v>
      </c>
      <c r="G104" s="10" t="s">
        <v>308</v>
      </c>
      <c r="H104" s="10" t="s">
        <v>309</v>
      </c>
      <c r="I104" s="10" t="s">
        <v>50</v>
      </c>
    </row>
    <row r="105" spans="1:9" x14ac:dyDescent="0.15">
      <c r="A105" s="9">
        <v>104</v>
      </c>
      <c r="B105" s="10" t="s">
        <v>9</v>
      </c>
      <c r="C105" s="10" t="s">
        <v>299</v>
      </c>
      <c r="D105" s="10" t="s">
        <v>300</v>
      </c>
      <c r="E105" s="11" t="str">
        <f>+HYPERLINK("http://trademark.i-assist.jp/data/china/image_1898th/77144865.pdf", "77144865")</f>
        <v>77144865</v>
      </c>
      <c r="F105" s="10" t="s">
        <v>310</v>
      </c>
      <c r="G105" s="10" t="s">
        <v>311</v>
      </c>
      <c r="H105" s="10" t="s">
        <v>312</v>
      </c>
      <c r="I105" s="10" t="s">
        <v>51</v>
      </c>
    </row>
    <row r="106" spans="1:9" x14ac:dyDescent="0.15">
      <c r="A106" s="9">
        <v>105</v>
      </c>
      <c r="B106" s="10" t="s">
        <v>9</v>
      </c>
      <c r="C106" s="10" t="s">
        <v>299</v>
      </c>
      <c r="D106" s="10" t="s">
        <v>300</v>
      </c>
      <c r="E106" s="11" t="str">
        <f>+HYPERLINK("http://trademark.i-assist.jp/data/china/image_1898th/77147548A.pdf", "77147548A")</f>
        <v>77147548A</v>
      </c>
      <c r="F106" s="10" t="s">
        <v>313</v>
      </c>
      <c r="G106" s="10" t="s">
        <v>314</v>
      </c>
      <c r="H106" s="10" t="s">
        <v>315</v>
      </c>
      <c r="I106" s="10" t="s">
        <v>51</v>
      </c>
    </row>
    <row r="107" spans="1:9" x14ac:dyDescent="0.15">
      <c r="A107" s="9">
        <v>106</v>
      </c>
      <c r="B107" s="10" t="s">
        <v>9</v>
      </c>
      <c r="C107" s="10" t="s">
        <v>299</v>
      </c>
      <c r="D107" s="10" t="s">
        <v>300</v>
      </c>
      <c r="E107" s="11" t="str">
        <f>+HYPERLINK("http://trademark.i-assist.jp/data/china/image_1898th/77148114.pdf", "77148114")</f>
        <v>77148114</v>
      </c>
      <c r="F107" s="10" t="s">
        <v>316</v>
      </c>
      <c r="G107" s="10" t="s">
        <v>317</v>
      </c>
      <c r="H107" s="10" t="s">
        <v>318</v>
      </c>
      <c r="I107" s="10" t="s">
        <v>51</v>
      </c>
    </row>
    <row r="108" spans="1:9" x14ac:dyDescent="0.15">
      <c r="A108" s="9">
        <v>107</v>
      </c>
      <c r="B108" s="10" t="s">
        <v>9</v>
      </c>
      <c r="C108" s="10" t="s">
        <v>299</v>
      </c>
      <c r="D108" s="10" t="s">
        <v>300</v>
      </c>
      <c r="E108" s="11" t="str">
        <f>+HYPERLINK("http://trademark.i-assist.jp/data/china/image_1898th/77148311.pdf", "77148311")</f>
        <v>77148311</v>
      </c>
      <c r="F108" s="10" t="s">
        <v>319</v>
      </c>
      <c r="G108" s="10" t="s">
        <v>320</v>
      </c>
      <c r="H108" s="10" t="s">
        <v>321</v>
      </c>
      <c r="I108" s="10" t="s">
        <v>51</v>
      </c>
    </row>
    <row r="109" spans="1:9" x14ac:dyDescent="0.15">
      <c r="A109" s="9">
        <v>108</v>
      </c>
      <c r="B109" s="10" t="s">
        <v>9</v>
      </c>
      <c r="C109" s="10" t="s">
        <v>299</v>
      </c>
      <c r="D109" s="10" t="s">
        <v>300</v>
      </c>
      <c r="E109" s="11" t="str">
        <f>+HYPERLINK("http://trademark.i-assist.jp/data/china/image_1898th/77185890.pdf", "77185890")</f>
        <v>77185890</v>
      </c>
      <c r="F109" s="10" t="s">
        <v>322</v>
      </c>
      <c r="G109" s="10" t="s">
        <v>58</v>
      </c>
      <c r="H109" s="10" t="s">
        <v>323</v>
      </c>
      <c r="I109" s="10" t="s">
        <v>52</v>
      </c>
    </row>
    <row r="110" spans="1:9" x14ac:dyDescent="0.15">
      <c r="A110" s="9">
        <v>109</v>
      </c>
      <c r="B110" s="10" t="s">
        <v>9</v>
      </c>
      <c r="C110" s="10" t="s">
        <v>299</v>
      </c>
      <c r="D110" s="10" t="s">
        <v>300</v>
      </c>
      <c r="E110" s="11" t="str">
        <f>+HYPERLINK("http://trademark.i-assist.jp/data/china/image_1898th/77193235.pdf", "77193235")</f>
        <v>77193235</v>
      </c>
      <c r="F110" s="10" t="s">
        <v>324</v>
      </c>
      <c r="G110" s="10" t="s">
        <v>325</v>
      </c>
      <c r="H110" s="10" t="s">
        <v>326</v>
      </c>
      <c r="I110" s="10" t="s">
        <v>52</v>
      </c>
    </row>
    <row r="111" spans="1:9" x14ac:dyDescent="0.15">
      <c r="A111" s="9">
        <v>110</v>
      </c>
      <c r="B111" s="10" t="s">
        <v>9</v>
      </c>
      <c r="C111" s="10" t="s">
        <v>299</v>
      </c>
      <c r="D111" s="10" t="s">
        <v>300</v>
      </c>
      <c r="E111" s="11" t="str">
        <f>+HYPERLINK("http://trademark.i-assist.jp/data/china/image_1898th/77215650.pdf", "77215650")</f>
        <v>77215650</v>
      </c>
      <c r="F111" s="10" t="s">
        <v>327</v>
      </c>
      <c r="G111" s="10" t="s">
        <v>328</v>
      </c>
      <c r="H111" s="10" t="s">
        <v>329</v>
      </c>
      <c r="I111" s="10" t="s">
        <v>53</v>
      </c>
    </row>
    <row r="112" spans="1:9" x14ac:dyDescent="0.15">
      <c r="A112" s="9">
        <v>111</v>
      </c>
      <c r="B112" s="10" t="s">
        <v>9</v>
      </c>
      <c r="C112" s="10" t="s">
        <v>299</v>
      </c>
      <c r="D112" s="10" t="s">
        <v>300</v>
      </c>
      <c r="E112" s="11" t="str">
        <f>+HYPERLINK("http://trademark.i-assist.jp/data/china/image_1898th/77217801.pdf", "77217801")</f>
        <v>77217801</v>
      </c>
      <c r="F112" s="10" t="s">
        <v>330</v>
      </c>
      <c r="G112" s="10" t="s">
        <v>331</v>
      </c>
      <c r="H112" s="10" t="s">
        <v>332</v>
      </c>
      <c r="I112" s="10" t="s">
        <v>53</v>
      </c>
    </row>
    <row r="113" spans="1:9" x14ac:dyDescent="0.15">
      <c r="A113" s="9">
        <v>112</v>
      </c>
      <c r="B113" s="10" t="s">
        <v>9</v>
      </c>
      <c r="C113" s="10" t="s">
        <v>299</v>
      </c>
      <c r="D113" s="10" t="s">
        <v>300</v>
      </c>
      <c r="E113" s="11" t="str">
        <f>+HYPERLINK("http://trademark.i-assist.jp/data/china/image_1898th/77221082.pdf", "77221082")</f>
        <v>77221082</v>
      </c>
      <c r="F113" s="10" t="s">
        <v>333</v>
      </c>
      <c r="G113" s="10" t="s">
        <v>334</v>
      </c>
      <c r="H113" s="10" t="s">
        <v>335</v>
      </c>
      <c r="I113" s="10" t="s">
        <v>53</v>
      </c>
    </row>
    <row r="114" spans="1:9" x14ac:dyDescent="0.15">
      <c r="A114" s="9">
        <v>113</v>
      </c>
      <c r="B114" s="10" t="s">
        <v>9</v>
      </c>
      <c r="C114" s="10" t="s">
        <v>299</v>
      </c>
      <c r="D114" s="10" t="s">
        <v>300</v>
      </c>
      <c r="E114" s="11" t="str">
        <f>+HYPERLINK("http://trademark.i-assist.jp/data/china/image_1898th/77245407.pdf", "77245407")</f>
        <v>77245407</v>
      </c>
      <c r="F114" s="10" t="s">
        <v>336</v>
      </c>
      <c r="G114" s="10" t="s">
        <v>337</v>
      </c>
      <c r="H114" s="10" t="s">
        <v>338</v>
      </c>
      <c r="I114" s="10" t="s">
        <v>339</v>
      </c>
    </row>
    <row r="115" spans="1:9" x14ac:dyDescent="0.15">
      <c r="A115" s="9">
        <v>114</v>
      </c>
      <c r="B115" s="10" t="s">
        <v>9</v>
      </c>
      <c r="C115" s="10" t="s">
        <v>299</v>
      </c>
      <c r="D115" s="10" t="s">
        <v>300</v>
      </c>
      <c r="E115" s="11" t="str">
        <f>+HYPERLINK("http://trademark.i-assist.jp/data/china/image_1898th/77247337.pdf", "77247337")</f>
        <v>77247337</v>
      </c>
      <c r="F115" s="10" t="s">
        <v>19</v>
      </c>
      <c r="G115" s="10" t="s">
        <v>340</v>
      </c>
      <c r="H115" s="10" t="s">
        <v>341</v>
      </c>
      <c r="I115" s="10" t="s">
        <v>339</v>
      </c>
    </row>
    <row r="116" spans="1:9" x14ac:dyDescent="0.15">
      <c r="A116" s="9">
        <v>115</v>
      </c>
      <c r="B116" s="10" t="s">
        <v>9</v>
      </c>
      <c r="C116" s="10" t="s">
        <v>299</v>
      </c>
      <c r="D116" s="10" t="s">
        <v>300</v>
      </c>
      <c r="E116" s="11" t="str">
        <f>+HYPERLINK("http://trademark.i-assist.jp/data/china/image_1898th/77265815.pdf", "77265815")</f>
        <v>77265815</v>
      </c>
      <c r="F116" s="10" t="s">
        <v>342</v>
      </c>
      <c r="G116" s="10" t="s">
        <v>343</v>
      </c>
      <c r="H116" s="10" t="s">
        <v>344</v>
      </c>
      <c r="I116" s="10" t="s">
        <v>56</v>
      </c>
    </row>
    <row r="117" spans="1:9" x14ac:dyDescent="0.15">
      <c r="A117" s="9">
        <v>116</v>
      </c>
      <c r="B117" s="10" t="s">
        <v>9</v>
      </c>
      <c r="C117" s="10" t="s">
        <v>299</v>
      </c>
      <c r="D117" s="10" t="s">
        <v>300</v>
      </c>
      <c r="E117" s="11" t="str">
        <f>+HYPERLINK("http://trademark.i-assist.jp/data/china/image_1898th/77340438.pdf", "77340438")</f>
        <v>77340438</v>
      </c>
      <c r="F117" s="10" t="s">
        <v>345</v>
      </c>
      <c r="G117" s="10" t="s">
        <v>346</v>
      </c>
      <c r="H117" s="10" t="s">
        <v>347</v>
      </c>
      <c r="I117" s="10" t="s">
        <v>348</v>
      </c>
    </row>
    <row r="118" spans="1:9" x14ac:dyDescent="0.15">
      <c r="A118" s="9">
        <v>117</v>
      </c>
      <c r="B118" s="10" t="s">
        <v>9</v>
      </c>
      <c r="C118" s="10" t="s">
        <v>299</v>
      </c>
      <c r="D118" s="10" t="s">
        <v>300</v>
      </c>
      <c r="E118" s="11" t="str">
        <f>+HYPERLINK("http://trademark.i-assist.jp/data/china/image_1898th/77355989.pdf", "77355989")</f>
        <v>77355989</v>
      </c>
      <c r="F118" s="10" t="s">
        <v>349</v>
      </c>
      <c r="G118" s="10" t="s">
        <v>350</v>
      </c>
      <c r="H118" s="10" t="s">
        <v>351</v>
      </c>
      <c r="I118" s="10" t="s">
        <v>57</v>
      </c>
    </row>
    <row r="119" spans="1:9" x14ac:dyDescent="0.15">
      <c r="A119" s="9">
        <v>118</v>
      </c>
      <c r="B119" s="10" t="s">
        <v>9</v>
      </c>
      <c r="C119" s="10" t="s">
        <v>299</v>
      </c>
      <c r="D119" s="10" t="s">
        <v>300</v>
      </c>
      <c r="E119" s="11" t="str">
        <f>+HYPERLINK("http://trademark.i-assist.jp/data/china/image_1898th/77359229.pdf", "77359229")</f>
        <v>77359229</v>
      </c>
      <c r="F119" s="10" t="s">
        <v>352</v>
      </c>
      <c r="G119" s="10" t="s">
        <v>353</v>
      </c>
      <c r="H119" s="10" t="s">
        <v>354</v>
      </c>
      <c r="I119" s="10" t="s">
        <v>57</v>
      </c>
    </row>
    <row r="120" spans="1:9" x14ac:dyDescent="0.15">
      <c r="A120" s="9">
        <v>119</v>
      </c>
      <c r="B120" s="10" t="s">
        <v>9</v>
      </c>
      <c r="C120" s="10" t="s">
        <v>299</v>
      </c>
      <c r="D120" s="10" t="s">
        <v>300</v>
      </c>
      <c r="E120" s="11" t="str">
        <f>+HYPERLINK("http://trademark.i-assist.jp/data/china/image_1898th/77379816.pdf", "77379816")</f>
        <v>77379816</v>
      </c>
      <c r="F120" s="10" t="s">
        <v>355</v>
      </c>
      <c r="G120" s="10" t="s">
        <v>356</v>
      </c>
      <c r="H120" s="10" t="s">
        <v>357</v>
      </c>
      <c r="I120" s="10" t="s">
        <v>57</v>
      </c>
    </row>
    <row r="121" spans="1:9" x14ac:dyDescent="0.15">
      <c r="A121" s="9">
        <v>120</v>
      </c>
      <c r="B121" s="10" t="s">
        <v>9</v>
      </c>
      <c r="C121" s="10" t="s">
        <v>299</v>
      </c>
      <c r="D121" s="10" t="s">
        <v>300</v>
      </c>
      <c r="E121" s="11" t="str">
        <f>+HYPERLINK("http://trademark.i-assist.jp/data/china/image_1898th/77388304.pdf", "77388304")</f>
        <v>77388304</v>
      </c>
      <c r="F121" s="10" t="s">
        <v>358</v>
      </c>
      <c r="G121" s="10" t="s">
        <v>359</v>
      </c>
      <c r="H121" s="10" t="s">
        <v>360</v>
      </c>
      <c r="I121" s="10" t="s">
        <v>361</v>
      </c>
    </row>
    <row r="122" spans="1:9" x14ac:dyDescent="0.15">
      <c r="A122" s="9">
        <v>121</v>
      </c>
      <c r="B122" s="10" t="s">
        <v>9</v>
      </c>
      <c r="C122" s="10" t="s">
        <v>299</v>
      </c>
      <c r="D122" s="10" t="s">
        <v>300</v>
      </c>
      <c r="E122" s="11" t="str">
        <f>+HYPERLINK("http://trademark.i-assist.jp/data/china/image_1898th/77399882.pdf", "77399882")</f>
        <v>77399882</v>
      </c>
      <c r="F122" s="10" t="s">
        <v>362</v>
      </c>
      <c r="G122" s="10" t="s">
        <v>363</v>
      </c>
      <c r="H122" s="10" t="s">
        <v>364</v>
      </c>
      <c r="I122" s="10" t="s">
        <v>361</v>
      </c>
    </row>
    <row r="123" spans="1:9" x14ac:dyDescent="0.15">
      <c r="A123" s="9">
        <v>122</v>
      </c>
      <c r="B123" s="10" t="s">
        <v>9</v>
      </c>
      <c r="C123" s="10" t="s">
        <v>299</v>
      </c>
      <c r="D123" s="10" t="s">
        <v>300</v>
      </c>
      <c r="E123" s="11" t="str">
        <f>+HYPERLINK("http://trademark.i-assist.jp/data/china/image_1898th/77426214.pdf", "77426214")</f>
        <v>77426214</v>
      </c>
      <c r="F123" s="10" t="s">
        <v>365</v>
      </c>
      <c r="G123" s="10" t="s">
        <v>366</v>
      </c>
      <c r="H123" s="10" t="s">
        <v>367</v>
      </c>
      <c r="I123" s="10" t="s">
        <v>368</v>
      </c>
    </row>
    <row r="124" spans="1:9" x14ac:dyDescent="0.15">
      <c r="A124" s="9">
        <v>123</v>
      </c>
      <c r="B124" s="10" t="s">
        <v>9</v>
      </c>
      <c r="C124" s="10" t="s">
        <v>299</v>
      </c>
      <c r="D124" s="10" t="s">
        <v>300</v>
      </c>
      <c r="E124" s="11" t="str">
        <f>+HYPERLINK("http://trademark.i-assist.jp/data/china/image_1898th/77427483.pdf", "77427483")</f>
        <v>77427483</v>
      </c>
      <c r="F124" s="10" t="s">
        <v>369</v>
      </c>
      <c r="G124" s="10" t="s">
        <v>370</v>
      </c>
      <c r="H124" s="10" t="s">
        <v>371</v>
      </c>
      <c r="I124" s="10" t="s">
        <v>368</v>
      </c>
    </row>
    <row r="125" spans="1:9" x14ac:dyDescent="0.15">
      <c r="A125" s="9">
        <v>124</v>
      </c>
      <c r="B125" s="10" t="s">
        <v>9</v>
      </c>
      <c r="C125" s="10" t="s">
        <v>299</v>
      </c>
      <c r="D125" s="10" t="s">
        <v>300</v>
      </c>
      <c r="E125" s="11" t="str">
        <f>+HYPERLINK("http://trademark.i-assist.jp/data/china/image_1898th/77429757.pdf", "77429757")</f>
        <v>77429757</v>
      </c>
      <c r="F125" s="10" t="s">
        <v>372</v>
      </c>
      <c r="G125" s="10" t="s">
        <v>373</v>
      </c>
      <c r="H125" s="10" t="s">
        <v>374</v>
      </c>
      <c r="I125" s="10" t="s">
        <v>368</v>
      </c>
    </row>
    <row r="126" spans="1:9" x14ac:dyDescent="0.15">
      <c r="A126" s="9">
        <v>125</v>
      </c>
      <c r="B126" s="10" t="s">
        <v>9</v>
      </c>
      <c r="C126" s="10" t="s">
        <v>299</v>
      </c>
      <c r="D126" s="10" t="s">
        <v>300</v>
      </c>
      <c r="E126" s="11" t="str">
        <f>+HYPERLINK("http://trademark.i-assist.jp/data/china/image_1898th/77439161.pdf", "77439161")</f>
        <v>77439161</v>
      </c>
      <c r="F126" s="10" t="s">
        <v>375</v>
      </c>
      <c r="G126" s="10" t="s">
        <v>376</v>
      </c>
      <c r="H126" s="10" t="s">
        <v>377</v>
      </c>
      <c r="I126" s="10" t="s">
        <v>368</v>
      </c>
    </row>
    <row r="127" spans="1:9" x14ac:dyDescent="0.15">
      <c r="A127" s="9">
        <v>126</v>
      </c>
      <c r="B127" s="10" t="s">
        <v>9</v>
      </c>
      <c r="C127" s="10" t="s">
        <v>299</v>
      </c>
      <c r="D127" s="10" t="s">
        <v>300</v>
      </c>
      <c r="E127" s="11" t="str">
        <f>+HYPERLINK("http://trademark.i-assist.jp/data/china/image_1898th/77440927.pdf", "77440927")</f>
        <v>77440927</v>
      </c>
      <c r="F127" s="10" t="s">
        <v>378</v>
      </c>
      <c r="G127" s="10" t="s">
        <v>379</v>
      </c>
      <c r="H127" s="10" t="s">
        <v>380</v>
      </c>
      <c r="I127" s="10" t="s">
        <v>368</v>
      </c>
    </row>
    <row r="128" spans="1:9" x14ac:dyDescent="0.15">
      <c r="A128" s="9">
        <v>127</v>
      </c>
      <c r="B128" s="10" t="s">
        <v>9</v>
      </c>
      <c r="C128" s="10" t="s">
        <v>299</v>
      </c>
      <c r="D128" s="10" t="s">
        <v>300</v>
      </c>
      <c r="E128" s="11" t="str">
        <f>+HYPERLINK("http://trademark.i-assist.jp/data/china/image_1898th/77464728.pdf", "77464728")</f>
        <v>77464728</v>
      </c>
      <c r="F128" s="10" t="s">
        <v>381</v>
      </c>
      <c r="G128" s="10" t="s">
        <v>382</v>
      </c>
      <c r="H128" s="10" t="s">
        <v>383</v>
      </c>
      <c r="I128" s="10" t="s">
        <v>59</v>
      </c>
    </row>
    <row r="129" spans="1:9" x14ac:dyDescent="0.15">
      <c r="A129" s="9">
        <v>128</v>
      </c>
      <c r="B129" s="10" t="s">
        <v>9</v>
      </c>
      <c r="C129" s="10" t="s">
        <v>299</v>
      </c>
      <c r="D129" s="10" t="s">
        <v>300</v>
      </c>
      <c r="E129" s="11" t="str">
        <f>+HYPERLINK("http://trademark.i-assist.jp/data/china/image_1898th/77465382.pdf", "77465382")</f>
        <v>77465382</v>
      </c>
      <c r="F129" s="10" t="s">
        <v>384</v>
      </c>
      <c r="G129" s="10" t="s">
        <v>385</v>
      </c>
      <c r="H129" s="10" t="s">
        <v>386</v>
      </c>
      <c r="I129" s="10" t="s">
        <v>59</v>
      </c>
    </row>
    <row r="130" spans="1:9" x14ac:dyDescent="0.15">
      <c r="A130" s="9">
        <v>129</v>
      </c>
      <c r="B130" s="10" t="s">
        <v>9</v>
      </c>
      <c r="C130" s="10" t="s">
        <v>299</v>
      </c>
      <c r="D130" s="10" t="s">
        <v>300</v>
      </c>
      <c r="E130" s="11" t="str">
        <f>+HYPERLINK("http://trademark.i-assist.jp/data/china/image_1898th/77467112.pdf", "77467112")</f>
        <v>77467112</v>
      </c>
      <c r="F130" s="10" t="s">
        <v>387</v>
      </c>
      <c r="G130" s="10" t="s">
        <v>388</v>
      </c>
      <c r="H130" s="10" t="s">
        <v>389</v>
      </c>
      <c r="I130" s="10" t="s">
        <v>59</v>
      </c>
    </row>
    <row r="131" spans="1:9" x14ac:dyDescent="0.15">
      <c r="A131" s="9">
        <v>130</v>
      </c>
      <c r="B131" s="10" t="s">
        <v>9</v>
      </c>
      <c r="C131" s="10" t="s">
        <v>299</v>
      </c>
      <c r="D131" s="10" t="s">
        <v>300</v>
      </c>
      <c r="E131" s="11" t="str">
        <f>+HYPERLINK("http://trademark.i-assist.jp/data/china/image_1898th/77476092.pdf", "77476092")</f>
        <v>77476092</v>
      </c>
      <c r="F131" s="10" t="s">
        <v>390</v>
      </c>
      <c r="G131" s="10" t="s">
        <v>391</v>
      </c>
      <c r="H131" s="10" t="s">
        <v>392</v>
      </c>
      <c r="I131" s="10" t="s">
        <v>60</v>
      </c>
    </row>
    <row r="132" spans="1:9" x14ac:dyDescent="0.15">
      <c r="A132" s="9">
        <v>131</v>
      </c>
      <c r="B132" s="10" t="s">
        <v>9</v>
      </c>
      <c r="C132" s="10" t="s">
        <v>299</v>
      </c>
      <c r="D132" s="10" t="s">
        <v>300</v>
      </c>
      <c r="E132" s="11" t="str">
        <f>+HYPERLINK("http://trademark.i-assist.jp/data/china/image_1898th/77476773.pdf", "77476773")</f>
        <v>77476773</v>
      </c>
      <c r="F132" s="10" t="s">
        <v>393</v>
      </c>
      <c r="G132" s="10" t="s">
        <v>188</v>
      </c>
      <c r="H132" s="10" t="s">
        <v>394</v>
      </c>
      <c r="I132" s="10" t="s">
        <v>60</v>
      </c>
    </row>
    <row r="133" spans="1:9" x14ac:dyDescent="0.15">
      <c r="A133" s="9">
        <v>132</v>
      </c>
      <c r="B133" s="10" t="s">
        <v>9</v>
      </c>
      <c r="C133" s="10" t="s">
        <v>299</v>
      </c>
      <c r="D133" s="10" t="s">
        <v>300</v>
      </c>
      <c r="E133" s="11" t="str">
        <f>+HYPERLINK("http://trademark.i-assist.jp/data/china/image_1898th/77480207.pdf", "77480207")</f>
        <v>77480207</v>
      </c>
      <c r="F133" s="10" t="s">
        <v>395</v>
      </c>
      <c r="G133" s="10" t="s">
        <v>188</v>
      </c>
      <c r="H133" s="10" t="s">
        <v>396</v>
      </c>
      <c r="I133" s="10" t="s">
        <v>60</v>
      </c>
    </row>
    <row r="134" spans="1:9" x14ac:dyDescent="0.15">
      <c r="A134" s="9">
        <v>133</v>
      </c>
      <c r="B134" s="10" t="s">
        <v>9</v>
      </c>
      <c r="C134" s="10" t="s">
        <v>299</v>
      </c>
      <c r="D134" s="10" t="s">
        <v>300</v>
      </c>
      <c r="E134" s="11" t="str">
        <f>+HYPERLINK("http://trademark.i-assist.jp/data/china/image_1898th/77480227.pdf", "77480227")</f>
        <v>77480227</v>
      </c>
      <c r="F134" s="10" t="s">
        <v>397</v>
      </c>
      <c r="G134" s="10" t="s">
        <v>391</v>
      </c>
      <c r="H134" s="10" t="s">
        <v>398</v>
      </c>
      <c r="I134" s="10" t="s">
        <v>60</v>
      </c>
    </row>
    <row r="135" spans="1:9" x14ac:dyDescent="0.15">
      <c r="A135" s="9">
        <v>134</v>
      </c>
      <c r="B135" s="10" t="s">
        <v>9</v>
      </c>
      <c r="C135" s="10" t="s">
        <v>299</v>
      </c>
      <c r="D135" s="10" t="s">
        <v>300</v>
      </c>
      <c r="E135" s="11" t="str">
        <f>+HYPERLINK("http://trademark.i-assist.jp/data/china/image_1898th/77482217.pdf", "77482217")</f>
        <v>77482217</v>
      </c>
      <c r="F135" s="10" t="s">
        <v>399</v>
      </c>
      <c r="G135" s="10" t="s">
        <v>188</v>
      </c>
      <c r="H135" s="10" t="s">
        <v>400</v>
      </c>
      <c r="I135" s="10" t="s">
        <v>60</v>
      </c>
    </row>
    <row r="136" spans="1:9" x14ac:dyDescent="0.15">
      <c r="A136" s="9">
        <v>135</v>
      </c>
      <c r="B136" s="10" t="s">
        <v>9</v>
      </c>
      <c r="C136" s="10" t="s">
        <v>299</v>
      </c>
      <c r="D136" s="10" t="s">
        <v>300</v>
      </c>
      <c r="E136" s="11" t="str">
        <f>+HYPERLINK("http://trademark.i-assist.jp/data/china/image_1898th/77502647.pdf", "77502647")</f>
        <v>77502647</v>
      </c>
      <c r="F136" s="10" t="s">
        <v>401</v>
      </c>
      <c r="G136" s="10" t="s">
        <v>402</v>
      </c>
      <c r="H136" s="10" t="s">
        <v>403</v>
      </c>
      <c r="I136" s="10" t="s">
        <v>61</v>
      </c>
    </row>
    <row r="137" spans="1:9" x14ac:dyDescent="0.15">
      <c r="A137" s="9">
        <v>136</v>
      </c>
      <c r="B137" s="10" t="s">
        <v>9</v>
      </c>
      <c r="C137" s="10" t="s">
        <v>299</v>
      </c>
      <c r="D137" s="10" t="s">
        <v>300</v>
      </c>
      <c r="E137" s="11" t="str">
        <f>+HYPERLINK("http://trademark.i-assist.jp/data/china/image_1898th/77543494.pdf", "77543494")</f>
        <v>77543494</v>
      </c>
      <c r="F137" s="10" t="s">
        <v>404</v>
      </c>
      <c r="G137" s="10" t="s">
        <v>405</v>
      </c>
      <c r="H137" s="10" t="s">
        <v>406</v>
      </c>
      <c r="I137" s="10" t="s">
        <v>62</v>
      </c>
    </row>
    <row r="138" spans="1:9" x14ac:dyDescent="0.15">
      <c r="A138" s="9">
        <v>137</v>
      </c>
      <c r="B138" s="10" t="s">
        <v>9</v>
      </c>
      <c r="C138" s="10" t="s">
        <v>299</v>
      </c>
      <c r="D138" s="10" t="s">
        <v>300</v>
      </c>
      <c r="E138" s="11" t="str">
        <f>+HYPERLINK("http://trademark.i-assist.jp/data/china/image_1898th/77546015.pdf", "77546015")</f>
        <v>77546015</v>
      </c>
      <c r="F138" s="10" t="s">
        <v>407</v>
      </c>
      <c r="G138" s="10" t="s">
        <v>408</v>
      </c>
      <c r="H138" s="10" t="s">
        <v>409</v>
      </c>
      <c r="I138" s="10" t="s">
        <v>62</v>
      </c>
    </row>
    <row r="139" spans="1:9" x14ac:dyDescent="0.15">
      <c r="A139" s="9">
        <v>138</v>
      </c>
      <c r="B139" s="10" t="s">
        <v>9</v>
      </c>
      <c r="C139" s="10" t="s">
        <v>299</v>
      </c>
      <c r="D139" s="10" t="s">
        <v>300</v>
      </c>
      <c r="E139" s="11" t="str">
        <f>+HYPERLINK("http://trademark.i-assist.jp/data/china/image_1898th/77555112.pdf", "77555112")</f>
        <v>77555112</v>
      </c>
      <c r="F139" s="10" t="s">
        <v>410</v>
      </c>
      <c r="G139" s="10" t="s">
        <v>411</v>
      </c>
      <c r="H139" s="10" t="s">
        <v>412</v>
      </c>
      <c r="I139" s="10" t="s">
        <v>62</v>
      </c>
    </row>
    <row r="140" spans="1:9" x14ac:dyDescent="0.15">
      <c r="A140" s="9">
        <v>139</v>
      </c>
      <c r="B140" s="10" t="s">
        <v>9</v>
      </c>
      <c r="C140" s="10" t="s">
        <v>299</v>
      </c>
      <c r="D140" s="10" t="s">
        <v>300</v>
      </c>
      <c r="E140" s="11" t="str">
        <f>+HYPERLINK("http://trademark.i-assist.jp/data/china/image_1898th/77555560.pdf", "77555560")</f>
        <v>77555560</v>
      </c>
      <c r="F140" s="10" t="s">
        <v>413</v>
      </c>
      <c r="G140" s="10" t="s">
        <v>414</v>
      </c>
      <c r="H140" s="10" t="s">
        <v>415</v>
      </c>
      <c r="I140" s="10" t="s">
        <v>62</v>
      </c>
    </row>
    <row r="141" spans="1:9" x14ac:dyDescent="0.15">
      <c r="A141" s="9">
        <v>140</v>
      </c>
      <c r="B141" s="10" t="s">
        <v>9</v>
      </c>
      <c r="C141" s="10" t="s">
        <v>299</v>
      </c>
      <c r="D141" s="10" t="s">
        <v>300</v>
      </c>
      <c r="E141" s="11" t="str">
        <f>+HYPERLINK("http://trademark.i-assist.jp/data/china/image_1898th/77570162.pdf", "77570162")</f>
        <v>77570162</v>
      </c>
      <c r="F141" s="10" t="s">
        <v>19</v>
      </c>
      <c r="G141" s="10" t="s">
        <v>416</v>
      </c>
      <c r="H141" s="10" t="s">
        <v>417</v>
      </c>
      <c r="I141" s="10" t="s">
        <v>64</v>
      </c>
    </row>
    <row r="142" spans="1:9" x14ac:dyDescent="0.15">
      <c r="A142" s="9">
        <v>141</v>
      </c>
      <c r="B142" s="10" t="s">
        <v>9</v>
      </c>
      <c r="C142" s="10" t="s">
        <v>299</v>
      </c>
      <c r="D142" s="10" t="s">
        <v>300</v>
      </c>
      <c r="E142" s="11" t="str">
        <f>+HYPERLINK("http://trademark.i-assist.jp/data/china/image_1898th/77571680.pdf", "77571680")</f>
        <v>77571680</v>
      </c>
      <c r="F142" s="10" t="s">
        <v>418</v>
      </c>
      <c r="G142" s="10" t="s">
        <v>419</v>
      </c>
      <c r="H142" s="10" t="s">
        <v>420</v>
      </c>
      <c r="I142" s="10" t="s">
        <v>64</v>
      </c>
    </row>
    <row r="143" spans="1:9" x14ac:dyDescent="0.15">
      <c r="A143" s="9">
        <v>142</v>
      </c>
      <c r="B143" s="10" t="s">
        <v>9</v>
      </c>
      <c r="C143" s="10" t="s">
        <v>299</v>
      </c>
      <c r="D143" s="10" t="s">
        <v>300</v>
      </c>
      <c r="E143" s="11" t="str">
        <f>+HYPERLINK("http://trademark.i-assist.jp/data/china/image_1898th/77597752.pdf", "77597752")</f>
        <v>77597752</v>
      </c>
      <c r="F143" s="10" t="s">
        <v>421</v>
      </c>
      <c r="G143" s="10" t="s">
        <v>422</v>
      </c>
      <c r="H143" s="10" t="s">
        <v>423</v>
      </c>
      <c r="I143" s="10" t="s">
        <v>64</v>
      </c>
    </row>
    <row r="144" spans="1:9" x14ac:dyDescent="0.15">
      <c r="A144" s="9">
        <v>143</v>
      </c>
      <c r="B144" s="10" t="s">
        <v>9</v>
      </c>
      <c r="C144" s="10" t="s">
        <v>299</v>
      </c>
      <c r="D144" s="10" t="s">
        <v>300</v>
      </c>
      <c r="E144" s="11" t="str">
        <f>+HYPERLINK("http://trademark.i-assist.jp/data/china/image_1898th/77598494.pdf", "77598494")</f>
        <v>77598494</v>
      </c>
      <c r="F144" s="10" t="s">
        <v>424</v>
      </c>
      <c r="G144" s="10" t="s">
        <v>425</v>
      </c>
      <c r="H144" s="10" t="s">
        <v>426</v>
      </c>
      <c r="I144" s="10" t="s">
        <v>64</v>
      </c>
    </row>
    <row r="145" spans="1:9" x14ac:dyDescent="0.15">
      <c r="A145" s="9">
        <v>144</v>
      </c>
      <c r="B145" s="10" t="s">
        <v>9</v>
      </c>
      <c r="C145" s="10" t="s">
        <v>299</v>
      </c>
      <c r="D145" s="10" t="s">
        <v>300</v>
      </c>
      <c r="E145" s="11" t="str">
        <f>+HYPERLINK("http://trademark.i-assist.jp/data/china/image_1898th/77610867.pdf", "77610867")</f>
        <v>77610867</v>
      </c>
      <c r="F145" s="10" t="s">
        <v>427</v>
      </c>
      <c r="G145" s="10" t="s">
        <v>428</v>
      </c>
      <c r="H145" s="10" t="s">
        <v>429</v>
      </c>
      <c r="I145" s="10" t="s">
        <v>65</v>
      </c>
    </row>
    <row r="146" spans="1:9" x14ac:dyDescent="0.15">
      <c r="A146" s="9">
        <v>145</v>
      </c>
      <c r="B146" s="10" t="s">
        <v>9</v>
      </c>
      <c r="C146" s="10" t="s">
        <v>299</v>
      </c>
      <c r="D146" s="10" t="s">
        <v>300</v>
      </c>
      <c r="E146" s="11" t="str">
        <f>+HYPERLINK("http://trademark.i-assist.jp/data/china/image_1898th/77615106.pdf", "77615106")</f>
        <v>77615106</v>
      </c>
      <c r="F146" s="10" t="s">
        <v>430</v>
      </c>
      <c r="G146" s="10" t="s">
        <v>431</v>
      </c>
      <c r="H146" s="10" t="s">
        <v>432</v>
      </c>
      <c r="I146" s="10" t="s">
        <v>65</v>
      </c>
    </row>
    <row r="147" spans="1:9" x14ac:dyDescent="0.15">
      <c r="A147" s="9">
        <v>146</v>
      </c>
      <c r="B147" s="10" t="s">
        <v>9</v>
      </c>
      <c r="C147" s="10" t="s">
        <v>299</v>
      </c>
      <c r="D147" s="10" t="s">
        <v>300</v>
      </c>
      <c r="E147" s="11" t="str">
        <f>+HYPERLINK("http://trademark.i-assist.jp/data/china/image_1898th/77636728.pdf", "77636728")</f>
        <v>77636728</v>
      </c>
      <c r="F147" s="10" t="s">
        <v>433</v>
      </c>
      <c r="G147" s="10" t="s">
        <v>434</v>
      </c>
      <c r="H147" s="10" t="s">
        <v>435</v>
      </c>
      <c r="I147" s="10" t="s">
        <v>67</v>
      </c>
    </row>
    <row r="148" spans="1:9" x14ac:dyDescent="0.15">
      <c r="A148" s="9">
        <v>147</v>
      </c>
      <c r="B148" s="10" t="s">
        <v>9</v>
      </c>
      <c r="C148" s="10" t="s">
        <v>299</v>
      </c>
      <c r="D148" s="10" t="s">
        <v>300</v>
      </c>
      <c r="E148" s="11" t="str">
        <f>+HYPERLINK("http://trademark.i-assist.jp/data/china/image_1898th/77651867.pdf", "77651867")</f>
        <v>77651867</v>
      </c>
      <c r="F148" s="10" t="s">
        <v>19</v>
      </c>
      <c r="G148" s="10" t="s">
        <v>436</v>
      </c>
      <c r="H148" s="10" t="s">
        <v>437</v>
      </c>
      <c r="I148" s="10" t="s">
        <v>67</v>
      </c>
    </row>
    <row r="149" spans="1:9" x14ac:dyDescent="0.15">
      <c r="A149" s="9">
        <v>148</v>
      </c>
      <c r="B149" s="10" t="s">
        <v>9</v>
      </c>
      <c r="C149" s="10" t="s">
        <v>299</v>
      </c>
      <c r="D149" s="10" t="s">
        <v>300</v>
      </c>
      <c r="E149" s="11" t="str">
        <f>+HYPERLINK("http://trademark.i-assist.jp/data/china/image_1898th/77653298.pdf", "77653298")</f>
        <v>77653298</v>
      </c>
      <c r="F149" s="10" t="s">
        <v>438</v>
      </c>
      <c r="G149" s="10" t="s">
        <v>439</v>
      </c>
      <c r="H149" s="10" t="s">
        <v>440</v>
      </c>
      <c r="I149" s="10" t="s">
        <v>67</v>
      </c>
    </row>
    <row r="150" spans="1:9" x14ac:dyDescent="0.15">
      <c r="A150" s="9">
        <v>149</v>
      </c>
      <c r="B150" s="10" t="s">
        <v>9</v>
      </c>
      <c r="C150" s="10" t="s">
        <v>299</v>
      </c>
      <c r="D150" s="10" t="s">
        <v>300</v>
      </c>
      <c r="E150" s="11" t="str">
        <f>+HYPERLINK("http://trademark.i-assist.jp/data/china/image_1898th/77658932.pdf", "77658932")</f>
        <v>77658932</v>
      </c>
      <c r="F150" s="10" t="s">
        <v>441</v>
      </c>
      <c r="G150" s="10" t="s">
        <v>442</v>
      </c>
      <c r="H150" s="10" t="s">
        <v>443</v>
      </c>
      <c r="I150" s="10" t="s">
        <v>67</v>
      </c>
    </row>
    <row r="151" spans="1:9" x14ac:dyDescent="0.15">
      <c r="A151" s="9">
        <v>150</v>
      </c>
      <c r="B151" s="10" t="s">
        <v>9</v>
      </c>
      <c r="C151" s="10" t="s">
        <v>299</v>
      </c>
      <c r="D151" s="10" t="s">
        <v>300</v>
      </c>
      <c r="E151" s="11" t="str">
        <f>+HYPERLINK("http://trademark.i-assist.jp/data/china/image_1898th/77662698.pdf", "77662698")</f>
        <v>77662698</v>
      </c>
      <c r="F151" s="10" t="s">
        <v>444</v>
      </c>
      <c r="G151" s="10" t="s">
        <v>445</v>
      </c>
      <c r="H151" s="10" t="s">
        <v>446</v>
      </c>
      <c r="I151" s="10" t="s">
        <v>69</v>
      </c>
    </row>
    <row r="152" spans="1:9" x14ac:dyDescent="0.15">
      <c r="A152" s="9">
        <v>151</v>
      </c>
      <c r="B152" s="10" t="s">
        <v>9</v>
      </c>
      <c r="C152" s="10" t="s">
        <v>299</v>
      </c>
      <c r="D152" s="10" t="s">
        <v>300</v>
      </c>
      <c r="E152" s="11" t="str">
        <f>+HYPERLINK("http://trademark.i-assist.jp/data/china/image_1898th/77663690.pdf", "77663690")</f>
        <v>77663690</v>
      </c>
      <c r="F152" s="10" t="s">
        <v>447</v>
      </c>
      <c r="G152" s="10" t="s">
        <v>448</v>
      </c>
      <c r="H152" s="10" t="s">
        <v>449</v>
      </c>
      <c r="I152" s="10" t="s">
        <v>69</v>
      </c>
    </row>
    <row r="153" spans="1:9" x14ac:dyDescent="0.15">
      <c r="A153" s="9">
        <v>152</v>
      </c>
      <c r="B153" s="10" t="s">
        <v>9</v>
      </c>
      <c r="C153" s="10" t="s">
        <v>299</v>
      </c>
      <c r="D153" s="10" t="s">
        <v>300</v>
      </c>
      <c r="E153" s="11" t="str">
        <f>+HYPERLINK("http://trademark.i-assist.jp/data/china/image_1898th/77674343.pdf", "77674343")</f>
        <v>77674343</v>
      </c>
      <c r="F153" s="10" t="s">
        <v>450</v>
      </c>
      <c r="G153" s="10" t="s">
        <v>451</v>
      </c>
      <c r="H153" s="10" t="s">
        <v>452</v>
      </c>
      <c r="I153" s="10" t="s">
        <v>70</v>
      </c>
    </row>
    <row r="154" spans="1:9" x14ac:dyDescent="0.15">
      <c r="A154" s="9">
        <v>153</v>
      </c>
      <c r="B154" s="10" t="s">
        <v>9</v>
      </c>
      <c r="C154" s="10" t="s">
        <v>299</v>
      </c>
      <c r="D154" s="10" t="s">
        <v>300</v>
      </c>
      <c r="E154" s="11" t="str">
        <f>+HYPERLINK("http://trademark.i-assist.jp/data/china/image_1898th/77700110.pdf", "77700110")</f>
        <v>77700110</v>
      </c>
      <c r="F154" s="10" t="s">
        <v>453</v>
      </c>
      <c r="G154" s="10" t="s">
        <v>72</v>
      </c>
      <c r="H154" s="10" t="s">
        <v>454</v>
      </c>
      <c r="I154" s="10" t="s">
        <v>70</v>
      </c>
    </row>
    <row r="155" spans="1:9" x14ac:dyDescent="0.15">
      <c r="A155" s="9">
        <v>154</v>
      </c>
      <c r="B155" s="10" t="s">
        <v>9</v>
      </c>
      <c r="C155" s="10" t="s">
        <v>299</v>
      </c>
      <c r="D155" s="10" t="s">
        <v>300</v>
      </c>
      <c r="E155" s="11" t="str">
        <f>+HYPERLINK("http://trademark.i-assist.jp/data/china/image_1898th/77700359.pdf", "77700359")</f>
        <v>77700359</v>
      </c>
      <c r="F155" s="10" t="s">
        <v>455</v>
      </c>
      <c r="G155" s="10" t="s">
        <v>456</v>
      </c>
      <c r="H155" s="10" t="s">
        <v>457</v>
      </c>
      <c r="I155" s="10" t="s">
        <v>70</v>
      </c>
    </row>
    <row r="156" spans="1:9" x14ac:dyDescent="0.15">
      <c r="A156" s="9">
        <v>155</v>
      </c>
      <c r="B156" s="10" t="s">
        <v>9</v>
      </c>
      <c r="C156" s="10" t="s">
        <v>299</v>
      </c>
      <c r="D156" s="10" t="s">
        <v>300</v>
      </c>
      <c r="E156" s="11" t="str">
        <f>+HYPERLINK("http://trademark.i-assist.jp/data/china/image_1898th/77704726.pdf", "77704726")</f>
        <v>77704726</v>
      </c>
      <c r="F156" s="10" t="s">
        <v>458</v>
      </c>
      <c r="G156" s="10" t="s">
        <v>459</v>
      </c>
      <c r="H156" s="10" t="s">
        <v>460</v>
      </c>
      <c r="I156" s="10" t="s">
        <v>73</v>
      </c>
    </row>
    <row r="157" spans="1:9" x14ac:dyDescent="0.15">
      <c r="A157" s="9">
        <v>156</v>
      </c>
      <c r="B157" s="10" t="s">
        <v>9</v>
      </c>
      <c r="C157" s="10" t="s">
        <v>299</v>
      </c>
      <c r="D157" s="10" t="s">
        <v>300</v>
      </c>
      <c r="E157" s="11" t="str">
        <f>+HYPERLINK("http://trademark.i-assist.jp/data/china/image_1898th/77711802.pdf", "77711802")</f>
        <v>77711802</v>
      </c>
      <c r="F157" s="10" t="s">
        <v>461</v>
      </c>
      <c r="G157" s="10" t="s">
        <v>462</v>
      </c>
      <c r="H157" s="10" t="s">
        <v>463</v>
      </c>
      <c r="I157" s="10" t="s">
        <v>73</v>
      </c>
    </row>
    <row r="158" spans="1:9" x14ac:dyDescent="0.15">
      <c r="A158" s="9">
        <v>157</v>
      </c>
      <c r="B158" s="10" t="s">
        <v>9</v>
      </c>
      <c r="C158" s="10" t="s">
        <v>299</v>
      </c>
      <c r="D158" s="10" t="s">
        <v>300</v>
      </c>
      <c r="E158" s="11" t="str">
        <f>+HYPERLINK("http://trademark.i-assist.jp/data/china/image_1898th/77712219.pdf", "77712219")</f>
        <v>77712219</v>
      </c>
      <c r="F158" s="10" t="s">
        <v>464</v>
      </c>
      <c r="G158" s="10" t="s">
        <v>465</v>
      </c>
      <c r="H158" s="10" t="s">
        <v>466</v>
      </c>
      <c r="I158" s="10" t="s">
        <v>73</v>
      </c>
    </row>
    <row r="159" spans="1:9" x14ac:dyDescent="0.15">
      <c r="A159" s="9">
        <v>158</v>
      </c>
      <c r="B159" s="10" t="s">
        <v>9</v>
      </c>
      <c r="C159" s="10" t="s">
        <v>299</v>
      </c>
      <c r="D159" s="10" t="s">
        <v>300</v>
      </c>
      <c r="E159" s="11" t="str">
        <f>+HYPERLINK("http://trademark.i-assist.jp/data/china/image_1898th/77717420.pdf", "77717420")</f>
        <v>77717420</v>
      </c>
      <c r="F159" s="10" t="s">
        <v>467</v>
      </c>
      <c r="G159" s="10" t="s">
        <v>468</v>
      </c>
      <c r="H159" s="10" t="s">
        <v>469</v>
      </c>
      <c r="I159" s="10" t="s">
        <v>73</v>
      </c>
    </row>
    <row r="160" spans="1:9" x14ac:dyDescent="0.15">
      <c r="A160" s="9">
        <v>159</v>
      </c>
      <c r="B160" s="10" t="s">
        <v>9</v>
      </c>
      <c r="C160" s="10" t="s">
        <v>299</v>
      </c>
      <c r="D160" s="10" t="s">
        <v>300</v>
      </c>
      <c r="E160" s="11" t="str">
        <f>+HYPERLINK("http://trademark.i-assist.jp/data/china/image_1898th/77718819.pdf", "77718819")</f>
        <v>77718819</v>
      </c>
      <c r="F160" s="10" t="s">
        <v>470</v>
      </c>
      <c r="G160" s="10" t="s">
        <v>471</v>
      </c>
      <c r="H160" s="10" t="s">
        <v>472</v>
      </c>
      <c r="I160" s="10" t="s">
        <v>73</v>
      </c>
    </row>
    <row r="161" spans="1:9" x14ac:dyDescent="0.15">
      <c r="A161" s="9">
        <v>160</v>
      </c>
      <c r="B161" s="10" t="s">
        <v>9</v>
      </c>
      <c r="C161" s="10" t="s">
        <v>299</v>
      </c>
      <c r="D161" s="10" t="s">
        <v>300</v>
      </c>
      <c r="E161" s="11" t="str">
        <f>+HYPERLINK("http://trademark.i-assist.jp/data/china/image_1898th/77720048.pdf", "77720048")</f>
        <v>77720048</v>
      </c>
      <c r="F161" s="10" t="s">
        <v>473</v>
      </c>
      <c r="G161" s="10" t="s">
        <v>474</v>
      </c>
      <c r="H161" s="10" t="s">
        <v>475</v>
      </c>
      <c r="I161" s="10" t="s">
        <v>73</v>
      </c>
    </row>
    <row r="162" spans="1:9" x14ac:dyDescent="0.15">
      <c r="A162" s="9">
        <v>161</v>
      </c>
      <c r="B162" s="10" t="s">
        <v>9</v>
      </c>
      <c r="C162" s="10" t="s">
        <v>299</v>
      </c>
      <c r="D162" s="10" t="s">
        <v>300</v>
      </c>
      <c r="E162" s="11" t="str">
        <f>+HYPERLINK("http://trademark.i-assist.jp/data/china/image_1898th/77727830.pdf", "77727830")</f>
        <v>77727830</v>
      </c>
      <c r="F162" s="10" t="s">
        <v>476</v>
      </c>
      <c r="G162" s="10" t="s">
        <v>185</v>
      </c>
      <c r="H162" s="10" t="s">
        <v>477</v>
      </c>
      <c r="I162" s="10" t="s">
        <v>73</v>
      </c>
    </row>
    <row r="163" spans="1:9" x14ac:dyDescent="0.15">
      <c r="A163" s="9">
        <v>162</v>
      </c>
      <c r="B163" s="10" t="s">
        <v>9</v>
      </c>
      <c r="C163" s="10" t="s">
        <v>299</v>
      </c>
      <c r="D163" s="10" t="s">
        <v>300</v>
      </c>
      <c r="E163" s="11" t="str">
        <f>+HYPERLINK("http://trademark.i-assist.jp/data/china/image_1898th/77755337.pdf", "77755337")</f>
        <v>77755337</v>
      </c>
      <c r="F163" s="10" t="s">
        <v>478</v>
      </c>
      <c r="G163" s="10" t="s">
        <v>479</v>
      </c>
      <c r="H163" s="10" t="s">
        <v>480</v>
      </c>
      <c r="I163" s="10" t="s">
        <v>76</v>
      </c>
    </row>
    <row r="164" spans="1:9" x14ac:dyDescent="0.15">
      <c r="A164" s="9">
        <v>163</v>
      </c>
      <c r="B164" s="10" t="s">
        <v>9</v>
      </c>
      <c r="C164" s="10" t="s">
        <v>299</v>
      </c>
      <c r="D164" s="10" t="s">
        <v>300</v>
      </c>
      <c r="E164" s="11" t="str">
        <f>+HYPERLINK("http://trademark.i-assist.jp/data/china/image_1898th/77757516.pdf", "77757516")</f>
        <v>77757516</v>
      </c>
      <c r="F164" s="10" t="s">
        <v>481</v>
      </c>
      <c r="G164" s="10" t="s">
        <v>275</v>
      </c>
      <c r="H164" s="10" t="s">
        <v>482</v>
      </c>
      <c r="I164" s="10" t="s">
        <v>76</v>
      </c>
    </row>
    <row r="165" spans="1:9" x14ac:dyDescent="0.15">
      <c r="A165" s="9">
        <v>164</v>
      </c>
      <c r="B165" s="10" t="s">
        <v>9</v>
      </c>
      <c r="C165" s="10" t="s">
        <v>299</v>
      </c>
      <c r="D165" s="10" t="s">
        <v>300</v>
      </c>
      <c r="E165" s="11" t="str">
        <f>+HYPERLINK("http://trademark.i-assist.jp/data/china/image_1898th/77763092.pdf", "77763092")</f>
        <v>77763092</v>
      </c>
      <c r="F165" s="10" t="s">
        <v>74</v>
      </c>
      <c r="G165" s="10" t="s">
        <v>75</v>
      </c>
      <c r="H165" s="10" t="s">
        <v>483</v>
      </c>
      <c r="I165" s="10" t="s">
        <v>76</v>
      </c>
    </row>
    <row r="166" spans="1:9" x14ac:dyDescent="0.15">
      <c r="A166" s="9">
        <v>165</v>
      </c>
      <c r="B166" s="10" t="s">
        <v>9</v>
      </c>
      <c r="C166" s="10" t="s">
        <v>299</v>
      </c>
      <c r="D166" s="10" t="s">
        <v>300</v>
      </c>
      <c r="E166" s="11" t="str">
        <f>+HYPERLINK("http://trademark.i-assist.jp/data/china/image_1898th/77763774.pdf", "77763774")</f>
        <v>77763774</v>
      </c>
      <c r="F166" s="10" t="s">
        <v>484</v>
      </c>
      <c r="G166" s="10" t="s">
        <v>485</v>
      </c>
      <c r="H166" s="10" t="s">
        <v>486</v>
      </c>
      <c r="I166" s="10" t="s">
        <v>76</v>
      </c>
    </row>
    <row r="167" spans="1:9" x14ac:dyDescent="0.15">
      <c r="A167" s="9">
        <v>166</v>
      </c>
      <c r="B167" s="10" t="s">
        <v>9</v>
      </c>
      <c r="C167" s="10" t="s">
        <v>299</v>
      </c>
      <c r="D167" s="10" t="s">
        <v>300</v>
      </c>
      <c r="E167" s="11" t="str">
        <f>+HYPERLINK("http://trademark.i-assist.jp/data/china/image_1898th/77775103.pdf", "77775103")</f>
        <v>77775103</v>
      </c>
      <c r="F167" s="10" t="s">
        <v>487</v>
      </c>
      <c r="G167" s="10" t="s">
        <v>488</v>
      </c>
      <c r="H167" s="10" t="s">
        <v>489</v>
      </c>
      <c r="I167" s="10" t="s">
        <v>79</v>
      </c>
    </row>
    <row r="168" spans="1:9" x14ac:dyDescent="0.15">
      <c r="A168" s="9">
        <v>167</v>
      </c>
      <c r="B168" s="10" t="s">
        <v>9</v>
      </c>
      <c r="C168" s="10" t="s">
        <v>299</v>
      </c>
      <c r="D168" s="10" t="s">
        <v>300</v>
      </c>
      <c r="E168" s="11" t="str">
        <f>+HYPERLINK("http://trademark.i-assist.jp/data/china/image_1898th/77780515.pdf", "77780515")</f>
        <v>77780515</v>
      </c>
      <c r="F168" s="10" t="s">
        <v>490</v>
      </c>
      <c r="G168" s="10" t="s">
        <v>488</v>
      </c>
      <c r="H168" s="10" t="s">
        <v>491</v>
      </c>
      <c r="I168" s="10" t="s">
        <v>79</v>
      </c>
    </row>
    <row r="169" spans="1:9" x14ac:dyDescent="0.15">
      <c r="A169" s="9">
        <v>168</v>
      </c>
      <c r="B169" s="10" t="s">
        <v>9</v>
      </c>
      <c r="C169" s="10" t="s">
        <v>299</v>
      </c>
      <c r="D169" s="10" t="s">
        <v>300</v>
      </c>
      <c r="E169" s="11" t="str">
        <f>+HYPERLINK("http://trademark.i-assist.jp/data/china/image_1898th/77782942.pdf", "77782942")</f>
        <v>77782942</v>
      </c>
      <c r="F169" s="10" t="s">
        <v>492</v>
      </c>
      <c r="G169" s="10" t="s">
        <v>488</v>
      </c>
      <c r="H169" s="10" t="s">
        <v>493</v>
      </c>
      <c r="I169" s="10" t="s">
        <v>79</v>
      </c>
    </row>
    <row r="170" spans="1:9" x14ac:dyDescent="0.15">
      <c r="A170" s="9">
        <v>169</v>
      </c>
      <c r="B170" s="10" t="s">
        <v>9</v>
      </c>
      <c r="C170" s="10" t="s">
        <v>299</v>
      </c>
      <c r="D170" s="10" t="s">
        <v>300</v>
      </c>
      <c r="E170" s="11" t="str">
        <f>+HYPERLINK("http://trademark.i-assist.jp/data/china/image_1898th/77783160.pdf", "77783160")</f>
        <v>77783160</v>
      </c>
      <c r="F170" s="10" t="s">
        <v>494</v>
      </c>
      <c r="G170" s="10" t="s">
        <v>495</v>
      </c>
      <c r="H170" s="10" t="s">
        <v>496</v>
      </c>
      <c r="I170" s="10" t="s">
        <v>79</v>
      </c>
    </row>
    <row r="171" spans="1:9" x14ac:dyDescent="0.15">
      <c r="A171" s="9">
        <v>170</v>
      </c>
      <c r="B171" s="10" t="s">
        <v>9</v>
      </c>
      <c r="C171" s="10" t="s">
        <v>299</v>
      </c>
      <c r="D171" s="10" t="s">
        <v>300</v>
      </c>
      <c r="E171" s="11" t="str">
        <f>+HYPERLINK("http://trademark.i-assist.jp/data/china/image_1898th/77783223.pdf", "77783223")</f>
        <v>77783223</v>
      </c>
      <c r="F171" s="10" t="s">
        <v>497</v>
      </c>
      <c r="G171" s="10" t="s">
        <v>498</v>
      </c>
      <c r="H171" s="10" t="s">
        <v>499</v>
      </c>
      <c r="I171" s="10" t="s">
        <v>79</v>
      </c>
    </row>
    <row r="172" spans="1:9" x14ac:dyDescent="0.15">
      <c r="A172" s="9">
        <v>171</v>
      </c>
      <c r="B172" s="10" t="s">
        <v>9</v>
      </c>
      <c r="C172" s="10" t="s">
        <v>299</v>
      </c>
      <c r="D172" s="10" t="s">
        <v>300</v>
      </c>
      <c r="E172" s="11" t="str">
        <f>+HYPERLINK("http://trademark.i-assist.jp/data/china/image_1898th/77785209.pdf", "77785209")</f>
        <v>77785209</v>
      </c>
      <c r="F172" s="10" t="s">
        <v>500</v>
      </c>
      <c r="G172" s="10" t="s">
        <v>501</v>
      </c>
      <c r="H172" s="10" t="s">
        <v>502</v>
      </c>
      <c r="I172" s="10" t="s">
        <v>79</v>
      </c>
    </row>
    <row r="173" spans="1:9" x14ac:dyDescent="0.15">
      <c r="A173" s="9">
        <v>172</v>
      </c>
      <c r="B173" s="10" t="s">
        <v>9</v>
      </c>
      <c r="C173" s="10" t="s">
        <v>299</v>
      </c>
      <c r="D173" s="10" t="s">
        <v>300</v>
      </c>
      <c r="E173" s="11" t="str">
        <f>+HYPERLINK("http://trademark.i-assist.jp/data/china/image_1898th/77787204.pdf", "77787204")</f>
        <v>77787204</v>
      </c>
      <c r="F173" s="10" t="s">
        <v>503</v>
      </c>
      <c r="G173" s="10" t="s">
        <v>488</v>
      </c>
      <c r="H173" s="10" t="s">
        <v>504</v>
      </c>
      <c r="I173" s="10" t="s">
        <v>79</v>
      </c>
    </row>
    <row r="174" spans="1:9" x14ac:dyDescent="0.15">
      <c r="A174" s="9">
        <v>173</v>
      </c>
      <c r="B174" s="10" t="s">
        <v>9</v>
      </c>
      <c r="C174" s="10" t="s">
        <v>299</v>
      </c>
      <c r="D174" s="10" t="s">
        <v>300</v>
      </c>
      <c r="E174" s="11" t="str">
        <f>+HYPERLINK("http://trademark.i-assist.jp/data/china/image_1898th/77792829.pdf", "77792829")</f>
        <v>77792829</v>
      </c>
      <c r="F174" s="10" t="s">
        <v>505</v>
      </c>
      <c r="G174" s="10" t="s">
        <v>506</v>
      </c>
      <c r="H174" s="10" t="s">
        <v>507</v>
      </c>
      <c r="I174" s="10" t="s">
        <v>79</v>
      </c>
    </row>
    <row r="175" spans="1:9" x14ac:dyDescent="0.15">
      <c r="A175" s="9">
        <v>174</v>
      </c>
      <c r="B175" s="10" t="s">
        <v>9</v>
      </c>
      <c r="C175" s="10" t="s">
        <v>299</v>
      </c>
      <c r="D175" s="10" t="s">
        <v>300</v>
      </c>
      <c r="E175" s="11" t="str">
        <f>+HYPERLINK("http://trademark.i-assist.jp/data/china/image_1898th/77793387.pdf", "77793387")</f>
        <v>77793387</v>
      </c>
      <c r="F175" s="10" t="s">
        <v>508</v>
      </c>
      <c r="G175" s="10" t="s">
        <v>509</v>
      </c>
      <c r="H175" s="10" t="s">
        <v>510</v>
      </c>
      <c r="I175" s="10" t="s">
        <v>79</v>
      </c>
    </row>
    <row r="176" spans="1:9" x14ac:dyDescent="0.15">
      <c r="A176" s="9">
        <v>175</v>
      </c>
      <c r="B176" s="10" t="s">
        <v>9</v>
      </c>
      <c r="C176" s="10" t="s">
        <v>299</v>
      </c>
      <c r="D176" s="10" t="s">
        <v>300</v>
      </c>
      <c r="E176" s="11" t="str">
        <f>+HYPERLINK("http://trademark.i-assist.jp/data/china/image_1898th/77794017.pdf", "77794017")</f>
        <v>77794017</v>
      </c>
      <c r="F176" s="10" t="s">
        <v>511</v>
      </c>
      <c r="G176" s="10" t="s">
        <v>512</v>
      </c>
      <c r="H176" s="10" t="s">
        <v>513</v>
      </c>
      <c r="I176" s="10" t="s">
        <v>79</v>
      </c>
    </row>
    <row r="177" spans="1:9" x14ac:dyDescent="0.15">
      <c r="A177" s="9">
        <v>176</v>
      </c>
      <c r="B177" s="10" t="s">
        <v>9</v>
      </c>
      <c r="C177" s="10" t="s">
        <v>299</v>
      </c>
      <c r="D177" s="10" t="s">
        <v>300</v>
      </c>
      <c r="E177" s="11" t="str">
        <f>+HYPERLINK("http://trademark.i-assist.jp/data/china/image_1898th/77794711.pdf", "77794711")</f>
        <v>77794711</v>
      </c>
      <c r="F177" s="10" t="s">
        <v>514</v>
      </c>
      <c r="G177" s="10" t="s">
        <v>488</v>
      </c>
      <c r="H177" s="10" t="s">
        <v>515</v>
      </c>
      <c r="I177" s="10" t="s">
        <v>79</v>
      </c>
    </row>
    <row r="178" spans="1:9" x14ac:dyDescent="0.15">
      <c r="A178" s="9">
        <v>177</v>
      </c>
      <c r="B178" s="10" t="s">
        <v>9</v>
      </c>
      <c r="C178" s="10" t="s">
        <v>299</v>
      </c>
      <c r="D178" s="10" t="s">
        <v>300</v>
      </c>
      <c r="E178" s="11" t="str">
        <f>+HYPERLINK("http://trademark.i-assist.jp/data/china/image_1898th/77797129.pdf", "77797129")</f>
        <v>77797129</v>
      </c>
      <c r="F178" s="10" t="s">
        <v>516</v>
      </c>
      <c r="G178" s="10" t="s">
        <v>488</v>
      </c>
      <c r="H178" s="10" t="s">
        <v>517</v>
      </c>
      <c r="I178" s="10" t="s">
        <v>79</v>
      </c>
    </row>
    <row r="179" spans="1:9" x14ac:dyDescent="0.15">
      <c r="A179" s="9">
        <v>178</v>
      </c>
      <c r="B179" s="10" t="s">
        <v>9</v>
      </c>
      <c r="C179" s="10" t="s">
        <v>299</v>
      </c>
      <c r="D179" s="10" t="s">
        <v>300</v>
      </c>
      <c r="E179" s="11" t="str">
        <f>+HYPERLINK("http://trademark.i-assist.jp/data/china/image_1898th/77804089.pdf", "77804089")</f>
        <v>77804089</v>
      </c>
      <c r="F179" s="10" t="s">
        <v>518</v>
      </c>
      <c r="G179" s="10" t="s">
        <v>519</v>
      </c>
      <c r="H179" s="10" t="s">
        <v>520</v>
      </c>
      <c r="I179" s="10" t="s">
        <v>82</v>
      </c>
    </row>
    <row r="180" spans="1:9" x14ac:dyDescent="0.15">
      <c r="A180" s="9">
        <v>179</v>
      </c>
      <c r="B180" s="10" t="s">
        <v>9</v>
      </c>
      <c r="C180" s="10" t="s">
        <v>299</v>
      </c>
      <c r="D180" s="10" t="s">
        <v>300</v>
      </c>
      <c r="E180" s="11" t="str">
        <f>+HYPERLINK("http://trademark.i-assist.jp/data/china/image_1898th/77805298.pdf", "77805298")</f>
        <v>77805298</v>
      </c>
      <c r="F180" s="10" t="s">
        <v>521</v>
      </c>
      <c r="G180" s="10" t="s">
        <v>522</v>
      </c>
      <c r="H180" s="10" t="s">
        <v>523</v>
      </c>
      <c r="I180" s="10" t="s">
        <v>82</v>
      </c>
    </row>
    <row r="181" spans="1:9" x14ac:dyDescent="0.15">
      <c r="A181" s="9">
        <v>180</v>
      </c>
      <c r="B181" s="10" t="s">
        <v>9</v>
      </c>
      <c r="C181" s="10" t="s">
        <v>299</v>
      </c>
      <c r="D181" s="10" t="s">
        <v>300</v>
      </c>
      <c r="E181" s="11" t="str">
        <f>+HYPERLINK("http://trademark.i-assist.jp/data/china/image_1898th/77806226.pdf", "77806226")</f>
        <v>77806226</v>
      </c>
      <c r="F181" s="10" t="s">
        <v>524</v>
      </c>
      <c r="G181" s="10" t="s">
        <v>83</v>
      </c>
      <c r="H181" s="10" t="s">
        <v>525</v>
      </c>
      <c r="I181" s="10" t="s">
        <v>82</v>
      </c>
    </row>
    <row r="182" spans="1:9" x14ac:dyDescent="0.15">
      <c r="A182" s="9">
        <v>181</v>
      </c>
      <c r="B182" s="10" t="s">
        <v>9</v>
      </c>
      <c r="C182" s="10" t="s">
        <v>299</v>
      </c>
      <c r="D182" s="10" t="s">
        <v>300</v>
      </c>
      <c r="E182" s="11" t="str">
        <f>+HYPERLINK("http://trademark.i-assist.jp/data/china/image_1898th/77809301.pdf", "77809301")</f>
        <v>77809301</v>
      </c>
      <c r="F182" s="10" t="s">
        <v>526</v>
      </c>
      <c r="G182" s="10" t="s">
        <v>527</v>
      </c>
      <c r="H182" s="10" t="s">
        <v>528</v>
      </c>
      <c r="I182" s="10" t="s">
        <v>82</v>
      </c>
    </row>
    <row r="183" spans="1:9" x14ac:dyDescent="0.15">
      <c r="A183" s="9">
        <v>182</v>
      </c>
      <c r="B183" s="10" t="s">
        <v>9</v>
      </c>
      <c r="C183" s="10" t="s">
        <v>299</v>
      </c>
      <c r="D183" s="10" t="s">
        <v>300</v>
      </c>
      <c r="E183" s="11" t="str">
        <f>+HYPERLINK("http://trademark.i-assist.jp/data/china/image_1898th/77813627.pdf", "77813627")</f>
        <v>77813627</v>
      </c>
      <c r="F183" s="10" t="s">
        <v>19</v>
      </c>
      <c r="G183" s="10" t="s">
        <v>529</v>
      </c>
      <c r="H183" s="10" t="s">
        <v>530</v>
      </c>
      <c r="I183" s="10" t="s">
        <v>82</v>
      </c>
    </row>
    <row r="184" spans="1:9" x14ac:dyDescent="0.15">
      <c r="A184" s="9">
        <v>183</v>
      </c>
      <c r="B184" s="10" t="s">
        <v>9</v>
      </c>
      <c r="C184" s="10" t="s">
        <v>299</v>
      </c>
      <c r="D184" s="10" t="s">
        <v>300</v>
      </c>
      <c r="E184" s="11" t="str">
        <f>+HYPERLINK("http://trademark.i-assist.jp/data/china/image_1898th/77818837.pdf", "77818837")</f>
        <v>77818837</v>
      </c>
      <c r="F184" s="10" t="s">
        <v>531</v>
      </c>
      <c r="G184" s="10" t="s">
        <v>81</v>
      </c>
      <c r="H184" s="10" t="s">
        <v>532</v>
      </c>
      <c r="I184" s="10" t="s">
        <v>82</v>
      </c>
    </row>
    <row r="185" spans="1:9" x14ac:dyDescent="0.15">
      <c r="A185" s="9">
        <v>184</v>
      </c>
      <c r="B185" s="10" t="s">
        <v>9</v>
      </c>
      <c r="C185" s="10" t="s">
        <v>299</v>
      </c>
      <c r="D185" s="10" t="s">
        <v>300</v>
      </c>
      <c r="E185" s="11" t="str">
        <f>+HYPERLINK("http://trademark.i-assist.jp/data/china/image_1898th/77820537.pdf", "77820537")</f>
        <v>77820537</v>
      </c>
      <c r="F185" s="10" t="s">
        <v>533</v>
      </c>
      <c r="G185" s="10" t="s">
        <v>534</v>
      </c>
      <c r="H185" s="10" t="s">
        <v>535</v>
      </c>
      <c r="I185" s="10" t="s">
        <v>82</v>
      </c>
    </row>
    <row r="186" spans="1:9" x14ac:dyDescent="0.15">
      <c r="A186" s="9">
        <v>185</v>
      </c>
      <c r="B186" s="10" t="s">
        <v>9</v>
      </c>
      <c r="C186" s="10" t="s">
        <v>299</v>
      </c>
      <c r="D186" s="10" t="s">
        <v>300</v>
      </c>
      <c r="E186" s="11" t="str">
        <f>+HYPERLINK("http://trademark.i-assist.jp/data/china/image_1898th/77823420.pdf", "77823420")</f>
        <v>77823420</v>
      </c>
      <c r="F186" s="10" t="s">
        <v>536</v>
      </c>
      <c r="G186" s="10" t="s">
        <v>537</v>
      </c>
      <c r="H186" s="10" t="s">
        <v>538</v>
      </c>
      <c r="I186" s="10" t="s">
        <v>82</v>
      </c>
    </row>
    <row r="187" spans="1:9" x14ac:dyDescent="0.15">
      <c r="A187" s="9">
        <v>186</v>
      </c>
      <c r="B187" s="10" t="s">
        <v>9</v>
      </c>
      <c r="C187" s="10" t="s">
        <v>299</v>
      </c>
      <c r="D187" s="10" t="s">
        <v>300</v>
      </c>
      <c r="E187" s="11" t="str">
        <f>+HYPERLINK("http://trademark.i-assist.jp/data/china/image_1898th/77823511.pdf", "77823511")</f>
        <v>77823511</v>
      </c>
      <c r="F187" s="10" t="s">
        <v>539</v>
      </c>
      <c r="G187" s="10" t="s">
        <v>540</v>
      </c>
      <c r="H187" s="10" t="s">
        <v>541</v>
      </c>
      <c r="I187" s="10" t="s">
        <v>82</v>
      </c>
    </row>
    <row r="188" spans="1:9" x14ac:dyDescent="0.15">
      <c r="A188" s="9">
        <v>187</v>
      </c>
      <c r="B188" s="10" t="s">
        <v>9</v>
      </c>
      <c r="C188" s="10" t="s">
        <v>299</v>
      </c>
      <c r="D188" s="10" t="s">
        <v>300</v>
      </c>
      <c r="E188" s="11" t="str">
        <f>+HYPERLINK("http://trademark.i-assist.jp/data/china/image_1898th/77824469.pdf", "77824469")</f>
        <v>77824469</v>
      </c>
      <c r="F188" s="10" t="s">
        <v>542</v>
      </c>
      <c r="G188" s="10" t="s">
        <v>543</v>
      </c>
      <c r="H188" s="10" t="s">
        <v>544</v>
      </c>
      <c r="I188" s="10" t="s">
        <v>82</v>
      </c>
    </row>
    <row r="189" spans="1:9" x14ac:dyDescent="0.15">
      <c r="A189" s="9">
        <v>188</v>
      </c>
      <c r="B189" s="10" t="s">
        <v>9</v>
      </c>
      <c r="C189" s="10" t="s">
        <v>299</v>
      </c>
      <c r="D189" s="10" t="s">
        <v>300</v>
      </c>
      <c r="E189" s="11" t="str">
        <f>+HYPERLINK("http://trademark.i-assist.jp/data/china/image_1898th/77826099.pdf", "77826099")</f>
        <v>77826099</v>
      </c>
      <c r="F189" s="10" t="s">
        <v>545</v>
      </c>
      <c r="G189" s="10" t="s">
        <v>546</v>
      </c>
      <c r="H189" s="10" t="s">
        <v>547</v>
      </c>
      <c r="I189" s="10" t="s">
        <v>82</v>
      </c>
    </row>
    <row r="190" spans="1:9" x14ac:dyDescent="0.15">
      <c r="A190" s="9">
        <v>189</v>
      </c>
      <c r="B190" s="10" t="s">
        <v>9</v>
      </c>
      <c r="C190" s="10" t="s">
        <v>299</v>
      </c>
      <c r="D190" s="10" t="s">
        <v>300</v>
      </c>
      <c r="E190" s="11" t="str">
        <f>+HYPERLINK("http://trademark.i-assist.jp/data/china/image_1898th/77827222.pdf", "77827222")</f>
        <v>77827222</v>
      </c>
      <c r="F190" s="10" t="s">
        <v>548</v>
      </c>
      <c r="G190" s="10" t="s">
        <v>549</v>
      </c>
      <c r="H190" s="10" t="s">
        <v>550</v>
      </c>
      <c r="I190" s="10" t="s">
        <v>82</v>
      </c>
    </row>
    <row r="191" spans="1:9" x14ac:dyDescent="0.15">
      <c r="A191" s="9">
        <v>190</v>
      </c>
      <c r="B191" s="10" t="s">
        <v>9</v>
      </c>
      <c r="C191" s="10" t="s">
        <v>299</v>
      </c>
      <c r="D191" s="10" t="s">
        <v>300</v>
      </c>
      <c r="E191" s="11" t="str">
        <f>+HYPERLINK("http://trademark.i-assist.jp/data/china/image_1898th/77829293.pdf", "77829293")</f>
        <v>77829293</v>
      </c>
      <c r="F191" s="10" t="s">
        <v>888</v>
      </c>
      <c r="G191" s="10" t="s">
        <v>889</v>
      </c>
      <c r="H191" s="10" t="s">
        <v>890</v>
      </c>
      <c r="I191" s="10" t="s">
        <v>82</v>
      </c>
    </row>
    <row r="192" spans="1:9" x14ac:dyDescent="0.15">
      <c r="A192" s="9">
        <v>191</v>
      </c>
      <c r="B192" s="10" t="s">
        <v>9</v>
      </c>
      <c r="C192" s="10" t="s">
        <v>299</v>
      </c>
      <c r="D192" s="10" t="s">
        <v>300</v>
      </c>
      <c r="E192" s="11" t="str">
        <f>+HYPERLINK("http://trademark.i-assist.jp/data/china/image_1898th/77831259.pdf", "77831259")</f>
        <v>77831259</v>
      </c>
      <c r="F192" s="10" t="s">
        <v>891</v>
      </c>
      <c r="G192" s="10" t="s">
        <v>892</v>
      </c>
      <c r="H192" s="10" t="s">
        <v>893</v>
      </c>
      <c r="I192" s="10" t="s">
        <v>82</v>
      </c>
    </row>
    <row r="193" spans="1:9" x14ac:dyDescent="0.15">
      <c r="A193" s="9">
        <v>192</v>
      </c>
      <c r="B193" s="10" t="s">
        <v>9</v>
      </c>
      <c r="C193" s="10" t="s">
        <v>299</v>
      </c>
      <c r="D193" s="10" t="s">
        <v>300</v>
      </c>
      <c r="E193" s="11" t="str">
        <f>+HYPERLINK("http://trademark.i-assist.jp/data/china/image_1898th/77835678.pdf", "77835678")</f>
        <v>77835678</v>
      </c>
      <c r="F193" s="10" t="s">
        <v>894</v>
      </c>
      <c r="G193" s="10" t="s">
        <v>895</v>
      </c>
      <c r="H193" s="10" t="s">
        <v>896</v>
      </c>
      <c r="I193" s="10" t="s">
        <v>84</v>
      </c>
    </row>
    <row r="194" spans="1:9" x14ac:dyDescent="0.15">
      <c r="A194" s="9">
        <v>193</v>
      </c>
      <c r="B194" s="10" t="s">
        <v>9</v>
      </c>
      <c r="C194" s="10" t="s">
        <v>299</v>
      </c>
      <c r="D194" s="10" t="s">
        <v>300</v>
      </c>
      <c r="E194" s="11" t="str">
        <f>+HYPERLINK("http://trademark.i-assist.jp/data/china/image_1898th/77843786.pdf", "77843786")</f>
        <v>77843786</v>
      </c>
      <c r="F194" s="10" t="s">
        <v>897</v>
      </c>
      <c r="G194" s="10" t="s">
        <v>898</v>
      </c>
      <c r="H194" s="10" t="s">
        <v>899</v>
      </c>
      <c r="I194" s="10" t="s">
        <v>84</v>
      </c>
    </row>
    <row r="195" spans="1:9" x14ac:dyDescent="0.15">
      <c r="A195" s="9">
        <v>194</v>
      </c>
      <c r="B195" s="10" t="s">
        <v>9</v>
      </c>
      <c r="C195" s="10" t="s">
        <v>299</v>
      </c>
      <c r="D195" s="10" t="s">
        <v>300</v>
      </c>
      <c r="E195" s="11" t="str">
        <f>+HYPERLINK("http://trademark.i-assist.jp/data/china/image_1898th/77844394.pdf", "77844394")</f>
        <v>77844394</v>
      </c>
      <c r="F195" s="10" t="s">
        <v>900</v>
      </c>
      <c r="G195" s="10" t="s">
        <v>901</v>
      </c>
      <c r="H195" s="10" t="s">
        <v>902</v>
      </c>
      <c r="I195" s="10" t="s">
        <v>84</v>
      </c>
    </row>
    <row r="196" spans="1:9" x14ac:dyDescent="0.15">
      <c r="A196" s="9">
        <v>195</v>
      </c>
      <c r="B196" s="10" t="s">
        <v>9</v>
      </c>
      <c r="C196" s="10" t="s">
        <v>299</v>
      </c>
      <c r="D196" s="10" t="s">
        <v>300</v>
      </c>
      <c r="E196" s="11" t="str">
        <f>+HYPERLINK("http://trademark.i-assist.jp/data/china/image_1898th/77852481.pdf", "77852481")</f>
        <v>77852481</v>
      </c>
      <c r="F196" s="10" t="s">
        <v>903</v>
      </c>
      <c r="G196" s="10" t="s">
        <v>904</v>
      </c>
      <c r="H196" s="10" t="s">
        <v>905</v>
      </c>
      <c r="I196" s="10" t="s">
        <v>84</v>
      </c>
    </row>
    <row r="197" spans="1:9" x14ac:dyDescent="0.15">
      <c r="A197" s="9">
        <v>196</v>
      </c>
      <c r="B197" s="10" t="s">
        <v>9</v>
      </c>
      <c r="C197" s="10" t="s">
        <v>299</v>
      </c>
      <c r="D197" s="10" t="s">
        <v>300</v>
      </c>
      <c r="E197" s="11" t="str">
        <f>+HYPERLINK("http://trademark.i-assist.jp/data/china/image_1898th/77858066.pdf", "77858066")</f>
        <v>77858066</v>
      </c>
      <c r="F197" s="10" t="s">
        <v>906</v>
      </c>
      <c r="G197" s="10" t="s">
        <v>907</v>
      </c>
      <c r="H197" s="10" t="s">
        <v>908</v>
      </c>
      <c r="I197" s="10" t="s">
        <v>84</v>
      </c>
    </row>
    <row r="198" spans="1:9" x14ac:dyDescent="0.15">
      <c r="A198" s="9">
        <v>197</v>
      </c>
      <c r="B198" s="10" t="s">
        <v>9</v>
      </c>
      <c r="C198" s="10" t="s">
        <v>299</v>
      </c>
      <c r="D198" s="10" t="s">
        <v>300</v>
      </c>
      <c r="E198" s="11" t="str">
        <f>+HYPERLINK("http://trademark.i-assist.jp/data/china/image_1898th/77858330.pdf", "77858330")</f>
        <v>77858330</v>
      </c>
      <c r="F198" s="10" t="s">
        <v>909</v>
      </c>
      <c r="G198" s="10" t="s">
        <v>910</v>
      </c>
      <c r="H198" s="10" t="s">
        <v>911</v>
      </c>
      <c r="I198" s="10" t="s">
        <v>84</v>
      </c>
    </row>
    <row r="199" spans="1:9" x14ac:dyDescent="0.15">
      <c r="A199" s="9">
        <v>198</v>
      </c>
      <c r="B199" s="10" t="s">
        <v>9</v>
      </c>
      <c r="C199" s="10" t="s">
        <v>299</v>
      </c>
      <c r="D199" s="10" t="s">
        <v>300</v>
      </c>
      <c r="E199" s="11" t="str">
        <f>+HYPERLINK("http://trademark.i-assist.jp/data/china/image_1898th/77860648.pdf", "77860648")</f>
        <v>77860648</v>
      </c>
      <c r="F199" s="10" t="s">
        <v>912</v>
      </c>
      <c r="G199" s="10" t="s">
        <v>913</v>
      </c>
      <c r="H199" s="10" t="s">
        <v>914</v>
      </c>
      <c r="I199" s="10" t="s">
        <v>84</v>
      </c>
    </row>
    <row r="200" spans="1:9" x14ac:dyDescent="0.15">
      <c r="A200" s="9">
        <v>199</v>
      </c>
      <c r="B200" s="10" t="s">
        <v>9</v>
      </c>
      <c r="C200" s="10" t="s">
        <v>299</v>
      </c>
      <c r="D200" s="10" t="s">
        <v>300</v>
      </c>
      <c r="E200" s="11" t="str">
        <f>+HYPERLINK("http://trademark.i-assist.jp/data/china/image_1898th/77865890.pdf", "77865890")</f>
        <v>77865890</v>
      </c>
      <c r="F200" s="10" t="s">
        <v>915</v>
      </c>
      <c r="G200" s="10" t="s">
        <v>916</v>
      </c>
      <c r="H200" s="10" t="s">
        <v>917</v>
      </c>
      <c r="I200" s="10" t="s">
        <v>86</v>
      </c>
    </row>
    <row r="201" spans="1:9" x14ac:dyDescent="0.15">
      <c r="A201" s="9">
        <v>200</v>
      </c>
      <c r="B201" s="10" t="s">
        <v>9</v>
      </c>
      <c r="C201" s="10" t="s">
        <v>299</v>
      </c>
      <c r="D201" s="10" t="s">
        <v>300</v>
      </c>
      <c r="E201" s="11" t="str">
        <f>+HYPERLINK("http://trademark.i-assist.jp/data/china/image_1898th/77869462.pdf", "77869462")</f>
        <v>77869462</v>
      </c>
      <c r="F201" s="10" t="s">
        <v>19</v>
      </c>
      <c r="G201" s="10" t="s">
        <v>226</v>
      </c>
      <c r="H201" s="10" t="s">
        <v>918</v>
      </c>
      <c r="I201" s="10" t="s">
        <v>86</v>
      </c>
    </row>
    <row r="202" spans="1:9" x14ac:dyDescent="0.15">
      <c r="A202" s="9">
        <v>201</v>
      </c>
      <c r="B202" s="10" t="s">
        <v>9</v>
      </c>
      <c r="C202" s="10" t="s">
        <v>299</v>
      </c>
      <c r="D202" s="10" t="s">
        <v>300</v>
      </c>
      <c r="E202" s="11" t="str">
        <f>+HYPERLINK("http://trademark.i-assist.jp/data/china/image_1898th/77870320.pdf", "77870320")</f>
        <v>77870320</v>
      </c>
      <c r="F202" s="10" t="s">
        <v>919</v>
      </c>
      <c r="G202" s="10" t="s">
        <v>920</v>
      </c>
      <c r="H202" s="10" t="s">
        <v>921</v>
      </c>
      <c r="I202" s="10" t="s">
        <v>86</v>
      </c>
    </row>
    <row r="203" spans="1:9" x14ac:dyDescent="0.15">
      <c r="A203" s="9">
        <v>202</v>
      </c>
      <c r="B203" s="10" t="s">
        <v>9</v>
      </c>
      <c r="C203" s="10" t="s">
        <v>299</v>
      </c>
      <c r="D203" s="10" t="s">
        <v>300</v>
      </c>
      <c r="E203" s="11" t="str">
        <f>+HYPERLINK("http://trademark.i-assist.jp/data/china/image_1898th/77874577.pdf", "77874577")</f>
        <v>77874577</v>
      </c>
      <c r="F203" s="10" t="s">
        <v>922</v>
      </c>
      <c r="G203" s="10" t="s">
        <v>923</v>
      </c>
      <c r="H203" s="10" t="s">
        <v>924</v>
      </c>
      <c r="I203" s="10" t="s">
        <v>86</v>
      </c>
    </row>
    <row r="204" spans="1:9" x14ac:dyDescent="0.15">
      <c r="A204" s="9">
        <v>203</v>
      </c>
      <c r="B204" s="10" t="s">
        <v>9</v>
      </c>
      <c r="C204" s="10" t="s">
        <v>299</v>
      </c>
      <c r="D204" s="10" t="s">
        <v>300</v>
      </c>
      <c r="E204" s="11" t="str">
        <f>+HYPERLINK("http://trademark.i-assist.jp/data/china/image_1898th/77884131.pdf", "77884131")</f>
        <v>77884131</v>
      </c>
      <c r="F204" s="10" t="s">
        <v>925</v>
      </c>
      <c r="G204" s="10" t="s">
        <v>88</v>
      </c>
      <c r="H204" s="10" t="s">
        <v>926</v>
      </c>
      <c r="I204" s="10" t="s">
        <v>86</v>
      </c>
    </row>
    <row r="205" spans="1:9" x14ac:dyDescent="0.15">
      <c r="A205" s="9">
        <v>204</v>
      </c>
      <c r="B205" s="10" t="s">
        <v>9</v>
      </c>
      <c r="C205" s="10" t="s">
        <v>299</v>
      </c>
      <c r="D205" s="10" t="s">
        <v>300</v>
      </c>
      <c r="E205" s="11" t="str">
        <f>+HYPERLINK("http://trademark.i-assist.jp/data/china/image_1898th/77889307.pdf", "77889307")</f>
        <v>77889307</v>
      </c>
      <c r="F205" s="10" t="s">
        <v>927</v>
      </c>
      <c r="G205" s="10" t="s">
        <v>928</v>
      </c>
      <c r="H205" s="10" t="s">
        <v>929</v>
      </c>
      <c r="I205" s="10" t="s">
        <v>86</v>
      </c>
    </row>
    <row r="206" spans="1:9" x14ac:dyDescent="0.15">
      <c r="A206" s="9">
        <v>205</v>
      </c>
      <c r="B206" s="10" t="s">
        <v>9</v>
      </c>
      <c r="C206" s="10" t="s">
        <v>299</v>
      </c>
      <c r="D206" s="10" t="s">
        <v>300</v>
      </c>
      <c r="E206" s="11" t="str">
        <f>+HYPERLINK("http://trademark.i-assist.jp/data/china/image_1898th/77890365.pdf", "77890365")</f>
        <v>77890365</v>
      </c>
      <c r="F206" s="10" t="s">
        <v>930</v>
      </c>
      <c r="G206" s="10" t="s">
        <v>931</v>
      </c>
      <c r="H206" s="10" t="s">
        <v>932</v>
      </c>
      <c r="I206" s="10" t="s">
        <v>90</v>
      </c>
    </row>
    <row r="207" spans="1:9" x14ac:dyDescent="0.15">
      <c r="A207" s="9">
        <v>206</v>
      </c>
      <c r="B207" s="10" t="s">
        <v>9</v>
      </c>
      <c r="C207" s="10" t="s">
        <v>299</v>
      </c>
      <c r="D207" s="10" t="s">
        <v>300</v>
      </c>
      <c r="E207" s="11" t="str">
        <f>+HYPERLINK("http://trademark.i-assist.jp/data/china/image_1898th/77891510.pdf", "77891510")</f>
        <v>77891510</v>
      </c>
      <c r="F207" s="10" t="s">
        <v>933</v>
      </c>
      <c r="G207" s="10" t="s">
        <v>934</v>
      </c>
      <c r="H207" s="10" t="s">
        <v>935</v>
      </c>
      <c r="I207" s="10" t="s">
        <v>90</v>
      </c>
    </row>
    <row r="208" spans="1:9" x14ac:dyDescent="0.15">
      <c r="A208" s="9">
        <v>207</v>
      </c>
      <c r="B208" s="10" t="s">
        <v>9</v>
      </c>
      <c r="C208" s="10" t="s">
        <v>299</v>
      </c>
      <c r="D208" s="10" t="s">
        <v>300</v>
      </c>
      <c r="E208" s="11" t="str">
        <f>+HYPERLINK("http://trademark.i-assist.jp/data/china/image_1898th/77894659.pdf", "77894659")</f>
        <v>77894659</v>
      </c>
      <c r="F208" s="10" t="s">
        <v>936</v>
      </c>
      <c r="G208" s="10" t="s">
        <v>937</v>
      </c>
      <c r="H208" s="10" t="s">
        <v>938</v>
      </c>
      <c r="I208" s="10" t="s">
        <v>90</v>
      </c>
    </row>
    <row r="209" spans="1:9" x14ac:dyDescent="0.15">
      <c r="A209" s="9">
        <v>208</v>
      </c>
      <c r="B209" s="10" t="s">
        <v>9</v>
      </c>
      <c r="C209" s="10" t="s">
        <v>299</v>
      </c>
      <c r="D209" s="10" t="s">
        <v>300</v>
      </c>
      <c r="E209" s="11" t="str">
        <f>+HYPERLINK("http://trademark.i-assist.jp/data/china/image_1898th/77894844.pdf", "77894844")</f>
        <v>77894844</v>
      </c>
      <c r="F209" s="10" t="s">
        <v>939</v>
      </c>
      <c r="G209" s="10" t="s">
        <v>940</v>
      </c>
      <c r="H209" s="10" t="s">
        <v>941</v>
      </c>
      <c r="I209" s="10" t="s">
        <v>90</v>
      </c>
    </row>
    <row r="210" spans="1:9" x14ac:dyDescent="0.15">
      <c r="A210" s="9">
        <v>209</v>
      </c>
      <c r="B210" s="10" t="s">
        <v>9</v>
      </c>
      <c r="C210" s="10" t="s">
        <v>299</v>
      </c>
      <c r="D210" s="10" t="s">
        <v>300</v>
      </c>
      <c r="E210" s="11" t="str">
        <f>+HYPERLINK("http://trademark.i-assist.jp/data/china/image_1898th/77897609.pdf", "77897609")</f>
        <v>77897609</v>
      </c>
      <c r="F210" s="10" t="s">
        <v>942</v>
      </c>
      <c r="G210" s="10" t="s">
        <v>943</v>
      </c>
      <c r="H210" s="10" t="s">
        <v>944</v>
      </c>
      <c r="I210" s="10" t="s">
        <v>90</v>
      </c>
    </row>
    <row r="211" spans="1:9" x14ac:dyDescent="0.15">
      <c r="A211" s="9">
        <v>210</v>
      </c>
      <c r="B211" s="10" t="s">
        <v>9</v>
      </c>
      <c r="C211" s="10" t="s">
        <v>299</v>
      </c>
      <c r="D211" s="10" t="s">
        <v>300</v>
      </c>
      <c r="E211" s="11" t="str">
        <f>+HYPERLINK("http://trademark.i-assist.jp/data/china/image_1898th/77899513.pdf", "77899513")</f>
        <v>77899513</v>
      </c>
      <c r="F211" s="10" t="s">
        <v>945</v>
      </c>
      <c r="G211" s="10" t="s">
        <v>946</v>
      </c>
      <c r="H211" s="10" t="s">
        <v>947</v>
      </c>
      <c r="I211" s="10" t="s">
        <v>90</v>
      </c>
    </row>
    <row r="212" spans="1:9" x14ac:dyDescent="0.15">
      <c r="A212" s="9">
        <v>211</v>
      </c>
      <c r="B212" s="10" t="s">
        <v>9</v>
      </c>
      <c r="C212" s="10" t="s">
        <v>299</v>
      </c>
      <c r="D212" s="10" t="s">
        <v>300</v>
      </c>
      <c r="E212" s="11" t="str">
        <f>+HYPERLINK("http://trademark.i-assist.jp/data/china/image_1898th/77900873.pdf", "77900873")</f>
        <v>77900873</v>
      </c>
      <c r="F212" s="10" t="s">
        <v>948</v>
      </c>
      <c r="G212" s="10" t="s">
        <v>937</v>
      </c>
      <c r="H212" s="10" t="s">
        <v>949</v>
      </c>
      <c r="I212" s="10" t="s">
        <v>90</v>
      </c>
    </row>
    <row r="213" spans="1:9" x14ac:dyDescent="0.15">
      <c r="A213" s="9">
        <v>212</v>
      </c>
      <c r="B213" s="10" t="s">
        <v>9</v>
      </c>
      <c r="C213" s="10" t="s">
        <v>299</v>
      </c>
      <c r="D213" s="10" t="s">
        <v>300</v>
      </c>
      <c r="E213" s="11" t="str">
        <f>+HYPERLINK("http://trademark.i-assist.jp/data/china/image_1898th/77901971.pdf", "77901971")</f>
        <v>77901971</v>
      </c>
      <c r="F213" s="10" t="s">
        <v>950</v>
      </c>
      <c r="G213" s="10" t="s">
        <v>951</v>
      </c>
      <c r="H213" s="10" t="s">
        <v>952</v>
      </c>
      <c r="I213" s="10" t="s">
        <v>90</v>
      </c>
    </row>
    <row r="214" spans="1:9" x14ac:dyDescent="0.15">
      <c r="A214" s="9">
        <v>213</v>
      </c>
      <c r="B214" s="10" t="s">
        <v>9</v>
      </c>
      <c r="C214" s="10" t="s">
        <v>299</v>
      </c>
      <c r="D214" s="10" t="s">
        <v>300</v>
      </c>
      <c r="E214" s="11" t="str">
        <f>+HYPERLINK("http://trademark.i-assist.jp/data/china/image_1898th/77902337.pdf", "77902337")</f>
        <v>77902337</v>
      </c>
      <c r="F214" s="10" t="s">
        <v>953</v>
      </c>
      <c r="G214" s="10" t="s">
        <v>954</v>
      </c>
      <c r="H214" s="10" t="s">
        <v>955</v>
      </c>
      <c r="I214" s="10" t="s">
        <v>90</v>
      </c>
    </row>
    <row r="215" spans="1:9" x14ac:dyDescent="0.15">
      <c r="A215" s="9">
        <v>214</v>
      </c>
      <c r="B215" s="10" t="s">
        <v>9</v>
      </c>
      <c r="C215" s="10" t="s">
        <v>299</v>
      </c>
      <c r="D215" s="10" t="s">
        <v>300</v>
      </c>
      <c r="E215" s="11" t="str">
        <f>+HYPERLINK("http://trademark.i-assist.jp/data/china/image_1898th/77903092.pdf", "77903092")</f>
        <v>77903092</v>
      </c>
      <c r="F215" s="10" t="s">
        <v>956</v>
      </c>
      <c r="G215" s="10" t="s">
        <v>957</v>
      </c>
      <c r="H215" s="10" t="s">
        <v>958</v>
      </c>
      <c r="I215" s="10" t="s">
        <v>90</v>
      </c>
    </row>
    <row r="216" spans="1:9" x14ac:dyDescent="0.15">
      <c r="A216" s="9">
        <v>215</v>
      </c>
      <c r="B216" s="10" t="s">
        <v>9</v>
      </c>
      <c r="C216" s="10" t="s">
        <v>299</v>
      </c>
      <c r="D216" s="10" t="s">
        <v>300</v>
      </c>
      <c r="E216" s="11" t="str">
        <f>+HYPERLINK("http://trademark.i-assist.jp/data/china/image_1898th/77903642.pdf", "77903642")</f>
        <v>77903642</v>
      </c>
      <c r="F216" s="10" t="s">
        <v>959</v>
      </c>
      <c r="G216" s="10" t="s">
        <v>960</v>
      </c>
      <c r="H216" s="10" t="s">
        <v>961</v>
      </c>
      <c r="I216" s="10" t="s">
        <v>90</v>
      </c>
    </row>
    <row r="217" spans="1:9" x14ac:dyDescent="0.15">
      <c r="A217" s="9">
        <v>216</v>
      </c>
      <c r="B217" s="10" t="s">
        <v>9</v>
      </c>
      <c r="C217" s="10" t="s">
        <v>299</v>
      </c>
      <c r="D217" s="10" t="s">
        <v>300</v>
      </c>
      <c r="E217" s="11" t="str">
        <f>+HYPERLINK("http://trademark.i-assist.jp/data/china/image_1898th/77907411.pdf", "77907411")</f>
        <v>77907411</v>
      </c>
      <c r="F217" s="10" t="s">
        <v>962</v>
      </c>
      <c r="G217" s="10" t="s">
        <v>963</v>
      </c>
      <c r="H217" s="10" t="s">
        <v>964</v>
      </c>
      <c r="I217" s="10" t="s">
        <v>90</v>
      </c>
    </row>
    <row r="218" spans="1:9" x14ac:dyDescent="0.15">
      <c r="A218" s="9">
        <v>217</v>
      </c>
      <c r="B218" s="10" t="s">
        <v>9</v>
      </c>
      <c r="C218" s="10" t="s">
        <v>299</v>
      </c>
      <c r="D218" s="10" t="s">
        <v>300</v>
      </c>
      <c r="E218" s="11" t="str">
        <f>+HYPERLINK("http://trademark.i-assist.jp/data/china/image_1898th/77911484.pdf", "77911484")</f>
        <v>77911484</v>
      </c>
      <c r="F218" s="10" t="s">
        <v>965</v>
      </c>
      <c r="G218" s="10" t="s">
        <v>966</v>
      </c>
      <c r="H218" s="10" t="s">
        <v>967</v>
      </c>
      <c r="I218" s="10" t="s">
        <v>90</v>
      </c>
    </row>
    <row r="219" spans="1:9" x14ac:dyDescent="0.15">
      <c r="A219" s="9">
        <v>218</v>
      </c>
      <c r="B219" s="10" t="s">
        <v>9</v>
      </c>
      <c r="C219" s="10" t="s">
        <v>299</v>
      </c>
      <c r="D219" s="10" t="s">
        <v>300</v>
      </c>
      <c r="E219" s="11" t="str">
        <f>+HYPERLINK("http://trademark.i-assist.jp/data/china/image_1898th/77913637.pdf", "77913637")</f>
        <v>77913637</v>
      </c>
      <c r="F219" s="10" t="s">
        <v>968</v>
      </c>
      <c r="G219" s="10" t="s">
        <v>969</v>
      </c>
      <c r="H219" s="10" t="s">
        <v>970</v>
      </c>
      <c r="I219" s="10" t="s">
        <v>90</v>
      </c>
    </row>
    <row r="220" spans="1:9" x14ac:dyDescent="0.15">
      <c r="A220" s="9">
        <v>219</v>
      </c>
      <c r="B220" s="10" t="s">
        <v>9</v>
      </c>
      <c r="C220" s="10" t="s">
        <v>299</v>
      </c>
      <c r="D220" s="10" t="s">
        <v>300</v>
      </c>
      <c r="E220" s="11" t="str">
        <f>+HYPERLINK("http://trademark.i-assist.jp/data/china/image_1898th/77917178.pdf", "77917178")</f>
        <v>77917178</v>
      </c>
      <c r="F220" s="10" t="s">
        <v>971</v>
      </c>
      <c r="G220" s="10" t="s">
        <v>972</v>
      </c>
      <c r="H220" s="10" t="s">
        <v>973</v>
      </c>
      <c r="I220" s="10" t="s">
        <v>90</v>
      </c>
    </row>
    <row r="221" spans="1:9" x14ac:dyDescent="0.15">
      <c r="A221" s="9">
        <v>220</v>
      </c>
      <c r="B221" s="10" t="s">
        <v>9</v>
      </c>
      <c r="C221" s="10" t="s">
        <v>299</v>
      </c>
      <c r="D221" s="10" t="s">
        <v>300</v>
      </c>
      <c r="E221" s="11" t="str">
        <f>+HYPERLINK("http://trademark.i-assist.jp/data/china/image_1898th/77922691.pdf", "77922691")</f>
        <v>77922691</v>
      </c>
      <c r="F221" s="10" t="s">
        <v>974</v>
      </c>
      <c r="G221" s="10" t="s">
        <v>975</v>
      </c>
      <c r="H221" s="10" t="s">
        <v>976</v>
      </c>
      <c r="I221" s="10" t="s">
        <v>92</v>
      </c>
    </row>
    <row r="222" spans="1:9" x14ac:dyDescent="0.15">
      <c r="A222" s="9">
        <v>221</v>
      </c>
      <c r="B222" s="10" t="s">
        <v>9</v>
      </c>
      <c r="C222" s="10" t="s">
        <v>299</v>
      </c>
      <c r="D222" s="10" t="s">
        <v>300</v>
      </c>
      <c r="E222" s="11" t="str">
        <f>+HYPERLINK("http://trademark.i-assist.jp/data/china/image_1898th/77923597.pdf", "77923597")</f>
        <v>77923597</v>
      </c>
      <c r="F222" s="10" t="s">
        <v>977</v>
      </c>
      <c r="G222" s="10" t="s">
        <v>978</v>
      </c>
      <c r="H222" s="10" t="s">
        <v>979</v>
      </c>
      <c r="I222" s="10" t="s">
        <v>92</v>
      </c>
    </row>
    <row r="223" spans="1:9" x14ac:dyDescent="0.15">
      <c r="A223" s="9">
        <v>222</v>
      </c>
      <c r="B223" s="10" t="s">
        <v>9</v>
      </c>
      <c r="C223" s="10" t="s">
        <v>299</v>
      </c>
      <c r="D223" s="10" t="s">
        <v>300</v>
      </c>
      <c r="E223" s="11" t="str">
        <f>+HYPERLINK("http://trademark.i-assist.jp/data/china/image_1898th/77926342.pdf", "77926342")</f>
        <v>77926342</v>
      </c>
      <c r="F223" s="10" t="s">
        <v>980</v>
      </c>
      <c r="G223" s="10" t="s">
        <v>981</v>
      </c>
      <c r="H223" s="10" t="s">
        <v>982</v>
      </c>
      <c r="I223" s="10" t="s">
        <v>92</v>
      </c>
    </row>
    <row r="224" spans="1:9" x14ac:dyDescent="0.15">
      <c r="A224" s="9">
        <v>223</v>
      </c>
      <c r="B224" s="10" t="s">
        <v>9</v>
      </c>
      <c r="C224" s="10" t="s">
        <v>299</v>
      </c>
      <c r="D224" s="10" t="s">
        <v>300</v>
      </c>
      <c r="E224" s="11" t="str">
        <f>+HYPERLINK("http://trademark.i-assist.jp/data/china/image_1898th/77926362.pdf", "77926362")</f>
        <v>77926362</v>
      </c>
      <c r="F224" s="10" t="s">
        <v>983</v>
      </c>
      <c r="G224" s="10" t="s">
        <v>984</v>
      </c>
      <c r="H224" s="10" t="s">
        <v>985</v>
      </c>
      <c r="I224" s="10" t="s">
        <v>92</v>
      </c>
    </row>
    <row r="225" spans="1:9" x14ac:dyDescent="0.15">
      <c r="A225" s="9">
        <v>224</v>
      </c>
      <c r="B225" s="10" t="s">
        <v>9</v>
      </c>
      <c r="C225" s="10" t="s">
        <v>299</v>
      </c>
      <c r="D225" s="10" t="s">
        <v>300</v>
      </c>
      <c r="E225" s="11" t="str">
        <f>+HYPERLINK("http://trademark.i-assist.jp/data/china/image_1898th/77928095.pdf", "77928095")</f>
        <v>77928095</v>
      </c>
      <c r="F225" s="10" t="s">
        <v>986</v>
      </c>
      <c r="G225" s="10" t="s">
        <v>987</v>
      </c>
      <c r="H225" s="10" t="s">
        <v>988</v>
      </c>
      <c r="I225" s="10" t="s">
        <v>92</v>
      </c>
    </row>
    <row r="226" spans="1:9" x14ac:dyDescent="0.15">
      <c r="A226" s="9">
        <v>225</v>
      </c>
      <c r="B226" s="10" t="s">
        <v>9</v>
      </c>
      <c r="C226" s="10" t="s">
        <v>299</v>
      </c>
      <c r="D226" s="10" t="s">
        <v>300</v>
      </c>
      <c r="E226" s="11" t="str">
        <f>+HYPERLINK("http://trademark.i-assist.jp/data/china/image_1898th/77929085.pdf", "77929085")</f>
        <v>77929085</v>
      </c>
      <c r="F226" s="10" t="s">
        <v>989</v>
      </c>
      <c r="G226" s="10" t="s">
        <v>990</v>
      </c>
      <c r="H226" s="10" t="s">
        <v>991</v>
      </c>
      <c r="I226" s="10" t="s">
        <v>92</v>
      </c>
    </row>
    <row r="227" spans="1:9" x14ac:dyDescent="0.15">
      <c r="A227" s="9">
        <v>226</v>
      </c>
      <c r="B227" s="10" t="s">
        <v>9</v>
      </c>
      <c r="C227" s="10" t="s">
        <v>299</v>
      </c>
      <c r="D227" s="10" t="s">
        <v>300</v>
      </c>
      <c r="E227" s="11" t="str">
        <f>+HYPERLINK("http://trademark.i-assist.jp/data/china/image_1898th/77932413.pdf", "77932413")</f>
        <v>77932413</v>
      </c>
      <c r="F227" s="10" t="s">
        <v>992</v>
      </c>
      <c r="G227" s="10" t="s">
        <v>993</v>
      </c>
      <c r="H227" s="10" t="s">
        <v>994</v>
      </c>
      <c r="I227" s="10" t="s">
        <v>92</v>
      </c>
    </row>
    <row r="228" spans="1:9" x14ac:dyDescent="0.15">
      <c r="A228" s="9">
        <v>227</v>
      </c>
      <c r="B228" s="10" t="s">
        <v>9</v>
      </c>
      <c r="C228" s="10" t="s">
        <v>299</v>
      </c>
      <c r="D228" s="10" t="s">
        <v>300</v>
      </c>
      <c r="E228" s="11" t="str">
        <f>+HYPERLINK("http://trademark.i-assist.jp/data/china/image_1898th/77934203.pdf", "77934203")</f>
        <v>77934203</v>
      </c>
      <c r="F228" s="10" t="s">
        <v>995</v>
      </c>
      <c r="G228" s="10" t="s">
        <v>996</v>
      </c>
      <c r="H228" s="10" t="s">
        <v>997</v>
      </c>
      <c r="I228" s="10" t="s">
        <v>92</v>
      </c>
    </row>
    <row r="229" spans="1:9" x14ac:dyDescent="0.15">
      <c r="A229" s="9">
        <v>228</v>
      </c>
      <c r="B229" s="10" t="s">
        <v>9</v>
      </c>
      <c r="C229" s="10" t="s">
        <v>299</v>
      </c>
      <c r="D229" s="10" t="s">
        <v>300</v>
      </c>
      <c r="E229" s="11" t="str">
        <f>+HYPERLINK("http://trademark.i-assist.jp/data/china/image_1898th/77934556.pdf", "77934556")</f>
        <v>77934556</v>
      </c>
      <c r="F229" s="10" t="s">
        <v>998</v>
      </c>
      <c r="G229" s="10" t="s">
        <v>999</v>
      </c>
      <c r="H229" s="10" t="s">
        <v>1000</v>
      </c>
      <c r="I229" s="10" t="s">
        <v>92</v>
      </c>
    </row>
    <row r="230" spans="1:9" x14ac:dyDescent="0.15">
      <c r="A230" s="9">
        <v>229</v>
      </c>
      <c r="B230" s="10" t="s">
        <v>9</v>
      </c>
      <c r="C230" s="10" t="s">
        <v>299</v>
      </c>
      <c r="D230" s="10" t="s">
        <v>300</v>
      </c>
      <c r="E230" s="11" t="str">
        <f>+HYPERLINK("http://trademark.i-assist.jp/data/china/image_1898th/77935855.pdf", "77935855")</f>
        <v>77935855</v>
      </c>
      <c r="F230" s="10" t="s">
        <v>1001</v>
      </c>
      <c r="G230" s="10" t="s">
        <v>1002</v>
      </c>
      <c r="H230" s="10" t="s">
        <v>1003</v>
      </c>
      <c r="I230" s="10" t="s">
        <v>92</v>
      </c>
    </row>
    <row r="231" spans="1:9" x14ac:dyDescent="0.15">
      <c r="A231" s="9">
        <v>230</v>
      </c>
      <c r="B231" s="10" t="s">
        <v>9</v>
      </c>
      <c r="C231" s="10" t="s">
        <v>299</v>
      </c>
      <c r="D231" s="10" t="s">
        <v>300</v>
      </c>
      <c r="E231" s="11" t="str">
        <f>+HYPERLINK("http://trademark.i-assist.jp/data/china/image_1898th/77936461.pdf", "77936461")</f>
        <v>77936461</v>
      </c>
      <c r="F231" s="10" t="s">
        <v>1004</v>
      </c>
      <c r="G231" s="10" t="s">
        <v>981</v>
      </c>
      <c r="H231" s="10" t="s">
        <v>1005</v>
      </c>
      <c r="I231" s="10" t="s">
        <v>92</v>
      </c>
    </row>
    <row r="232" spans="1:9" x14ac:dyDescent="0.15">
      <c r="A232" s="9">
        <v>231</v>
      </c>
      <c r="B232" s="10" t="s">
        <v>9</v>
      </c>
      <c r="C232" s="10" t="s">
        <v>299</v>
      </c>
      <c r="D232" s="10" t="s">
        <v>300</v>
      </c>
      <c r="E232" s="11" t="str">
        <f>+HYPERLINK("http://trademark.i-assist.jp/data/china/image_1898th/77937549.pdf", "77937549")</f>
        <v>77937549</v>
      </c>
      <c r="F232" s="10" t="s">
        <v>1006</v>
      </c>
      <c r="G232" s="10" t="s">
        <v>1007</v>
      </c>
      <c r="H232" s="10" t="s">
        <v>1008</v>
      </c>
      <c r="I232" s="10" t="s">
        <v>92</v>
      </c>
    </row>
    <row r="233" spans="1:9" x14ac:dyDescent="0.15">
      <c r="A233" s="9">
        <v>232</v>
      </c>
      <c r="B233" s="10" t="s">
        <v>9</v>
      </c>
      <c r="C233" s="10" t="s">
        <v>299</v>
      </c>
      <c r="D233" s="10" t="s">
        <v>300</v>
      </c>
      <c r="E233" s="11" t="str">
        <f>+HYPERLINK("http://trademark.i-assist.jp/data/china/image_1898th/77938517.pdf", "77938517")</f>
        <v>77938517</v>
      </c>
      <c r="F233" s="10" t="s">
        <v>1009</v>
      </c>
      <c r="G233" s="10" t="s">
        <v>1010</v>
      </c>
      <c r="H233" s="10" t="s">
        <v>1011</v>
      </c>
      <c r="I233" s="10" t="s">
        <v>92</v>
      </c>
    </row>
    <row r="234" spans="1:9" x14ac:dyDescent="0.15">
      <c r="A234" s="9">
        <v>233</v>
      </c>
      <c r="B234" s="10" t="s">
        <v>9</v>
      </c>
      <c r="C234" s="10" t="s">
        <v>299</v>
      </c>
      <c r="D234" s="10" t="s">
        <v>300</v>
      </c>
      <c r="E234" s="11" t="str">
        <f>+HYPERLINK("http://trademark.i-assist.jp/data/china/image_1898th/77939624.pdf", "77939624")</f>
        <v>77939624</v>
      </c>
      <c r="F234" s="10" t="s">
        <v>1012</v>
      </c>
      <c r="G234" s="10" t="s">
        <v>1013</v>
      </c>
      <c r="H234" s="10" t="s">
        <v>1014</v>
      </c>
      <c r="I234" s="10" t="s">
        <v>92</v>
      </c>
    </row>
    <row r="235" spans="1:9" x14ac:dyDescent="0.15">
      <c r="A235" s="9">
        <v>234</v>
      </c>
      <c r="B235" s="10" t="s">
        <v>9</v>
      </c>
      <c r="C235" s="10" t="s">
        <v>299</v>
      </c>
      <c r="D235" s="10" t="s">
        <v>300</v>
      </c>
      <c r="E235" s="11" t="str">
        <f>+HYPERLINK("http://trademark.i-assist.jp/data/china/image_1898th/77939795.pdf", "77939795")</f>
        <v>77939795</v>
      </c>
      <c r="F235" s="10" t="s">
        <v>1015</v>
      </c>
      <c r="G235" s="10" t="s">
        <v>1016</v>
      </c>
      <c r="H235" s="10" t="s">
        <v>1017</v>
      </c>
      <c r="I235" s="10" t="s">
        <v>92</v>
      </c>
    </row>
    <row r="236" spans="1:9" x14ac:dyDescent="0.15">
      <c r="A236" s="9">
        <v>235</v>
      </c>
      <c r="B236" s="10" t="s">
        <v>9</v>
      </c>
      <c r="C236" s="10" t="s">
        <v>299</v>
      </c>
      <c r="D236" s="10" t="s">
        <v>300</v>
      </c>
      <c r="E236" s="11" t="str">
        <f>+HYPERLINK("http://trademark.i-assist.jp/data/china/image_1898th/77940514.pdf", "77940514")</f>
        <v>77940514</v>
      </c>
      <c r="F236" s="10" t="s">
        <v>19</v>
      </c>
      <c r="G236" s="10" t="s">
        <v>1018</v>
      </c>
      <c r="H236" s="10" t="s">
        <v>1019</v>
      </c>
      <c r="I236" s="10" t="s">
        <v>92</v>
      </c>
    </row>
    <row r="237" spans="1:9" x14ac:dyDescent="0.15">
      <c r="A237" s="9">
        <v>236</v>
      </c>
      <c r="B237" s="10" t="s">
        <v>9</v>
      </c>
      <c r="C237" s="10" t="s">
        <v>299</v>
      </c>
      <c r="D237" s="10" t="s">
        <v>300</v>
      </c>
      <c r="E237" s="11" t="str">
        <f>+HYPERLINK("http://trademark.i-assist.jp/data/china/image_1898th/77944902.pdf", "77944902")</f>
        <v>77944902</v>
      </c>
      <c r="F237" s="10" t="s">
        <v>1020</v>
      </c>
      <c r="G237" s="10" t="s">
        <v>1021</v>
      </c>
      <c r="H237" s="10" t="s">
        <v>1022</v>
      </c>
      <c r="I237" s="10" t="s">
        <v>92</v>
      </c>
    </row>
    <row r="238" spans="1:9" x14ac:dyDescent="0.15">
      <c r="A238" s="9">
        <v>237</v>
      </c>
      <c r="B238" s="10" t="s">
        <v>9</v>
      </c>
      <c r="C238" s="10" t="s">
        <v>299</v>
      </c>
      <c r="D238" s="10" t="s">
        <v>300</v>
      </c>
      <c r="E238" s="11" t="str">
        <f>+HYPERLINK("http://trademark.i-assist.jp/data/china/image_1898th/77948085.pdf", "77948085")</f>
        <v>77948085</v>
      </c>
      <c r="F238" s="10" t="s">
        <v>1023</v>
      </c>
      <c r="G238" s="10" t="s">
        <v>1024</v>
      </c>
      <c r="H238" s="10" t="s">
        <v>1025</v>
      </c>
      <c r="I238" s="10" t="s">
        <v>92</v>
      </c>
    </row>
    <row r="239" spans="1:9" x14ac:dyDescent="0.15">
      <c r="A239" s="9">
        <v>238</v>
      </c>
      <c r="B239" s="10" t="s">
        <v>9</v>
      </c>
      <c r="C239" s="10" t="s">
        <v>299</v>
      </c>
      <c r="D239" s="10" t="s">
        <v>300</v>
      </c>
      <c r="E239" s="11" t="str">
        <f>+HYPERLINK("http://trademark.i-assist.jp/data/china/image_1898th/77948746.pdf", "77948746")</f>
        <v>77948746</v>
      </c>
      <c r="F239" s="10" t="s">
        <v>1026</v>
      </c>
      <c r="G239" s="10" t="s">
        <v>1027</v>
      </c>
      <c r="H239" s="10" t="s">
        <v>1028</v>
      </c>
      <c r="I239" s="10" t="s">
        <v>92</v>
      </c>
    </row>
    <row r="240" spans="1:9" x14ac:dyDescent="0.15">
      <c r="A240" s="9">
        <v>239</v>
      </c>
      <c r="B240" s="10" t="s">
        <v>9</v>
      </c>
      <c r="C240" s="10" t="s">
        <v>299</v>
      </c>
      <c r="D240" s="10" t="s">
        <v>300</v>
      </c>
      <c r="E240" s="11" t="str">
        <f>+HYPERLINK("http://trademark.i-assist.jp/data/china/image_1898th/77949643.pdf", "77949643")</f>
        <v>77949643</v>
      </c>
      <c r="F240" s="10" t="s">
        <v>1029</v>
      </c>
      <c r="G240" s="10" t="s">
        <v>1030</v>
      </c>
      <c r="H240" s="10" t="s">
        <v>1031</v>
      </c>
      <c r="I240" s="10" t="s">
        <v>94</v>
      </c>
    </row>
    <row r="241" spans="1:9" x14ac:dyDescent="0.15">
      <c r="A241" s="9">
        <v>240</v>
      </c>
      <c r="B241" s="10" t="s">
        <v>9</v>
      </c>
      <c r="C241" s="10" t="s">
        <v>299</v>
      </c>
      <c r="D241" s="10" t="s">
        <v>300</v>
      </c>
      <c r="E241" s="11" t="str">
        <f>+HYPERLINK("http://trademark.i-assist.jp/data/china/image_1898th/77958880.pdf", "77958880")</f>
        <v>77958880</v>
      </c>
      <c r="F241" s="10" t="s">
        <v>1032</v>
      </c>
      <c r="G241" s="10" t="s">
        <v>1033</v>
      </c>
      <c r="H241" s="10" t="s">
        <v>1034</v>
      </c>
      <c r="I241" s="10" t="s">
        <v>95</v>
      </c>
    </row>
    <row r="242" spans="1:9" x14ac:dyDescent="0.15">
      <c r="A242" s="9">
        <v>241</v>
      </c>
      <c r="B242" s="10" t="s">
        <v>9</v>
      </c>
      <c r="C242" s="10" t="s">
        <v>299</v>
      </c>
      <c r="D242" s="10" t="s">
        <v>300</v>
      </c>
      <c r="E242" s="11" t="str">
        <f>+HYPERLINK("http://trademark.i-assist.jp/data/china/image_1898th/77960341.pdf", "77960341")</f>
        <v>77960341</v>
      </c>
      <c r="F242" s="10" t="s">
        <v>1035</v>
      </c>
      <c r="G242" s="10" t="s">
        <v>1036</v>
      </c>
      <c r="H242" s="10" t="s">
        <v>1037</v>
      </c>
      <c r="I242" s="10" t="s">
        <v>96</v>
      </c>
    </row>
    <row r="243" spans="1:9" x14ac:dyDescent="0.15">
      <c r="A243" s="9">
        <v>242</v>
      </c>
      <c r="B243" s="10" t="s">
        <v>9</v>
      </c>
      <c r="C243" s="10" t="s">
        <v>299</v>
      </c>
      <c r="D243" s="10" t="s">
        <v>300</v>
      </c>
      <c r="E243" s="11" t="str">
        <f>+HYPERLINK("http://trademark.i-assist.jp/data/china/image_1898th/77960924.pdf", "77960924")</f>
        <v>77960924</v>
      </c>
      <c r="F243" s="10" t="s">
        <v>1038</v>
      </c>
      <c r="G243" s="10" t="s">
        <v>1039</v>
      </c>
      <c r="H243" s="10" t="s">
        <v>1040</v>
      </c>
      <c r="I243" s="10" t="s">
        <v>96</v>
      </c>
    </row>
    <row r="244" spans="1:9" x14ac:dyDescent="0.15">
      <c r="A244" s="9">
        <v>243</v>
      </c>
      <c r="B244" s="10" t="s">
        <v>9</v>
      </c>
      <c r="C244" s="10" t="s">
        <v>299</v>
      </c>
      <c r="D244" s="10" t="s">
        <v>300</v>
      </c>
      <c r="E244" s="11" t="str">
        <f>+HYPERLINK("http://trademark.i-assist.jp/data/china/image_1898th/77962544.pdf", "77962544")</f>
        <v>77962544</v>
      </c>
      <c r="F244" s="10" t="s">
        <v>1041</v>
      </c>
      <c r="G244" s="10" t="s">
        <v>1042</v>
      </c>
      <c r="H244" s="10" t="s">
        <v>1043</v>
      </c>
      <c r="I244" s="10" t="s">
        <v>96</v>
      </c>
    </row>
    <row r="245" spans="1:9" x14ac:dyDescent="0.15">
      <c r="A245" s="9">
        <v>244</v>
      </c>
      <c r="B245" s="10" t="s">
        <v>9</v>
      </c>
      <c r="C245" s="10" t="s">
        <v>299</v>
      </c>
      <c r="D245" s="10" t="s">
        <v>300</v>
      </c>
      <c r="E245" s="11" t="str">
        <f>+HYPERLINK("http://trademark.i-assist.jp/data/china/image_1898th/77968288.pdf", "77968288")</f>
        <v>77968288</v>
      </c>
      <c r="F245" s="10" t="s">
        <v>1044</v>
      </c>
      <c r="G245" s="10" t="s">
        <v>1045</v>
      </c>
      <c r="H245" s="10" t="s">
        <v>1046</v>
      </c>
      <c r="I245" s="10" t="s">
        <v>96</v>
      </c>
    </row>
    <row r="246" spans="1:9" x14ac:dyDescent="0.15">
      <c r="A246" s="9">
        <v>245</v>
      </c>
      <c r="B246" s="10" t="s">
        <v>9</v>
      </c>
      <c r="C246" s="10" t="s">
        <v>299</v>
      </c>
      <c r="D246" s="10" t="s">
        <v>300</v>
      </c>
      <c r="E246" s="11" t="str">
        <f>+HYPERLINK("http://trademark.i-assist.jp/data/china/image_1898th/77972313.pdf", "77972313")</f>
        <v>77972313</v>
      </c>
      <c r="F246" s="10" t="s">
        <v>1047</v>
      </c>
      <c r="G246" s="10" t="s">
        <v>1048</v>
      </c>
      <c r="H246" s="10" t="s">
        <v>1049</v>
      </c>
      <c r="I246" s="10" t="s">
        <v>96</v>
      </c>
    </row>
    <row r="247" spans="1:9" x14ac:dyDescent="0.15">
      <c r="A247" s="9">
        <v>246</v>
      </c>
      <c r="B247" s="10" t="s">
        <v>9</v>
      </c>
      <c r="C247" s="10" t="s">
        <v>299</v>
      </c>
      <c r="D247" s="10" t="s">
        <v>300</v>
      </c>
      <c r="E247" s="11" t="str">
        <f>+HYPERLINK("http://trademark.i-assist.jp/data/china/image_1898th/77972433.pdf", "77972433")</f>
        <v>77972433</v>
      </c>
      <c r="F247" s="10" t="s">
        <v>1050</v>
      </c>
      <c r="G247" s="10" t="s">
        <v>201</v>
      </c>
      <c r="H247" s="10" t="s">
        <v>1051</v>
      </c>
      <c r="I247" s="10" t="s">
        <v>96</v>
      </c>
    </row>
    <row r="248" spans="1:9" x14ac:dyDescent="0.15">
      <c r="A248" s="9">
        <v>247</v>
      </c>
      <c r="B248" s="10" t="s">
        <v>9</v>
      </c>
      <c r="C248" s="10" t="s">
        <v>299</v>
      </c>
      <c r="D248" s="10" t="s">
        <v>300</v>
      </c>
      <c r="E248" s="11" t="str">
        <f>+HYPERLINK("http://trademark.i-assist.jp/data/china/image_1898th/77973934.pdf", "77973934")</f>
        <v>77973934</v>
      </c>
      <c r="F248" s="10" t="s">
        <v>1052</v>
      </c>
      <c r="G248" s="10" t="s">
        <v>1053</v>
      </c>
      <c r="H248" s="10" t="s">
        <v>1054</v>
      </c>
      <c r="I248" s="10" t="s">
        <v>96</v>
      </c>
    </row>
    <row r="249" spans="1:9" x14ac:dyDescent="0.15">
      <c r="A249" s="9">
        <v>248</v>
      </c>
      <c r="B249" s="10" t="s">
        <v>9</v>
      </c>
      <c r="C249" s="10" t="s">
        <v>299</v>
      </c>
      <c r="D249" s="10" t="s">
        <v>300</v>
      </c>
      <c r="E249" s="11" t="str">
        <f>+HYPERLINK("http://trademark.i-assist.jp/data/china/image_1898th/77975612.pdf", "77975612")</f>
        <v>77975612</v>
      </c>
      <c r="F249" s="10" t="s">
        <v>1055</v>
      </c>
      <c r="G249" s="10" t="s">
        <v>1056</v>
      </c>
      <c r="H249" s="10" t="s">
        <v>1057</v>
      </c>
      <c r="I249" s="10" t="s">
        <v>96</v>
      </c>
    </row>
    <row r="250" spans="1:9" x14ac:dyDescent="0.15">
      <c r="A250" s="9">
        <v>249</v>
      </c>
      <c r="B250" s="10" t="s">
        <v>9</v>
      </c>
      <c r="C250" s="10" t="s">
        <v>299</v>
      </c>
      <c r="D250" s="10" t="s">
        <v>300</v>
      </c>
      <c r="E250" s="11" t="str">
        <f>+HYPERLINK("http://trademark.i-assist.jp/data/china/image_1898th/77977358.pdf", "77977358")</f>
        <v>77977358</v>
      </c>
      <c r="F250" s="10" t="s">
        <v>1058</v>
      </c>
      <c r="G250" s="10" t="s">
        <v>1059</v>
      </c>
      <c r="H250" s="10" t="s">
        <v>1060</v>
      </c>
      <c r="I250" s="10" t="s">
        <v>96</v>
      </c>
    </row>
    <row r="251" spans="1:9" x14ac:dyDescent="0.15">
      <c r="A251" s="9">
        <v>250</v>
      </c>
      <c r="B251" s="10" t="s">
        <v>9</v>
      </c>
      <c r="C251" s="10" t="s">
        <v>299</v>
      </c>
      <c r="D251" s="10" t="s">
        <v>300</v>
      </c>
      <c r="E251" s="11" t="str">
        <f>+HYPERLINK("http://trademark.i-assist.jp/data/china/image_1898th/77978624.pdf", "77978624")</f>
        <v>77978624</v>
      </c>
      <c r="F251" s="10" t="s">
        <v>1061</v>
      </c>
      <c r="G251" s="10" t="s">
        <v>1062</v>
      </c>
      <c r="H251" s="10" t="s">
        <v>1063</v>
      </c>
      <c r="I251" s="10" t="s">
        <v>96</v>
      </c>
    </row>
    <row r="252" spans="1:9" x14ac:dyDescent="0.15">
      <c r="A252" s="9">
        <v>251</v>
      </c>
      <c r="B252" s="10" t="s">
        <v>9</v>
      </c>
      <c r="C252" s="10" t="s">
        <v>299</v>
      </c>
      <c r="D252" s="10" t="s">
        <v>300</v>
      </c>
      <c r="E252" s="11" t="str">
        <f>+HYPERLINK("http://trademark.i-assist.jp/data/china/image_1898th/77982473.pdf", "77982473")</f>
        <v>77982473</v>
      </c>
      <c r="F252" s="10" t="s">
        <v>1064</v>
      </c>
      <c r="G252" s="10" t="s">
        <v>1036</v>
      </c>
      <c r="H252" s="10" t="s">
        <v>1065</v>
      </c>
      <c r="I252" s="10" t="s">
        <v>96</v>
      </c>
    </row>
    <row r="253" spans="1:9" x14ac:dyDescent="0.15">
      <c r="A253" s="9">
        <v>252</v>
      </c>
      <c r="B253" s="10" t="s">
        <v>9</v>
      </c>
      <c r="C253" s="10" t="s">
        <v>299</v>
      </c>
      <c r="D253" s="10" t="s">
        <v>300</v>
      </c>
      <c r="E253" s="11" t="str">
        <f>+HYPERLINK("http://trademark.i-assist.jp/data/china/image_1898th/77983185.pdf", "77983185")</f>
        <v>77983185</v>
      </c>
      <c r="F253" s="10" t="s">
        <v>1066</v>
      </c>
      <c r="G253" s="10" t="s">
        <v>1067</v>
      </c>
      <c r="H253" s="10" t="s">
        <v>1068</v>
      </c>
      <c r="I253" s="10" t="s">
        <v>96</v>
      </c>
    </row>
    <row r="254" spans="1:9" x14ac:dyDescent="0.15">
      <c r="A254" s="9">
        <v>253</v>
      </c>
      <c r="B254" s="10" t="s">
        <v>9</v>
      </c>
      <c r="C254" s="10" t="s">
        <v>299</v>
      </c>
      <c r="D254" s="10" t="s">
        <v>300</v>
      </c>
      <c r="E254" s="11" t="str">
        <f>+HYPERLINK("http://trademark.i-assist.jp/data/china/image_1898th/77984421.pdf", "77984421")</f>
        <v>77984421</v>
      </c>
      <c r="F254" s="10" t="s">
        <v>1069</v>
      </c>
      <c r="G254" s="10" t="s">
        <v>150</v>
      </c>
      <c r="H254" s="10" t="s">
        <v>1070</v>
      </c>
      <c r="I254" s="10" t="s">
        <v>96</v>
      </c>
    </row>
    <row r="255" spans="1:9" x14ac:dyDescent="0.15">
      <c r="A255" s="9">
        <v>254</v>
      </c>
      <c r="B255" s="10" t="s">
        <v>9</v>
      </c>
      <c r="C255" s="10" t="s">
        <v>299</v>
      </c>
      <c r="D255" s="10" t="s">
        <v>300</v>
      </c>
      <c r="E255" s="11" t="str">
        <f>+HYPERLINK("http://trademark.i-assist.jp/data/china/image_1898th/77985240.pdf", "77985240")</f>
        <v>77985240</v>
      </c>
      <c r="F255" s="10" t="s">
        <v>1071</v>
      </c>
      <c r="G255" s="10" t="s">
        <v>1072</v>
      </c>
      <c r="H255" s="10" t="s">
        <v>1073</v>
      </c>
      <c r="I255" s="10" t="s">
        <v>96</v>
      </c>
    </row>
    <row r="256" spans="1:9" x14ac:dyDescent="0.15">
      <c r="A256" s="9">
        <v>255</v>
      </c>
      <c r="B256" s="10" t="s">
        <v>9</v>
      </c>
      <c r="C256" s="10" t="s">
        <v>299</v>
      </c>
      <c r="D256" s="10" t="s">
        <v>300</v>
      </c>
      <c r="E256" s="11" t="str">
        <f>+HYPERLINK("http://trademark.i-assist.jp/data/china/image_1898th/77987480.pdf", "77987480")</f>
        <v>77987480</v>
      </c>
      <c r="F256" s="10" t="s">
        <v>1074</v>
      </c>
      <c r="G256" s="10" t="s">
        <v>1075</v>
      </c>
      <c r="H256" s="10" t="s">
        <v>1076</v>
      </c>
      <c r="I256" s="10" t="s">
        <v>96</v>
      </c>
    </row>
    <row r="257" spans="1:9" x14ac:dyDescent="0.15">
      <c r="A257" s="9">
        <v>256</v>
      </c>
      <c r="B257" s="10" t="s">
        <v>9</v>
      </c>
      <c r="C257" s="10" t="s">
        <v>299</v>
      </c>
      <c r="D257" s="10" t="s">
        <v>300</v>
      </c>
      <c r="E257" s="11" t="str">
        <f>+HYPERLINK("http://trademark.i-assist.jp/data/china/image_1898th/77987850.pdf", "77987850")</f>
        <v>77987850</v>
      </c>
      <c r="F257" s="10" t="s">
        <v>1077</v>
      </c>
      <c r="G257" s="10" t="s">
        <v>1078</v>
      </c>
      <c r="H257" s="10" t="s">
        <v>1079</v>
      </c>
      <c r="I257" s="10" t="s">
        <v>96</v>
      </c>
    </row>
    <row r="258" spans="1:9" x14ac:dyDescent="0.15">
      <c r="A258" s="9">
        <v>257</v>
      </c>
      <c r="B258" s="10" t="s">
        <v>9</v>
      </c>
      <c r="C258" s="10" t="s">
        <v>299</v>
      </c>
      <c r="D258" s="10" t="s">
        <v>300</v>
      </c>
      <c r="E258" s="11" t="str">
        <f>+HYPERLINK("http://trademark.i-assist.jp/data/china/image_1898th/77987926.pdf", "77987926")</f>
        <v>77987926</v>
      </c>
      <c r="F258" s="10" t="s">
        <v>19</v>
      </c>
      <c r="G258" s="10" t="s">
        <v>1080</v>
      </c>
      <c r="H258" s="10" t="s">
        <v>1081</v>
      </c>
      <c r="I258" s="10" t="s">
        <v>96</v>
      </c>
    </row>
    <row r="259" spans="1:9" x14ac:dyDescent="0.15">
      <c r="A259" s="9">
        <v>258</v>
      </c>
      <c r="B259" s="10" t="s">
        <v>9</v>
      </c>
      <c r="C259" s="10" t="s">
        <v>299</v>
      </c>
      <c r="D259" s="10" t="s">
        <v>300</v>
      </c>
      <c r="E259" s="11" t="str">
        <f>+HYPERLINK("http://trademark.i-assist.jp/data/china/image_1898th/77989331.pdf", "77989331")</f>
        <v>77989331</v>
      </c>
      <c r="F259" s="10" t="s">
        <v>1082</v>
      </c>
      <c r="G259" s="10" t="s">
        <v>1083</v>
      </c>
      <c r="H259" s="10" t="s">
        <v>1084</v>
      </c>
      <c r="I259" s="10" t="s">
        <v>96</v>
      </c>
    </row>
    <row r="260" spans="1:9" x14ac:dyDescent="0.15">
      <c r="A260" s="9">
        <v>259</v>
      </c>
      <c r="B260" s="10" t="s">
        <v>9</v>
      </c>
      <c r="C260" s="10" t="s">
        <v>299</v>
      </c>
      <c r="D260" s="10" t="s">
        <v>300</v>
      </c>
      <c r="E260" s="11" t="str">
        <f>+HYPERLINK("http://trademark.i-assist.jp/data/china/image_1898th/77990684.pdf", "77990684")</f>
        <v>77990684</v>
      </c>
      <c r="F260" s="10" t="s">
        <v>1085</v>
      </c>
      <c r="G260" s="10" t="s">
        <v>1086</v>
      </c>
      <c r="H260" s="10" t="s">
        <v>1087</v>
      </c>
      <c r="I260" s="10" t="s">
        <v>97</v>
      </c>
    </row>
    <row r="261" spans="1:9" x14ac:dyDescent="0.15">
      <c r="A261" s="9">
        <v>260</v>
      </c>
      <c r="B261" s="10" t="s">
        <v>9</v>
      </c>
      <c r="C261" s="10" t="s">
        <v>299</v>
      </c>
      <c r="D261" s="10" t="s">
        <v>300</v>
      </c>
      <c r="E261" s="11" t="str">
        <f>+HYPERLINK("http://trademark.i-assist.jp/data/china/image_1898th/77991059.pdf", "77991059")</f>
        <v>77991059</v>
      </c>
      <c r="F261" s="10" t="s">
        <v>1088</v>
      </c>
      <c r="G261" s="10" t="s">
        <v>1089</v>
      </c>
      <c r="H261" s="10" t="s">
        <v>1090</v>
      </c>
      <c r="I261" s="10" t="s">
        <v>97</v>
      </c>
    </row>
    <row r="262" spans="1:9" x14ac:dyDescent="0.15">
      <c r="A262" s="9">
        <v>261</v>
      </c>
      <c r="B262" s="10" t="s">
        <v>9</v>
      </c>
      <c r="C262" s="10" t="s">
        <v>299</v>
      </c>
      <c r="D262" s="10" t="s">
        <v>300</v>
      </c>
      <c r="E262" s="11" t="str">
        <f>+HYPERLINK("http://trademark.i-assist.jp/data/china/image_1898th/77994716.pdf", "77994716")</f>
        <v>77994716</v>
      </c>
      <c r="F262" s="10" t="s">
        <v>19</v>
      </c>
      <c r="G262" s="10" t="s">
        <v>1091</v>
      </c>
      <c r="H262" s="10" t="s">
        <v>1092</v>
      </c>
      <c r="I262" s="10" t="s">
        <v>97</v>
      </c>
    </row>
    <row r="263" spans="1:9" x14ac:dyDescent="0.15">
      <c r="A263" s="9">
        <v>262</v>
      </c>
      <c r="B263" s="10" t="s">
        <v>9</v>
      </c>
      <c r="C263" s="10" t="s">
        <v>299</v>
      </c>
      <c r="D263" s="10" t="s">
        <v>300</v>
      </c>
      <c r="E263" s="11" t="str">
        <f>+HYPERLINK("http://trademark.i-assist.jp/data/china/image_1898th/77997374.pdf", "77997374")</f>
        <v>77997374</v>
      </c>
      <c r="F263" s="10" t="s">
        <v>1093</v>
      </c>
      <c r="G263" s="10" t="s">
        <v>1094</v>
      </c>
      <c r="H263" s="10" t="s">
        <v>1095</v>
      </c>
      <c r="I263" s="10" t="s">
        <v>97</v>
      </c>
    </row>
    <row r="264" spans="1:9" x14ac:dyDescent="0.15">
      <c r="A264" s="9">
        <v>263</v>
      </c>
      <c r="B264" s="10" t="s">
        <v>9</v>
      </c>
      <c r="C264" s="10" t="s">
        <v>299</v>
      </c>
      <c r="D264" s="10" t="s">
        <v>300</v>
      </c>
      <c r="E264" s="11" t="str">
        <f>+HYPERLINK("http://trademark.i-assist.jp/data/china/image_1898th/77998229.pdf", "77998229")</f>
        <v>77998229</v>
      </c>
      <c r="F264" s="10" t="s">
        <v>1096</v>
      </c>
      <c r="G264" s="10" t="s">
        <v>1097</v>
      </c>
      <c r="H264" s="10" t="s">
        <v>1098</v>
      </c>
      <c r="I264" s="10" t="s">
        <v>97</v>
      </c>
    </row>
    <row r="265" spans="1:9" x14ac:dyDescent="0.15">
      <c r="A265" s="9">
        <v>264</v>
      </c>
      <c r="B265" s="10" t="s">
        <v>9</v>
      </c>
      <c r="C265" s="10" t="s">
        <v>299</v>
      </c>
      <c r="D265" s="10" t="s">
        <v>300</v>
      </c>
      <c r="E265" s="11" t="str">
        <f>+HYPERLINK("http://trademark.i-assist.jp/data/china/image_1898th/77999397.pdf", "77999397")</f>
        <v>77999397</v>
      </c>
      <c r="F265" s="10" t="s">
        <v>1099</v>
      </c>
      <c r="G265" s="10" t="s">
        <v>1100</v>
      </c>
      <c r="H265" s="10" t="s">
        <v>1101</v>
      </c>
      <c r="I265" s="10" t="s">
        <v>97</v>
      </c>
    </row>
    <row r="266" spans="1:9" x14ac:dyDescent="0.15">
      <c r="A266" s="9">
        <v>265</v>
      </c>
      <c r="B266" s="10" t="s">
        <v>9</v>
      </c>
      <c r="C266" s="10" t="s">
        <v>299</v>
      </c>
      <c r="D266" s="10" t="s">
        <v>300</v>
      </c>
      <c r="E266" s="11" t="str">
        <f>+HYPERLINK("http://trademark.i-assist.jp/data/china/image_1898th/78000416.pdf", "78000416")</f>
        <v>78000416</v>
      </c>
      <c r="F266" s="10" t="s">
        <v>1102</v>
      </c>
      <c r="G266" s="10" t="s">
        <v>1103</v>
      </c>
      <c r="H266" s="10" t="s">
        <v>1104</v>
      </c>
      <c r="I266" s="10" t="s">
        <v>97</v>
      </c>
    </row>
    <row r="267" spans="1:9" x14ac:dyDescent="0.15">
      <c r="A267" s="9">
        <v>266</v>
      </c>
      <c r="B267" s="10" t="s">
        <v>9</v>
      </c>
      <c r="C267" s="10" t="s">
        <v>299</v>
      </c>
      <c r="D267" s="10" t="s">
        <v>300</v>
      </c>
      <c r="E267" s="11" t="str">
        <f>+HYPERLINK("http://trademark.i-assist.jp/data/china/image_1898th/78001086.pdf", "78001086")</f>
        <v>78001086</v>
      </c>
      <c r="F267" s="10" t="s">
        <v>1105</v>
      </c>
      <c r="G267" s="10" t="s">
        <v>1106</v>
      </c>
      <c r="H267" s="10" t="s">
        <v>1107</v>
      </c>
      <c r="I267" s="10" t="s">
        <v>97</v>
      </c>
    </row>
    <row r="268" spans="1:9" x14ac:dyDescent="0.15">
      <c r="A268" s="9">
        <v>267</v>
      </c>
      <c r="B268" s="10" t="s">
        <v>9</v>
      </c>
      <c r="C268" s="10" t="s">
        <v>299</v>
      </c>
      <c r="D268" s="10" t="s">
        <v>300</v>
      </c>
      <c r="E268" s="11" t="str">
        <f>+HYPERLINK("http://trademark.i-assist.jp/data/china/image_1898th/78001304.pdf", "78001304")</f>
        <v>78001304</v>
      </c>
      <c r="F268" s="10" t="s">
        <v>1108</v>
      </c>
      <c r="G268" s="10" t="s">
        <v>1109</v>
      </c>
      <c r="H268" s="10" t="s">
        <v>1110</v>
      </c>
      <c r="I268" s="10" t="s">
        <v>97</v>
      </c>
    </row>
    <row r="269" spans="1:9" x14ac:dyDescent="0.15">
      <c r="A269" s="9">
        <v>268</v>
      </c>
      <c r="B269" s="10" t="s">
        <v>9</v>
      </c>
      <c r="C269" s="10" t="s">
        <v>299</v>
      </c>
      <c r="D269" s="10" t="s">
        <v>300</v>
      </c>
      <c r="E269" s="11" t="str">
        <f>+HYPERLINK("http://trademark.i-assist.jp/data/china/image_1898th/78001560.pdf", "78001560")</f>
        <v>78001560</v>
      </c>
      <c r="F269" s="10" t="s">
        <v>1111</v>
      </c>
      <c r="G269" s="10" t="s">
        <v>1112</v>
      </c>
      <c r="H269" s="10" t="s">
        <v>1113</v>
      </c>
      <c r="I269" s="10" t="s">
        <v>97</v>
      </c>
    </row>
    <row r="270" spans="1:9" x14ac:dyDescent="0.15">
      <c r="A270" s="9">
        <v>269</v>
      </c>
      <c r="B270" s="10" t="s">
        <v>9</v>
      </c>
      <c r="C270" s="10" t="s">
        <v>299</v>
      </c>
      <c r="D270" s="10" t="s">
        <v>300</v>
      </c>
      <c r="E270" s="11" t="str">
        <f>+HYPERLINK("http://trademark.i-assist.jp/data/china/image_1898th/78002206.pdf", "78002206")</f>
        <v>78002206</v>
      </c>
      <c r="F270" s="10" t="s">
        <v>1114</v>
      </c>
      <c r="G270" s="10" t="s">
        <v>150</v>
      </c>
      <c r="H270" s="10" t="s">
        <v>1115</v>
      </c>
      <c r="I270" s="10" t="s">
        <v>97</v>
      </c>
    </row>
    <row r="271" spans="1:9" x14ac:dyDescent="0.15">
      <c r="A271" s="9">
        <v>270</v>
      </c>
      <c r="B271" s="10" t="s">
        <v>9</v>
      </c>
      <c r="C271" s="10" t="s">
        <v>299</v>
      </c>
      <c r="D271" s="10" t="s">
        <v>300</v>
      </c>
      <c r="E271" s="11" t="str">
        <f>+HYPERLINK("http://trademark.i-assist.jp/data/china/image_1898th/78002743.pdf", "78002743")</f>
        <v>78002743</v>
      </c>
      <c r="F271" s="10" t="s">
        <v>1116</v>
      </c>
      <c r="G271" s="10" t="s">
        <v>1117</v>
      </c>
      <c r="H271" s="10" t="s">
        <v>1118</v>
      </c>
      <c r="I271" s="10" t="s">
        <v>97</v>
      </c>
    </row>
    <row r="272" spans="1:9" x14ac:dyDescent="0.15">
      <c r="A272" s="9">
        <v>271</v>
      </c>
      <c r="B272" s="10" t="s">
        <v>9</v>
      </c>
      <c r="C272" s="10" t="s">
        <v>299</v>
      </c>
      <c r="D272" s="10" t="s">
        <v>300</v>
      </c>
      <c r="E272" s="11" t="str">
        <f>+HYPERLINK("http://trademark.i-assist.jp/data/china/image_1898th/78004375.pdf", "78004375")</f>
        <v>78004375</v>
      </c>
      <c r="F272" s="10" t="s">
        <v>1119</v>
      </c>
      <c r="G272" s="10" t="s">
        <v>1120</v>
      </c>
      <c r="H272" s="10" t="s">
        <v>1121</v>
      </c>
      <c r="I272" s="10" t="s">
        <v>97</v>
      </c>
    </row>
    <row r="273" spans="1:9" x14ac:dyDescent="0.15">
      <c r="A273" s="9">
        <v>272</v>
      </c>
      <c r="B273" s="10" t="s">
        <v>9</v>
      </c>
      <c r="C273" s="10" t="s">
        <v>299</v>
      </c>
      <c r="D273" s="10" t="s">
        <v>300</v>
      </c>
      <c r="E273" s="11" t="str">
        <f>+HYPERLINK("http://trademark.i-assist.jp/data/china/image_1898th/78006047.pdf", "78006047")</f>
        <v>78006047</v>
      </c>
      <c r="F273" s="10" t="s">
        <v>1122</v>
      </c>
      <c r="G273" s="10" t="s">
        <v>1123</v>
      </c>
      <c r="H273" s="10" t="s">
        <v>1124</v>
      </c>
      <c r="I273" s="10" t="s">
        <v>97</v>
      </c>
    </row>
    <row r="274" spans="1:9" x14ac:dyDescent="0.15">
      <c r="A274" s="9">
        <v>273</v>
      </c>
      <c r="B274" s="10" t="s">
        <v>9</v>
      </c>
      <c r="C274" s="10" t="s">
        <v>299</v>
      </c>
      <c r="D274" s="10" t="s">
        <v>300</v>
      </c>
      <c r="E274" s="11" t="str">
        <f>+HYPERLINK("http://trademark.i-assist.jp/data/china/image_1898th/78006485.pdf", "78006485")</f>
        <v>78006485</v>
      </c>
      <c r="F274" s="10" t="s">
        <v>1125</v>
      </c>
      <c r="G274" s="10" t="s">
        <v>1126</v>
      </c>
      <c r="H274" s="10" t="s">
        <v>1127</v>
      </c>
      <c r="I274" s="10" t="s">
        <v>97</v>
      </c>
    </row>
    <row r="275" spans="1:9" x14ac:dyDescent="0.15">
      <c r="A275" s="9">
        <v>274</v>
      </c>
      <c r="B275" s="10" t="s">
        <v>9</v>
      </c>
      <c r="C275" s="10" t="s">
        <v>299</v>
      </c>
      <c r="D275" s="10" t="s">
        <v>300</v>
      </c>
      <c r="E275" s="11" t="str">
        <f>+HYPERLINK("http://trademark.i-assist.jp/data/china/image_1898th/78007119.pdf", "78007119")</f>
        <v>78007119</v>
      </c>
      <c r="F275" s="10" t="s">
        <v>1128</v>
      </c>
      <c r="G275" s="10" t="s">
        <v>150</v>
      </c>
      <c r="H275" s="10" t="s">
        <v>1129</v>
      </c>
      <c r="I275" s="10" t="s">
        <v>97</v>
      </c>
    </row>
    <row r="276" spans="1:9" x14ac:dyDescent="0.15">
      <c r="A276" s="9">
        <v>275</v>
      </c>
      <c r="B276" s="10" t="s">
        <v>9</v>
      </c>
      <c r="C276" s="10" t="s">
        <v>299</v>
      </c>
      <c r="D276" s="10" t="s">
        <v>300</v>
      </c>
      <c r="E276" s="11" t="str">
        <f>+HYPERLINK("http://trademark.i-assist.jp/data/china/image_1898th/78007756.pdf", "78007756")</f>
        <v>78007756</v>
      </c>
      <c r="F276" s="10" t="s">
        <v>1130</v>
      </c>
      <c r="G276" s="10" t="s">
        <v>1131</v>
      </c>
      <c r="H276" s="10" t="s">
        <v>1132</v>
      </c>
      <c r="I276" s="10" t="s">
        <v>97</v>
      </c>
    </row>
    <row r="277" spans="1:9" x14ac:dyDescent="0.15">
      <c r="A277" s="9">
        <v>276</v>
      </c>
      <c r="B277" s="10" t="s">
        <v>9</v>
      </c>
      <c r="C277" s="10" t="s">
        <v>299</v>
      </c>
      <c r="D277" s="10" t="s">
        <v>300</v>
      </c>
      <c r="E277" s="11" t="str">
        <f>+HYPERLINK("http://trademark.i-assist.jp/data/china/image_1898th/78007862.pdf", "78007862")</f>
        <v>78007862</v>
      </c>
      <c r="F277" s="10" t="s">
        <v>1133</v>
      </c>
      <c r="G277" s="10" t="s">
        <v>1134</v>
      </c>
      <c r="H277" s="10" t="s">
        <v>1135</v>
      </c>
      <c r="I277" s="10" t="s">
        <v>97</v>
      </c>
    </row>
    <row r="278" spans="1:9" x14ac:dyDescent="0.15">
      <c r="A278" s="9">
        <v>277</v>
      </c>
      <c r="B278" s="10" t="s">
        <v>9</v>
      </c>
      <c r="C278" s="10" t="s">
        <v>299</v>
      </c>
      <c r="D278" s="10" t="s">
        <v>300</v>
      </c>
      <c r="E278" s="11" t="str">
        <f>+HYPERLINK("http://trademark.i-assist.jp/data/china/image_1898th/78010004.pdf", "78010004")</f>
        <v>78010004</v>
      </c>
      <c r="F278" s="10" t="s">
        <v>1136</v>
      </c>
      <c r="G278" s="10" t="s">
        <v>1109</v>
      </c>
      <c r="H278" s="10" t="s">
        <v>1137</v>
      </c>
      <c r="I278" s="10" t="s">
        <v>97</v>
      </c>
    </row>
    <row r="279" spans="1:9" x14ac:dyDescent="0.15">
      <c r="A279" s="9">
        <v>278</v>
      </c>
      <c r="B279" s="10" t="s">
        <v>9</v>
      </c>
      <c r="C279" s="10" t="s">
        <v>299</v>
      </c>
      <c r="D279" s="10" t="s">
        <v>300</v>
      </c>
      <c r="E279" s="11" t="str">
        <f>+HYPERLINK("http://trademark.i-assist.jp/data/china/image_1898th/78010844.pdf", "78010844")</f>
        <v>78010844</v>
      </c>
      <c r="F279" s="10" t="s">
        <v>1138</v>
      </c>
      <c r="G279" s="10" t="s">
        <v>1109</v>
      </c>
      <c r="H279" s="10" t="s">
        <v>1139</v>
      </c>
      <c r="I279" s="10" t="s">
        <v>97</v>
      </c>
    </row>
    <row r="280" spans="1:9" x14ac:dyDescent="0.15">
      <c r="A280" s="9">
        <v>279</v>
      </c>
      <c r="B280" s="10" t="s">
        <v>9</v>
      </c>
      <c r="C280" s="10" t="s">
        <v>299</v>
      </c>
      <c r="D280" s="10" t="s">
        <v>300</v>
      </c>
      <c r="E280" s="11" t="str">
        <f>+HYPERLINK("http://trademark.i-assist.jp/data/china/image_1898th/78011730.pdf", "78011730")</f>
        <v>78011730</v>
      </c>
      <c r="F280" s="10" t="s">
        <v>1140</v>
      </c>
      <c r="G280" s="10" t="s">
        <v>1141</v>
      </c>
      <c r="H280" s="10" t="s">
        <v>1142</v>
      </c>
      <c r="I280" s="10" t="s">
        <v>97</v>
      </c>
    </row>
    <row r="281" spans="1:9" x14ac:dyDescent="0.15">
      <c r="A281" s="9">
        <v>280</v>
      </c>
      <c r="B281" s="10" t="s">
        <v>9</v>
      </c>
      <c r="C281" s="10" t="s">
        <v>299</v>
      </c>
      <c r="D281" s="10" t="s">
        <v>300</v>
      </c>
      <c r="E281" s="11" t="str">
        <f>+HYPERLINK("http://trademark.i-assist.jp/data/china/image_1898th/78016250.pdf", "78016250")</f>
        <v>78016250</v>
      </c>
      <c r="F281" s="10" t="s">
        <v>19</v>
      </c>
      <c r="G281" s="10" t="s">
        <v>1143</v>
      </c>
      <c r="H281" s="10" t="s">
        <v>1144</v>
      </c>
      <c r="I281" s="10" t="s">
        <v>97</v>
      </c>
    </row>
    <row r="282" spans="1:9" x14ac:dyDescent="0.15">
      <c r="A282" s="9">
        <v>281</v>
      </c>
      <c r="B282" s="10" t="s">
        <v>9</v>
      </c>
      <c r="C282" s="10" t="s">
        <v>299</v>
      </c>
      <c r="D282" s="10" t="s">
        <v>300</v>
      </c>
      <c r="E282" s="11" t="str">
        <f>+HYPERLINK("http://trademark.i-assist.jp/data/china/image_1898th/78017114.pdf", "78017114")</f>
        <v>78017114</v>
      </c>
      <c r="F282" s="10" t="s">
        <v>19</v>
      </c>
      <c r="G282" s="10" t="s">
        <v>1145</v>
      </c>
      <c r="H282" s="10" t="s">
        <v>1146</v>
      </c>
      <c r="I282" s="10" t="s">
        <v>96</v>
      </c>
    </row>
    <row r="283" spans="1:9" x14ac:dyDescent="0.15">
      <c r="A283" s="9">
        <v>282</v>
      </c>
      <c r="B283" s="10" t="s">
        <v>9</v>
      </c>
      <c r="C283" s="10" t="s">
        <v>299</v>
      </c>
      <c r="D283" s="10" t="s">
        <v>300</v>
      </c>
      <c r="E283" s="11" t="str">
        <f>+HYPERLINK("http://trademark.i-assist.jp/data/china/image_1898th/78019985.pdf", "78019985")</f>
        <v>78019985</v>
      </c>
      <c r="F283" s="10" t="s">
        <v>1147</v>
      </c>
      <c r="G283" s="10" t="s">
        <v>1148</v>
      </c>
      <c r="H283" s="10" t="s">
        <v>1149</v>
      </c>
      <c r="I283" s="10" t="s">
        <v>98</v>
      </c>
    </row>
    <row r="284" spans="1:9" x14ac:dyDescent="0.15">
      <c r="A284" s="9">
        <v>283</v>
      </c>
      <c r="B284" s="10" t="s">
        <v>9</v>
      </c>
      <c r="C284" s="10" t="s">
        <v>299</v>
      </c>
      <c r="D284" s="10" t="s">
        <v>300</v>
      </c>
      <c r="E284" s="11" t="str">
        <f>+HYPERLINK("http://trademark.i-assist.jp/data/china/image_1898th/78024112.pdf", "78024112")</f>
        <v>78024112</v>
      </c>
      <c r="F284" s="10" t="s">
        <v>1150</v>
      </c>
      <c r="G284" s="10" t="s">
        <v>227</v>
      </c>
      <c r="H284" s="10" t="s">
        <v>1151</v>
      </c>
      <c r="I284" s="10" t="s">
        <v>98</v>
      </c>
    </row>
    <row r="285" spans="1:9" x14ac:dyDescent="0.15">
      <c r="A285" s="9">
        <v>284</v>
      </c>
      <c r="B285" s="10" t="s">
        <v>9</v>
      </c>
      <c r="C285" s="10" t="s">
        <v>299</v>
      </c>
      <c r="D285" s="10" t="s">
        <v>300</v>
      </c>
      <c r="E285" s="11" t="str">
        <f>+HYPERLINK("http://trademark.i-assist.jp/data/china/image_1898th/78026033.pdf", "78026033")</f>
        <v>78026033</v>
      </c>
      <c r="F285" s="10" t="s">
        <v>1152</v>
      </c>
      <c r="G285" s="10" t="s">
        <v>1153</v>
      </c>
      <c r="H285" s="10" t="s">
        <v>1154</v>
      </c>
      <c r="I285" s="10" t="s">
        <v>98</v>
      </c>
    </row>
    <row r="286" spans="1:9" x14ac:dyDescent="0.15">
      <c r="A286" s="9">
        <v>285</v>
      </c>
      <c r="B286" s="10" t="s">
        <v>9</v>
      </c>
      <c r="C286" s="10" t="s">
        <v>299</v>
      </c>
      <c r="D286" s="10" t="s">
        <v>300</v>
      </c>
      <c r="E286" s="11" t="str">
        <f>+HYPERLINK("http://trademark.i-assist.jp/data/china/image_1898th/78026183.pdf", "78026183")</f>
        <v>78026183</v>
      </c>
      <c r="F286" s="10" t="s">
        <v>1155</v>
      </c>
      <c r="G286" s="10" t="s">
        <v>196</v>
      </c>
      <c r="H286" s="10" t="s">
        <v>1156</v>
      </c>
      <c r="I286" s="10" t="s">
        <v>98</v>
      </c>
    </row>
    <row r="287" spans="1:9" x14ac:dyDescent="0.15">
      <c r="A287" s="9">
        <v>286</v>
      </c>
      <c r="B287" s="10" t="s">
        <v>9</v>
      </c>
      <c r="C287" s="10" t="s">
        <v>299</v>
      </c>
      <c r="D287" s="10" t="s">
        <v>300</v>
      </c>
      <c r="E287" s="11" t="str">
        <f>+HYPERLINK("http://trademark.i-assist.jp/data/china/image_1898th/78027424.pdf", "78027424")</f>
        <v>78027424</v>
      </c>
      <c r="F287" s="10" t="s">
        <v>19</v>
      </c>
      <c r="G287" s="10" t="s">
        <v>1157</v>
      </c>
      <c r="H287" s="10" t="s">
        <v>1158</v>
      </c>
      <c r="I287" s="10" t="s">
        <v>98</v>
      </c>
    </row>
    <row r="288" spans="1:9" x14ac:dyDescent="0.15">
      <c r="A288" s="9">
        <v>287</v>
      </c>
      <c r="B288" s="10" t="s">
        <v>9</v>
      </c>
      <c r="C288" s="10" t="s">
        <v>299</v>
      </c>
      <c r="D288" s="10" t="s">
        <v>300</v>
      </c>
      <c r="E288" s="11" t="str">
        <f>+HYPERLINK("http://trademark.i-assist.jp/data/china/image_1898th/78027750.pdf", "78027750")</f>
        <v>78027750</v>
      </c>
      <c r="F288" s="10" t="s">
        <v>1159</v>
      </c>
      <c r="G288" s="10" t="s">
        <v>1160</v>
      </c>
      <c r="H288" s="10" t="s">
        <v>1161</v>
      </c>
      <c r="I288" s="10" t="s">
        <v>98</v>
      </c>
    </row>
    <row r="289" spans="1:9" x14ac:dyDescent="0.15">
      <c r="A289" s="9">
        <v>288</v>
      </c>
      <c r="B289" s="10" t="s">
        <v>9</v>
      </c>
      <c r="C289" s="10" t="s">
        <v>299</v>
      </c>
      <c r="D289" s="10" t="s">
        <v>300</v>
      </c>
      <c r="E289" s="11" t="str">
        <f>+HYPERLINK("http://trademark.i-assist.jp/data/china/image_1898th/78031644.pdf", "78031644")</f>
        <v>78031644</v>
      </c>
      <c r="F289" s="10" t="s">
        <v>1162</v>
      </c>
      <c r="G289" s="10" t="s">
        <v>1163</v>
      </c>
      <c r="H289" s="10" t="s">
        <v>1164</v>
      </c>
      <c r="I289" s="10" t="s">
        <v>98</v>
      </c>
    </row>
    <row r="290" spans="1:9" x14ac:dyDescent="0.15">
      <c r="A290" s="9">
        <v>289</v>
      </c>
      <c r="B290" s="10" t="s">
        <v>9</v>
      </c>
      <c r="C290" s="10" t="s">
        <v>299</v>
      </c>
      <c r="D290" s="10" t="s">
        <v>300</v>
      </c>
      <c r="E290" s="11" t="str">
        <f>+HYPERLINK("http://trademark.i-assist.jp/data/china/image_1898th/78033095.pdf", "78033095")</f>
        <v>78033095</v>
      </c>
      <c r="F290" s="10" t="s">
        <v>1165</v>
      </c>
      <c r="G290" s="10" t="s">
        <v>1166</v>
      </c>
      <c r="H290" s="10" t="s">
        <v>1167</v>
      </c>
      <c r="I290" s="10" t="s">
        <v>98</v>
      </c>
    </row>
    <row r="291" spans="1:9" x14ac:dyDescent="0.15">
      <c r="A291" s="9">
        <v>290</v>
      </c>
      <c r="B291" s="10" t="s">
        <v>9</v>
      </c>
      <c r="C291" s="10" t="s">
        <v>299</v>
      </c>
      <c r="D291" s="10" t="s">
        <v>300</v>
      </c>
      <c r="E291" s="11" t="str">
        <f>+HYPERLINK("http://trademark.i-assist.jp/data/china/image_1898th/78033723.pdf", "78033723")</f>
        <v>78033723</v>
      </c>
      <c r="F291" s="10" t="s">
        <v>1168</v>
      </c>
      <c r="G291" s="10" t="s">
        <v>1169</v>
      </c>
      <c r="H291" s="10" t="s">
        <v>1170</v>
      </c>
      <c r="I291" s="10" t="s">
        <v>98</v>
      </c>
    </row>
    <row r="292" spans="1:9" x14ac:dyDescent="0.15">
      <c r="A292" s="9">
        <v>291</v>
      </c>
      <c r="B292" s="10" t="s">
        <v>9</v>
      </c>
      <c r="C292" s="10" t="s">
        <v>299</v>
      </c>
      <c r="D292" s="10" t="s">
        <v>300</v>
      </c>
      <c r="E292" s="11" t="str">
        <f>+HYPERLINK("http://trademark.i-assist.jp/data/china/image_1898th/78037217.pdf", "78037217")</f>
        <v>78037217</v>
      </c>
      <c r="F292" s="10" t="s">
        <v>1171</v>
      </c>
      <c r="G292" s="10" t="s">
        <v>227</v>
      </c>
      <c r="H292" s="10" t="s">
        <v>1172</v>
      </c>
      <c r="I292" s="10" t="s">
        <v>98</v>
      </c>
    </row>
    <row r="293" spans="1:9" x14ac:dyDescent="0.15">
      <c r="A293" s="9">
        <v>292</v>
      </c>
      <c r="B293" s="10" t="s">
        <v>9</v>
      </c>
      <c r="C293" s="10" t="s">
        <v>299</v>
      </c>
      <c r="D293" s="10" t="s">
        <v>300</v>
      </c>
      <c r="E293" s="11" t="str">
        <f>+HYPERLINK("http://trademark.i-assist.jp/data/china/image_1898th/78038352.pdf", "78038352")</f>
        <v>78038352</v>
      </c>
      <c r="F293" s="10" t="s">
        <v>1416</v>
      </c>
      <c r="G293" s="10" t="s">
        <v>1417</v>
      </c>
      <c r="H293" s="10" t="s">
        <v>1418</v>
      </c>
      <c r="I293" s="10" t="s">
        <v>98</v>
      </c>
    </row>
    <row r="294" spans="1:9" x14ac:dyDescent="0.15">
      <c r="A294" s="9">
        <v>293</v>
      </c>
      <c r="B294" s="10" t="s">
        <v>9</v>
      </c>
      <c r="C294" s="10" t="s">
        <v>299</v>
      </c>
      <c r="D294" s="10" t="s">
        <v>300</v>
      </c>
      <c r="E294" s="11" t="str">
        <f>+HYPERLINK("http://trademark.i-assist.jp/data/china/image_1898th/78038724.pdf", "78038724")</f>
        <v>78038724</v>
      </c>
      <c r="F294" s="10" t="s">
        <v>1419</v>
      </c>
      <c r="G294" s="10" t="s">
        <v>1420</v>
      </c>
      <c r="H294" s="10" t="s">
        <v>1421</v>
      </c>
      <c r="I294" s="10" t="s">
        <v>98</v>
      </c>
    </row>
    <row r="295" spans="1:9" x14ac:dyDescent="0.15">
      <c r="A295" s="9">
        <v>294</v>
      </c>
      <c r="B295" s="10" t="s">
        <v>9</v>
      </c>
      <c r="C295" s="10" t="s">
        <v>299</v>
      </c>
      <c r="D295" s="10" t="s">
        <v>300</v>
      </c>
      <c r="E295" s="11" t="str">
        <f>+HYPERLINK("http://trademark.i-assist.jp/data/china/image_1898th/78044018.pdf", "78044018")</f>
        <v>78044018</v>
      </c>
      <c r="F295" s="10" t="s">
        <v>1422</v>
      </c>
      <c r="G295" s="10" t="s">
        <v>1423</v>
      </c>
      <c r="H295" s="10" t="s">
        <v>1424</v>
      </c>
      <c r="I295" s="10" t="s">
        <v>98</v>
      </c>
    </row>
    <row r="296" spans="1:9" x14ac:dyDescent="0.15">
      <c r="A296" s="9">
        <v>295</v>
      </c>
      <c r="B296" s="10" t="s">
        <v>9</v>
      </c>
      <c r="C296" s="10" t="s">
        <v>299</v>
      </c>
      <c r="D296" s="10" t="s">
        <v>300</v>
      </c>
      <c r="E296" s="11" t="str">
        <f>+HYPERLINK("http://trademark.i-assist.jp/data/china/image_1898th/78045588.pdf", "78045588")</f>
        <v>78045588</v>
      </c>
      <c r="F296" s="10" t="s">
        <v>1425</v>
      </c>
      <c r="G296" s="10" t="s">
        <v>1426</v>
      </c>
      <c r="H296" s="10" t="s">
        <v>1427</v>
      </c>
      <c r="I296" s="10" t="s">
        <v>98</v>
      </c>
    </row>
    <row r="297" spans="1:9" x14ac:dyDescent="0.15">
      <c r="A297" s="9">
        <v>296</v>
      </c>
      <c r="B297" s="10" t="s">
        <v>9</v>
      </c>
      <c r="C297" s="10" t="s">
        <v>299</v>
      </c>
      <c r="D297" s="10" t="s">
        <v>300</v>
      </c>
      <c r="E297" s="11" t="str">
        <f>+HYPERLINK("http://trademark.i-assist.jp/data/china/image_1898th/78045827.pdf", "78045827")</f>
        <v>78045827</v>
      </c>
      <c r="F297" s="10" t="s">
        <v>1428</v>
      </c>
      <c r="G297" s="10" t="s">
        <v>1429</v>
      </c>
      <c r="H297" s="10" t="s">
        <v>1430</v>
      </c>
      <c r="I297" s="10" t="s">
        <v>98</v>
      </c>
    </row>
    <row r="298" spans="1:9" x14ac:dyDescent="0.15">
      <c r="A298" s="9">
        <v>297</v>
      </c>
      <c r="B298" s="10" t="s">
        <v>9</v>
      </c>
      <c r="C298" s="10" t="s">
        <v>299</v>
      </c>
      <c r="D298" s="10" t="s">
        <v>300</v>
      </c>
      <c r="E298" s="11" t="str">
        <f>+HYPERLINK("http://trademark.i-assist.jp/data/china/image_1898th/78045832.pdf", "78045832")</f>
        <v>78045832</v>
      </c>
      <c r="F298" s="10" t="s">
        <v>1431</v>
      </c>
      <c r="G298" s="10" t="s">
        <v>1432</v>
      </c>
      <c r="H298" s="10" t="s">
        <v>1433</v>
      </c>
      <c r="I298" s="10" t="s">
        <v>98</v>
      </c>
    </row>
    <row r="299" spans="1:9" x14ac:dyDescent="0.15">
      <c r="A299" s="9">
        <v>298</v>
      </c>
      <c r="B299" s="10" t="s">
        <v>9</v>
      </c>
      <c r="C299" s="10" t="s">
        <v>299</v>
      </c>
      <c r="D299" s="10" t="s">
        <v>300</v>
      </c>
      <c r="E299" s="11" t="str">
        <f>+HYPERLINK("http://trademark.i-assist.jp/data/china/image_1898th/78049192.pdf", "78049192")</f>
        <v>78049192</v>
      </c>
      <c r="F299" s="10" t="s">
        <v>1434</v>
      </c>
      <c r="G299" s="10" t="s">
        <v>1435</v>
      </c>
      <c r="H299" s="10" t="s">
        <v>1436</v>
      </c>
      <c r="I299" s="10" t="s">
        <v>99</v>
      </c>
    </row>
    <row r="300" spans="1:9" x14ac:dyDescent="0.15">
      <c r="A300" s="9">
        <v>299</v>
      </c>
      <c r="B300" s="10" t="s">
        <v>9</v>
      </c>
      <c r="C300" s="10" t="s">
        <v>299</v>
      </c>
      <c r="D300" s="10" t="s">
        <v>300</v>
      </c>
      <c r="E300" s="11" t="str">
        <f>+HYPERLINK("http://trademark.i-assist.jp/data/china/image_1898th/78049537.pdf", "78049537")</f>
        <v>78049537</v>
      </c>
      <c r="F300" s="10" t="s">
        <v>1437</v>
      </c>
      <c r="G300" s="10" t="s">
        <v>198</v>
      </c>
      <c r="H300" s="10" t="s">
        <v>1438</v>
      </c>
      <c r="I300" s="10" t="s">
        <v>99</v>
      </c>
    </row>
    <row r="301" spans="1:9" x14ac:dyDescent="0.15">
      <c r="A301" s="9">
        <v>300</v>
      </c>
      <c r="B301" s="10" t="s">
        <v>9</v>
      </c>
      <c r="C301" s="10" t="s">
        <v>299</v>
      </c>
      <c r="D301" s="10" t="s">
        <v>300</v>
      </c>
      <c r="E301" s="11" t="str">
        <f>+HYPERLINK("http://trademark.i-assist.jp/data/china/image_1898th/78051462.pdf", "78051462")</f>
        <v>78051462</v>
      </c>
      <c r="F301" s="10" t="s">
        <v>1439</v>
      </c>
      <c r="G301" s="10" t="s">
        <v>1440</v>
      </c>
      <c r="H301" s="10" t="s">
        <v>1441</v>
      </c>
      <c r="I301" s="10" t="s">
        <v>99</v>
      </c>
    </row>
    <row r="302" spans="1:9" x14ac:dyDescent="0.15">
      <c r="A302" s="9">
        <v>301</v>
      </c>
      <c r="B302" s="10" t="s">
        <v>9</v>
      </c>
      <c r="C302" s="10" t="s">
        <v>299</v>
      </c>
      <c r="D302" s="10" t="s">
        <v>300</v>
      </c>
      <c r="E302" s="11" t="str">
        <f>+HYPERLINK("http://trademark.i-assist.jp/data/china/image_1898th/78051828.pdf", "78051828")</f>
        <v>78051828</v>
      </c>
      <c r="F302" s="10" t="s">
        <v>19</v>
      </c>
      <c r="G302" s="10" t="s">
        <v>1442</v>
      </c>
      <c r="H302" s="10" t="s">
        <v>1443</v>
      </c>
      <c r="I302" s="10" t="s">
        <v>99</v>
      </c>
    </row>
    <row r="303" spans="1:9" x14ac:dyDescent="0.15">
      <c r="A303" s="9">
        <v>302</v>
      </c>
      <c r="B303" s="10" t="s">
        <v>9</v>
      </c>
      <c r="C303" s="10" t="s">
        <v>299</v>
      </c>
      <c r="D303" s="10" t="s">
        <v>300</v>
      </c>
      <c r="E303" s="11" t="str">
        <f>+HYPERLINK("http://trademark.i-assist.jp/data/china/image_1898th/78053542.pdf", "78053542")</f>
        <v>78053542</v>
      </c>
      <c r="F303" s="10" t="s">
        <v>1444</v>
      </c>
      <c r="G303" s="10" t="s">
        <v>1445</v>
      </c>
      <c r="H303" s="10" t="s">
        <v>1446</v>
      </c>
      <c r="I303" s="10" t="s">
        <v>99</v>
      </c>
    </row>
    <row r="304" spans="1:9" x14ac:dyDescent="0.15">
      <c r="A304" s="9">
        <v>303</v>
      </c>
      <c r="B304" s="10" t="s">
        <v>9</v>
      </c>
      <c r="C304" s="10" t="s">
        <v>299</v>
      </c>
      <c r="D304" s="10" t="s">
        <v>300</v>
      </c>
      <c r="E304" s="11" t="str">
        <f>+HYPERLINK("http://trademark.i-assist.jp/data/china/image_1898th/78053919.pdf", "78053919")</f>
        <v>78053919</v>
      </c>
      <c r="F304" s="10" t="s">
        <v>1447</v>
      </c>
      <c r="G304" s="10" t="s">
        <v>1448</v>
      </c>
      <c r="H304" s="10" t="s">
        <v>1449</v>
      </c>
      <c r="I304" s="10" t="s">
        <v>99</v>
      </c>
    </row>
    <row r="305" spans="1:9" x14ac:dyDescent="0.15">
      <c r="A305" s="9">
        <v>304</v>
      </c>
      <c r="B305" s="10" t="s">
        <v>9</v>
      </c>
      <c r="C305" s="10" t="s">
        <v>299</v>
      </c>
      <c r="D305" s="10" t="s">
        <v>300</v>
      </c>
      <c r="E305" s="11" t="str">
        <f>+HYPERLINK("http://trademark.i-assist.jp/data/china/image_1898th/78054835.pdf", "78054835")</f>
        <v>78054835</v>
      </c>
      <c r="F305" s="10" t="s">
        <v>1450</v>
      </c>
      <c r="G305" s="10" t="s">
        <v>1451</v>
      </c>
      <c r="H305" s="10" t="s">
        <v>1452</v>
      </c>
      <c r="I305" s="10" t="s">
        <v>99</v>
      </c>
    </row>
    <row r="306" spans="1:9" x14ac:dyDescent="0.15">
      <c r="A306" s="9">
        <v>305</v>
      </c>
      <c r="B306" s="10" t="s">
        <v>9</v>
      </c>
      <c r="C306" s="10" t="s">
        <v>299</v>
      </c>
      <c r="D306" s="10" t="s">
        <v>300</v>
      </c>
      <c r="E306" s="11" t="str">
        <f>+HYPERLINK("http://trademark.i-assist.jp/data/china/image_1898th/78057499.pdf", "78057499")</f>
        <v>78057499</v>
      </c>
      <c r="F306" s="10" t="s">
        <v>1453</v>
      </c>
      <c r="G306" s="10" t="s">
        <v>102</v>
      </c>
      <c r="H306" s="10" t="s">
        <v>1454</v>
      </c>
      <c r="I306" s="10" t="s">
        <v>99</v>
      </c>
    </row>
    <row r="307" spans="1:9" x14ac:dyDescent="0.15">
      <c r="A307" s="9">
        <v>306</v>
      </c>
      <c r="B307" s="10" t="s">
        <v>9</v>
      </c>
      <c r="C307" s="10" t="s">
        <v>299</v>
      </c>
      <c r="D307" s="10" t="s">
        <v>300</v>
      </c>
      <c r="E307" s="11" t="str">
        <f>+HYPERLINK("http://trademark.i-assist.jp/data/china/image_1898th/78060492.pdf", "78060492")</f>
        <v>78060492</v>
      </c>
      <c r="F307" s="10" t="s">
        <v>19</v>
      </c>
      <c r="G307" s="10" t="s">
        <v>1455</v>
      </c>
      <c r="H307" s="10" t="s">
        <v>1456</v>
      </c>
      <c r="I307" s="10" t="s">
        <v>99</v>
      </c>
    </row>
    <row r="308" spans="1:9" x14ac:dyDescent="0.15">
      <c r="A308" s="9">
        <v>307</v>
      </c>
      <c r="B308" s="10" t="s">
        <v>9</v>
      </c>
      <c r="C308" s="10" t="s">
        <v>299</v>
      </c>
      <c r="D308" s="10" t="s">
        <v>300</v>
      </c>
      <c r="E308" s="11" t="str">
        <f>+HYPERLINK("http://trademark.i-assist.jp/data/china/image_1898th/78064368.pdf", "78064368")</f>
        <v>78064368</v>
      </c>
      <c r="F308" s="10" t="s">
        <v>1457</v>
      </c>
      <c r="G308" s="10" t="s">
        <v>1458</v>
      </c>
      <c r="H308" s="10" t="s">
        <v>1459</v>
      </c>
      <c r="I308" s="10" t="s">
        <v>99</v>
      </c>
    </row>
    <row r="309" spans="1:9" x14ac:dyDescent="0.15">
      <c r="A309" s="9">
        <v>308</v>
      </c>
      <c r="B309" s="10" t="s">
        <v>9</v>
      </c>
      <c r="C309" s="10" t="s">
        <v>299</v>
      </c>
      <c r="D309" s="10" t="s">
        <v>300</v>
      </c>
      <c r="E309" s="11" t="str">
        <f>+HYPERLINK("http://trademark.i-assist.jp/data/china/image_1898th/78069121.pdf", "78069121")</f>
        <v>78069121</v>
      </c>
      <c r="F309" s="10" t="s">
        <v>1460</v>
      </c>
      <c r="G309" s="10" t="s">
        <v>1461</v>
      </c>
      <c r="H309" s="10" t="s">
        <v>1462</v>
      </c>
      <c r="I309" s="10" t="s">
        <v>99</v>
      </c>
    </row>
    <row r="310" spans="1:9" x14ac:dyDescent="0.15">
      <c r="A310" s="9">
        <v>309</v>
      </c>
      <c r="B310" s="10" t="s">
        <v>9</v>
      </c>
      <c r="C310" s="10" t="s">
        <v>299</v>
      </c>
      <c r="D310" s="10" t="s">
        <v>300</v>
      </c>
      <c r="E310" s="11" t="str">
        <f>+HYPERLINK("http://trademark.i-assist.jp/data/china/image_1898th/78071726.pdf", "78071726")</f>
        <v>78071726</v>
      </c>
      <c r="F310" s="10" t="s">
        <v>1463</v>
      </c>
      <c r="G310" s="10" t="s">
        <v>1464</v>
      </c>
      <c r="H310" s="10" t="s">
        <v>1465</v>
      </c>
      <c r="I310" s="10" t="s">
        <v>99</v>
      </c>
    </row>
    <row r="311" spans="1:9" x14ac:dyDescent="0.15">
      <c r="A311" s="9">
        <v>310</v>
      </c>
      <c r="B311" s="10" t="s">
        <v>9</v>
      </c>
      <c r="C311" s="10" t="s">
        <v>299</v>
      </c>
      <c r="D311" s="10" t="s">
        <v>300</v>
      </c>
      <c r="E311" s="11" t="str">
        <f>+HYPERLINK("http://trademark.i-assist.jp/data/china/image_1898th/78072339.pdf", "78072339")</f>
        <v>78072339</v>
      </c>
      <c r="F311" s="10" t="s">
        <v>1466</v>
      </c>
      <c r="G311" s="10" t="s">
        <v>1467</v>
      </c>
      <c r="H311" s="10" t="s">
        <v>1468</v>
      </c>
      <c r="I311" s="10" t="s">
        <v>99</v>
      </c>
    </row>
    <row r="312" spans="1:9" x14ac:dyDescent="0.15">
      <c r="A312" s="9">
        <v>311</v>
      </c>
      <c r="B312" s="10" t="s">
        <v>9</v>
      </c>
      <c r="C312" s="10" t="s">
        <v>299</v>
      </c>
      <c r="D312" s="10" t="s">
        <v>300</v>
      </c>
      <c r="E312" s="11" t="str">
        <f>+HYPERLINK("http://trademark.i-assist.jp/data/china/image_1898th/78072615.pdf", "78072615")</f>
        <v>78072615</v>
      </c>
      <c r="F312" s="10" t="s">
        <v>1469</v>
      </c>
      <c r="G312" s="10" t="s">
        <v>1470</v>
      </c>
      <c r="H312" s="10" t="s">
        <v>1471</v>
      </c>
      <c r="I312" s="10" t="s">
        <v>99</v>
      </c>
    </row>
    <row r="313" spans="1:9" x14ac:dyDescent="0.15">
      <c r="A313" s="9">
        <v>312</v>
      </c>
      <c r="B313" s="10" t="s">
        <v>9</v>
      </c>
      <c r="C313" s="10" t="s">
        <v>299</v>
      </c>
      <c r="D313" s="10" t="s">
        <v>300</v>
      </c>
      <c r="E313" s="11" t="str">
        <f>+HYPERLINK("http://trademark.i-assist.jp/data/china/image_1898th/78073324.pdf", "78073324")</f>
        <v>78073324</v>
      </c>
      <c r="F313" s="10" t="s">
        <v>1472</v>
      </c>
      <c r="G313" s="10" t="s">
        <v>1473</v>
      </c>
      <c r="H313" s="10" t="s">
        <v>1474</v>
      </c>
      <c r="I313" s="10" t="s">
        <v>99</v>
      </c>
    </row>
    <row r="314" spans="1:9" x14ac:dyDescent="0.15">
      <c r="A314" s="9">
        <v>313</v>
      </c>
      <c r="B314" s="10" t="s">
        <v>9</v>
      </c>
      <c r="C314" s="10" t="s">
        <v>299</v>
      </c>
      <c r="D314" s="10" t="s">
        <v>300</v>
      </c>
      <c r="E314" s="11" t="str">
        <f>+HYPERLINK("http://trademark.i-assist.jp/data/china/image_1898th/78076357.pdf", "78076357")</f>
        <v>78076357</v>
      </c>
      <c r="F314" s="10" t="s">
        <v>1475</v>
      </c>
      <c r="G314" s="10" t="s">
        <v>1476</v>
      </c>
      <c r="H314" s="10" t="s">
        <v>1477</v>
      </c>
      <c r="I314" s="10" t="s">
        <v>99</v>
      </c>
    </row>
    <row r="315" spans="1:9" x14ac:dyDescent="0.15">
      <c r="A315" s="9">
        <v>314</v>
      </c>
      <c r="B315" s="10" t="s">
        <v>9</v>
      </c>
      <c r="C315" s="10" t="s">
        <v>299</v>
      </c>
      <c r="D315" s="10" t="s">
        <v>300</v>
      </c>
      <c r="E315" s="11" t="str">
        <f>+HYPERLINK("http://trademark.i-assist.jp/data/china/image_1898th/78077414.pdf", "78077414")</f>
        <v>78077414</v>
      </c>
      <c r="F315" s="10" t="s">
        <v>1478</v>
      </c>
      <c r="G315" s="10" t="s">
        <v>1479</v>
      </c>
      <c r="H315" s="10" t="s">
        <v>1480</v>
      </c>
      <c r="I315" s="10" t="s">
        <v>105</v>
      </c>
    </row>
    <row r="316" spans="1:9" x14ac:dyDescent="0.15">
      <c r="A316" s="9">
        <v>315</v>
      </c>
      <c r="B316" s="10" t="s">
        <v>9</v>
      </c>
      <c r="C316" s="10" t="s">
        <v>299</v>
      </c>
      <c r="D316" s="10" t="s">
        <v>300</v>
      </c>
      <c r="E316" s="11" t="str">
        <f>+HYPERLINK("http://trademark.i-assist.jp/data/china/image_1898th/78078478.pdf", "78078478")</f>
        <v>78078478</v>
      </c>
      <c r="F316" s="10" t="s">
        <v>1481</v>
      </c>
      <c r="G316" s="10" t="s">
        <v>1482</v>
      </c>
      <c r="H316" s="10" t="s">
        <v>1483</v>
      </c>
      <c r="I316" s="10" t="s">
        <v>105</v>
      </c>
    </row>
    <row r="317" spans="1:9" x14ac:dyDescent="0.15">
      <c r="A317" s="9">
        <v>316</v>
      </c>
      <c r="B317" s="10" t="s">
        <v>9</v>
      </c>
      <c r="C317" s="10" t="s">
        <v>299</v>
      </c>
      <c r="D317" s="10" t="s">
        <v>300</v>
      </c>
      <c r="E317" s="11" t="str">
        <f>+HYPERLINK("http://trademark.i-assist.jp/data/china/image_1898th/78079258.pdf", "78079258")</f>
        <v>78079258</v>
      </c>
      <c r="F317" s="10" t="s">
        <v>1484</v>
      </c>
      <c r="G317" s="10" t="s">
        <v>41</v>
      </c>
      <c r="H317" s="10" t="s">
        <v>1485</v>
      </c>
      <c r="I317" s="10" t="s">
        <v>105</v>
      </c>
    </row>
    <row r="318" spans="1:9" x14ac:dyDescent="0.15">
      <c r="A318" s="9">
        <v>317</v>
      </c>
      <c r="B318" s="10" t="s">
        <v>9</v>
      </c>
      <c r="C318" s="10" t="s">
        <v>299</v>
      </c>
      <c r="D318" s="10" t="s">
        <v>300</v>
      </c>
      <c r="E318" s="11" t="str">
        <f>+HYPERLINK("http://trademark.i-assist.jp/data/china/image_1898th/78080539.pdf", "78080539")</f>
        <v>78080539</v>
      </c>
      <c r="F318" s="10" t="s">
        <v>1486</v>
      </c>
      <c r="G318" s="10" t="s">
        <v>1487</v>
      </c>
      <c r="H318" s="10" t="s">
        <v>1488</v>
      </c>
      <c r="I318" s="10" t="s">
        <v>105</v>
      </c>
    </row>
    <row r="319" spans="1:9" x14ac:dyDescent="0.15">
      <c r="A319" s="9">
        <v>318</v>
      </c>
      <c r="B319" s="10" t="s">
        <v>9</v>
      </c>
      <c r="C319" s="10" t="s">
        <v>299</v>
      </c>
      <c r="D319" s="10" t="s">
        <v>300</v>
      </c>
      <c r="E319" s="11" t="str">
        <f>+HYPERLINK("http://trademark.i-assist.jp/data/china/image_1898th/78082215.pdf", "78082215")</f>
        <v>78082215</v>
      </c>
      <c r="F319" s="10" t="s">
        <v>1489</v>
      </c>
      <c r="G319" s="10" t="s">
        <v>1490</v>
      </c>
      <c r="H319" s="10" t="s">
        <v>1491</v>
      </c>
      <c r="I319" s="10" t="s">
        <v>105</v>
      </c>
    </row>
    <row r="320" spans="1:9" x14ac:dyDescent="0.15">
      <c r="A320" s="9">
        <v>319</v>
      </c>
      <c r="B320" s="10" t="s">
        <v>9</v>
      </c>
      <c r="C320" s="10" t="s">
        <v>299</v>
      </c>
      <c r="D320" s="10" t="s">
        <v>300</v>
      </c>
      <c r="E320" s="11" t="str">
        <f>+HYPERLINK("http://trademark.i-assist.jp/data/china/image_1898th/78083850.pdf", "78083850")</f>
        <v>78083850</v>
      </c>
      <c r="F320" s="10" t="s">
        <v>1492</v>
      </c>
      <c r="G320" s="10" t="s">
        <v>1493</v>
      </c>
      <c r="H320" s="10" t="s">
        <v>1494</v>
      </c>
      <c r="I320" s="10" t="s">
        <v>105</v>
      </c>
    </row>
    <row r="321" spans="1:9" x14ac:dyDescent="0.15">
      <c r="A321" s="9">
        <v>320</v>
      </c>
      <c r="B321" s="10" t="s">
        <v>9</v>
      </c>
      <c r="C321" s="10" t="s">
        <v>299</v>
      </c>
      <c r="D321" s="10" t="s">
        <v>300</v>
      </c>
      <c r="E321" s="11" t="str">
        <f>+HYPERLINK("http://trademark.i-assist.jp/data/china/image_1898th/78086618.pdf", "78086618")</f>
        <v>78086618</v>
      </c>
      <c r="F321" s="10" t="s">
        <v>1495</v>
      </c>
      <c r="G321" s="10" t="s">
        <v>1496</v>
      </c>
      <c r="H321" s="10" t="s">
        <v>1497</v>
      </c>
      <c r="I321" s="10" t="s">
        <v>105</v>
      </c>
    </row>
    <row r="322" spans="1:9" x14ac:dyDescent="0.15">
      <c r="A322" s="9">
        <v>321</v>
      </c>
      <c r="B322" s="10" t="s">
        <v>9</v>
      </c>
      <c r="C322" s="10" t="s">
        <v>299</v>
      </c>
      <c r="D322" s="10" t="s">
        <v>300</v>
      </c>
      <c r="E322" s="11" t="str">
        <f>+HYPERLINK("http://trademark.i-assist.jp/data/china/image_1898th/78089231.pdf", "78089231")</f>
        <v>78089231</v>
      </c>
      <c r="F322" s="10" t="s">
        <v>1498</v>
      </c>
      <c r="G322" s="10" t="s">
        <v>41</v>
      </c>
      <c r="H322" s="10" t="s">
        <v>1499</v>
      </c>
      <c r="I322" s="10" t="s">
        <v>105</v>
      </c>
    </row>
    <row r="323" spans="1:9" x14ac:dyDescent="0.15">
      <c r="A323" s="9">
        <v>322</v>
      </c>
      <c r="B323" s="10" t="s">
        <v>9</v>
      </c>
      <c r="C323" s="10" t="s">
        <v>299</v>
      </c>
      <c r="D323" s="10" t="s">
        <v>300</v>
      </c>
      <c r="E323" s="11" t="str">
        <f>+HYPERLINK("http://trademark.i-assist.jp/data/china/image_1898th/78090016.pdf", "78090016")</f>
        <v>78090016</v>
      </c>
      <c r="F323" s="10" t="s">
        <v>1500</v>
      </c>
      <c r="G323" s="10" t="s">
        <v>66</v>
      </c>
      <c r="H323" s="10" t="s">
        <v>1501</v>
      </c>
      <c r="I323" s="10" t="s">
        <v>105</v>
      </c>
    </row>
    <row r="324" spans="1:9" x14ac:dyDescent="0.15">
      <c r="A324" s="9">
        <v>323</v>
      </c>
      <c r="B324" s="10" t="s">
        <v>9</v>
      </c>
      <c r="C324" s="10" t="s">
        <v>299</v>
      </c>
      <c r="D324" s="10" t="s">
        <v>300</v>
      </c>
      <c r="E324" s="11" t="str">
        <f>+HYPERLINK("http://trademark.i-assist.jp/data/china/image_1898th/78090056.pdf", "78090056")</f>
        <v>78090056</v>
      </c>
      <c r="F324" s="10" t="s">
        <v>1502</v>
      </c>
      <c r="G324" s="10" t="s">
        <v>1503</v>
      </c>
      <c r="H324" s="10" t="s">
        <v>1504</v>
      </c>
      <c r="I324" s="10" t="s">
        <v>105</v>
      </c>
    </row>
    <row r="325" spans="1:9" x14ac:dyDescent="0.15">
      <c r="A325" s="9">
        <v>324</v>
      </c>
      <c r="B325" s="10" t="s">
        <v>9</v>
      </c>
      <c r="C325" s="10" t="s">
        <v>299</v>
      </c>
      <c r="D325" s="10" t="s">
        <v>300</v>
      </c>
      <c r="E325" s="11" t="str">
        <f>+HYPERLINK("http://trademark.i-assist.jp/data/china/image_1898th/78090854.pdf", "78090854")</f>
        <v>78090854</v>
      </c>
      <c r="F325" s="10" t="s">
        <v>1505</v>
      </c>
      <c r="G325" s="10" t="s">
        <v>106</v>
      </c>
      <c r="H325" s="10" t="s">
        <v>1506</v>
      </c>
      <c r="I325" s="10" t="s">
        <v>105</v>
      </c>
    </row>
    <row r="326" spans="1:9" x14ac:dyDescent="0.15">
      <c r="A326" s="9">
        <v>325</v>
      </c>
      <c r="B326" s="10" t="s">
        <v>9</v>
      </c>
      <c r="C326" s="10" t="s">
        <v>299</v>
      </c>
      <c r="D326" s="10" t="s">
        <v>300</v>
      </c>
      <c r="E326" s="11" t="str">
        <f>+HYPERLINK("http://trademark.i-assist.jp/data/china/image_1898th/78092079.pdf", "78092079")</f>
        <v>78092079</v>
      </c>
      <c r="F326" s="10" t="s">
        <v>1507</v>
      </c>
      <c r="G326" s="10" t="s">
        <v>1508</v>
      </c>
      <c r="H326" s="10" t="s">
        <v>1509</v>
      </c>
      <c r="I326" s="10" t="s">
        <v>105</v>
      </c>
    </row>
    <row r="327" spans="1:9" x14ac:dyDescent="0.15">
      <c r="A327" s="9">
        <v>326</v>
      </c>
      <c r="B327" s="10" t="s">
        <v>9</v>
      </c>
      <c r="C327" s="10" t="s">
        <v>299</v>
      </c>
      <c r="D327" s="10" t="s">
        <v>300</v>
      </c>
      <c r="E327" s="11" t="str">
        <f>+HYPERLINK("http://trademark.i-assist.jp/data/china/image_1898th/78093162.pdf", "78093162")</f>
        <v>78093162</v>
      </c>
      <c r="F327" s="10" t="s">
        <v>1510</v>
      </c>
      <c r="G327" s="10" t="s">
        <v>1511</v>
      </c>
      <c r="H327" s="10" t="s">
        <v>1512</v>
      </c>
      <c r="I327" s="10" t="s">
        <v>105</v>
      </c>
    </row>
    <row r="328" spans="1:9" x14ac:dyDescent="0.15">
      <c r="A328" s="9">
        <v>327</v>
      </c>
      <c r="B328" s="10" t="s">
        <v>9</v>
      </c>
      <c r="C328" s="10" t="s">
        <v>299</v>
      </c>
      <c r="D328" s="10" t="s">
        <v>300</v>
      </c>
      <c r="E328" s="11" t="str">
        <f>+HYPERLINK("http://trademark.i-assist.jp/data/china/image_1898th/78094206.pdf", "78094206")</f>
        <v>78094206</v>
      </c>
      <c r="F328" s="10" t="s">
        <v>1513</v>
      </c>
      <c r="G328" s="10" t="s">
        <v>1514</v>
      </c>
      <c r="H328" s="10" t="s">
        <v>1515</v>
      </c>
      <c r="I328" s="10" t="s">
        <v>105</v>
      </c>
    </row>
    <row r="329" spans="1:9" x14ac:dyDescent="0.15">
      <c r="A329" s="9">
        <v>328</v>
      </c>
      <c r="B329" s="10" t="s">
        <v>9</v>
      </c>
      <c r="C329" s="10" t="s">
        <v>299</v>
      </c>
      <c r="D329" s="10" t="s">
        <v>300</v>
      </c>
      <c r="E329" s="11" t="str">
        <f>+HYPERLINK("http://trademark.i-assist.jp/data/china/image_1898th/78099619.pdf", "78099619")</f>
        <v>78099619</v>
      </c>
      <c r="F329" s="10" t="s">
        <v>1516</v>
      </c>
      <c r="G329" s="10" t="s">
        <v>1517</v>
      </c>
      <c r="H329" s="10" t="s">
        <v>1518</v>
      </c>
      <c r="I329" s="10" t="s">
        <v>105</v>
      </c>
    </row>
    <row r="330" spans="1:9" x14ac:dyDescent="0.15">
      <c r="A330" s="9">
        <v>329</v>
      </c>
      <c r="B330" s="10" t="s">
        <v>9</v>
      </c>
      <c r="C330" s="10" t="s">
        <v>299</v>
      </c>
      <c r="D330" s="10" t="s">
        <v>300</v>
      </c>
      <c r="E330" s="11" t="str">
        <f>+HYPERLINK("http://trademark.i-assist.jp/data/china/image_1898th/78100089.pdf", "78100089")</f>
        <v>78100089</v>
      </c>
      <c r="F330" s="10" t="s">
        <v>1519</v>
      </c>
      <c r="G330" s="10" t="s">
        <v>1520</v>
      </c>
      <c r="H330" s="10" t="s">
        <v>1521</v>
      </c>
      <c r="I330" s="10" t="s">
        <v>105</v>
      </c>
    </row>
    <row r="331" spans="1:9" x14ac:dyDescent="0.15">
      <c r="A331" s="9">
        <v>330</v>
      </c>
      <c r="B331" s="10" t="s">
        <v>9</v>
      </c>
      <c r="C331" s="10" t="s">
        <v>299</v>
      </c>
      <c r="D331" s="10" t="s">
        <v>300</v>
      </c>
      <c r="E331" s="11" t="str">
        <f>+HYPERLINK("http://trademark.i-assist.jp/data/china/image_1898th/78102758.pdf", "78102758")</f>
        <v>78102758</v>
      </c>
      <c r="F331" s="10" t="s">
        <v>1522</v>
      </c>
      <c r="G331" s="10" t="s">
        <v>1523</v>
      </c>
      <c r="H331" s="10" t="s">
        <v>1524</v>
      </c>
      <c r="I331" s="10" t="s">
        <v>105</v>
      </c>
    </row>
    <row r="332" spans="1:9" x14ac:dyDescent="0.15">
      <c r="A332" s="9">
        <v>331</v>
      </c>
      <c r="B332" s="10" t="s">
        <v>9</v>
      </c>
      <c r="C332" s="10" t="s">
        <v>299</v>
      </c>
      <c r="D332" s="10" t="s">
        <v>300</v>
      </c>
      <c r="E332" s="11" t="str">
        <f>+HYPERLINK("http://trademark.i-assist.jp/data/china/image_1898th/78102985.pdf", "78102985")</f>
        <v>78102985</v>
      </c>
      <c r="F332" s="10" t="s">
        <v>1525</v>
      </c>
      <c r="G332" s="10" t="s">
        <v>1526</v>
      </c>
      <c r="H332" s="10" t="s">
        <v>1527</v>
      </c>
      <c r="I332" s="10" t="s">
        <v>105</v>
      </c>
    </row>
    <row r="333" spans="1:9" x14ac:dyDescent="0.15">
      <c r="A333" s="9">
        <v>332</v>
      </c>
      <c r="B333" s="10" t="s">
        <v>9</v>
      </c>
      <c r="C333" s="10" t="s">
        <v>299</v>
      </c>
      <c r="D333" s="10" t="s">
        <v>300</v>
      </c>
      <c r="E333" s="11" t="str">
        <f>+HYPERLINK("http://trademark.i-assist.jp/data/china/image_1898th/78104690.pdf", "78104690")</f>
        <v>78104690</v>
      </c>
      <c r="F333" s="10" t="s">
        <v>1528</v>
      </c>
      <c r="G333" s="10" t="s">
        <v>1529</v>
      </c>
      <c r="H333" s="10" t="s">
        <v>1530</v>
      </c>
      <c r="I333" s="10" t="s">
        <v>105</v>
      </c>
    </row>
    <row r="334" spans="1:9" x14ac:dyDescent="0.15">
      <c r="A334" s="9">
        <v>333</v>
      </c>
      <c r="B334" s="10" t="s">
        <v>9</v>
      </c>
      <c r="C334" s="10" t="s">
        <v>299</v>
      </c>
      <c r="D334" s="10" t="s">
        <v>300</v>
      </c>
      <c r="E334" s="11" t="str">
        <f>+HYPERLINK("http://trademark.i-assist.jp/data/china/image_1898th/78106465.pdf", "78106465")</f>
        <v>78106465</v>
      </c>
      <c r="F334" s="10" t="s">
        <v>1531</v>
      </c>
      <c r="G334" s="10" t="s">
        <v>155</v>
      </c>
      <c r="H334" s="10" t="s">
        <v>1532</v>
      </c>
      <c r="I334" s="10" t="s">
        <v>105</v>
      </c>
    </row>
    <row r="335" spans="1:9" x14ac:dyDescent="0.15">
      <c r="A335" s="9">
        <v>334</v>
      </c>
      <c r="B335" s="10" t="s">
        <v>9</v>
      </c>
      <c r="C335" s="10" t="s">
        <v>299</v>
      </c>
      <c r="D335" s="10" t="s">
        <v>300</v>
      </c>
      <c r="E335" s="11" t="str">
        <f>+HYPERLINK("http://trademark.i-assist.jp/data/china/image_1898th/78106665.pdf", "78106665")</f>
        <v>78106665</v>
      </c>
      <c r="F335" s="10" t="s">
        <v>1533</v>
      </c>
      <c r="G335" s="10" t="s">
        <v>1534</v>
      </c>
      <c r="H335" s="10" t="s">
        <v>1535</v>
      </c>
      <c r="I335" s="10" t="s">
        <v>105</v>
      </c>
    </row>
    <row r="336" spans="1:9" x14ac:dyDescent="0.15">
      <c r="A336" s="9">
        <v>335</v>
      </c>
      <c r="B336" s="10" t="s">
        <v>9</v>
      </c>
      <c r="C336" s="10" t="s">
        <v>299</v>
      </c>
      <c r="D336" s="10" t="s">
        <v>300</v>
      </c>
      <c r="E336" s="11" t="str">
        <f>+HYPERLINK("http://trademark.i-assist.jp/data/china/image_1898th/78107246.pdf", "78107246")</f>
        <v>78107246</v>
      </c>
      <c r="F336" s="10" t="s">
        <v>1536</v>
      </c>
      <c r="G336" s="10" t="s">
        <v>1537</v>
      </c>
      <c r="H336" s="10" t="s">
        <v>1538</v>
      </c>
      <c r="I336" s="10" t="s">
        <v>105</v>
      </c>
    </row>
    <row r="337" spans="1:9" x14ac:dyDescent="0.15">
      <c r="A337" s="9">
        <v>336</v>
      </c>
      <c r="B337" s="10" t="s">
        <v>9</v>
      </c>
      <c r="C337" s="10" t="s">
        <v>299</v>
      </c>
      <c r="D337" s="10" t="s">
        <v>300</v>
      </c>
      <c r="E337" s="11" t="str">
        <f>+HYPERLINK("http://trademark.i-assist.jp/data/china/image_1898th/78107867.pdf", "78107867")</f>
        <v>78107867</v>
      </c>
      <c r="F337" s="10" t="s">
        <v>1539</v>
      </c>
      <c r="G337" s="10" t="s">
        <v>159</v>
      </c>
      <c r="H337" s="10" t="s">
        <v>1540</v>
      </c>
      <c r="I337" s="10" t="s">
        <v>107</v>
      </c>
    </row>
    <row r="338" spans="1:9" x14ac:dyDescent="0.15">
      <c r="A338" s="9">
        <v>337</v>
      </c>
      <c r="B338" s="10" t="s">
        <v>9</v>
      </c>
      <c r="C338" s="10" t="s">
        <v>299</v>
      </c>
      <c r="D338" s="10" t="s">
        <v>300</v>
      </c>
      <c r="E338" s="11" t="str">
        <f>+HYPERLINK("http://trademark.i-assist.jp/data/china/image_1898th/78108490.pdf", "78108490")</f>
        <v>78108490</v>
      </c>
      <c r="F338" s="10" t="s">
        <v>1541</v>
      </c>
      <c r="G338" s="10" t="s">
        <v>1542</v>
      </c>
      <c r="H338" s="10" t="s">
        <v>1543</v>
      </c>
      <c r="I338" s="10" t="s">
        <v>107</v>
      </c>
    </row>
    <row r="339" spans="1:9" x14ac:dyDescent="0.15">
      <c r="A339" s="9">
        <v>338</v>
      </c>
      <c r="B339" s="10" t="s">
        <v>9</v>
      </c>
      <c r="C339" s="10" t="s">
        <v>299</v>
      </c>
      <c r="D339" s="10" t="s">
        <v>300</v>
      </c>
      <c r="E339" s="11" t="str">
        <f>+HYPERLINK("http://trademark.i-assist.jp/data/china/image_1898th/78109675.pdf", "78109675")</f>
        <v>78109675</v>
      </c>
      <c r="F339" s="10" t="s">
        <v>1544</v>
      </c>
      <c r="G339" s="10" t="s">
        <v>1545</v>
      </c>
      <c r="H339" s="10" t="s">
        <v>1546</v>
      </c>
      <c r="I339" s="10" t="s">
        <v>107</v>
      </c>
    </row>
    <row r="340" spans="1:9" x14ac:dyDescent="0.15">
      <c r="A340" s="9">
        <v>339</v>
      </c>
      <c r="B340" s="10" t="s">
        <v>9</v>
      </c>
      <c r="C340" s="10" t="s">
        <v>299</v>
      </c>
      <c r="D340" s="10" t="s">
        <v>300</v>
      </c>
      <c r="E340" s="11" t="str">
        <f>+HYPERLINK("http://trademark.i-assist.jp/data/china/image_1898th/78109978.pdf", "78109978")</f>
        <v>78109978</v>
      </c>
      <c r="F340" s="10" t="s">
        <v>1547</v>
      </c>
      <c r="G340" s="10" t="s">
        <v>1548</v>
      </c>
      <c r="H340" s="10" t="s">
        <v>1549</v>
      </c>
      <c r="I340" s="10" t="s">
        <v>107</v>
      </c>
    </row>
    <row r="341" spans="1:9" x14ac:dyDescent="0.15">
      <c r="A341" s="9">
        <v>340</v>
      </c>
      <c r="B341" s="10" t="s">
        <v>9</v>
      </c>
      <c r="C341" s="10" t="s">
        <v>299</v>
      </c>
      <c r="D341" s="10" t="s">
        <v>300</v>
      </c>
      <c r="E341" s="11" t="str">
        <f>+HYPERLINK("http://trademark.i-assist.jp/data/china/image_1898th/78111960.pdf", "78111960")</f>
        <v>78111960</v>
      </c>
      <c r="F341" s="10" t="s">
        <v>1550</v>
      </c>
      <c r="G341" s="10" t="s">
        <v>1551</v>
      </c>
      <c r="H341" s="10" t="s">
        <v>1552</v>
      </c>
      <c r="I341" s="10" t="s">
        <v>107</v>
      </c>
    </row>
    <row r="342" spans="1:9" x14ac:dyDescent="0.15">
      <c r="A342" s="9">
        <v>341</v>
      </c>
      <c r="B342" s="10" t="s">
        <v>9</v>
      </c>
      <c r="C342" s="10" t="s">
        <v>299</v>
      </c>
      <c r="D342" s="10" t="s">
        <v>300</v>
      </c>
      <c r="E342" s="11" t="str">
        <f>+HYPERLINK("http://trademark.i-assist.jp/data/china/image_1898th/78111972.pdf", "78111972")</f>
        <v>78111972</v>
      </c>
      <c r="F342" s="10" t="s">
        <v>1553</v>
      </c>
      <c r="G342" s="10" t="s">
        <v>1554</v>
      </c>
      <c r="H342" s="10" t="s">
        <v>22</v>
      </c>
      <c r="I342" s="10" t="s">
        <v>107</v>
      </c>
    </row>
    <row r="343" spans="1:9" x14ac:dyDescent="0.15">
      <c r="A343" s="9">
        <v>342</v>
      </c>
      <c r="B343" s="10" t="s">
        <v>9</v>
      </c>
      <c r="C343" s="10" t="s">
        <v>299</v>
      </c>
      <c r="D343" s="10" t="s">
        <v>300</v>
      </c>
      <c r="E343" s="11" t="str">
        <f>+HYPERLINK("http://trademark.i-assist.jp/data/china/image_1898th/78116989.pdf", "78116989")</f>
        <v>78116989</v>
      </c>
      <c r="F343" s="10" t="s">
        <v>1555</v>
      </c>
      <c r="G343" s="10" t="s">
        <v>1556</v>
      </c>
      <c r="H343" s="10" t="s">
        <v>1557</v>
      </c>
      <c r="I343" s="10" t="s">
        <v>108</v>
      </c>
    </row>
    <row r="344" spans="1:9" x14ac:dyDescent="0.15">
      <c r="A344" s="9">
        <v>343</v>
      </c>
      <c r="B344" s="10" t="s">
        <v>9</v>
      </c>
      <c r="C344" s="10" t="s">
        <v>299</v>
      </c>
      <c r="D344" s="10" t="s">
        <v>300</v>
      </c>
      <c r="E344" s="11" t="str">
        <f>+HYPERLINK("http://trademark.i-assist.jp/data/china/image_1898th/78117238.pdf", "78117238")</f>
        <v>78117238</v>
      </c>
      <c r="F344" s="10" t="s">
        <v>19</v>
      </c>
      <c r="G344" s="10" t="s">
        <v>1558</v>
      </c>
      <c r="H344" s="10" t="s">
        <v>1559</v>
      </c>
      <c r="I344" s="10" t="s">
        <v>108</v>
      </c>
    </row>
    <row r="345" spans="1:9" x14ac:dyDescent="0.15">
      <c r="A345" s="9">
        <v>344</v>
      </c>
      <c r="B345" s="10" t="s">
        <v>9</v>
      </c>
      <c r="C345" s="10" t="s">
        <v>299</v>
      </c>
      <c r="D345" s="10" t="s">
        <v>300</v>
      </c>
      <c r="E345" s="11" t="str">
        <f>+HYPERLINK("http://trademark.i-assist.jp/data/china/image_1898th/78117262.pdf", "78117262")</f>
        <v>78117262</v>
      </c>
      <c r="F345" s="10" t="s">
        <v>1560</v>
      </c>
      <c r="G345" s="10" t="s">
        <v>1561</v>
      </c>
      <c r="H345" s="10" t="s">
        <v>1562</v>
      </c>
      <c r="I345" s="10" t="s">
        <v>108</v>
      </c>
    </row>
    <row r="346" spans="1:9" x14ac:dyDescent="0.15">
      <c r="A346" s="9">
        <v>345</v>
      </c>
      <c r="B346" s="10" t="s">
        <v>9</v>
      </c>
      <c r="C346" s="10" t="s">
        <v>299</v>
      </c>
      <c r="D346" s="10" t="s">
        <v>300</v>
      </c>
      <c r="E346" s="11" t="str">
        <f>+HYPERLINK("http://trademark.i-assist.jp/data/china/image_1898th/78118244.pdf", "78118244")</f>
        <v>78118244</v>
      </c>
      <c r="F346" s="10" t="s">
        <v>1563</v>
      </c>
      <c r="G346" s="10" t="s">
        <v>1564</v>
      </c>
      <c r="H346" s="10" t="s">
        <v>1565</v>
      </c>
      <c r="I346" s="10" t="s">
        <v>108</v>
      </c>
    </row>
    <row r="347" spans="1:9" x14ac:dyDescent="0.15">
      <c r="A347" s="9">
        <v>346</v>
      </c>
      <c r="B347" s="10" t="s">
        <v>9</v>
      </c>
      <c r="C347" s="10" t="s">
        <v>299</v>
      </c>
      <c r="D347" s="10" t="s">
        <v>300</v>
      </c>
      <c r="E347" s="11" t="str">
        <f>+HYPERLINK("http://trademark.i-assist.jp/data/china/image_1898th/78119313.pdf", "78119313")</f>
        <v>78119313</v>
      </c>
      <c r="F347" s="10" t="s">
        <v>19</v>
      </c>
      <c r="G347" s="10" t="s">
        <v>1455</v>
      </c>
      <c r="H347" s="10" t="s">
        <v>1566</v>
      </c>
      <c r="I347" s="10" t="s">
        <v>99</v>
      </c>
    </row>
    <row r="348" spans="1:9" x14ac:dyDescent="0.15">
      <c r="A348" s="9">
        <v>347</v>
      </c>
      <c r="B348" s="10" t="s">
        <v>9</v>
      </c>
      <c r="C348" s="10" t="s">
        <v>299</v>
      </c>
      <c r="D348" s="10" t="s">
        <v>300</v>
      </c>
      <c r="E348" s="11" t="str">
        <f>+HYPERLINK("http://trademark.i-assist.jp/data/china/image_1898th/78119673.pdf", "78119673")</f>
        <v>78119673</v>
      </c>
      <c r="F348" s="10" t="s">
        <v>1567</v>
      </c>
      <c r="G348" s="10" t="s">
        <v>1568</v>
      </c>
      <c r="H348" s="10" t="s">
        <v>1569</v>
      </c>
      <c r="I348" s="10" t="s">
        <v>109</v>
      </c>
    </row>
    <row r="349" spans="1:9" x14ac:dyDescent="0.15">
      <c r="A349" s="9">
        <v>348</v>
      </c>
      <c r="B349" s="10" t="s">
        <v>9</v>
      </c>
      <c r="C349" s="10" t="s">
        <v>299</v>
      </c>
      <c r="D349" s="10" t="s">
        <v>300</v>
      </c>
      <c r="E349" s="11" t="str">
        <f>+HYPERLINK("http://trademark.i-assist.jp/data/china/image_1898th/78119907.pdf", "78119907")</f>
        <v>78119907</v>
      </c>
      <c r="F349" s="10" t="s">
        <v>1570</v>
      </c>
      <c r="G349" s="10" t="s">
        <v>1571</v>
      </c>
      <c r="H349" s="10" t="s">
        <v>1572</v>
      </c>
      <c r="I349" s="10" t="s">
        <v>109</v>
      </c>
    </row>
    <row r="350" spans="1:9" x14ac:dyDescent="0.15">
      <c r="A350" s="9">
        <v>349</v>
      </c>
      <c r="B350" s="10" t="s">
        <v>9</v>
      </c>
      <c r="C350" s="10" t="s">
        <v>299</v>
      </c>
      <c r="D350" s="10" t="s">
        <v>300</v>
      </c>
      <c r="E350" s="11" t="str">
        <f>+HYPERLINK("http://trademark.i-assist.jp/data/china/image_1898th/78120314.pdf", "78120314")</f>
        <v>78120314</v>
      </c>
      <c r="F350" s="10" t="s">
        <v>1573</v>
      </c>
      <c r="G350" s="10" t="s">
        <v>1574</v>
      </c>
      <c r="H350" s="10" t="s">
        <v>1575</v>
      </c>
      <c r="I350" s="10" t="s">
        <v>109</v>
      </c>
    </row>
    <row r="351" spans="1:9" x14ac:dyDescent="0.15">
      <c r="A351" s="9">
        <v>350</v>
      </c>
      <c r="B351" s="10" t="s">
        <v>9</v>
      </c>
      <c r="C351" s="10" t="s">
        <v>299</v>
      </c>
      <c r="D351" s="10" t="s">
        <v>300</v>
      </c>
      <c r="E351" s="11" t="str">
        <f>+HYPERLINK("http://trademark.i-assist.jp/data/china/image_1898th/78120524.pdf", "78120524")</f>
        <v>78120524</v>
      </c>
      <c r="F351" s="10" t="s">
        <v>1576</v>
      </c>
      <c r="G351" s="10" t="s">
        <v>1577</v>
      </c>
      <c r="H351" s="10" t="s">
        <v>1578</v>
      </c>
      <c r="I351" s="10" t="s">
        <v>109</v>
      </c>
    </row>
    <row r="352" spans="1:9" x14ac:dyDescent="0.15">
      <c r="A352" s="9">
        <v>351</v>
      </c>
      <c r="B352" s="10" t="s">
        <v>9</v>
      </c>
      <c r="C352" s="10" t="s">
        <v>299</v>
      </c>
      <c r="D352" s="10" t="s">
        <v>300</v>
      </c>
      <c r="E352" s="11" t="str">
        <f>+HYPERLINK("http://trademark.i-assist.jp/data/china/image_1898th/78121884.pdf", "78121884")</f>
        <v>78121884</v>
      </c>
      <c r="F352" s="10" t="s">
        <v>19</v>
      </c>
      <c r="G352" s="10" t="s">
        <v>551</v>
      </c>
      <c r="H352" s="10" t="s">
        <v>552</v>
      </c>
      <c r="I352" s="10" t="s">
        <v>109</v>
      </c>
    </row>
    <row r="353" spans="1:9" x14ac:dyDescent="0.15">
      <c r="A353" s="9">
        <v>352</v>
      </c>
      <c r="B353" s="10" t="s">
        <v>9</v>
      </c>
      <c r="C353" s="10" t="s">
        <v>299</v>
      </c>
      <c r="D353" s="10" t="s">
        <v>300</v>
      </c>
      <c r="E353" s="11" t="str">
        <f>+HYPERLINK("http://trademark.i-assist.jp/data/china/image_1898th/78122168.pdf", "78122168")</f>
        <v>78122168</v>
      </c>
      <c r="F353" s="10" t="s">
        <v>553</v>
      </c>
      <c r="G353" s="10" t="s">
        <v>554</v>
      </c>
      <c r="H353" s="10" t="s">
        <v>555</v>
      </c>
      <c r="I353" s="10" t="s">
        <v>109</v>
      </c>
    </row>
    <row r="354" spans="1:9" x14ac:dyDescent="0.15">
      <c r="A354" s="9">
        <v>353</v>
      </c>
      <c r="B354" s="10" t="s">
        <v>9</v>
      </c>
      <c r="C354" s="10" t="s">
        <v>299</v>
      </c>
      <c r="D354" s="10" t="s">
        <v>300</v>
      </c>
      <c r="E354" s="11" t="str">
        <f>+HYPERLINK("http://trademark.i-assist.jp/data/china/image_1898th/78123656.pdf", "78123656")</f>
        <v>78123656</v>
      </c>
      <c r="F354" s="10" t="s">
        <v>556</v>
      </c>
      <c r="G354" s="10" t="s">
        <v>557</v>
      </c>
      <c r="H354" s="10" t="s">
        <v>558</v>
      </c>
      <c r="I354" s="10" t="s">
        <v>109</v>
      </c>
    </row>
    <row r="355" spans="1:9" x14ac:dyDescent="0.15">
      <c r="A355" s="9">
        <v>354</v>
      </c>
      <c r="B355" s="10" t="s">
        <v>9</v>
      </c>
      <c r="C355" s="10" t="s">
        <v>299</v>
      </c>
      <c r="D355" s="10" t="s">
        <v>300</v>
      </c>
      <c r="E355" s="11" t="str">
        <f>+HYPERLINK("http://trademark.i-assist.jp/data/china/image_1898th/78123956.pdf", "78123956")</f>
        <v>78123956</v>
      </c>
      <c r="F355" s="10" t="s">
        <v>19</v>
      </c>
      <c r="G355" s="10" t="s">
        <v>551</v>
      </c>
      <c r="H355" s="10" t="s">
        <v>559</v>
      </c>
      <c r="I355" s="10" t="s">
        <v>109</v>
      </c>
    </row>
    <row r="356" spans="1:9" x14ac:dyDescent="0.15">
      <c r="A356" s="9">
        <v>355</v>
      </c>
      <c r="B356" s="10" t="s">
        <v>9</v>
      </c>
      <c r="C356" s="10" t="s">
        <v>299</v>
      </c>
      <c r="D356" s="10" t="s">
        <v>300</v>
      </c>
      <c r="E356" s="11" t="str">
        <f>+HYPERLINK("http://trademark.i-assist.jp/data/china/image_1898th/78124003.pdf", "78124003")</f>
        <v>78124003</v>
      </c>
      <c r="F356" s="10" t="s">
        <v>560</v>
      </c>
      <c r="G356" s="10" t="s">
        <v>561</v>
      </c>
      <c r="H356" s="10" t="s">
        <v>562</v>
      </c>
      <c r="I356" s="10" t="s">
        <v>109</v>
      </c>
    </row>
    <row r="357" spans="1:9" x14ac:dyDescent="0.15">
      <c r="A357" s="9">
        <v>356</v>
      </c>
      <c r="B357" s="10" t="s">
        <v>9</v>
      </c>
      <c r="C357" s="10" t="s">
        <v>299</v>
      </c>
      <c r="D357" s="10" t="s">
        <v>300</v>
      </c>
      <c r="E357" s="11" t="str">
        <f>+HYPERLINK("http://trademark.i-assist.jp/data/china/image_1898th/78124102.pdf", "78124102")</f>
        <v>78124102</v>
      </c>
      <c r="F357" s="10" t="s">
        <v>563</v>
      </c>
      <c r="G357" s="10" t="s">
        <v>564</v>
      </c>
      <c r="H357" s="10" t="s">
        <v>565</v>
      </c>
      <c r="I357" s="10" t="s">
        <v>109</v>
      </c>
    </row>
    <row r="358" spans="1:9" x14ac:dyDescent="0.15">
      <c r="A358" s="9">
        <v>357</v>
      </c>
      <c r="B358" s="10" t="s">
        <v>9</v>
      </c>
      <c r="C358" s="10" t="s">
        <v>299</v>
      </c>
      <c r="D358" s="10" t="s">
        <v>300</v>
      </c>
      <c r="E358" s="11" t="str">
        <f>+HYPERLINK("http://trademark.i-assist.jp/data/china/image_1898th/78124119.pdf", "78124119")</f>
        <v>78124119</v>
      </c>
      <c r="F358" s="10" t="s">
        <v>566</v>
      </c>
      <c r="G358" s="10" t="s">
        <v>567</v>
      </c>
      <c r="H358" s="10" t="s">
        <v>568</v>
      </c>
      <c r="I358" s="10" t="s">
        <v>109</v>
      </c>
    </row>
    <row r="359" spans="1:9" x14ac:dyDescent="0.15">
      <c r="A359" s="9">
        <v>358</v>
      </c>
      <c r="B359" s="10" t="s">
        <v>9</v>
      </c>
      <c r="C359" s="10" t="s">
        <v>299</v>
      </c>
      <c r="D359" s="10" t="s">
        <v>300</v>
      </c>
      <c r="E359" s="11" t="str">
        <f>+HYPERLINK("http://trademark.i-assist.jp/data/china/image_1898th/78124918.pdf", "78124918")</f>
        <v>78124918</v>
      </c>
      <c r="F359" s="10" t="s">
        <v>19</v>
      </c>
      <c r="G359" s="10" t="s">
        <v>569</v>
      </c>
      <c r="H359" s="10" t="s">
        <v>570</v>
      </c>
      <c r="I359" s="10" t="s">
        <v>109</v>
      </c>
    </row>
    <row r="360" spans="1:9" x14ac:dyDescent="0.15">
      <c r="A360" s="9">
        <v>359</v>
      </c>
      <c r="B360" s="10" t="s">
        <v>9</v>
      </c>
      <c r="C360" s="10" t="s">
        <v>299</v>
      </c>
      <c r="D360" s="10" t="s">
        <v>300</v>
      </c>
      <c r="E360" s="11" t="str">
        <f>+HYPERLINK("http://trademark.i-assist.jp/data/china/image_1898th/78125203.pdf", "78125203")</f>
        <v>78125203</v>
      </c>
      <c r="F360" s="10" t="s">
        <v>571</v>
      </c>
      <c r="G360" s="10" t="s">
        <v>572</v>
      </c>
      <c r="H360" s="10" t="s">
        <v>573</v>
      </c>
      <c r="I360" s="10" t="s">
        <v>109</v>
      </c>
    </row>
    <row r="361" spans="1:9" x14ac:dyDescent="0.15">
      <c r="A361" s="9">
        <v>360</v>
      </c>
      <c r="B361" s="10" t="s">
        <v>9</v>
      </c>
      <c r="C361" s="10" t="s">
        <v>299</v>
      </c>
      <c r="D361" s="10" t="s">
        <v>300</v>
      </c>
      <c r="E361" s="11" t="str">
        <f>+HYPERLINK("http://trademark.i-assist.jp/data/china/image_1898th/78125320.pdf", "78125320")</f>
        <v>78125320</v>
      </c>
      <c r="F361" s="10" t="s">
        <v>574</v>
      </c>
      <c r="G361" s="10" t="s">
        <v>575</v>
      </c>
      <c r="H361" s="10" t="s">
        <v>576</v>
      </c>
      <c r="I361" s="10" t="s">
        <v>109</v>
      </c>
    </row>
    <row r="362" spans="1:9" x14ac:dyDescent="0.15">
      <c r="A362" s="9">
        <v>361</v>
      </c>
      <c r="B362" s="10" t="s">
        <v>9</v>
      </c>
      <c r="C362" s="10" t="s">
        <v>299</v>
      </c>
      <c r="D362" s="10" t="s">
        <v>300</v>
      </c>
      <c r="E362" s="11" t="str">
        <f>+HYPERLINK("http://trademark.i-assist.jp/data/china/image_1898th/78125818.pdf", "78125818")</f>
        <v>78125818</v>
      </c>
      <c r="F362" s="10" t="s">
        <v>577</v>
      </c>
      <c r="G362" s="10" t="s">
        <v>578</v>
      </c>
      <c r="H362" s="10" t="s">
        <v>579</v>
      </c>
      <c r="I362" s="10" t="s">
        <v>109</v>
      </c>
    </row>
    <row r="363" spans="1:9" x14ac:dyDescent="0.15">
      <c r="A363" s="9">
        <v>362</v>
      </c>
      <c r="B363" s="10" t="s">
        <v>9</v>
      </c>
      <c r="C363" s="10" t="s">
        <v>299</v>
      </c>
      <c r="D363" s="10" t="s">
        <v>300</v>
      </c>
      <c r="E363" s="11" t="str">
        <f>+HYPERLINK("http://trademark.i-assist.jp/data/china/image_1898th/78128465.pdf", "78128465")</f>
        <v>78128465</v>
      </c>
      <c r="F363" s="10" t="s">
        <v>580</v>
      </c>
      <c r="G363" s="10" t="s">
        <v>114</v>
      </c>
      <c r="H363" s="10" t="s">
        <v>581</v>
      </c>
      <c r="I363" s="10" t="s">
        <v>109</v>
      </c>
    </row>
    <row r="364" spans="1:9" x14ac:dyDescent="0.15">
      <c r="A364" s="9">
        <v>363</v>
      </c>
      <c r="B364" s="10" t="s">
        <v>9</v>
      </c>
      <c r="C364" s="10" t="s">
        <v>299</v>
      </c>
      <c r="D364" s="10" t="s">
        <v>300</v>
      </c>
      <c r="E364" s="11" t="str">
        <f>+HYPERLINK("http://trademark.i-assist.jp/data/china/image_1898th/78129082.pdf", "78129082")</f>
        <v>78129082</v>
      </c>
      <c r="F364" s="10" t="s">
        <v>582</v>
      </c>
      <c r="G364" s="10" t="s">
        <v>554</v>
      </c>
      <c r="H364" s="10" t="s">
        <v>583</v>
      </c>
      <c r="I364" s="10" t="s">
        <v>109</v>
      </c>
    </row>
    <row r="365" spans="1:9" x14ac:dyDescent="0.15">
      <c r="A365" s="9">
        <v>364</v>
      </c>
      <c r="B365" s="10" t="s">
        <v>9</v>
      </c>
      <c r="C365" s="10" t="s">
        <v>299</v>
      </c>
      <c r="D365" s="10" t="s">
        <v>300</v>
      </c>
      <c r="E365" s="11" t="str">
        <f>+HYPERLINK("http://trademark.i-assist.jp/data/china/image_1898th/78131671.pdf", "78131671")</f>
        <v>78131671</v>
      </c>
      <c r="F365" s="10" t="s">
        <v>584</v>
      </c>
      <c r="G365" s="10" t="s">
        <v>585</v>
      </c>
      <c r="H365" s="10" t="s">
        <v>586</v>
      </c>
      <c r="I365" s="10" t="s">
        <v>109</v>
      </c>
    </row>
    <row r="366" spans="1:9" x14ac:dyDescent="0.15">
      <c r="A366" s="9">
        <v>365</v>
      </c>
      <c r="B366" s="10" t="s">
        <v>9</v>
      </c>
      <c r="C366" s="10" t="s">
        <v>299</v>
      </c>
      <c r="D366" s="10" t="s">
        <v>300</v>
      </c>
      <c r="E366" s="11" t="str">
        <f>+HYPERLINK("http://trademark.i-assist.jp/data/china/image_1898th/78131832.pdf", "78131832")</f>
        <v>78131832</v>
      </c>
      <c r="F366" s="10" t="s">
        <v>587</v>
      </c>
      <c r="G366" s="10" t="s">
        <v>557</v>
      </c>
      <c r="H366" s="10" t="s">
        <v>588</v>
      </c>
      <c r="I366" s="10" t="s">
        <v>109</v>
      </c>
    </row>
    <row r="367" spans="1:9" x14ac:dyDescent="0.15">
      <c r="A367" s="9">
        <v>366</v>
      </c>
      <c r="B367" s="10" t="s">
        <v>9</v>
      </c>
      <c r="C367" s="10" t="s">
        <v>299</v>
      </c>
      <c r="D367" s="10" t="s">
        <v>300</v>
      </c>
      <c r="E367" s="11" t="str">
        <f>+HYPERLINK("http://trademark.i-assist.jp/data/china/image_1898th/78133757.pdf", "78133757")</f>
        <v>78133757</v>
      </c>
      <c r="F367" s="10" t="s">
        <v>589</v>
      </c>
      <c r="G367" s="10" t="s">
        <v>590</v>
      </c>
      <c r="H367" s="10" t="s">
        <v>591</v>
      </c>
      <c r="I367" s="10" t="s">
        <v>109</v>
      </c>
    </row>
    <row r="368" spans="1:9" x14ac:dyDescent="0.15">
      <c r="A368" s="9">
        <v>367</v>
      </c>
      <c r="B368" s="10" t="s">
        <v>9</v>
      </c>
      <c r="C368" s="10" t="s">
        <v>299</v>
      </c>
      <c r="D368" s="10" t="s">
        <v>300</v>
      </c>
      <c r="E368" s="11" t="str">
        <f>+HYPERLINK("http://trademark.i-assist.jp/data/china/image_1898th/78134263.pdf", "78134263")</f>
        <v>78134263</v>
      </c>
      <c r="F368" s="10" t="s">
        <v>592</v>
      </c>
      <c r="G368" s="10" t="s">
        <v>593</v>
      </c>
      <c r="H368" s="10" t="s">
        <v>594</v>
      </c>
      <c r="I368" s="10" t="s">
        <v>109</v>
      </c>
    </row>
    <row r="369" spans="1:9" x14ac:dyDescent="0.15">
      <c r="A369" s="9">
        <v>368</v>
      </c>
      <c r="B369" s="10" t="s">
        <v>9</v>
      </c>
      <c r="C369" s="10" t="s">
        <v>299</v>
      </c>
      <c r="D369" s="10" t="s">
        <v>300</v>
      </c>
      <c r="E369" s="11" t="str">
        <f>+HYPERLINK("http://trademark.i-assist.jp/data/china/image_1898th/78138198.pdf", "78138198")</f>
        <v>78138198</v>
      </c>
      <c r="F369" s="10" t="s">
        <v>595</v>
      </c>
      <c r="G369" s="10" t="s">
        <v>71</v>
      </c>
      <c r="H369" s="10" t="s">
        <v>596</v>
      </c>
      <c r="I369" s="10" t="s">
        <v>109</v>
      </c>
    </row>
    <row r="370" spans="1:9" x14ac:dyDescent="0.15">
      <c r="A370" s="9">
        <v>369</v>
      </c>
      <c r="B370" s="10" t="s">
        <v>9</v>
      </c>
      <c r="C370" s="10" t="s">
        <v>299</v>
      </c>
      <c r="D370" s="10" t="s">
        <v>300</v>
      </c>
      <c r="E370" s="11" t="str">
        <f>+HYPERLINK("http://trademark.i-assist.jp/data/china/image_1898th/78139177.pdf", "78139177")</f>
        <v>78139177</v>
      </c>
      <c r="F370" s="10" t="s">
        <v>571</v>
      </c>
      <c r="G370" s="10" t="s">
        <v>572</v>
      </c>
      <c r="H370" s="10" t="s">
        <v>1579</v>
      </c>
      <c r="I370" s="10" t="s">
        <v>109</v>
      </c>
    </row>
    <row r="371" spans="1:9" x14ac:dyDescent="0.15">
      <c r="A371" s="9">
        <v>370</v>
      </c>
      <c r="B371" s="10" t="s">
        <v>9</v>
      </c>
      <c r="C371" s="10" t="s">
        <v>299</v>
      </c>
      <c r="D371" s="10" t="s">
        <v>300</v>
      </c>
      <c r="E371" s="11" t="str">
        <f>+HYPERLINK("http://trademark.i-assist.jp/data/china/image_1898th/78139630.pdf", "78139630")</f>
        <v>78139630</v>
      </c>
      <c r="F371" s="10" t="s">
        <v>1580</v>
      </c>
      <c r="G371" s="10" t="s">
        <v>557</v>
      </c>
      <c r="H371" s="10" t="s">
        <v>1581</v>
      </c>
      <c r="I371" s="10" t="s">
        <v>109</v>
      </c>
    </row>
    <row r="372" spans="1:9" x14ac:dyDescent="0.15">
      <c r="A372" s="9">
        <v>371</v>
      </c>
      <c r="B372" s="10" t="s">
        <v>9</v>
      </c>
      <c r="C372" s="10" t="s">
        <v>299</v>
      </c>
      <c r="D372" s="10" t="s">
        <v>300</v>
      </c>
      <c r="E372" s="11" t="str">
        <f>+HYPERLINK("http://trademark.i-assist.jp/data/china/image_1898th/78140025.pdf", "78140025")</f>
        <v>78140025</v>
      </c>
      <c r="F372" s="10" t="s">
        <v>1582</v>
      </c>
      <c r="G372" s="10" t="s">
        <v>1583</v>
      </c>
      <c r="H372" s="10" t="s">
        <v>1584</v>
      </c>
      <c r="I372" s="10" t="s">
        <v>109</v>
      </c>
    </row>
    <row r="373" spans="1:9" x14ac:dyDescent="0.15">
      <c r="A373" s="9">
        <v>372</v>
      </c>
      <c r="B373" s="10" t="s">
        <v>9</v>
      </c>
      <c r="C373" s="10" t="s">
        <v>299</v>
      </c>
      <c r="D373" s="10" t="s">
        <v>300</v>
      </c>
      <c r="E373" s="11" t="str">
        <f>+HYPERLINK("http://trademark.i-assist.jp/data/china/image_1898th/78142849.pdf", "78142849")</f>
        <v>78142849</v>
      </c>
      <c r="F373" s="10" t="s">
        <v>1585</v>
      </c>
      <c r="G373" s="10" t="s">
        <v>590</v>
      </c>
      <c r="H373" s="10" t="s">
        <v>1586</v>
      </c>
      <c r="I373" s="10" t="s">
        <v>109</v>
      </c>
    </row>
    <row r="374" spans="1:9" x14ac:dyDescent="0.15">
      <c r="A374" s="9">
        <v>373</v>
      </c>
      <c r="B374" s="10" t="s">
        <v>9</v>
      </c>
      <c r="C374" s="10" t="s">
        <v>299</v>
      </c>
      <c r="D374" s="10" t="s">
        <v>300</v>
      </c>
      <c r="E374" s="11" t="str">
        <f>+HYPERLINK("http://trademark.i-assist.jp/data/china/image_1898th/78143329.pdf", "78143329")</f>
        <v>78143329</v>
      </c>
      <c r="F374" s="10" t="s">
        <v>1587</v>
      </c>
      <c r="G374" s="10" t="s">
        <v>1588</v>
      </c>
      <c r="H374" s="10" t="s">
        <v>1589</v>
      </c>
      <c r="I374" s="10" t="s">
        <v>109</v>
      </c>
    </row>
    <row r="375" spans="1:9" x14ac:dyDescent="0.15">
      <c r="A375" s="9">
        <v>374</v>
      </c>
      <c r="B375" s="10" t="s">
        <v>9</v>
      </c>
      <c r="C375" s="10" t="s">
        <v>299</v>
      </c>
      <c r="D375" s="10" t="s">
        <v>300</v>
      </c>
      <c r="E375" s="11" t="str">
        <f>+HYPERLINK("http://trademark.i-assist.jp/data/china/image_1898th/78143464.pdf", "78143464")</f>
        <v>78143464</v>
      </c>
      <c r="F375" s="10" t="s">
        <v>1590</v>
      </c>
      <c r="G375" s="10" t="s">
        <v>1591</v>
      </c>
      <c r="H375" s="10" t="s">
        <v>1592</v>
      </c>
      <c r="I375" s="10" t="s">
        <v>109</v>
      </c>
    </row>
    <row r="376" spans="1:9" x14ac:dyDescent="0.15">
      <c r="A376" s="9">
        <v>375</v>
      </c>
      <c r="B376" s="10" t="s">
        <v>9</v>
      </c>
      <c r="C376" s="10" t="s">
        <v>299</v>
      </c>
      <c r="D376" s="10" t="s">
        <v>300</v>
      </c>
      <c r="E376" s="11" t="str">
        <f>+HYPERLINK("http://trademark.i-assist.jp/data/china/image_1898th/78144618.pdf", "78144618")</f>
        <v>78144618</v>
      </c>
      <c r="F376" s="10" t="s">
        <v>1593</v>
      </c>
      <c r="G376" s="10" t="s">
        <v>585</v>
      </c>
      <c r="H376" s="10" t="s">
        <v>1594</v>
      </c>
      <c r="I376" s="10" t="s">
        <v>109</v>
      </c>
    </row>
    <row r="377" spans="1:9" x14ac:dyDescent="0.15">
      <c r="A377" s="9">
        <v>376</v>
      </c>
      <c r="B377" s="10" t="s">
        <v>9</v>
      </c>
      <c r="C377" s="10" t="s">
        <v>299</v>
      </c>
      <c r="D377" s="10" t="s">
        <v>300</v>
      </c>
      <c r="E377" s="11" t="str">
        <f>+HYPERLINK("http://trademark.i-assist.jp/data/china/image_1898th/78146028.pdf", "78146028")</f>
        <v>78146028</v>
      </c>
      <c r="F377" s="10" t="s">
        <v>1595</v>
      </c>
      <c r="G377" s="10" t="s">
        <v>1577</v>
      </c>
      <c r="H377" s="10" t="s">
        <v>1596</v>
      </c>
      <c r="I377" s="10" t="s">
        <v>109</v>
      </c>
    </row>
    <row r="378" spans="1:9" x14ac:dyDescent="0.15">
      <c r="A378" s="9">
        <v>377</v>
      </c>
      <c r="B378" s="10" t="s">
        <v>9</v>
      </c>
      <c r="C378" s="10" t="s">
        <v>299</v>
      </c>
      <c r="D378" s="10" t="s">
        <v>300</v>
      </c>
      <c r="E378" s="11" t="str">
        <f>+HYPERLINK("http://trademark.i-assist.jp/data/china/image_1898th/78146512.pdf", "78146512")</f>
        <v>78146512</v>
      </c>
      <c r="F378" s="10" t="s">
        <v>1597</v>
      </c>
      <c r="G378" s="10" t="s">
        <v>110</v>
      </c>
      <c r="H378" s="10" t="s">
        <v>1598</v>
      </c>
      <c r="I378" s="10" t="s">
        <v>109</v>
      </c>
    </row>
    <row r="379" spans="1:9" x14ac:dyDescent="0.15">
      <c r="A379" s="9">
        <v>378</v>
      </c>
      <c r="B379" s="10" t="s">
        <v>9</v>
      </c>
      <c r="C379" s="10" t="s">
        <v>299</v>
      </c>
      <c r="D379" s="10" t="s">
        <v>300</v>
      </c>
      <c r="E379" s="11" t="str">
        <f>+HYPERLINK("http://trademark.i-assist.jp/data/china/image_1898th/78146572.pdf", "78146572")</f>
        <v>78146572</v>
      </c>
      <c r="F379" s="10" t="s">
        <v>1599</v>
      </c>
      <c r="G379" s="10" t="s">
        <v>1600</v>
      </c>
      <c r="H379" s="10" t="s">
        <v>1601</v>
      </c>
      <c r="I379" s="10" t="s">
        <v>109</v>
      </c>
    </row>
    <row r="380" spans="1:9" x14ac:dyDescent="0.15">
      <c r="A380" s="9">
        <v>379</v>
      </c>
      <c r="B380" s="10" t="s">
        <v>9</v>
      </c>
      <c r="C380" s="10" t="s">
        <v>299</v>
      </c>
      <c r="D380" s="10" t="s">
        <v>300</v>
      </c>
      <c r="E380" s="11" t="str">
        <f>+HYPERLINK("http://trademark.i-assist.jp/data/china/image_1898th/78147358.pdf", "78147358")</f>
        <v>78147358</v>
      </c>
      <c r="F380" s="10" t="s">
        <v>1602</v>
      </c>
      <c r="G380" s="10" t="s">
        <v>557</v>
      </c>
      <c r="H380" s="10" t="s">
        <v>1603</v>
      </c>
      <c r="I380" s="10" t="s">
        <v>109</v>
      </c>
    </row>
    <row r="381" spans="1:9" x14ac:dyDescent="0.15">
      <c r="A381" s="9">
        <v>380</v>
      </c>
      <c r="B381" s="10" t="s">
        <v>9</v>
      </c>
      <c r="C381" s="10" t="s">
        <v>299</v>
      </c>
      <c r="D381" s="10" t="s">
        <v>300</v>
      </c>
      <c r="E381" s="11" t="str">
        <f>+HYPERLINK("http://trademark.i-assist.jp/data/china/image_1898th/78149374.pdf", "78149374")</f>
        <v>78149374</v>
      </c>
      <c r="F381" s="10" t="s">
        <v>1604</v>
      </c>
      <c r="G381" s="10" t="s">
        <v>1605</v>
      </c>
      <c r="H381" s="10" t="s">
        <v>1606</v>
      </c>
      <c r="I381" s="10" t="s">
        <v>109</v>
      </c>
    </row>
    <row r="382" spans="1:9" x14ac:dyDescent="0.15">
      <c r="A382" s="9">
        <v>381</v>
      </c>
      <c r="B382" s="10" t="s">
        <v>9</v>
      </c>
      <c r="C382" s="10" t="s">
        <v>299</v>
      </c>
      <c r="D382" s="10" t="s">
        <v>300</v>
      </c>
      <c r="E382" s="11" t="str">
        <f>+HYPERLINK("http://trademark.i-assist.jp/data/china/image_1898th/78149458.pdf", "78149458")</f>
        <v>78149458</v>
      </c>
      <c r="F382" s="10" t="s">
        <v>1607</v>
      </c>
      <c r="G382" s="10" t="s">
        <v>585</v>
      </c>
      <c r="H382" s="10" t="s">
        <v>1608</v>
      </c>
      <c r="I382" s="10" t="s">
        <v>109</v>
      </c>
    </row>
    <row r="383" spans="1:9" x14ac:dyDescent="0.15">
      <c r="A383" s="9">
        <v>382</v>
      </c>
      <c r="B383" s="10" t="s">
        <v>9</v>
      </c>
      <c r="C383" s="10" t="s">
        <v>299</v>
      </c>
      <c r="D383" s="10" t="s">
        <v>300</v>
      </c>
      <c r="E383" s="11" t="str">
        <f>+HYPERLINK("http://trademark.i-assist.jp/data/china/image_1898th/78149492.pdf", "78149492")</f>
        <v>78149492</v>
      </c>
      <c r="F383" s="10" t="s">
        <v>1609</v>
      </c>
      <c r="G383" s="10" t="s">
        <v>585</v>
      </c>
      <c r="H383" s="10" t="s">
        <v>1610</v>
      </c>
      <c r="I383" s="10" t="s">
        <v>109</v>
      </c>
    </row>
    <row r="384" spans="1:9" x14ac:dyDescent="0.15">
      <c r="A384" s="9">
        <v>383</v>
      </c>
      <c r="B384" s="10" t="s">
        <v>9</v>
      </c>
      <c r="C384" s="10" t="s">
        <v>299</v>
      </c>
      <c r="D384" s="10" t="s">
        <v>300</v>
      </c>
      <c r="E384" s="11" t="str">
        <f>+HYPERLINK("http://trademark.i-assist.jp/data/china/image_1898th/78151472.pdf", "78151472")</f>
        <v>78151472</v>
      </c>
      <c r="F384" s="10" t="s">
        <v>1611</v>
      </c>
      <c r="G384" s="10" t="s">
        <v>89</v>
      </c>
      <c r="H384" s="10" t="s">
        <v>1612</v>
      </c>
      <c r="I384" s="10" t="s">
        <v>109</v>
      </c>
    </row>
    <row r="385" spans="1:9" x14ac:dyDescent="0.15">
      <c r="A385" s="9">
        <v>384</v>
      </c>
      <c r="B385" s="10" t="s">
        <v>9</v>
      </c>
      <c r="C385" s="10" t="s">
        <v>299</v>
      </c>
      <c r="D385" s="10" t="s">
        <v>300</v>
      </c>
      <c r="E385" s="11" t="str">
        <f>+HYPERLINK("http://trademark.i-assist.jp/data/china/image_1898th/78152264.pdf", "78152264")</f>
        <v>78152264</v>
      </c>
      <c r="F385" s="10" t="s">
        <v>1613</v>
      </c>
      <c r="G385" s="10" t="s">
        <v>1614</v>
      </c>
      <c r="H385" s="10" t="s">
        <v>1615</v>
      </c>
      <c r="I385" s="10" t="s">
        <v>109</v>
      </c>
    </row>
    <row r="386" spans="1:9" x14ac:dyDescent="0.15">
      <c r="A386" s="9">
        <v>385</v>
      </c>
      <c r="B386" s="10" t="s">
        <v>9</v>
      </c>
      <c r="C386" s="10" t="s">
        <v>299</v>
      </c>
      <c r="D386" s="10" t="s">
        <v>300</v>
      </c>
      <c r="E386" s="11" t="str">
        <f>+HYPERLINK("http://trademark.i-assist.jp/data/china/image_1898th/78154078.pdf", "78154078")</f>
        <v>78154078</v>
      </c>
      <c r="F386" s="10" t="s">
        <v>1616</v>
      </c>
      <c r="G386" s="10" t="s">
        <v>1617</v>
      </c>
      <c r="H386" s="10" t="s">
        <v>1618</v>
      </c>
      <c r="I386" s="10" t="s">
        <v>113</v>
      </c>
    </row>
    <row r="387" spans="1:9" x14ac:dyDescent="0.15">
      <c r="A387" s="9">
        <v>386</v>
      </c>
      <c r="B387" s="10" t="s">
        <v>9</v>
      </c>
      <c r="C387" s="10" t="s">
        <v>299</v>
      </c>
      <c r="D387" s="10" t="s">
        <v>300</v>
      </c>
      <c r="E387" s="11" t="str">
        <f>+HYPERLINK("http://trademark.i-assist.jp/data/china/image_1898th/78154130.pdf", "78154130")</f>
        <v>78154130</v>
      </c>
      <c r="F387" s="10" t="s">
        <v>1619</v>
      </c>
      <c r="G387" s="10" t="s">
        <v>1620</v>
      </c>
      <c r="H387" s="10" t="s">
        <v>1621</v>
      </c>
      <c r="I387" s="10" t="s">
        <v>113</v>
      </c>
    </row>
    <row r="388" spans="1:9" x14ac:dyDescent="0.15">
      <c r="A388" s="9">
        <v>387</v>
      </c>
      <c r="B388" s="10" t="s">
        <v>9</v>
      </c>
      <c r="C388" s="10" t="s">
        <v>299</v>
      </c>
      <c r="D388" s="10" t="s">
        <v>300</v>
      </c>
      <c r="E388" s="11" t="str">
        <f>+HYPERLINK("http://trademark.i-assist.jp/data/china/image_1898th/78154472.pdf", "78154472")</f>
        <v>78154472</v>
      </c>
      <c r="F388" s="10" t="s">
        <v>1622</v>
      </c>
      <c r="G388" s="10" t="s">
        <v>1623</v>
      </c>
      <c r="H388" s="10" t="s">
        <v>1624</v>
      </c>
      <c r="I388" s="10" t="s">
        <v>113</v>
      </c>
    </row>
    <row r="389" spans="1:9" x14ac:dyDescent="0.15">
      <c r="A389" s="9">
        <v>388</v>
      </c>
      <c r="B389" s="10" t="s">
        <v>9</v>
      </c>
      <c r="C389" s="10" t="s">
        <v>299</v>
      </c>
      <c r="D389" s="10" t="s">
        <v>300</v>
      </c>
      <c r="E389" s="11" t="str">
        <f>+HYPERLINK("http://trademark.i-assist.jp/data/china/image_1898th/78154542.pdf", "78154542")</f>
        <v>78154542</v>
      </c>
      <c r="F389" s="10" t="s">
        <v>1625</v>
      </c>
      <c r="G389" s="10" t="s">
        <v>68</v>
      </c>
      <c r="H389" s="10" t="s">
        <v>1626</v>
      </c>
      <c r="I389" s="10" t="s">
        <v>113</v>
      </c>
    </row>
    <row r="390" spans="1:9" x14ac:dyDescent="0.15">
      <c r="A390" s="9">
        <v>389</v>
      </c>
      <c r="B390" s="10" t="s">
        <v>9</v>
      </c>
      <c r="C390" s="10" t="s">
        <v>299</v>
      </c>
      <c r="D390" s="10" t="s">
        <v>300</v>
      </c>
      <c r="E390" s="11" t="str">
        <f>+HYPERLINK("http://trademark.i-assist.jp/data/china/image_1898th/78154587.pdf", "78154587")</f>
        <v>78154587</v>
      </c>
      <c r="F390" s="10" t="s">
        <v>1627</v>
      </c>
      <c r="G390" s="10" t="s">
        <v>557</v>
      </c>
      <c r="H390" s="10" t="s">
        <v>1628</v>
      </c>
      <c r="I390" s="10" t="s">
        <v>113</v>
      </c>
    </row>
    <row r="391" spans="1:9" x14ac:dyDescent="0.15">
      <c r="A391" s="9">
        <v>390</v>
      </c>
      <c r="B391" s="10" t="s">
        <v>9</v>
      </c>
      <c r="C391" s="10" t="s">
        <v>299</v>
      </c>
      <c r="D391" s="10" t="s">
        <v>300</v>
      </c>
      <c r="E391" s="11" t="str">
        <f>+HYPERLINK("http://trademark.i-assist.jp/data/china/image_1898th/78156049.pdf", "78156049")</f>
        <v>78156049</v>
      </c>
      <c r="F391" s="10" t="s">
        <v>1629</v>
      </c>
      <c r="G391" s="10" t="s">
        <v>208</v>
      </c>
      <c r="H391" s="10" t="s">
        <v>1630</v>
      </c>
      <c r="I391" s="10" t="s">
        <v>113</v>
      </c>
    </row>
    <row r="392" spans="1:9" x14ac:dyDescent="0.15">
      <c r="A392" s="9">
        <v>391</v>
      </c>
      <c r="B392" s="10" t="s">
        <v>9</v>
      </c>
      <c r="C392" s="10" t="s">
        <v>299</v>
      </c>
      <c r="D392" s="10" t="s">
        <v>300</v>
      </c>
      <c r="E392" s="11" t="str">
        <f>+HYPERLINK("http://trademark.i-assist.jp/data/china/image_1898th/78156848.pdf", "78156848")</f>
        <v>78156848</v>
      </c>
      <c r="F392" s="10" t="s">
        <v>1631</v>
      </c>
      <c r="G392" s="10" t="s">
        <v>1632</v>
      </c>
      <c r="H392" s="10" t="s">
        <v>1633</v>
      </c>
      <c r="I392" s="10" t="s">
        <v>113</v>
      </c>
    </row>
    <row r="393" spans="1:9" x14ac:dyDescent="0.15">
      <c r="A393" s="9">
        <v>392</v>
      </c>
      <c r="B393" s="10" t="s">
        <v>9</v>
      </c>
      <c r="C393" s="10" t="s">
        <v>299</v>
      </c>
      <c r="D393" s="10" t="s">
        <v>300</v>
      </c>
      <c r="E393" s="11" t="str">
        <f>+HYPERLINK("http://trademark.i-assist.jp/data/china/image_1898th/78157257.pdf", "78157257")</f>
        <v>78157257</v>
      </c>
      <c r="F393" s="10" t="s">
        <v>19</v>
      </c>
      <c r="G393" s="10" t="s">
        <v>1634</v>
      </c>
      <c r="H393" s="10" t="s">
        <v>1635</v>
      </c>
      <c r="I393" s="10" t="s">
        <v>113</v>
      </c>
    </row>
    <row r="394" spans="1:9" x14ac:dyDescent="0.15">
      <c r="A394" s="9">
        <v>393</v>
      </c>
      <c r="B394" s="10" t="s">
        <v>9</v>
      </c>
      <c r="C394" s="10" t="s">
        <v>299</v>
      </c>
      <c r="D394" s="10" t="s">
        <v>300</v>
      </c>
      <c r="E394" s="11" t="str">
        <f>+HYPERLINK("http://trademark.i-assist.jp/data/china/image_1898th/78157905.pdf", "78157905")</f>
        <v>78157905</v>
      </c>
      <c r="F394" s="10" t="s">
        <v>1636</v>
      </c>
      <c r="G394" s="10" t="s">
        <v>557</v>
      </c>
      <c r="H394" s="10" t="s">
        <v>1637</v>
      </c>
      <c r="I394" s="10" t="s">
        <v>113</v>
      </c>
    </row>
    <row r="395" spans="1:9" x14ac:dyDescent="0.15">
      <c r="A395" s="9">
        <v>394</v>
      </c>
      <c r="B395" s="10" t="s">
        <v>9</v>
      </c>
      <c r="C395" s="10" t="s">
        <v>299</v>
      </c>
      <c r="D395" s="10" t="s">
        <v>300</v>
      </c>
      <c r="E395" s="11" t="str">
        <f>+HYPERLINK("http://trademark.i-assist.jp/data/china/image_1898th/78159917.pdf", "78159917")</f>
        <v>78159917</v>
      </c>
      <c r="F395" s="10" t="s">
        <v>1638</v>
      </c>
      <c r="G395" s="10" t="s">
        <v>1639</v>
      </c>
      <c r="H395" s="10" t="s">
        <v>1640</v>
      </c>
      <c r="I395" s="10" t="s">
        <v>113</v>
      </c>
    </row>
    <row r="396" spans="1:9" x14ac:dyDescent="0.15">
      <c r="A396" s="9">
        <v>395</v>
      </c>
      <c r="B396" s="10" t="s">
        <v>9</v>
      </c>
      <c r="C396" s="10" t="s">
        <v>299</v>
      </c>
      <c r="D396" s="10" t="s">
        <v>300</v>
      </c>
      <c r="E396" s="11" t="str">
        <f>+HYPERLINK("http://trademark.i-assist.jp/data/china/image_1898th/78160101.pdf", "78160101")</f>
        <v>78160101</v>
      </c>
      <c r="F396" s="10" t="s">
        <v>1641</v>
      </c>
      <c r="G396" s="10" t="s">
        <v>1642</v>
      </c>
      <c r="H396" s="10" t="s">
        <v>1643</v>
      </c>
      <c r="I396" s="10" t="s">
        <v>113</v>
      </c>
    </row>
    <row r="397" spans="1:9" x14ac:dyDescent="0.15">
      <c r="A397" s="9">
        <v>396</v>
      </c>
      <c r="B397" s="10" t="s">
        <v>9</v>
      </c>
      <c r="C397" s="10" t="s">
        <v>299</v>
      </c>
      <c r="D397" s="10" t="s">
        <v>300</v>
      </c>
      <c r="E397" s="11" t="str">
        <f>+HYPERLINK("http://trademark.i-assist.jp/data/china/image_1898th/78160266.pdf", "78160266")</f>
        <v>78160266</v>
      </c>
      <c r="F397" s="10" t="s">
        <v>1644</v>
      </c>
      <c r="G397" s="10" t="s">
        <v>133</v>
      </c>
      <c r="H397" s="10" t="s">
        <v>1645</v>
      </c>
      <c r="I397" s="10" t="s">
        <v>113</v>
      </c>
    </row>
    <row r="398" spans="1:9" x14ac:dyDescent="0.15">
      <c r="A398" s="9">
        <v>397</v>
      </c>
      <c r="B398" s="10" t="s">
        <v>9</v>
      </c>
      <c r="C398" s="10" t="s">
        <v>299</v>
      </c>
      <c r="D398" s="10" t="s">
        <v>300</v>
      </c>
      <c r="E398" s="11" t="str">
        <f>+HYPERLINK("http://trademark.i-assist.jp/data/china/image_1898th/78160937.pdf", "78160937")</f>
        <v>78160937</v>
      </c>
      <c r="F398" s="10" t="s">
        <v>1646</v>
      </c>
      <c r="G398" s="10" t="s">
        <v>1647</v>
      </c>
      <c r="H398" s="10" t="s">
        <v>1648</v>
      </c>
      <c r="I398" s="10" t="s">
        <v>113</v>
      </c>
    </row>
    <row r="399" spans="1:9" x14ac:dyDescent="0.15">
      <c r="A399" s="9">
        <v>398</v>
      </c>
      <c r="B399" s="10" t="s">
        <v>9</v>
      </c>
      <c r="C399" s="10" t="s">
        <v>299</v>
      </c>
      <c r="D399" s="10" t="s">
        <v>300</v>
      </c>
      <c r="E399" s="11" t="str">
        <f>+HYPERLINK("http://trademark.i-assist.jp/data/china/image_1898th/78161131.pdf", "78161131")</f>
        <v>78161131</v>
      </c>
      <c r="F399" s="10" t="s">
        <v>1649</v>
      </c>
      <c r="G399" s="10" t="s">
        <v>1650</v>
      </c>
      <c r="H399" s="10" t="s">
        <v>1651</v>
      </c>
      <c r="I399" s="10" t="s">
        <v>113</v>
      </c>
    </row>
    <row r="400" spans="1:9" x14ac:dyDescent="0.15">
      <c r="A400" s="9">
        <v>399</v>
      </c>
      <c r="B400" s="10" t="s">
        <v>9</v>
      </c>
      <c r="C400" s="10" t="s">
        <v>299</v>
      </c>
      <c r="D400" s="10" t="s">
        <v>300</v>
      </c>
      <c r="E400" s="11" t="str">
        <f>+HYPERLINK("http://trademark.i-assist.jp/data/china/image_1898th/78161382.pdf", "78161382")</f>
        <v>78161382</v>
      </c>
      <c r="F400" s="10" t="s">
        <v>1652</v>
      </c>
      <c r="G400" s="10" t="s">
        <v>227</v>
      </c>
      <c r="H400" s="10" t="s">
        <v>1653</v>
      </c>
      <c r="I400" s="10" t="s">
        <v>113</v>
      </c>
    </row>
    <row r="401" spans="1:9" x14ac:dyDescent="0.15">
      <c r="A401" s="9">
        <v>400</v>
      </c>
      <c r="B401" s="10" t="s">
        <v>9</v>
      </c>
      <c r="C401" s="10" t="s">
        <v>299</v>
      </c>
      <c r="D401" s="10" t="s">
        <v>300</v>
      </c>
      <c r="E401" s="11" t="str">
        <f>+HYPERLINK("http://trademark.i-assist.jp/data/china/image_1898th/78161616.pdf", "78161616")</f>
        <v>78161616</v>
      </c>
      <c r="F401" s="10" t="s">
        <v>1654</v>
      </c>
      <c r="G401" s="10" t="s">
        <v>1655</v>
      </c>
      <c r="H401" s="10" t="s">
        <v>1656</v>
      </c>
      <c r="I401" s="10" t="s">
        <v>113</v>
      </c>
    </row>
    <row r="402" spans="1:9" x14ac:dyDescent="0.15">
      <c r="A402" s="9">
        <v>401</v>
      </c>
      <c r="B402" s="10" t="s">
        <v>9</v>
      </c>
      <c r="C402" s="10" t="s">
        <v>299</v>
      </c>
      <c r="D402" s="10" t="s">
        <v>300</v>
      </c>
      <c r="E402" s="11" t="str">
        <f>+HYPERLINK("http://trademark.i-assist.jp/data/china/image_1898th/78162457.pdf", "78162457")</f>
        <v>78162457</v>
      </c>
      <c r="F402" s="10" t="s">
        <v>1657</v>
      </c>
      <c r="G402" s="10" t="s">
        <v>1658</v>
      </c>
      <c r="H402" s="10" t="s">
        <v>1659</v>
      </c>
      <c r="I402" s="10" t="s">
        <v>113</v>
      </c>
    </row>
    <row r="403" spans="1:9" x14ac:dyDescent="0.15">
      <c r="A403" s="9">
        <v>402</v>
      </c>
      <c r="B403" s="10" t="s">
        <v>9</v>
      </c>
      <c r="C403" s="10" t="s">
        <v>299</v>
      </c>
      <c r="D403" s="10" t="s">
        <v>300</v>
      </c>
      <c r="E403" s="11" t="str">
        <f>+HYPERLINK("http://trademark.i-assist.jp/data/china/image_1898th/78162460.pdf", "78162460")</f>
        <v>78162460</v>
      </c>
      <c r="F403" s="10" t="s">
        <v>1660</v>
      </c>
      <c r="G403" s="10" t="s">
        <v>1658</v>
      </c>
      <c r="H403" s="10" t="s">
        <v>1661</v>
      </c>
      <c r="I403" s="10" t="s">
        <v>113</v>
      </c>
    </row>
    <row r="404" spans="1:9" x14ac:dyDescent="0.15">
      <c r="A404" s="9">
        <v>403</v>
      </c>
      <c r="B404" s="10" t="s">
        <v>9</v>
      </c>
      <c r="C404" s="10" t="s">
        <v>299</v>
      </c>
      <c r="D404" s="10" t="s">
        <v>300</v>
      </c>
      <c r="E404" s="11" t="str">
        <f>+HYPERLINK("http://trademark.i-assist.jp/data/china/image_1898th/78162952.pdf", "78162952")</f>
        <v>78162952</v>
      </c>
      <c r="F404" s="10" t="s">
        <v>1662</v>
      </c>
      <c r="G404" s="10" t="s">
        <v>1663</v>
      </c>
      <c r="H404" s="10" t="s">
        <v>1664</v>
      </c>
      <c r="I404" s="10" t="s">
        <v>113</v>
      </c>
    </row>
    <row r="405" spans="1:9" x14ac:dyDescent="0.15">
      <c r="A405" s="9">
        <v>404</v>
      </c>
      <c r="B405" s="10" t="s">
        <v>9</v>
      </c>
      <c r="C405" s="10" t="s">
        <v>299</v>
      </c>
      <c r="D405" s="10" t="s">
        <v>300</v>
      </c>
      <c r="E405" s="11" t="str">
        <f>+HYPERLINK("http://trademark.i-assist.jp/data/china/image_1898th/78162965.pdf", "78162965")</f>
        <v>78162965</v>
      </c>
      <c r="F405" s="10" t="s">
        <v>1665</v>
      </c>
      <c r="G405" s="10" t="s">
        <v>1666</v>
      </c>
      <c r="H405" s="10" t="s">
        <v>1667</v>
      </c>
      <c r="I405" s="10" t="s">
        <v>113</v>
      </c>
    </row>
    <row r="406" spans="1:9" x14ac:dyDescent="0.15">
      <c r="A406" s="9">
        <v>405</v>
      </c>
      <c r="B406" s="10" t="s">
        <v>9</v>
      </c>
      <c r="C406" s="10" t="s">
        <v>299</v>
      </c>
      <c r="D406" s="10" t="s">
        <v>300</v>
      </c>
      <c r="E406" s="11" t="str">
        <f>+HYPERLINK("http://trademark.i-assist.jp/data/china/image_1898th/78163182.pdf", "78163182")</f>
        <v>78163182</v>
      </c>
      <c r="F406" s="10" t="s">
        <v>1668</v>
      </c>
      <c r="G406" s="10" t="s">
        <v>1669</v>
      </c>
      <c r="H406" s="10" t="s">
        <v>1670</v>
      </c>
      <c r="I406" s="10" t="s">
        <v>113</v>
      </c>
    </row>
    <row r="407" spans="1:9" x14ac:dyDescent="0.15">
      <c r="A407" s="9">
        <v>406</v>
      </c>
      <c r="B407" s="10" t="s">
        <v>9</v>
      </c>
      <c r="C407" s="10" t="s">
        <v>299</v>
      </c>
      <c r="D407" s="10" t="s">
        <v>300</v>
      </c>
      <c r="E407" s="11" t="str">
        <f>+HYPERLINK("http://trademark.i-assist.jp/data/china/image_1898th/78163737.pdf", "78163737")</f>
        <v>78163737</v>
      </c>
      <c r="F407" s="10" t="s">
        <v>1671</v>
      </c>
      <c r="G407" s="10" t="s">
        <v>1672</v>
      </c>
      <c r="H407" s="10" t="s">
        <v>1673</v>
      </c>
      <c r="I407" s="10" t="s">
        <v>113</v>
      </c>
    </row>
    <row r="408" spans="1:9" x14ac:dyDescent="0.15">
      <c r="A408" s="9">
        <v>407</v>
      </c>
      <c r="B408" s="10" t="s">
        <v>9</v>
      </c>
      <c r="C408" s="10" t="s">
        <v>299</v>
      </c>
      <c r="D408" s="10" t="s">
        <v>300</v>
      </c>
      <c r="E408" s="11" t="str">
        <f>+HYPERLINK("http://trademark.i-assist.jp/data/china/image_1898th/78163931.pdf", "78163931")</f>
        <v>78163931</v>
      </c>
      <c r="F408" s="10" t="s">
        <v>1674</v>
      </c>
      <c r="G408" s="10" t="s">
        <v>1675</v>
      </c>
      <c r="H408" s="10" t="s">
        <v>1676</v>
      </c>
      <c r="I408" s="10" t="s">
        <v>113</v>
      </c>
    </row>
    <row r="409" spans="1:9" x14ac:dyDescent="0.15">
      <c r="A409" s="9">
        <v>408</v>
      </c>
      <c r="B409" s="10" t="s">
        <v>9</v>
      </c>
      <c r="C409" s="10" t="s">
        <v>299</v>
      </c>
      <c r="D409" s="10" t="s">
        <v>300</v>
      </c>
      <c r="E409" s="11" t="str">
        <f>+HYPERLINK("http://trademark.i-assist.jp/data/china/image_1898th/78166656.pdf", "78166656")</f>
        <v>78166656</v>
      </c>
      <c r="F409" s="10" t="s">
        <v>1677</v>
      </c>
      <c r="G409" s="10" t="s">
        <v>85</v>
      </c>
      <c r="H409" s="10" t="s">
        <v>1678</v>
      </c>
      <c r="I409" s="10" t="s">
        <v>113</v>
      </c>
    </row>
    <row r="410" spans="1:9" x14ac:dyDescent="0.15">
      <c r="A410" s="9">
        <v>409</v>
      </c>
      <c r="B410" s="10" t="s">
        <v>9</v>
      </c>
      <c r="C410" s="10" t="s">
        <v>299</v>
      </c>
      <c r="D410" s="10" t="s">
        <v>300</v>
      </c>
      <c r="E410" s="11" t="str">
        <f>+HYPERLINK("http://trademark.i-assist.jp/data/china/image_1898th/78168824.pdf", "78168824")</f>
        <v>78168824</v>
      </c>
      <c r="F410" s="10" t="s">
        <v>1679</v>
      </c>
      <c r="G410" s="10" t="s">
        <v>264</v>
      </c>
      <c r="H410" s="10" t="s">
        <v>1680</v>
      </c>
      <c r="I410" s="10" t="s">
        <v>113</v>
      </c>
    </row>
    <row r="411" spans="1:9" x14ac:dyDescent="0.15">
      <c r="A411" s="9">
        <v>410</v>
      </c>
      <c r="B411" s="10" t="s">
        <v>9</v>
      </c>
      <c r="C411" s="10" t="s">
        <v>299</v>
      </c>
      <c r="D411" s="10" t="s">
        <v>300</v>
      </c>
      <c r="E411" s="11" t="str">
        <f>+HYPERLINK("http://trademark.i-assist.jp/data/china/image_1898th/78170687.pdf", "78170687")</f>
        <v>78170687</v>
      </c>
      <c r="F411" s="10" t="s">
        <v>1681</v>
      </c>
      <c r="G411" s="10" t="s">
        <v>1675</v>
      </c>
      <c r="H411" s="10" t="s">
        <v>1682</v>
      </c>
      <c r="I411" s="10" t="s">
        <v>113</v>
      </c>
    </row>
    <row r="412" spans="1:9" x14ac:dyDescent="0.15">
      <c r="A412" s="9">
        <v>411</v>
      </c>
      <c r="B412" s="10" t="s">
        <v>9</v>
      </c>
      <c r="C412" s="10" t="s">
        <v>299</v>
      </c>
      <c r="D412" s="10" t="s">
        <v>300</v>
      </c>
      <c r="E412" s="11" t="str">
        <f>+HYPERLINK("http://trademark.i-assist.jp/data/china/image_1898th/78171770.pdf", "78171770")</f>
        <v>78171770</v>
      </c>
      <c r="F412" s="10" t="s">
        <v>1683</v>
      </c>
      <c r="G412" s="10" t="s">
        <v>1684</v>
      </c>
      <c r="H412" s="10" t="s">
        <v>1685</v>
      </c>
      <c r="I412" s="10" t="s">
        <v>113</v>
      </c>
    </row>
    <row r="413" spans="1:9" x14ac:dyDescent="0.15">
      <c r="A413" s="9">
        <v>412</v>
      </c>
      <c r="B413" s="10" t="s">
        <v>9</v>
      </c>
      <c r="C413" s="10" t="s">
        <v>299</v>
      </c>
      <c r="D413" s="10" t="s">
        <v>300</v>
      </c>
      <c r="E413" s="11" t="str">
        <f>+HYPERLINK("http://trademark.i-assist.jp/data/china/image_1898th/78172279.pdf", "78172279")</f>
        <v>78172279</v>
      </c>
      <c r="F413" s="10" t="s">
        <v>1686</v>
      </c>
      <c r="G413" s="10" t="s">
        <v>1687</v>
      </c>
      <c r="H413" s="10" t="s">
        <v>1688</v>
      </c>
      <c r="I413" s="10" t="s">
        <v>113</v>
      </c>
    </row>
    <row r="414" spans="1:9" x14ac:dyDescent="0.15">
      <c r="A414" s="9">
        <v>413</v>
      </c>
      <c r="B414" s="10" t="s">
        <v>9</v>
      </c>
      <c r="C414" s="10" t="s">
        <v>299</v>
      </c>
      <c r="D414" s="10" t="s">
        <v>300</v>
      </c>
      <c r="E414" s="11" t="str">
        <f>+HYPERLINK("http://trademark.i-assist.jp/data/china/image_1898th/78174149.pdf", "78174149")</f>
        <v>78174149</v>
      </c>
      <c r="F414" s="10" t="s">
        <v>1689</v>
      </c>
      <c r="G414" s="10" t="s">
        <v>1690</v>
      </c>
      <c r="H414" s="10" t="s">
        <v>1691</v>
      </c>
      <c r="I414" s="10" t="s">
        <v>113</v>
      </c>
    </row>
    <row r="415" spans="1:9" x14ac:dyDescent="0.15">
      <c r="A415" s="9">
        <v>414</v>
      </c>
      <c r="B415" s="10" t="s">
        <v>9</v>
      </c>
      <c r="C415" s="10" t="s">
        <v>299</v>
      </c>
      <c r="D415" s="10" t="s">
        <v>300</v>
      </c>
      <c r="E415" s="11" t="str">
        <f>+HYPERLINK("http://trademark.i-assist.jp/data/china/image_1898th/78174471.pdf", "78174471")</f>
        <v>78174471</v>
      </c>
      <c r="F415" s="10" t="s">
        <v>1692</v>
      </c>
      <c r="G415" s="10" t="s">
        <v>1658</v>
      </c>
      <c r="H415" s="10" t="s">
        <v>1693</v>
      </c>
      <c r="I415" s="10" t="s">
        <v>113</v>
      </c>
    </row>
    <row r="416" spans="1:9" x14ac:dyDescent="0.15">
      <c r="A416" s="9">
        <v>415</v>
      </c>
      <c r="B416" s="10" t="s">
        <v>9</v>
      </c>
      <c r="C416" s="10" t="s">
        <v>299</v>
      </c>
      <c r="D416" s="10" t="s">
        <v>300</v>
      </c>
      <c r="E416" s="11" t="str">
        <f>+HYPERLINK("http://trademark.i-assist.jp/data/china/image_1898th/78174474.pdf", "78174474")</f>
        <v>78174474</v>
      </c>
      <c r="F416" s="10" t="s">
        <v>1694</v>
      </c>
      <c r="G416" s="10" t="s">
        <v>1658</v>
      </c>
      <c r="H416" s="10" t="s">
        <v>1695</v>
      </c>
      <c r="I416" s="10" t="s">
        <v>113</v>
      </c>
    </row>
    <row r="417" spans="1:9" x14ac:dyDescent="0.15">
      <c r="A417" s="9">
        <v>416</v>
      </c>
      <c r="B417" s="10" t="s">
        <v>9</v>
      </c>
      <c r="C417" s="10" t="s">
        <v>299</v>
      </c>
      <c r="D417" s="10" t="s">
        <v>300</v>
      </c>
      <c r="E417" s="11" t="str">
        <f>+HYPERLINK("http://trademark.i-assist.jp/data/china/image_1898th/78175463.pdf", "78175463")</f>
        <v>78175463</v>
      </c>
      <c r="F417" s="10" t="s">
        <v>1696</v>
      </c>
      <c r="G417" s="10" t="s">
        <v>1658</v>
      </c>
      <c r="H417" s="10" t="s">
        <v>1697</v>
      </c>
      <c r="I417" s="10" t="s">
        <v>113</v>
      </c>
    </row>
    <row r="418" spans="1:9" x14ac:dyDescent="0.15">
      <c r="A418" s="9">
        <v>417</v>
      </c>
      <c r="B418" s="10" t="s">
        <v>9</v>
      </c>
      <c r="C418" s="10" t="s">
        <v>299</v>
      </c>
      <c r="D418" s="10" t="s">
        <v>300</v>
      </c>
      <c r="E418" s="11" t="str">
        <f>+HYPERLINK("http://trademark.i-assist.jp/data/china/image_1898th/78175971.pdf", "78175971")</f>
        <v>78175971</v>
      </c>
      <c r="F418" s="10" t="s">
        <v>1698</v>
      </c>
      <c r="G418" s="10" t="s">
        <v>68</v>
      </c>
      <c r="H418" s="10" t="s">
        <v>1699</v>
      </c>
      <c r="I418" s="10" t="s">
        <v>113</v>
      </c>
    </row>
    <row r="419" spans="1:9" x14ac:dyDescent="0.15">
      <c r="A419" s="9">
        <v>418</v>
      </c>
      <c r="B419" s="10" t="s">
        <v>9</v>
      </c>
      <c r="C419" s="10" t="s">
        <v>299</v>
      </c>
      <c r="D419" s="10" t="s">
        <v>300</v>
      </c>
      <c r="E419" s="11" t="str">
        <f>+HYPERLINK("http://trademark.i-assist.jp/data/china/image_1898th/78178382.pdf", "78178382")</f>
        <v>78178382</v>
      </c>
      <c r="F419" s="10" t="s">
        <v>1700</v>
      </c>
      <c r="G419" s="10" t="s">
        <v>1701</v>
      </c>
      <c r="H419" s="10" t="s">
        <v>1702</v>
      </c>
      <c r="I419" s="10" t="s">
        <v>113</v>
      </c>
    </row>
    <row r="420" spans="1:9" x14ac:dyDescent="0.15">
      <c r="A420" s="9">
        <v>419</v>
      </c>
      <c r="B420" s="10" t="s">
        <v>9</v>
      </c>
      <c r="C420" s="10" t="s">
        <v>299</v>
      </c>
      <c r="D420" s="10" t="s">
        <v>300</v>
      </c>
      <c r="E420" s="11" t="str">
        <f>+HYPERLINK("http://trademark.i-assist.jp/data/china/image_1898th/78178800.pdf", "78178800")</f>
        <v>78178800</v>
      </c>
      <c r="F420" s="10" t="s">
        <v>1703</v>
      </c>
      <c r="G420" s="10" t="s">
        <v>1704</v>
      </c>
      <c r="H420" s="10" t="s">
        <v>1705</v>
      </c>
      <c r="I420" s="10" t="s">
        <v>113</v>
      </c>
    </row>
    <row r="421" spans="1:9" x14ac:dyDescent="0.15">
      <c r="A421" s="9">
        <v>420</v>
      </c>
      <c r="B421" s="10" t="s">
        <v>9</v>
      </c>
      <c r="C421" s="10" t="s">
        <v>299</v>
      </c>
      <c r="D421" s="10" t="s">
        <v>300</v>
      </c>
      <c r="E421" s="11" t="str">
        <f>+HYPERLINK("http://trademark.i-assist.jp/data/china/image_1898th/78180094.pdf", "78180094")</f>
        <v>78180094</v>
      </c>
      <c r="F421" s="10" t="s">
        <v>1706</v>
      </c>
      <c r="G421" s="10" t="s">
        <v>68</v>
      </c>
      <c r="H421" s="10" t="s">
        <v>1707</v>
      </c>
      <c r="I421" s="10" t="s">
        <v>113</v>
      </c>
    </row>
    <row r="422" spans="1:9" x14ac:dyDescent="0.15">
      <c r="A422" s="9">
        <v>421</v>
      </c>
      <c r="B422" s="10" t="s">
        <v>9</v>
      </c>
      <c r="C422" s="10" t="s">
        <v>299</v>
      </c>
      <c r="D422" s="10" t="s">
        <v>300</v>
      </c>
      <c r="E422" s="11" t="str">
        <f>+HYPERLINK("http://trademark.i-assist.jp/data/china/image_1898th/78180819.pdf", "78180819")</f>
        <v>78180819</v>
      </c>
      <c r="F422" s="10" t="s">
        <v>1708</v>
      </c>
      <c r="G422" s="10" t="s">
        <v>1709</v>
      </c>
      <c r="H422" s="10" t="s">
        <v>1710</v>
      </c>
      <c r="I422" s="10" t="s">
        <v>113</v>
      </c>
    </row>
    <row r="423" spans="1:9" x14ac:dyDescent="0.15">
      <c r="A423" s="9">
        <v>422</v>
      </c>
      <c r="B423" s="10" t="s">
        <v>9</v>
      </c>
      <c r="C423" s="10" t="s">
        <v>299</v>
      </c>
      <c r="D423" s="10" t="s">
        <v>300</v>
      </c>
      <c r="E423" s="11" t="str">
        <f>+HYPERLINK("http://trademark.i-assist.jp/data/china/image_1898th/78180963.pdf", "78180963")</f>
        <v>78180963</v>
      </c>
      <c r="F423" s="10" t="s">
        <v>1711</v>
      </c>
      <c r="G423" s="10" t="s">
        <v>1712</v>
      </c>
      <c r="H423" s="10" t="s">
        <v>1713</v>
      </c>
      <c r="I423" s="10" t="s">
        <v>113</v>
      </c>
    </row>
    <row r="424" spans="1:9" x14ac:dyDescent="0.15">
      <c r="A424" s="9">
        <v>423</v>
      </c>
      <c r="B424" s="10" t="s">
        <v>9</v>
      </c>
      <c r="C424" s="10" t="s">
        <v>299</v>
      </c>
      <c r="D424" s="10" t="s">
        <v>300</v>
      </c>
      <c r="E424" s="11" t="str">
        <f>+HYPERLINK("http://trademark.i-assist.jp/data/china/image_1898th/78181314.pdf", "78181314")</f>
        <v>78181314</v>
      </c>
      <c r="F424" s="10" t="s">
        <v>1714</v>
      </c>
      <c r="G424" s="10" t="s">
        <v>1658</v>
      </c>
      <c r="H424" s="10" t="s">
        <v>1715</v>
      </c>
      <c r="I424" s="10" t="s">
        <v>113</v>
      </c>
    </row>
    <row r="425" spans="1:9" x14ac:dyDescent="0.15">
      <c r="A425" s="9">
        <v>424</v>
      </c>
      <c r="B425" s="10" t="s">
        <v>9</v>
      </c>
      <c r="C425" s="10" t="s">
        <v>299</v>
      </c>
      <c r="D425" s="10" t="s">
        <v>300</v>
      </c>
      <c r="E425" s="11" t="str">
        <f>+HYPERLINK("http://trademark.i-assist.jp/data/china/image_1898th/78182092.pdf", "78182092")</f>
        <v>78182092</v>
      </c>
      <c r="F425" s="10" t="s">
        <v>1716</v>
      </c>
      <c r="G425" s="10" t="s">
        <v>1658</v>
      </c>
      <c r="H425" s="10" t="s">
        <v>1717</v>
      </c>
      <c r="I425" s="10" t="s">
        <v>113</v>
      </c>
    </row>
    <row r="426" spans="1:9" x14ac:dyDescent="0.15">
      <c r="A426" s="9">
        <v>425</v>
      </c>
      <c r="B426" s="10" t="s">
        <v>9</v>
      </c>
      <c r="C426" s="10" t="s">
        <v>299</v>
      </c>
      <c r="D426" s="10" t="s">
        <v>300</v>
      </c>
      <c r="E426" s="11" t="str">
        <f>+HYPERLINK("http://trademark.i-assist.jp/data/china/image_1898th/78183231.pdf", "78183231")</f>
        <v>78183231</v>
      </c>
      <c r="F426" s="10" t="s">
        <v>1718</v>
      </c>
      <c r="G426" s="10" t="s">
        <v>1719</v>
      </c>
      <c r="H426" s="10" t="s">
        <v>1720</v>
      </c>
      <c r="I426" s="10" t="s">
        <v>113</v>
      </c>
    </row>
    <row r="427" spans="1:9" x14ac:dyDescent="0.15">
      <c r="A427" s="9">
        <v>426</v>
      </c>
      <c r="B427" s="10" t="s">
        <v>9</v>
      </c>
      <c r="C427" s="10" t="s">
        <v>299</v>
      </c>
      <c r="D427" s="10" t="s">
        <v>300</v>
      </c>
      <c r="E427" s="11" t="str">
        <f>+HYPERLINK("http://trademark.i-assist.jp/data/china/image_1898th/78183303.pdf", "78183303")</f>
        <v>78183303</v>
      </c>
      <c r="F427" s="10" t="s">
        <v>1721</v>
      </c>
      <c r="G427" s="10" t="s">
        <v>208</v>
      </c>
      <c r="H427" s="10" t="s">
        <v>1722</v>
      </c>
      <c r="I427" s="10" t="s">
        <v>113</v>
      </c>
    </row>
    <row r="428" spans="1:9" x14ac:dyDescent="0.15">
      <c r="A428" s="9">
        <v>427</v>
      </c>
      <c r="B428" s="10" t="s">
        <v>9</v>
      </c>
      <c r="C428" s="10" t="s">
        <v>299</v>
      </c>
      <c r="D428" s="10" t="s">
        <v>300</v>
      </c>
      <c r="E428" s="11" t="str">
        <f>+HYPERLINK("http://trademark.i-assist.jp/data/china/image_1898th/78184326.pdf", "78184326")</f>
        <v>78184326</v>
      </c>
      <c r="F428" s="10" t="s">
        <v>1723</v>
      </c>
      <c r="G428" s="10" t="s">
        <v>289</v>
      </c>
      <c r="H428" s="10" t="s">
        <v>1724</v>
      </c>
      <c r="I428" s="10" t="s">
        <v>113</v>
      </c>
    </row>
    <row r="429" spans="1:9" x14ac:dyDescent="0.15">
      <c r="A429" s="9">
        <v>428</v>
      </c>
      <c r="B429" s="10" t="s">
        <v>9</v>
      </c>
      <c r="C429" s="10" t="s">
        <v>299</v>
      </c>
      <c r="D429" s="10" t="s">
        <v>300</v>
      </c>
      <c r="E429" s="11" t="str">
        <f>+HYPERLINK("http://trademark.i-assist.jp/data/china/image_1898th/78184744.pdf", "78184744")</f>
        <v>78184744</v>
      </c>
      <c r="F429" s="10" t="s">
        <v>1725</v>
      </c>
      <c r="G429" s="10" t="s">
        <v>1726</v>
      </c>
      <c r="H429" s="10" t="s">
        <v>1727</v>
      </c>
      <c r="I429" s="10" t="s">
        <v>116</v>
      </c>
    </row>
    <row r="430" spans="1:9" x14ac:dyDescent="0.15">
      <c r="A430" s="9">
        <v>429</v>
      </c>
      <c r="B430" s="10" t="s">
        <v>9</v>
      </c>
      <c r="C430" s="10" t="s">
        <v>299</v>
      </c>
      <c r="D430" s="10" t="s">
        <v>300</v>
      </c>
      <c r="E430" s="11" t="str">
        <f>+HYPERLINK("http://trademark.i-assist.jp/data/china/image_1898th/78185193.pdf", "78185193")</f>
        <v>78185193</v>
      </c>
      <c r="F430" s="10" t="s">
        <v>1728</v>
      </c>
      <c r="G430" s="10" t="s">
        <v>1729</v>
      </c>
      <c r="H430" s="10" t="s">
        <v>1730</v>
      </c>
      <c r="I430" s="10" t="s">
        <v>116</v>
      </c>
    </row>
    <row r="431" spans="1:9" x14ac:dyDescent="0.15">
      <c r="A431" s="9">
        <v>430</v>
      </c>
      <c r="B431" s="10" t="s">
        <v>9</v>
      </c>
      <c r="C431" s="10" t="s">
        <v>299</v>
      </c>
      <c r="D431" s="10" t="s">
        <v>300</v>
      </c>
      <c r="E431" s="11" t="str">
        <f>+HYPERLINK("http://trademark.i-assist.jp/data/china/image_1898th/78186283.pdf", "78186283")</f>
        <v>78186283</v>
      </c>
      <c r="F431" s="10" t="s">
        <v>1731</v>
      </c>
      <c r="G431" s="10" t="s">
        <v>1732</v>
      </c>
      <c r="H431" s="10" t="s">
        <v>1733</v>
      </c>
      <c r="I431" s="10" t="s">
        <v>116</v>
      </c>
    </row>
    <row r="432" spans="1:9" x14ac:dyDescent="0.15">
      <c r="A432" s="9">
        <v>431</v>
      </c>
      <c r="B432" s="10" t="s">
        <v>9</v>
      </c>
      <c r="C432" s="10" t="s">
        <v>299</v>
      </c>
      <c r="D432" s="10" t="s">
        <v>300</v>
      </c>
      <c r="E432" s="11" t="str">
        <f>+HYPERLINK("http://trademark.i-assist.jp/data/china/image_1898th/78186410.pdf", "78186410")</f>
        <v>78186410</v>
      </c>
      <c r="F432" s="10" t="s">
        <v>1734</v>
      </c>
      <c r="G432" s="10" t="s">
        <v>1735</v>
      </c>
      <c r="H432" s="10" t="s">
        <v>1736</v>
      </c>
      <c r="I432" s="10" t="s">
        <v>116</v>
      </c>
    </row>
    <row r="433" spans="1:9" x14ac:dyDescent="0.15">
      <c r="A433" s="9">
        <v>432</v>
      </c>
      <c r="B433" s="10" t="s">
        <v>9</v>
      </c>
      <c r="C433" s="10" t="s">
        <v>299</v>
      </c>
      <c r="D433" s="10" t="s">
        <v>300</v>
      </c>
      <c r="E433" s="11" t="str">
        <f>+HYPERLINK("http://trademark.i-assist.jp/data/china/image_1898th/78186694.pdf", "78186694")</f>
        <v>78186694</v>
      </c>
      <c r="F433" s="10" t="s">
        <v>1737</v>
      </c>
      <c r="G433" s="10" t="s">
        <v>234</v>
      </c>
      <c r="H433" s="10" t="s">
        <v>1738</v>
      </c>
      <c r="I433" s="10" t="s">
        <v>116</v>
      </c>
    </row>
    <row r="434" spans="1:9" x14ac:dyDescent="0.15">
      <c r="A434" s="9">
        <v>433</v>
      </c>
      <c r="B434" s="10" t="s">
        <v>9</v>
      </c>
      <c r="C434" s="10" t="s">
        <v>299</v>
      </c>
      <c r="D434" s="10" t="s">
        <v>300</v>
      </c>
      <c r="E434" s="11" t="str">
        <f>+HYPERLINK("http://trademark.i-assist.jp/data/china/image_1898th/78187129.pdf", "78187129")</f>
        <v>78187129</v>
      </c>
      <c r="F434" s="10" t="s">
        <v>1739</v>
      </c>
      <c r="G434" s="10" t="s">
        <v>1740</v>
      </c>
      <c r="H434" s="10" t="s">
        <v>1741</v>
      </c>
      <c r="I434" s="10" t="s">
        <v>116</v>
      </c>
    </row>
    <row r="435" spans="1:9" x14ac:dyDescent="0.15">
      <c r="A435" s="9">
        <v>434</v>
      </c>
      <c r="B435" s="10" t="s">
        <v>9</v>
      </c>
      <c r="C435" s="10" t="s">
        <v>299</v>
      </c>
      <c r="D435" s="10" t="s">
        <v>300</v>
      </c>
      <c r="E435" s="11" t="str">
        <f>+HYPERLINK("http://trademark.i-assist.jp/data/china/image_1898th/78187741.pdf", "78187741")</f>
        <v>78187741</v>
      </c>
      <c r="F435" s="10" t="s">
        <v>1742</v>
      </c>
      <c r="G435" s="10" t="s">
        <v>91</v>
      </c>
      <c r="H435" s="10" t="s">
        <v>1743</v>
      </c>
      <c r="I435" s="10" t="s">
        <v>116</v>
      </c>
    </row>
    <row r="436" spans="1:9" x14ac:dyDescent="0.15">
      <c r="A436" s="9">
        <v>435</v>
      </c>
      <c r="B436" s="10" t="s">
        <v>9</v>
      </c>
      <c r="C436" s="10" t="s">
        <v>299</v>
      </c>
      <c r="D436" s="10" t="s">
        <v>300</v>
      </c>
      <c r="E436" s="11" t="str">
        <f>+HYPERLINK("http://trademark.i-assist.jp/data/china/image_1898th/78187743.pdf", "78187743")</f>
        <v>78187743</v>
      </c>
      <c r="F436" s="10" t="s">
        <v>1742</v>
      </c>
      <c r="G436" s="10" t="s">
        <v>91</v>
      </c>
      <c r="H436" s="10" t="s">
        <v>1744</v>
      </c>
      <c r="I436" s="10" t="s">
        <v>116</v>
      </c>
    </row>
    <row r="437" spans="1:9" x14ac:dyDescent="0.15">
      <c r="A437" s="9">
        <v>436</v>
      </c>
      <c r="B437" s="10" t="s">
        <v>9</v>
      </c>
      <c r="C437" s="10" t="s">
        <v>299</v>
      </c>
      <c r="D437" s="10" t="s">
        <v>300</v>
      </c>
      <c r="E437" s="11" t="str">
        <f>+HYPERLINK("http://trademark.i-assist.jp/data/china/image_1898th/78188603.pdf", "78188603")</f>
        <v>78188603</v>
      </c>
      <c r="F437" s="10" t="s">
        <v>1745</v>
      </c>
      <c r="G437" s="10" t="s">
        <v>1746</v>
      </c>
      <c r="H437" s="10" t="s">
        <v>1747</v>
      </c>
      <c r="I437" s="10" t="s">
        <v>116</v>
      </c>
    </row>
    <row r="438" spans="1:9" x14ac:dyDescent="0.15">
      <c r="A438" s="9">
        <v>437</v>
      </c>
      <c r="B438" s="10" t="s">
        <v>9</v>
      </c>
      <c r="C438" s="10" t="s">
        <v>299</v>
      </c>
      <c r="D438" s="10" t="s">
        <v>300</v>
      </c>
      <c r="E438" s="11" t="str">
        <f>+HYPERLINK("http://trademark.i-assist.jp/data/china/image_1898th/78188829.pdf", "78188829")</f>
        <v>78188829</v>
      </c>
      <c r="F438" s="10" t="s">
        <v>1748</v>
      </c>
      <c r="G438" s="10" t="s">
        <v>1749</v>
      </c>
      <c r="H438" s="10" t="s">
        <v>1750</v>
      </c>
      <c r="I438" s="10" t="s">
        <v>116</v>
      </c>
    </row>
    <row r="439" spans="1:9" x14ac:dyDescent="0.15">
      <c r="A439" s="9">
        <v>438</v>
      </c>
      <c r="B439" s="10" t="s">
        <v>9</v>
      </c>
      <c r="C439" s="10" t="s">
        <v>299</v>
      </c>
      <c r="D439" s="10" t="s">
        <v>300</v>
      </c>
      <c r="E439" s="11" t="str">
        <f>+HYPERLINK("http://trademark.i-assist.jp/data/china/image_1898th/78189111.pdf", "78189111")</f>
        <v>78189111</v>
      </c>
      <c r="F439" s="10" t="s">
        <v>19</v>
      </c>
      <c r="G439" s="10" t="s">
        <v>1751</v>
      </c>
      <c r="H439" s="10" t="s">
        <v>1752</v>
      </c>
      <c r="I439" s="10" t="s">
        <v>116</v>
      </c>
    </row>
    <row r="440" spans="1:9" x14ac:dyDescent="0.15">
      <c r="A440" s="9">
        <v>439</v>
      </c>
      <c r="B440" s="10" t="s">
        <v>9</v>
      </c>
      <c r="C440" s="10" t="s">
        <v>299</v>
      </c>
      <c r="D440" s="10" t="s">
        <v>300</v>
      </c>
      <c r="E440" s="11" t="str">
        <f>+HYPERLINK("http://trademark.i-assist.jp/data/china/image_1898th/78193075.pdf", "78193075")</f>
        <v>78193075</v>
      </c>
      <c r="F440" s="10" t="s">
        <v>1753</v>
      </c>
      <c r="G440" s="10" t="s">
        <v>117</v>
      </c>
      <c r="H440" s="10" t="s">
        <v>1754</v>
      </c>
      <c r="I440" s="10" t="s">
        <v>116</v>
      </c>
    </row>
    <row r="441" spans="1:9" x14ac:dyDescent="0.15">
      <c r="A441" s="9">
        <v>440</v>
      </c>
      <c r="B441" s="10" t="s">
        <v>9</v>
      </c>
      <c r="C441" s="10" t="s">
        <v>299</v>
      </c>
      <c r="D441" s="10" t="s">
        <v>300</v>
      </c>
      <c r="E441" s="11" t="str">
        <f>+HYPERLINK("http://trademark.i-assist.jp/data/china/image_1898th/78194670.pdf", "78194670")</f>
        <v>78194670</v>
      </c>
      <c r="F441" s="10" t="s">
        <v>1755</v>
      </c>
      <c r="G441" s="10" t="s">
        <v>1756</v>
      </c>
      <c r="H441" s="10" t="s">
        <v>1757</v>
      </c>
      <c r="I441" s="10" t="s">
        <v>116</v>
      </c>
    </row>
    <row r="442" spans="1:9" x14ac:dyDescent="0.15">
      <c r="A442" s="9">
        <v>441</v>
      </c>
      <c r="B442" s="10" t="s">
        <v>9</v>
      </c>
      <c r="C442" s="10" t="s">
        <v>299</v>
      </c>
      <c r="D442" s="10" t="s">
        <v>300</v>
      </c>
      <c r="E442" s="11" t="str">
        <f>+HYPERLINK("http://trademark.i-assist.jp/data/china/image_1898th/78194743.pdf", "78194743")</f>
        <v>78194743</v>
      </c>
      <c r="F442" s="10" t="s">
        <v>1742</v>
      </c>
      <c r="G442" s="10" t="s">
        <v>91</v>
      </c>
      <c r="H442" s="10" t="s">
        <v>1758</v>
      </c>
      <c r="I442" s="10" t="s">
        <v>116</v>
      </c>
    </row>
    <row r="443" spans="1:9" x14ac:dyDescent="0.15">
      <c r="A443" s="9">
        <v>442</v>
      </c>
      <c r="B443" s="10" t="s">
        <v>9</v>
      </c>
      <c r="C443" s="10" t="s">
        <v>299</v>
      </c>
      <c r="D443" s="10" t="s">
        <v>300</v>
      </c>
      <c r="E443" s="11" t="str">
        <f>+HYPERLINK("http://trademark.i-assist.jp/data/china/image_1898th/78195099.pdf", "78195099")</f>
        <v>78195099</v>
      </c>
      <c r="F443" s="10" t="s">
        <v>1759</v>
      </c>
      <c r="G443" s="10" t="s">
        <v>1760</v>
      </c>
      <c r="H443" s="10" t="s">
        <v>1761</v>
      </c>
      <c r="I443" s="10" t="s">
        <v>116</v>
      </c>
    </row>
    <row r="444" spans="1:9" x14ac:dyDescent="0.15">
      <c r="A444" s="9">
        <v>443</v>
      </c>
      <c r="B444" s="10" t="s">
        <v>9</v>
      </c>
      <c r="C444" s="10" t="s">
        <v>299</v>
      </c>
      <c r="D444" s="10" t="s">
        <v>300</v>
      </c>
      <c r="E444" s="11" t="str">
        <f>+HYPERLINK("http://trademark.i-assist.jp/data/china/image_1898th/78196091.pdf", "78196091")</f>
        <v>78196091</v>
      </c>
      <c r="F444" s="10" t="s">
        <v>19</v>
      </c>
      <c r="G444" s="10" t="s">
        <v>1762</v>
      </c>
      <c r="H444" s="10" t="s">
        <v>1763</v>
      </c>
      <c r="I444" s="10" t="s">
        <v>116</v>
      </c>
    </row>
    <row r="445" spans="1:9" x14ac:dyDescent="0.15">
      <c r="A445" s="9">
        <v>444</v>
      </c>
      <c r="B445" s="10" t="s">
        <v>9</v>
      </c>
      <c r="C445" s="10" t="s">
        <v>299</v>
      </c>
      <c r="D445" s="10" t="s">
        <v>300</v>
      </c>
      <c r="E445" s="11" t="str">
        <f>+HYPERLINK("http://trademark.i-assist.jp/data/china/image_1898th/78196614.pdf", "78196614")</f>
        <v>78196614</v>
      </c>
      <c r="F445" s="10" t="s">
        <v>1764</v>
      </c>
      <c r="G445" s="10" t="s">
        <v>1765</v>
      </c>
      <c r="H445" s="10" t="s">
        <v>1766</v>
      </c>
      <c r="I445" s="10" t="s">
        <v>116</v>
      </c>
    </row>
    <row r="446" spans="1:9" x14ac:dyDescent="0.15">
      <c r="A446" s="9">
        <v>445</v>
      </c>
      <c r="B446" s="10" t="s">
        <v>9</v>
      </c>
      <c r="C446" s="10" t="s">
        <v>299</v>
      </c>
      <c r="D446" s="10" t="s">
        <v>300</v>
      </c>
      <c r="E446" s="11" t="str">
        <f>+HYPERLINK("http://trademark.i-assist.jp/data/china/image_1898th/78197372A.pdf", "78197372A")</f>
        <v>78197372A</v>
      </c>
      <c r="F446" s="10" t="s">
        <v>1767</v>
      </c>
      <c r="G446" s="10" t="s">
        <v>1768</v>
      </c>
      <c r="H446" s="10" t="s">
        <v>1769</v>
      </c>
      <c r="I446" s="10" t="s">
        <v>116</v>
      </c>
    </row>
    <row r="447" spans="1:9" x14ac:dyDescent="0.15">
      <c r="A447" s="9">
        <v>446</v>
      </c>
      <c r="B447" s="10" t="s">
        <v>9</v>
      </c>
      <c r="C447" s="10" t="s">
        <v>299</v>
      </c>
      <c r="D447" s="10" t="s">
        <v>300</v>
      </c>
      <c r="E447" s="11" t="str">
        <f>+HYPERLINK("http://trademark.i-assist.jp/data/china/image_1898th/78198123.pdf", "78198123")</f>
        <v>78198123</v>
      </c>
      <c r="F447" s="10" t="s">
        <v>1770</v>
      </c>
      <c r="G447" s="10" t="s">
        <v>1771</v>
      </c>
      <c r="H447" s="10" t="s">
        <v>1772</v>
      </c>
      <c r="I447" s="10" t="s">
        <v>116</v>
      </c>
    </row>
    <row r="448" spans="1:9" x14ac:dyDescent="0.15">
      <c r="A448" s="9">
        <v>447</v>
      </c>
      <c r="B448" s="10" t="s">
        <v>9</v>
      </c>
      <c r="C448" s="10" t="s">
        <v>299</v>
      </c>
      <c r="D448" s="10" t="s">
        <v>300</v>
      </c>
      <c r="E448" s="11" t="str">
        <f>+HYPERLINK("http://trademark.i-assist.jp/data/china/image_1898th/78198352.pdf", "78198352")</f>
        <v>78198352</v>
      </c>
      <c r="F448" s="10" t="s">
        <v>1773</v>
      </c>
      <c r="G448" s="10" t="s">
        <v>1774</v>
      </c>
      <c r="H448" s="10" t="s">
        <v>1775</v>
      </c>
      <c r="I448" s="10" t="s">
        <v>116</v>
      </c>
    </row>
    <row r="449" spans="1:9" x14ac:dyDescent="0.15">
      <c r="A449" s="9">
        <v>448</v>
      </c>
      <c r="B449" s="10" t="s">
        <v>9</v>
      </c>
      <c r="C449" s="10" t="s">
        <v>299</v>
      </c>
      <c r="D449" s="10" t="s">
        <v>300</v>
      </c>
      <c r="E449" s="11" t="str">
        <f>+HYPERLINK("http://trademark.i-assist.jp/data/china/image_1898th/78199203.pdf", "78199203")</f>
        <v>78199203</v>
      </c>
      <c r="F449" s="10" t="s">
        <v>1776</v>
      </c>
      <c r="G449" s="10" t="s">
        <v>1777</v>
      </c>
      <c r="H449" s="10" t="s">
        <v>1778</v>
      </c>
      <c r="I449" s="10" t="s">
        <v>116</v>
      </c>
    </row>
    <row r="450" spans="1:9" x14ac:dyDescent="0.15">
      <c r="A450" s="9">
        <v>449</v>
      </c>
      <c r="B450" s="10" t="s">
        <v>9</v>
      </c>
      <c r="C450" s="10" t="s">
        <v>299</v>
      </c>
      <c r="D450" s="10" t="s">
        <v>300</v>
      </c>
      <c r="E450" s="11" t="str">
        <f>+HYPERLINK("http://trademark.i-assist.jp/data/china/image_1898th/78199576.pdf", "78199576")</f>
        <v>78199576</v>
      </c>
      <c r="F450" s="10" t="s">
        <v>1779</v>
      </c>
      <c r="G450" s="10" t="s">
        <v>1735</v>
      </c>
      <c r="H450" s="10" t="s">
        <v>1780</v>
      </c>
      <c r="I450" s="10" t="s">
        <v>116</v>
      </c>
    </row>
    <row r="451" spans="1:9" x14ac:dyDescent="0.15">
      <c r="A451" s="9">
        <v>450</v>
      </c>
      <c r="B451" s="10" t="s">
        <v>9</v>
      </c>
      <c r="C451" s="10" t="s">
        <v>299</v>
      </c>
      <c r="D451" s="10" t="s">
        <v>300</v>
      </c>
      <c r="E451" s="11" t="str">
        <f>+HYPERLINK("http://trademark.i-assist.jp/data/china/image_1898th/78199849.pdf", "78199849")</f>
        <v>78199849</v>
      </c>
      <c r="F451" s="10" t="s">
        <v>1781</v>
      </c>
      <c r="G451" s="10" t="s">
        <v>1782</v>
      </c>
      <c r="H451" s="10" t="s">
        <v>1783</v>
      </c>
      <c r="I451" s="10" t="s">
        <v>116</v>
      </c>
    </row>
    <row r="452" spans="1:9" x14ac:dyDescent="0.15">
      <c r="A452" s="9">
        <v>451</v>
      </c>
      <c r="B452" s="10" t="s">
        <v>9</v>
      </c>
      <c r="C452" s="10" t="s">
        <v>299</v>
      </c>
      <c r="D452" s="10" t="s">
        <v>300</v>
      </c>
      <c r="E452" s="11" t="str">
        <f>+HYPERLINK("http://trademark.i-assist.jp/data/china/image_1898th/78200950.pdf", "78200950")</f>
        <v>78200950</v>
      </c>
      <c r="F452" s="10" t="s">
        <v>1784</v>
      </c>
      <c r="G452" s="10" t="s">
        <v>1785</v>
      </c>
      <c r="H452" s="10" t="s">
        <v>1786</v>
      </c>
      <c r="I452" s="10" t="s">
        <v>116</v>
      </c>
    </row>
    <row r="453" spans="1:9" x14ac:dyDescent="0.15">
      <c r="A453" s="9">
        <v>452</v>
      </c>
      <c r="B453" s="10" t="s">
        <v>9</v>
      </c>
      <c r="C453" s="10" t="s">
        <v>299</v>
      </c>
      <c r="D453" s="10" t="s">
        <v>300</v>
      </c>
      <c r="E453" s="11" t="str">
        <f>+HYPERLINK("http://trademark.i-assist.jp/data/china/image_1898th/78200958.pdf", "78200958")</f>
        <v>78200958</v>
      </c>
      <c r="F453" s="10" t="s">
        <v>1787</v>
      </c>
      <c r="G453" s="10" t="s">
        <v>1785</v>
      </c>
      <c r="H453" s="10" t="s">
        <v>1788</v>
      </c>
      <c r="I453" s="10" t="s">
        <v>116</v>
      </c>
    </row>
    <row r="454" spans="1:9" x14ac:dyDescent="0.15">
      <c r="A454" s="9">
        <v>453</v>
      </c>
      <c r="B454" s="10" t="s">
        <v>9</v>
      </c>
      <c r="C454" s="10" t="s">
        <v>299</v>
      </c>
      <c r="D454" s="10" t="s">
        <v>300</v>
      </c>
      <c r="E454" s="11" t="str">
        <f>+HYPERLINK("http://trademark.i-assist.jp/data/china/image_1898th/78204888.pdf", "78204888")</f>
        <v>78204888</v>
      </c>
      <c r="F454" s="10" t="s">
        <v>1742</v>
      </c>
      <c r="G454" s="10" t="s">
        <v>91</v>
      </c>
      <c r="H454" s="10" t="s">
        <v>1789</v>
      </c>
      <c r="I454" s="10" t="s">
        <v>116</v>
      </c>
    </row>
    <row r="455" spans="1:9" x14ac:dyDescent="0.15">
      <c r="A455" s="9">
        <v>454</v>
      </c>
      <c r="B455" s="10" t="s">
        <v>9</v>
      </c>
      <c r="C455" s="10" t="s">
        <v>299</v>
      </c>
      <c r="D455" s="10" t="s">
        <v>300</v>
      </c>
      <c r="E455" s="11" t="str">
        <f>+HYPERLINK("http://trademark.i-assist.jp/data/china/image_1898th/78207159.pdf", "78207159")</f>
        <v>78207159</v>
      </c>
      <c r="F455" s="10" t="s">
        <v>1742</v>
      </c>
      <c r="G455" s="10" t="s">
        <v>91</v>
      </c>
      <c r="H455" s="10" t="s">
        <v>1790</v>
      </c>
      <c r="I455" s="10" t="s">
        <v>116</v>
      </c>
    </row>
    <row r="456" spans="1:9" x14ac:dyDescent="0.15">
      <c r="A456" s="9">
        <v>455</v>
      </c>
      <c r="B456" s="10" t="s">
        <v>9</v>
      </c>
      <c r="C456" s="10" t="s">
        <v>299</v>
      </c>
      <c r="D456" s="10" t="s">
        <v>300</v>
      </c>
      <c r="E456" s="11" t="str">
        <f>+HYPERLINK("http://trademark.i-assist.jp/data/china/image_1898th/78207168.pdf", "78207168")</f>
        <v>78207168</v>
      </c>
      <c r="F456" s="10" t="s">
        <v>1742</v>
      </c>
      <c r="G456" s="10" t="s">
        <v>91</v>
      </c>
      <c r="H456" s="10" t="s">
        <v>1791</v>
      </c>
      <c r="I456" s="10" t="s">
        <v>116</v>
      </c>
    </row>
    <row r="457" spans="1:9" x14ac:dyDescent="0.15">
      <c r="A457" s="9">
        <v>456</v>
      </c>
      <c r="B457" s="10" t="s">
        <v>9</v>
      </c>
      <c r="C457" s="10" t="s">
        <v>299</v>
      </c>
      <c r="D457" s="10" t="s">
        <v>300</v>
      </c>
      <c r="E457" s="11" t="str">
        <f>+HYPERLINK("http://trademark.i-assist.jp/data/china/image_1898th/78207249.pdf", "78207249")</f>
        <v>78207249</v>
      </c>
      <c r="F457" s="10" t="s">
        <v>1793</v>
      </c>
      <c r="G457" s="10" t="s">
        <v>1794</v>
      </c>
      <c r="H457" s="10" t="s">
        <v>1795</v>
      </c>
      <c r="I457" s="10" t="s">
        <v>116</v>
      </c>
    </row>
    <row r="458" spans="1:9" x14ac:dyDescent="0.15">
      <c r="A458" s="9">
        <v>457</v>
      </c>
      <c r="B458" s="10" t="s">
        <v>9</v>
      </c>
      <c r="C458" s="10" t="s">
        <v>299</v>
      </c>
      <c r="D458" s="10" t="s">
        <v>300</v>
      </c>
      <c r="E458" s="11" t="str">
        <f>+HYPERLINK("http://trademark.i-assist.jp/data/china/image_1898th/78207610.pdf", "78207610")</f>
        <v>78207610</v>
      </c>
      <c r="F458" s="10" t="s">
        <v>1796</v>
      </c>
      <c r="G458" s="10" t="s">
        <v>1735</v>
      </c>
      <c r="H458" s="10" t="s">
        <v>1797</v>
      </c>
      <c r="I458" s="10" t="s">
        <v>116</v>
      </c>
    </row>
    <row r="459" spans="1:9" x14ac:dyDescent="0.15">
      <c r="A459" s="9">
        <v>458</v>
      </c>
      <c r="B459" s="10" t="s">
        <v>9</v>
      </c>
      <c r="C459" s="10" t="s">
        <v>299</v>
      </c>
      <c r="D459" s="10" t="s">
        <v>300</v>
      </c>
      <c r="E459" s="11" t="str">
        <f>+HYPERLINK("http://trademark.i-assist.jp/data/china/image_1898th/78207867.pdf", "78207867")</f>
        <v>78207867</v>
      </c>
      <c r="F459" s="10" t="s">
        <v>1798</v>
      </c>
      <c r="G459" s="10" t="s">
        <v>1735</v>
      </c>
      <c r="H459" s="10" t="s">
        <v>1799</v>
      </c>
      <c r="I459" s="10" t="s">
        <v>116</v>
      </c>
    </row>
    <row r="460" spans="1:9" x14ac:dyDescent="0.15">
      <c r="A460" s="9">
        <v>459</v>
      </c>
      <c r="B460" s="10" t="s">
        <v>9</v>
      </c>
      <c r="C460" s="10" t="s">
        <v>299</v>
      </c>
      <c r="D460" s="10" t="s">
        <v>300</v>
      </c>
      <c r="E460" s="11" t="str">
        <f>+HYPERLINK("http://trademark.i-assist.jp/data/china/image_1898th/78207973.pdf", "78207973")</f>
        <v>78207973</v>
      </c>
      <c r="F460" s="10" t="s">
        <v>1800</v>
      </c>
      <c r="G460" s="10" t="s">
        <v>1801</v>
      </c>
      <c r="H460" s="10" t="s">
        <v>1802</v>
      </c>
      <c r="I460" s="10" t="s">
        <v>116</v>
      </c>
    </row>
    <row r="461" spans="1:9" x14ac:dyDescent="0.15">
      <c r="A461" s="9">
        <v>460</v>
      </c>
      <c r="B461" s="10" t="s">
        <v>9</v>
      </c>
      <c r="C461" s="10" t="s">
        <v>299</v>
      </c>
      <c r="D461" s="10" t="s">
        <v>300</v>
      </c>
      <c r="E461" s="11" t="str">
        <f>+HYPERLINK("http://trademark.i-assist.jp/data/china/image_1898th/78208436.pdf", "78208436")</f>
        <v>78208436</v>
      </c>
      <c r="F461" s="10" t="s">
        <v>1803</v>
      </c>
      <c r="G461" s="10" t="s">
        <v>1804</v>
      </c>
      <c r="H461" s="10" t="s">
        <v>1805</v>
      </c>
      <c r="I461" s="10" t="s">
        <v>116</v>
      </c>
    </row>
    <row r="462" spans="1:9" x14ac:dyDescent="0.15">
      <c r="A462" s="9">
        <v>461</v>
      </c>
      <c r="B462" s="10" t="s">
        <v>9</v>
      </c>
      <c r="C462" s="10" t="s">
        <v>299</v>
      </c>
      <c r="D462" s="10" t="s">
        <v>300</v>
      </c>
      <c r="E462" s="11" t="str">
        <f>+HYPERLINK("http://trademark.i-assist.jp/data/china/image_1898th/78208703.pdf", "78208703")</f>
        <v>78208703</v>
      </c>
      <c r="F462" s="10" t="s">
        <v>1742</v>
      </c>
      <c r="G462" s="10" t="s">
        <v>91</v>
      </c>
      <c r="H462" s="10" t="s">
        <v>1806</v>
      </c>
      <c r="I462" s="10" t="s">
        <v>116</v>
      </c>
    </row>
    <row r="463" spans="1:9" x14ac:dyDescent="0.15">
      <c r="A463" s="9">
        <v>462</v>
      </c>
      <c r="B463" s="10" t="s">
        <v>9</v>
      </c>
      <c r="C463" s="10" t="s">
        <v>299</v>
      </c>
      <c r="D463" s="10" t="s">
        <v>300</v>
      </c>
      <c r="E463" s="11" t="str">
        <f>+HYPERLINK("http://trademark.i-assist.jp/data/china/image_1898th/78209574.pdf", "78209574")</f>
        <v>78209574</v>
      </c>
      <c r="F463" s="10" t="s">
        <v>1807</v>
      </c>
      <c r="G463" s="10" t="s">
        <v>1808</v>
      </c>
      <c r="H463" s="10" t="s">
        <v>1809</v>
      </c>
      <c r="I463" s="10" t="s">
        <v>116</v>
      </c>
    </row>
    <row r="464" spans="1:9" x14ac:dyDescent="0.15">
      <c r="A464" s="9">
        <v>463</v>
      </c>
      <c r="B464" s="10" t="s">
        <v>9</v>
      </c>
      <c r="C464" s="10" t="s">
        <v>299</v>
      </c>
      <c r="D464" s="10" t="s">
        <v>300</v>
      </c>
      <c r="E464" s="11" t="str">
        <f>+HYPERLINK("http://trademark.i-assist.jp/data/china/image_1898th/78210233.pdf", "78210233")</f>
        <v>78210233</v>
      </c>
      <c r="F464" s="10" t="s">
        <v>1810</v>
      </c>
      <c r="G464" s="10" t="s">
        <v>1756</v>
      </c>
      <c r="H464" s="10" t="s">
        <v>1811</v>
      </c>
      <c r="I464" s="10" t="s">
        <v>116</v>
      </c>
    </row>
    <row r="465" spans="1:9" x14ac:dyDescent="0.15">
      <c r="A465" s="9">
        <v>464</v>
      </c>
      <c r="B465" s="10" t="s">
        <v>9</v>
      </c>
      <c r="C465" s="10" t="s">
        <v>299</v>
      </c>
      <c r="D465" s="10" t="s">
        <v>300</v>
      </c>
      <c r="E465" s="11" t="str">
        <f>+HYPERLINK("http://trademark.i-assist.jp/data/china/image_1898th/78210992.pdf", "78210992")</f>
        <v>78210992</v>
      </c>
      <c r="F465" s="10" t="s">
        <v>1812</v>
      </c>
      <c r="G465" s="10" t="s">
        <v>1813</v>
      </c>
      <c r="H465" s="10" t="s">
        <v>1814</v>
      </c>
      <c r="I465" s="10" t="s">
        <v>116</v>
      </c>
    </row>
    <row r="466" spans="1:9" x14ac:dyDescent="0.15">
      <c r="A466" s="9">
        <v>465</v>
      </c>
      <c r="B466" s="10" t="s">
        <v>9</v>
      </c>
      <c r="C466" s="10" t="s">
        <v>299</v>
      </c>
      <c r="D466" s="10" t="s">
        <v>300</v>
      </c>
      <c r="E466" s="11" t="str">
        <f>+HYPERLINK("http://trademark.i-assist.jp/data/china/image_1898th/78211245.pdf", "78211245")</f>
        <v>78211245</v>
      </c>
      <c r="F466" s="10" t="s">
        <v>1815</v>
      </c>
      <c r="G466" s="10" t="s">
        <v>1816</v>
      </c>
      <c r="H466" s="10" t="s">
        <v>1817</v>
      </c>
      <c r="I466" s="10" t="s">
        <v>116</v>
      </c>
    </row>
    <row r="467" spans="1:9" x14ac:dyDescent="0.15">
      <c r="A467" s="9">
        <v>466</v>
      </c>
      <c r="B467" s="10" t="s">
        <v>9</v>
      </c>
      <c r="C467" s="10" t="s">
        <v>299</v>
      </c>
      <c r="D467" s="10" t="s">
        <v>300</v>
      </c>
      <c r="E467" s="11" t="str">
        <f>+HYPERLINK("http://trademark.i-assist.jp/data/china/image_1898th/78211617.pdf", "78211617")</f>
        <v>78211617</v>
      </c>
      <c r="F467" s="10" t="s">
        <v>1818</v>
      </c>
      <c r="G467" s="10" t="s">
        <v>115</v>
      </c>
      <c r="H467" s="10" t="s">
        <v>1819</v>
      </c>
      <c r="I467" s="10" t="s">
        <v>116</v>
      </c>
    </row>
    <row r="468" spans="1:9" x14ac:dyDescent="0.15">
      <c r="A468" s="9">
        <v>467</v>
      </c>
      <c r="B468" s="10" t="s">
        <v>9</v>
      </c>
      <c r="C468" s="10" t="s">
        <v>299</v>
      </c>
      <c r="D468" s="10" t="s">
        <v>300</v>
      </c>
      <c r="E468" s="11" t="str">
        <f>+HYPERLINK("http://trademark.i-assist.jp/data/china/image_1898th/78212588.pdf", "78212588")</f>
        <v>78212588</v>
      </c>
      <c r="F468" s="10" t="s">
        <v>1820</v>
      </c>
      <c r="G468" s="10" t="s">
        <v>1821</v>
      </c>
      <c r="H468" s="10" t="s">
        <v>1822</v>
      </c>
      <c r="I468" s="10" t="s">
        <v>116</v>
      </c>
    </row>
    <row r="469" spans="1:9" x14ac:dyDescent="0.15">
      <c r="A469" s="9">
        <v>468</v>
      </c>
      <c r="B469" s="10" t="s">
        <v>9</v>
      </c>
      <c r="C469" s="10" t="s">
        <v>299</v>
      </c>
      <c r="D469" s="10" t="s">
        <v>300</v>
      </c>
      <c r="E469" s="11" t="str">
        <f>+HYPERLINK("http://trademark.i-assist.jp/data/china/image_1898th/78213354.pdf", "78213354")</f>
        <v>78213354</v>
      </c>
      <c r="F469" s="10" t="s">
        <v>1742</v>
      </c>
      <c r="G469" s="10" t="s">
        <v>91</v>
      </c>
      <c r="H469" s="10" t="s">
        <v>1823</v>
      </c>
      <c r="I469" s="10" t="s">
        <v>116</v>
      </c>
    </row>
    <row r="470" spans="1:9" x14ac:dyDescent="0.15">
      <c r="A470" s="9">
        <v>469</v>
      </c>
      <c r="B470" s="10" t="s">
        <v>9</v>
      </c>
      <c r="C470" s="10" t="s">
        <v>299</v>
      </c>
      <c r="D470" s="10" t="s">
        <v>300</v>
      </c>
      <c r="E470" s="11" t="str">
        <f>+HYPERLINK("http://trademark.i-assist.jp/data/china/image_1898th/78213731.pdf", "78213731")</f>
        <v>78213731</v>
      </c>
      <c r="F470" s="10" t="s">
        <v>1824</v>
      </c>
      <c r="G470" s="10" t="s">
        <v>118</v>
      </c>
      <c r="H470" s="10" t="s">
        <v>1825</v>
      </c>
      <c r="I470" s="10" t="s">
        <v>116</v>
      </c>
    </row>
    <row r="471" spans="1:9" x14ac:dyDescent="0.15">
      <c r="A471" s="9">
        <v>470</v>
      </c>
      <c r="B471" s="10" t="s">
        <v>9</v>
      </c>
      <c r="C471" s="10" t="s">
        <v>299</v>
      </c>
      <c r="D471" s="10" t="s">
        <v>300</v>
      </c>
      <c r="E471" s="11" t="str">
        <f>+HYPERLINK("http://trademark.i-assist.jp/data/china/image_1898th/78214340.pdf", "78214340")</f>
        <v>78214340</v>
      </c>
      <c r="F471" s="10" t="s">
        <v>1826</v>
      </c>
      <c r="G471" s="10" t="s">
        <v>247</v>
      </c>
      <c r="H471" s="10" t="s">
        <v>1827</v>
      </c>
      <c r="I471" s="10" t="s">
        <v>120</v>
      </c>
    </row>
    <row r="472" spans="1:9" x14ac:dyDescent="0.15">
      <c r="A472" s="9">
        <v>471</v>
      </c>
      <c r="B472" s="10" t="s">
        <v>9</v>
      </c>
      <c r="C472" s="10" t="s">
        <v>299</v>
      </c>
      <c r="D472" s="10" t="s">
        <v>300</v>
      </c>
      <c r="E472" s="11" t="str">
        <f>+HYPERLINK("http://trademark.i-assist.jp/data/china/image_1898th/78214373.pdf", "78214373")</f>
        <v>78214373</v>
      </c>
      <c r="F472" s="10" t="s">
        <v>1828</v>
      </c>
      <c r="G472" s="10" t="s">
        <v>1829</v>
      </c>
      <c r="H472" s="10" t="s">
        <v>1830</v>
      </c>
      <c r="I472" s="10" t="s">
        <v>120</v>
      </c>
    </row>
    <row r="473" spans="1:9" x14ac:dyDescent="0.15">
      <c r="A473" s="9">
        <v>472</v>
      </c>
      <c r="B473" s="10" t="s">
        <v>9</v>
      </c>
      <c r="C473" s="10" t="s">
        <v>299</v>
      </c>
      <c r="D473" s="10" t="s">
        <v>300</v>
      </c>
      <c r="E473" s="11" t="str">
        <f>+HYPERLINK("http://trademark.i-assist.jp/data/china/image_1898th/78215736.pdf", "78215736")</f>
        <v>78215736</v>
      </c>
      <c r="F473" s="10" t="s">
        <v>1831</v>
      </c>
      <c r="G473" s="10" t="s">
        <v>1832</v>
      </c>
      <c r="H473" s="10" t="s">
        <v>1833</v>
      </c>
      <c r="I473" s="10" t="s">
        <v>120</v>
      </c>
    </row>
    <row r="474" spans="1:9" x14ac:dyDescent="0.15">
      <c r="A474" s="9">
        <v>473</v>
      </c>
      <c r="B474" s="10" t="s">
        <v>9</v>
      </c>
      <c r="C474" s="10" t="s">
        <v>299</v>
      </c>
      <c r="D474" s="10" t="s">
        <v>300</v>
      </c>
      <c r="E474" s="11" t="str">
        <f>+HYPERLINK("http://trademark.i-assist.jp/data/china/image_1898th/78216586.pdf", "78216586")</f>
        <v>78216586</v>
      </c>
      <c r="F474" s="10" t="s">
        <v>19</v>
      </c>
      <c r="G474" s="10" t="s">
        <v>1834</v>
      </c>
      <c r="H474" s="10" t="s">
        <v>1835</v>
      </c>
      <c r="I474" s="10" t="s">
        <v>120</v>
      </c>
    </row>
    <row r="475" spans="1:9" x14ac:dyDescent="0.15">
      <c r="A475" s="9">
        <v>474</v>
      </c>
      <c r="B475" s="10" t="s">
        <v>9</v>
      </c>
      <c r="C475" s="10" t="s">
        <v>299</v>
      </c>
      <c r="D475" s="10" t="s">
        <v>300</v>
      </c>
      <c r="E475" s="11" t="str">
        <f>+HYPERLINK("http://trademark.i-assist.jp/data/china/image_1898th/78216650.pdf", "78216650")</f>
        <v>78216650</v>
      </c>
      <c r="F475" s="10" t="s">
        <v>1836</v>
      </c>
      <c r="G475" s="10" t="s">
        <v>1837</v>
      </c>
      <c r="H475" s="10" t="s">
        <v>1838</v>
      </c>
      <c r="I475" s="10" t="s">
        <v>120</v>
      </c>
    </row>
    <row r="476" spans="1:9" x14ac:dyDescent="0.15">
      <c r="A476" s="9">
        <v>475</v>
      </c>
      <c r="B476" s="10" t="s">
        <v>9</v>
      </c>
      <c r="C476" s="10" t="s">
        <v>299</v>
      </c>
      <c r="D476" s="10" t="s">
        <v>300</v>
      </c>
      <c r="E476" s="11" t="str">
        <f>+HYPERLINK("http://trademark.i-assist.jp/data/china/image_1898th/78216659.pdf", "78216659")</f>
        <v>78216659</v>
      </c>
      <c r="F476" s="10" t="s">
        <v>1839</v>
      </c>
      <c r="G476" s="10" t="s">
        <v>1840</v>
      </c>
      <c r="H476" s="10" t="s">
        <v>1841</v>
      </c>
      <c r="I476" s="10" t="s">
        <v>120</v>
      </c>
    </row>
    <row r="477" spans="1:9" x14ac:dyDescent="0.15">
      <c r="A477" s="9">
        <v>476</v>
      </c>
      <c r="B477" s="10" t="s">
        <v>9</v>
      </c>
      <c r="C477" s="10" t="s">
        <v>299</v>
      </c>
      <c r="D477" s="10" t="s">
        <v>300</v>
      </c>
      <c r="E477" s="11" t="str">
        <f>+HYPERLINK("http://trademark.i-assist.jp/data/china/image_1898th/78217319.pdf", "78217319")</f>
        <v>78217319</v>
      </c>
      <c r="F477" s="10" t="s">
        <v>1842</v>
      </c>
      <c r="G477" s="10" t="s">
        <v>1843</v>
      </c>
      <c r="H477" s="10" t="s">
        <v>1844</v>
      </c>
      <c r="I477" s="10" t="s">
        <v>120</v>
      </c>
    </row>
    <row r="478" spans="1:9" x14ac:dyDescent="0.15">
      <c r="A478" s="9">
        <v>477</v>
      </c>
      <c r="B478" s="10" t="s">
        <v>9</v>
      </c>
      <c r="C478" s="10" t="s">
        <v>299</v>
      </c>
      <c r="D478" s="10" t="s">
        <v>300</v>
      </c>
      <c r="E478" s="11" t="str">
        <f>+HYPERLINK("http://trademark.i-assist.jp/data/china/image_1898th/78217622.pdf", "78217622")</f>
        <v>78217622</v>
      </c>
      <c r="F478" s="10" t="s">
        <v>1845</v>
      </c>
      <c r="G478" s="10" t="s">
        <v>1846</v>
      </c>
      <c r="H478" s="10" t="s">
        <v>1847</v>
      </c>
      <c r="I478" s="10" t="s">
        <v>120</v>
      </c>
    </row>
    <row r="479" spans="1:9" x14ac:dyDescent="0.15">
      <c r="A479" s="9">
        <v>478</v>
      </c>
      <c r="B479" s="10" t="s">
        <v>9</v>
      </c>
      <c r="C479" s="10" t="s">
        <v>299</v>
      </c>
      <c r="D479" s="10" t="s">
        <v>300</v>
      </c>
      <c r="E479" s="11" t="str">
        <f>+HYPERLINK("http://trademark.i-assist.jp/data/china/image_1898th/78217794.pdf", "78217794")</f>
        <v>78217794</v>
      </c>
      <c r="F479" s="10" t="s">
        <v>1848</v>
      </c>
      <c r="G479" s="10" t="s">
        <v>1849</v>
      </c>
      <c r="H479" s="10" t="s">
        <v>1850</v>
      </c>
      <c r="I479" s="10" t="s">
        <v>120</v>
      </c>
    </row>
    <row r="480" spans="1:9" x14ac:dyDescent="0.15">
      <c r="A480" s="9">
        <v>479</v>
      </c>
      <c r="B480" s="10" t="s">
        <v>9</v>
      </c>
      <c r="C480" s="10" t="s">
        <v>299</v>
      </c>
      <c r="D480" s="10" t="s">
        <v>300</v>
      </c>
      <c r="E480" s="11" t="str">
        <f>+HYPERLINK("http://trademark.i-assist.jp/data/china/image_1898th/78219713.pdf", "78219713")</f>
        <v>78219713</v>
      </c>
      <c r="F480" s="10" t="s">
        <v>1851</v>
      </c>
      <c r="G480" s="10" t="s">
        <v>1852</v>
      </c>
      <c r="H480" s="10" t="s">
        <v>1853</v>
      </c>
      <c r="I480" s="10" t="s">
        <v>120</v>
      </c>
    </row>
    <row r="481" spans="1:9" x14ac:dyDescent="0.15">
      <c r="A481" s="9">
        <v>480</v>
      </c>
      <c r="B481" s="10" t="s">
        <v>9</v>
      </c>
      <c r="C481" s="10" t="s">
        <v>299</v>
      </c>
      <c r="D481" s="10" t="s">
        <v>300</v>
      </c>
      <c r="E481" s="11" t="str">
        <f>+HYPERLINK("http://trademark.i-assist.jp/data/china/image_1898th/78219967.pdf", "78219967")</f>
        <v>78219967</v>
      </c>
      <c r="F481" s="10" t="s">
        <v>1854</v>
      </c>
      <c r="G481" s="10" t="s">
        <v>1855</v>
      </c>
      <c r="H481" s="10" t="s">
        <v>1856</v>
      </c>
      <c r="I481" s="10" t="s">
        <v>120</v>
      </c>
    </row>
    <row r="482" spans="1:9" x14ac:dyDescent="0.15">
      <c r="A482" s="9">
        <v>481</v>
      </c>
      <c r="B482" s="10" t="s">
        <v>9</v>
      </c>
      <c r="C482" s="10" t="s">
        <v>299</v>
      </c>
      <c r="D482" s="10" t="s">
        <v>300</v>
      </c>
      <c r="E482" s="11" t="str">
        <f>+HYPERLINK("http://trademark.i-assist.jp/data/china/image_1898th/78221355.pdf", "78221355")</f>
        <v>78221355</v>
      </c>
      <c r="F482" s="10" t="s">
        <v>1857</v>
      </c>
      <c r="G482" s="10" t="s">
        <v>1858</v>
      </c>
      <c r="H482" s="10" t="s">
        <v>1859</v>
      </c>
      <c r="I482" s="10" t="s">
        <v>120</v>
      </c>
    </row>
    <row r="483" spans="1:9" x14ac:dyDescent="0.15">
      <c r="A483" s="9">
        <v>482</v>
      </c>
      <c r="B483" s="10" t="s">
        <v>9</v>
      </c>
      <c r="C483" s="10" t="s">
        <v>299</v>
      </c>
      <c r="D483" s="10" t="s">
        <v>300</v>
      </c>
      <c r="E483" s="11" t="str">
        <f>+HYPERLINK("http://trademark.i-assist.jp/data/china/image_1898th/78221911.pdf", "78221911")</f>
        <v>78221911</v>
      </c>
      <c r="F483" s="10" t="s">
        <v>1860</v>
      </c>
      <c r="G483" s="10" t="s">
        <v>1852</v>
      </c>
      <c r="H483" s="10" t="s">
        <v>1861</v>
      </c>
      <c r="I483" s="10" t="s">
        <v>120</v>
      </c>
    </row>
    <row r="484" spans="1:9" x14ac:dyDescent="0.15">
      <c r="A484" s="9">
        <v>483</v>
      </c>
      <c r="B484" s="10" t="s">
        <v>9</v>
      </c>
      <c r="C484" s="10" t="s">
        <v>299</v>
      </c>
      <c r="D484" s="10" t="s">
        <v>300</v>
      </c>
      <c r="E484" s="11" t="str">
        <f>+HYPERLINK("http://trademark.i-assist.jp/data/china/image_1898th/78222263.pdf", "78222263")</f>
        <v>78222263</v>
      </c>
      <c r="F484" s="10" t="s">
        <v>1862</v>
      </c>
      <c r="G484" s="10" t="s">
        <v>272</v>
      </c>
      <c r="H484" s="10" t="s">
        <v>1863</v>
      </c>
      <c r="I484" s="10" t="s">
        <v>120</v>
      </c>
    </row>
    <row r="485" spans="1:9" x14ac:dyDescent="0.15">
      <c r="A485" s="9">
        <v>484</v>
      </c>
      <c r="B485" s="10" t="s">
        <v>9</v>
      </c>
      <c r="C485" s="10" t="s">
        <v>299</v>
      </c>
      <c r="D485" s="10" t="s">
        <v>300</v>
      </c>
      <c r="E485" s="11" t="str">
        <f>+HYPERLINK("http://trademark.i-assist.jp/data/china/image_1898th/78222287.pdf", "78222287")</f>
        <v>78222287</v>
      </c>
      <c r="F485" s="10" t="s">
        <v>1864</v>
      </c>
      <c r="G485" s="10" t="s">
        <v>272</v>
      </c>
      <c r="H485" s="10" t="s">
        <v>1865</v>
      </c>
      <c r="I485" s="10" t="s">
        <v>120</v>
      </c>
    </row>
    <row r="486" spans="1:9" x14ac:dyDescent="0.15">
      <c r="A486" s="9">
        <v>485</v>
      </c>
      <c r="B486" s="10" t="s">
        <v>9</v>
      </c>
      <c r="C486" s="10" t="s">
        <v>299</v>
      </c>
      <c r="D486" s="10" t="s">
        <v>300</v>
      </c>
      <c r="E486" s="11" t="str">
        <f>+HYPERLINK("http://trademark.i-assist.jp/data/china/image_1898th/78222415.pdf", "78222415")</f>
        <v>78222415</v>
      </c>
      <c r="F486" s="10" t="s">
        <v>1866</v>
      </c>
      <c r="G486" s="10" t="s">
        <v>1867</v>
      </c>
      <c r="H486" s="10" t="s">
        <v>1868</v>
      </c>
      <c r="I486" s="10" t="s">
        <v>120</v>
      </c>
    </row>
    <row r="487" spans="1:9" x14ac:dyDescent="0.15">
      <c r="A487" s="9">
        <v>486</v>
      </c>
      <c r="B487" s="10" t="s">
        <v>9</v>
      </c>
      <c r="C487" s="10" t="s">
        <v>299</v>
      </c>
      <c r="D487" s="10" t="s">
        <v>300</v>
      </c>
      <c r="E487" s="11" t="str">
        <f>+HYPERLINK("http://trademark.i-assist.jp/data/china/image_1898th/78224483.pdf", "78224483")</f>
        <v>78224483</v>
      </c>
      <c r="F487" s="10" t="s">
        <v>1869</v>
      </c>
      <c r="G487" s="10" t="s">
        <v>1870</v>
      </c>
      <c r="H487" s="10" t="s">
        <v>1871</v>
      </c>
      <c r="I487" s="10" t="s">
        <v>120</v>
      </c>
    </row>
    <row r="488" spans="1:9" x14ac:dyDescent="0.15">
      <c r="A488" s="9">
        <v>487</v>
      </c>
      <c r="B488" s="10" t="s">
        <v>9</v>
      </c>
      <c r="C488" s="10" t="s">
        <v>299</v>
      </c>
      <c r="D488" s="10" t="s">
        <v>300</v>
      </c>
      <c r="E488" s="11" t="str">
        <f>+HYPERLINK("http://trademark.i-assist.jp/data/china/image_1898th/78224749.pdf", "78224749")</f>
        <v>78224749</v>
      </c>
      <c r="F488" s="10" t="s">
        <v>1872</v>
      </c>
      <c r="G488" s="10" t="s">
        <v>121</v>
      </c>
      <c r="H488" s="10" t="s">
        <v>1873</v>
      </c>
      <c r="I488" s="10" t="s">
        <v>120</v>
      </c>
    </row>
    <row r="489" spans="1:9" x14ac:dyDescent="0.15">
      <c r="A489" s="9">
        <v>488</v>
      </c>
      <c r="B489" s="10" t="s">
        <v>9</v>
      </c>
      <c r="C489" s="10" t="s">
        <v>299</v>
      </c>
      <c r="D489" s="10" t="s">
        <v>300</v>
      </c>
      <c r="E489" s="11" t="str">
        <f>+HYPERLINK("http://trademark.i-assist.jp/data/china/image_1898th/78225883.pdf", "78225883")</f>
        <v>78225883</v>
      </c>
      <c r="F489" s="10" t="s">
        <v>1874</v>
      </c>
      <c r="G489" s="10" t="s">
        <v>1875</v>
      </c>
      <c r="H489" s="10" t="s">
        <v>1876</v>
      </c>
      <c r="I489" s="10" t="s">
        <v>120</v>
      </c>
    </row>
    <row r="490" spans="1:9" x14ac:dyDescent="0.15">
      <c r="A490" s="9">
        <v>489</v>
      </c>
      <c r="B490" s="10" t="s">
        <v>9</v>
      </c>
      <c r="C490" s="10" t="s">
        <v>299</v>
      </c>
      <c r="D490" s="10" t="s">
        <v>300</v>
      </c>
      <c r="E490" s="11" t="str">
        <f>+HYPERLINK("http://trademark.i-assist.jp/data/china/image_1898th/78227132.pdf", "78227132")</f>
        <v>78227132</v>
      </c>
      <c r="F490" s="10" t="s">
        <v>1877</v>
      </c>
      <c r="G490" s="10" t="s">
        <v>1829</v>
      </c>
      <c r="H490" s="10" t="s">
        <v>1878</v>
      </c>
      <c r="I490" s="10" t="s">
        <v>120</v>
      </c>
    </row>
    <row r="491" spans="1:9" x14ac:dyDescent="0.15">
      <c r="A491" s="9">
        <v>490</v>
      </c>
      <c r="B491" s="10" t="s">
        <v>9</v>
      </c>
      <c r="C491" s="10" t="s">
        <v>299</v>
      </c>
      <c r="D491" s="10" t="s">
        <v>300</v>
      </c>
      <c r="E491" s="11" t="str">
        <f>+HYPERLINK("http://trademark.i-assist.jp/data/china/image_1898th/78227397.pdf", "78227397")</f>
        <v>78227397</v>
      </c>
      <c r="F491" s="10" t="s">
        <v>1879</v>
      </c>
      <c r="G491" s="10" t="s">
        <v>1880</v>
      </c>
      <c r="H491" s="10" t="s">
        <v>1881</v>
      </c>
      <c r="I491" s="10" t="s">
        <v>120</v>
      </c>
    </row>
    <row r="492" spans="1:9" x14ac:dyDescent="0.15">
      <c r="A492" s="9">
        <v>491</v>
      </c>
      <c r="B492" s="10" t="s">
        <v>9</v>
      </c>
      <c r="C492" s="10" t="s">
        <v>299</v>
      </c>
      <c r="D492" s="10" t="s">
        <v>300</v>
      </c>
      <c r="E492" s="11" t="str">
        <f>+HYPERLINK("http://trademark.i-assist.jp/data/china/image_1898th/78227489.pdf", "78227489")</f>
        <v>78227489</v>
      </c>
      <c r="F492" s="10" t="s">
        <v>1882</v>
      </c>
      <c r="G492" s="10" t="s">
        <v>163</v>
      </c>
      <c r="H492" s="10" t="s">
        <v>1883</v>
      </c>
      <c r="I492" s="10" t="s">
        <v>120</v>
      </c>
    </row>
    <row r="493" spans="1:9" x14ac:dyDescent="0.15">
      <c r="A493" s="9">
        <v>492</v>
      </c>
      <c r="B493" s="10" t="s">
        <v>9</v>
      </c>
      <c r="C493" s="10" t="s">
        <v>299</v>
      </c>
      <c r="D493" s="10" t="s">
        <v>300</v>
      </c>
      <c r="E493" s="11" t="str">
        <f>+HYPERLINK("http://trademark.i-assist.jp/data/china/image_1898th/78229153.pdf", "78229153")</f>
        <v>78229153</v>
      </c>
      <c r="F493" s="10" t="s">
        <v>1884</v>
      </c>
      <c r="G493" s="10" t="s">
        <v>1885</v>
      </c>
      <c r="H493" s="10" t="s">
        <v>1886</v>
      </c>
      <c r="I493" s="10" t="s">
        <v>120</v>
      </c>
    </row>
    <row r="494" spans="1:9" x14ac:dyDescent="0.15">
      <c r="A494" s="9">
        <v>493</v>
      </c>
      <c r="B494" s="10" t="s">
        <v>9</v>
      </c>
      <c r="C494" s="10" t="s">
        <v>299</v>
      </c>
      <c r="D494" s="10" t="s">
        <v>300</v>
      </c>
      <c r="E494" s="11" t="str">
        <f>+HYPERLINK("http://trademark.i-assist.jp/data/china/image_1898th/78229209.pdf", "78229209")</f>
        <v>78229209</v>
      </c>
      <c r="F494" s="10" t="s">
        <v>1887</v>
      </c>
      <c r="G494" s="10" t="s">
        <v>1888</v>
      </c>
      <c r="H494" s="10" t="s">
        <v>34</v>
      </c>
      <c r="I494" s="10" t="s">
        <v>120</v>
      </c>
    </row>
    <row r="495" spans="1:9" x14ac:dyDescent="0.15">
      <c r="A495" s="9">
        <v>494</v>
      </c>
      <c r="B495" s="10" t="s">
        <v>9</v>
      </c>
      <c r="C495" s="10" t="s">
        <v>299</v>
      </c>
      <c r="D495" s="10" t="s">
        <v>300</v>
      </c>
      <c r="E495" s="11" t="str">
        <f>+HYPERLINK("http://trademark.i-assist.jp/data/china/image_1898th/78229528.pdf", "78229528")</f>
        <v>78229528</v>
      </c>
      <c r="F495" s="10" t="s">
        <v>1889</v>
      </c>
      <c r="G495" s="10" t="s">
        <v>1852</v>
      </c>
      <c r="H495" s="10" t="s">
        <v>1890</v>
      </c>
      <c r="I495" s="10" t="s">
        <v>120</v>
      </c>
    </row>
    <row r="496" spans="1:9" x14ac:dyDescent="0.15">
      <c r="A496" s="9">
        <v>495</v>
      </c>
      <c r="B496" s="10" t="s">
        <v>9</v>
      </c>
      <c r="C496" s="10" t="s">
        <v>299</v>
      </c>
      <c r="D496" s="10" t="s">
        <v>300</v>
      </c>
      <c r="E496" s="11" t="str">
        <f>+HYPERLINK("http://trademark.i-assist.jp/data/china/image_1898th/78229790.pdf", "78229790")</f>
        <v>78229790</v>
      </c>
      <c r="F496" s="10" t="s">
        <v>1891</v>
      </c>
      <c r="G496" s="10" t="s">
        <v>49</v>
      </c>
      <c r="H496" s="10" t="s">
        <v>1892</v>
      </c>
      <c r="I496" s="10" t="s">
        <v>120</v>
      </c>
    </row>
    <row r="497" spans="1:9" x14ac:dyDescent="0.15">
      <c r="A497" s="9">
        <v>496</v>
      </c>
      <c r="B497" s="10" t="s">
        <v>9</v>
      </c>
      <c r="C497" s="10" t="s">
        <v>299</v>
      </c>
      <c r="D497" s="10" t="s">
        <v>300</v>
      </c>
      <c r="E497" s="11" t="str">
        <f>+HYPERLINK("http://trademark.i-assist.jp/data/china/image_1898th/78230429.pdf", "78230429")</f>
        <v>78230429</v>
      </c>
      <c r="F497" s="10" t="s">
        <v>1893</v>
      </c>
      <c r="G497" s="10" t="s">
        <v>1855</v>
      </c>
      <c r="H497" s="10" t="s">
        <v>1894</v>
      </c>
      <c r="I497" s="10" t="s">
        <v>120</v>
      </c>
    </row>
    <row r="498" spans="1:9" x14ac:dyDescent="0.15">
      <c r="A498" s="9">
        <v>497</v>
      </c>
      <c r="B498" s="10" t="s">
        <v>9</v>
      </c>
      <c r="C498" s="10" t="s">
        <v>299</v>
      </c>
      <c r="D498" s="10" t="s">
        <v>300</v>
      </c>
      <c r="E498" s="11" t="str">
        <f>+HYPERLINK("http://trademark.i-assist.jp/data/china/image_1898th/78230665.pdf", "78230665")</f>
        <v>78230665</v>
      </c>
      <c r="F498" s="10" t="s">
        <v>1895</v>
      </c>
      <c r="G498" s="10" t="s">
        <v>1896</v>
      </c>
      <c r="H498" s="10" t="s">
        <v>1897</v>
      </c>
      <c r="I498" s="10" t="s">
        <v>120</v>
      </c>
    </row>
    <row r="499" spans="1:9" x14ac:dyDescent="0.15">
      <c r="A499" s="9">
        <v>498</v>
      </c>
      <c r="B499" s="10" t="s">
        <v>9</v>
      </c>
      <c r="C499" s="10" t="s">
        <v>299</v>
      </c>
      <c r="D499" s="10" t="s">
        <v>300</v>
      </c>
      <c r="E499" s="11" t="str">
        <f>+HYPERLINK("http://trademark.i-assist.jp/data/china/image_1898th/78233309.pdf", "78233309")</f>
        <v>78233309</v>
      </c>
      <c r="F499" s="10" t="s">
        <v>1898</v>
      </c>
      <c r="G499" s="10" t="s">
        <v>1899</v>
      </c>
      <c r="H499" s="10" t="s">
        <v>1900</v>
      </c>
      <c r="I499" s="10" t="s">
        <v>120</v>
      </c>
    </row>
    <row r="500" spans="1:9" x14ac:dyDescent="0.15">
      <c r="A500" s="9">
        <v>499</v>
      </c>
      <c r="B500" s="10" t="s">
        <v>9</v>
      </c>
      <c r="C500" s="10" t="s">
        <v>299</v>
      </c>
      <c r="D500" s="10" t="s">
        <v>300</v>
      </c>
      <c r="E500" s="11" t="str">
        <f>+HYPERLINK("http://trademark.i-assist.jp/data/china/image_1898th/78234590.pdf", "78234590")</f>
        <v>78234590</v>
      </c>
      <c r="F500" s="10" t="s">
        <v>1901</v>
      </c>
      <c r="G500" s="10" t="s">
        <v>1902</v>
      </c>
      <c r="H500" s="10" t="s">
        <v>1903</v>
      </c>
      <c r="I500" s="10" t="s">
        <v>120</v>
      </c>
    </row>
    <row r="501" spans="1:9" x14ac:dyDescent="0.15">
      <c r="A501" s="9">
        <v>500</v>
      </c>
      <c r="B501" s="10" t="s">
        <v>9</v>
      </c>
      <c r="C501" s="10" t="s">
        <v>299</v>
      </c>
      <c r="D501" s="10" t="s">
        <v>300</v>
      </c>
      <c r="E501" s="11" t="str">
        <f>+HYPERLINK("http://trademark.i-assist.jp/data/china/image_1898th/78235014.pdf", "78235014")</f>
        <v>78235014</v>
      </c>
      <c r="F501" s="10" t="s">
        <v>1904</v>
      </c>
      <c r="G501" s="10" t="s">
        <v>1885</v>
      </c>
      <c r="H501" s="10" t="s">
        <v>1905</v>
      </c>
      <c r="I501" s="10" t="s">
        <v>120</v>
      </c>
    </row>
    <row r="502" spans="1:9" x14ac:dyDescent="0.15">
      <c r="A502" s="9">
        <v>501</v>
      </c>
      <c r="B502" s="10" t="s">
        <v>9</v>
      </c>
      <c r="C502" s="10" t="s">
        <v>299</v>
      </c>
      <c r="D502" s="10" t="s">
        <v>300</v>
      </c>
      <c r="E502" s="11" t="str">
        <f>+HYPERLINK("http://trademark.i-assist.jp/data/china/image_1898th/78235281.pdf", "78235281")</f>
        <v>78235281</v>
      </c>
      <c r="F502" s="10" t="s">
        <v>1906</v>
      </c>
      <c r="G502" s="10" t="s">
        <v>1907</v>
      </c>
      <c r="H502" s="10" t="s">
        <v>1908</v>
      </c>
      <c r="I502" s="10" t="s">
        <v>120</v>
      </c>
    </row>
    <row r="503" spans="1:9" x14ac:dyDescent="0.15">
      <c r="A503" s="9">
        <v>502</v>
      </c>
      <c r="B503" s="10" t="s">
        <v>9</v>
      </c>
      <c r="C503" s="10" t="s">
        <v>299</v>
      </c>
      <c r="D503" s="10" t="s">
        <v>300</v>
      </c>
      <c r="E503" s="11" t="str">
        <f>+HYPERLINK("http://trademark.i-assist.jp/data/china/image_1898th/78236123.pdf", "78236123")</f>
        <v>78236123</v>
      </c>
      <c r="F503" s="10" t="s">
        <v>1909</v>
      </c>
      <c r="G503" s="10" t="s">
        <v>1910</v>
      </c>
      <c r="H503" s="10" t="s">
        <v>1911</v>
      </c>
      <c r="I503" s="10" t="s">
        <v>120</v>
      </c>
    </row>
    <row r="504" spans="1:9" x14ac:dyDescent="0.15">
      <c r="A504" s="9">
        <v>503</v>
      </c>
      <c r="B504" s="10" t="s">
        <v>9</v>
      </c>
      <c r="C504" s="10" t="s">
        <v>299</v>
      </c>
      <c r="D504" s="10" t="s">
        <v>300</v>
      </c>
      <c r="E504" s="11" t="str">
        <f>+HYPERLINK("http://trademark.i-assist.jp/data/china/image_1898th/78236692.pdf", "78236692")</f>
        <v>78236692</v>
      </c>
      <c r="F504" s="10" t="s">
        <v>1912</v>
      </c>
      <c r="G504" s="10" t="s">
        <v>1913</v>
      </c>
      <c r="H504" s="10" t="s">
        <v>1914</v>
      </c>
      <c r="I504" s="10" t="s">
        <v>120</v>
      </c>
    </row>
    <row r="505" spans="1:9" x14ac:dyDescent="0.15">
      <c r="A505" s="9">
        <v>504</v>
      </c>
      <c r="B505" s="10" t="s">
        <v>9</v>
      </c>
      <c r="C505" s="10" t="s">
        <v>299</v>
      </c>
      <c r="D505" s="10" t="s">
        <v>300</v>
      </c>
      <c r="E505" s="11" t="str">
        <f>+HYPERLINK("http://trademark.i-assist.jp/data/china/image_1898th/78236734.pdf", "78236734")</f>
        <v>78236734</v>
      </c>
      <c r="F505" s="10" t="s">
        <v>1915</v>
      </c>
      <c r="G505" s="10" t="s">
        <v>1852</v>
      </c>
      <c r="H505" s="10" t="s">
        <v>1916</v>
      </c>
      <c r="I505" s="10" t="s">
        <v>120</v>
      </c>
    </row>
    <row r="506" spans="1:9" x14ac:dyDescent="0.15">
      <c r="A506" s="9">
        <v>505</v>
      </c>
      <c r="B506" s="10" t="s">
        <v>9</v>
      </c>
      <c r="C506" s="10" t="s">
        <v>299</v>
      </c>
      <c r="D506" s="10" t="s">
        <v>300</v>
      </c>
      <c r="E506" s="11" t="str">
        <f>+HYPERLINK("http://trademark.i-assist.jp/data/china/image_1898th/78237276.pdf", "78237276")</f>
        <v>78237276</v>
      </c>
      <c r="F506" s="10" t="s">
        <v>1917</v>
      </c>
      <c r="G506" s="10" t="s">
        <v>104</v>
      </c>
      <c r="H506" s="10" t="s">
        <v>1918</v>
      </c>
      <c r="I506" s="10" t="s">
        <v>120</v>
      </c>
    </row>
    <row r="507" spans="1:9" x14ac:dyDescent="0.15">
      <c r="A507" s="9">
        <v>506</v>
      </c>
      <c r="B507" s="10" t="s">
        <v>9</v>
      </c>
      <c r="C507" s="10" t="s">
        <v>299</v>
      </c>
      <c r="D507" s="10" t="s">
        <v>300</v>
      </c>
      <c r="E507" s="11" t="str">
        <f>+HYPERLINK("http://trademark.i-assist.jp/data/china/image_1898th/78237317.pdf", "78237317")</f>
        <v>78237317</v>
      </c>
      <c r="F507" s="10" t="s">
        <v>1919</v>
      </c>
      <c r="G507" s="10" t="s">
        <v>1920</v>
      </c>
      <c r="H507" s="10" t="s">
        <v>1921</v>
      </c>
      <c r="I507" s="10" t="s">
        <v>120</v>
      </c>
    </row>
    <row r="508" spans="1:9" x14ac:dyDescent="0.15">
      <c r="A508" s="9">
        <v>507</v>
      </c>
      <c r="B508" s="10" t="s">
        <v>9</v>
      </c>
      <c r="C508" s="10" t="s">
        <v>299</v>
      </c>
      <c r="D508" s="10" t="s">
        <v>300</v>
      </c>
      <c r="E508" s="11" t="str">
        <f>+HYPERLINK("http://trademark.i-assist.jp/data/china/image_1898th/78237335.pdf", "78237335")</f>
        <v>78237335</v>
      </c>
      <c r="F508" s="10" t="s">
        <v>1922</v>
      </c>
      <c r="G508" s="10" t="s">
        <v>80</v>
      </c>
      <c r="H508" s="10" t="s">
        <v>1923</v>
      </c>
      <c r="I508" s="10" t="s">
        <v>120</v>
      </c>
    </row>
    <row r="509" spans="1:9" x14ac:dyDescent="0.15">
      <c r="A509" s="9">
        <v>508</v>
      </c>
      <c r="B509" s="10" t="s">
        <v>9</v>
      </c>
      <c r="C509" s="10" t="s">
        <v>299</v>
      </c>
      <c r="D509" s="10" t="s">
        <v>300</v>
      </c>
      <c r="E509" s="11" t="str">
        <f>+HYPERLINK("http://trademark.i-assist.jp/data/china/image_1898th/78238931.pdf", "78238931")</f>
        <v>78238931</v>
      </c>
      <c r="F509" s="10" t="s">
        <v>1924</v>
      </c>
      <c r="G509" s="10" t="s">
        <v>1852</v>
      </c>
      <c r="H509" s="10" t="s">
        <v>1925</v>
      </c>
      <c r="I509" s="10" t="s">
        <v>120</v>
      </c>
    </row>
    <row r="510" spans="1:9" x14ac:dyDescent="0.15">
      <c r="A510" s="9">
        <v>509</v>
      </c>
      <c r="B510" s="10" t="s">
        <v>9</v>
      </c>
      <c r="C510" s="10" t="s">
        <v>299</v>
      </c>
      <c r="D510" s="10" t="s">
        <v>300</v>
      </c>
      <c r="E510" s="11" t="str">
        <f>+HYPERLINK("http://trademark.i-assist.jp/data/china/image_1898th/78239183.pdf", "78239183")</f>
        <v>78239183</v>
      </c>
      <c r="F510" s="10" t="s">
        <v>1926</v>
      </c>
      <c r="G510" s="10" t="s">
        <v>1927</v>
      </c>
      <c r="H510" s="10" t="s">
        <v>1928</v>
      </c>
      <c r="I510" s="10" t="s">
        <v>120</v>
      </c>
    </row>
    <row r="511" spans="1:9" x14ac:dyDescent="0.15">
      <c r="A511" s="9">
        <v>510</v>
      </c>
      <c r="B511" s="10" t="s">
        <v>9</v>
      </c>
      <c r="C511" s="10" t="s">
        <v>299</v>
      </c>
      <c r="D511" s="10" t="s">
        <v>300</v>
      </c>
      <c r="E511" s="11" t="str">
        <f>+HYPERLINK("http://trademark.i-assist.jp/data/china/image_1898th/78239230.pdf", "78239230")</f>
        <v>78239230</v>
      </c>
      <c r="F511" s="10" t="s">
        <v>1929</v>
      </c>
      <c r="G511" s="10" t="s">
        <v>1930</v>
      </c>
      <c r="H511" s="10" t="s">
        <v>1931</v>
      </c>
      <c r="I511" s="10" t="s">
        <v>120</v>
      </c>
    </row>
    <row r="512" spans="1:9" x14ac:dyDescent="0.15">
      <c r="A512" s="9">
        <v>511</v>
      </c>
      <c r="B512" s="10" t="s">
        <v>9</v>
      </c>
      <c r="C512" s="10" t="s">
        <v>299</v>
      </c>
      <c r="D512" s="10" t="s">
        <v>300</v>
      </c>
      <c r="E512" s="11" t="str">
        <f>+HYPERLINK("http://trademark.i-assist.jp/data/china/image_1898th/78239781.pdf", "78239781")</f>
        <v>78239781</v>
      </c>
      <c r="F512" s="10" t="s">
        <v>1932</v>
      </c>
      <c r="G512" s="10" t="s">
        <v>1933</v>
      </c>
      <c r="H512" s="10" t="s">
        <v>1934</v>
      </c>
      <c r="I512" s="10" t="s">
        <v>120</v>
      </c>
    </row>
    <row r="513" spans="1:9" x14ac:dyDescent="0.15">
      <c r="A513" s="9">
        <v>512</v>
      </c>
      <c r="B513" s="10" t="s">
        <v>9</v>
      </c>
      <c r="C513" s="10" t="s">
        <v>299</v>
      </c>
      <c r="D513" s="10" t="s">
        <v>300</v>
      </c>
      <c r="E513" s="11" t="str">
        <f>+HYPERLINK("http://trademark.i-assist.jp/data/china/image_1898th/78240073.pdf", "78240073")</f>
        <v>78240073</v>
      </c>
      <c r="F513" s="10" t="s">
        <v>1935</v>
      </c>
      <c r="G513" s="10" t="s">
        <v>163</v>
      </c>
      <c r="H513" s="10" t="s">
        <v>1936</v>
      </c>
      <c r="I513" s="10" t="s">
        <v>120</v>
      </c>
    </row>
    <row r="514" spans="1:9" x14ac:dyDescent="0.15">
      <c r="A514" s="9">
        <v>513</v>
      </c>
      <c r="B514" s="10" t="s">
        <v>9</v>
      </c>
      <c r="C514" s="10" t="s">
        <v>299</v>
      </c>
      <c r="D514" s="10" t="s">
        <v>300</v>
      </c>
      <c r="E514" s="11" t="str">
        <f>+HYPERLINK("http://trademark.i-assist.jp/data/china/image_1898th/78241914.pdf", "78241914")</f>
        <v>78241914</v>
      </c>
      <c r="F514" s="10" t="s">
        <v>1937</v>
      </c>
      <c r="G514" s="10" t="s">
        <v>1938</v>
      </c>
      <c r="H514" s="10" t="s">
        <v>1939</v>
      </c>
      <c r="I514" s="10" t="s">
        <v>120</v>
      </c>
    </row>
    <row r="515" spans="1:9" x14ac:dyDescent="0.15">
      <c r="A515" s="9">
        <v>514</v>
      </c>
      <c r="B515" s="10" t="s">
        <v>9</v>
      </c>
      <c r="C515" s="10" t="s">
        <v>299</v>
      </c>
      <c r="D515" s="10" t="s">
        <v>300</v>
      </c>
      <c r="E515" s="11" t="str">
        <f>+HYPERLINK("http://trademark.i-assist.jp/data/china/image_1898th/78242299.pdf", "78242299")</f>
        <v>78242299</v>
      </c>
      <c r="F515" s="10" t="s">
        <v>19</v>
      </c>
      <c r="G515" s="10" t="s">
        <v>1940</v>
      </c>
      <c r="H515" s="10" t="s">
        <v>1941</v>
      </c>
      <c r="I515" s="10" t="s">
        <v>120</v>
      </c>
    </row>
    <row r="516" spans="1:9" x14ac:dyDescent="0.15">
      <c r="A516" s="9">
        <v>515</v>
      </c>
      <c r="B516" s="10" t="s">
        <v>9</v>
      </c>
      <c r="C516" s="10" t="s">
        <v>299</v>
      </c>
      <c r="D516" s="10" t="s">
        <v>300</v>
      </c>
      <c r="E516" s="11" t="str">
        <f>+HYPERLINK("http://trademark.i-assist.jp/data/china/image_1898th/78242650.pdf", "78242650")</f>
        <v>78242650</v>
      </c>
      <c r="F516" s="10" t="s">
        <v>1942</v>
      </c>
      <c r="G516" s="10" t="s">
        <v>1943</v>
      </c>
      <c r="H516" s="10" t="s">
        <v>1944</v>
      </c>
      <c r="I516" s="10" t="s">
        <v>120</v>
      </c>
    </row>
    <row r="517" spans="1:9" x14ac:dyDescent="0.15">
      <c r="A517" s="9">
        <v>516</v>
      </c>
      <c r="B517" s="10" t="s">
        <v>9</v>
      </c>
      <c r="C517" s="10" t="s">
        <v>299</v>
      </c>
      <c r="D517" s="10" t="s">
        <v>300</v>
      </c>
      <c r="E517" s="11" t="str">
        <f>+HYPERLINK("http://trademark.i-assist.jp/data/china/image_1898th/78242811.pdf", "78242811")</f>
        <v>78242811</v>
      </c>
      <c r="F517" s="10" t="s">
        <v>1945</v>
      </c>
      <c r="G517" s="10" t="s">
        <v>1946</v>
      </c>
      <c r="H517" s="10" t="s">
        <v>1947</v>
      </c>
      <c r="I517" s="10" t="s">
        <v>120</v>
      </c>
    </row>
    <row r="518" spans="1:9" x14ac:dyDescent="0.15">
      <c r="A518" s="9">
        <v>517</v>
      </c>
      <c r="B518" s="10" t="s">
        <v>9</v>
      </c>
      <c r="C518" s="10" t="s">
        <v>299</v>
      </c>
      <c r="D518" s="10" t="s">
        <v>300</v>
      </c>
      <c r="E518" s="11" t="str">
        <f>+HYPERLINK("http://trademark.i-assist.jp/data/china/image_1898th/78242859.pdf", "78242859")</f>
        <v>78242859</v>
      </c>
      <c r="F518" s="10" t="s">
        <v>1948</v>
      </c>
      <c r="G518" s="10" t="s">
        <v>163</v>
      </c>
      <c r="H518" s="10" t="s">
        <v>1949</v>
      </c>
      <c r="I518" s="10" t="s">
        <v>120</v>
      </c>
    </row>
    <row r="519" spans="1:9" x14ac:dyDescent="0.15">
      <c r="A519" s="9">
        <v>518</v>
      </c>
      <c r="B519" s="10" t="s">
        <v>9</v>
      </c>
      <c r="C519" s="10" t="s">
        <v>299</v>
      </c>
      <c r="D519" s="10" t="s">
        <v>300</v>
      </c>
      <c r="E519" s="11" t="str">
        <f>+HYPERLINK("http://trademark.i-assist.jp/data/china/image_1898th/78245341.pdf", "78245341")</f>
        <v>78245341</v>
      </c>
      <c r="F519" s="10" t="s">
        <v>1950</v>
      </c>
      <c r="G519" s="10" t="s">
        <v>1951</v>
      </c>
      <c r="H519" s="10" t="s">
        <v>1952</v>
      </c>
      <c r="I519" s="10" t="s">
        <v>125</v>
      </c>
    </row>
    <row r="520" spans="1:9" x14ac:dyDescent="0.15">
      <c r="A520" s="9">
        <v>519</v>
      </c>
      <c r="B520" s="10" t="s">
        <v>9</v>
      </c>
      <c r="C520" s="10" t="s">
        <v>299</v>
      </c>
      <c r="D520" s="10" t="s">
        <v>300</v>
      </c>
      <c r="E520" s="11" t="str">
        <f>+HYPERLINK("http://trademark.i-assist.jp/data/china/image_1898th/78245644.pdf", "78245644")</f>
        <v>78245644</v>
      </c>
      <c r="F520" s="10" t="s">
        <v>19</v>
      </c>
      <c r="G520" s="10" t="s">
        <v>1953</v>
      </c>
      <c r="H520" s="10" t="s">
        <v>1954</v>
      </c>
      <c r="I520" s="10" t="s">
        <v>125</v>
      </c>
    </row>
    <row r="521" spans="1:9" x14ac:dyDescent="0.15">
      <c r="A521" s="9">
        <v>520</v>
      </c>
      <c r="B521" s="10" t="s">
        <v>9</v>
      </c>
      <c r="C521" s="10" t="s">
        <v>299</v>
      </c>
      <c r="D521" s="10" t="s">
        <v>300</v>
      </c>
      <c r="E521" s="11" t="str">
        <f>+HYPERLINK("http://trademark.i-assist.jp/data/china/image_1898th/78245844.pdf", "78245844")</f>
        <v>78245844</v>
      </c>
      <c r="F521" s="10" t="s">
        <v>19</v>
      </c>
      <c r="G521" s="10" t="s">
        <v>1955</v>
      </c>
      <c r="H521" s="10" t="s">
        <v>1956</v>
      </c>
      <c r="I521" s="10" t="s">
        <v>125</v>
      </c>
    </row>
    <row r="522" spans="1:9" x14ac:dyDescent="0.15">
      <c r="A522" s="9">
        <v>521</v>
      </c>
      <c r="B522" s="10" t="s">
        <v>9</v>
      </c>
      <c r="C522" s="10" t="s">
        <v>299</v>
      </c>
      <c r="D522" s="10" t="s">
        <v>300</v>
      </c>
      <c r="E522" s="11" t="str">
        <f>+HYPERLINK("http://trademark.i-assist.jp/data/china/image_1898th/78246013.pdf", "78246013")</f>
        <v>78246013</v>
      </c>
      <c r="F522" s="10" t="s">
        <v>1957</v>
      </c>
      <c r="G522" s="10" t="s">
        <v>1958</v>
      </c>
      <c r="H522" s="10" t="s">
        <v>1959</v>
      </c>
      <c r="I522" s="10" t="s">
        <v>125</v>
      </c>
    </row>
    <row r="523" spans="1:9" x14ac:dyDescent="0.15">
      <c r="A523" s="9">
        <v>522</v>
      </c>
      <c r="B523" s="10" t="s">
        <v>9</v>
      </c>
      <c r="C523" s="10" t="s">
        <v>299</v>
      </c>
      <c r="D523" s="10" t="s">
        <v>300</v>
      </c>
      <c r="E523" s="11" t="str">
        <f>+HYPERLINK("http://trademark.i-assist.jp/data/china/image_1898th/78246168.pdf", "78246168")</f>
        <v>78246168</v>
      </c>
      <c r="F523" s="10" t="s">
        <v>1960</v>
      </c>
      <c r="G523" s="10" t="s">
        <v>1961</v>
      </c>
      <c r="H523" s="10" t="s">
        <v>1962</v>
      </c>
      <c r="I523" s="10" t="s">
        <v>125</v>
      </c>
    </row>
    <row r="524" spans="1:9" x14ac:dyDescent="0.15">
      <c r="A524" s="9">
        <v>523</v>
      </c>
      <c r="B524" s="10" t="s">
        <v>9</v>
      </c>
      <c r="C524" s="10" t="s">
        <v>299</v>
      </c>
      <c r="D524" s="10" t="s">
        <v>300</v>
      </c>
      <c r="E524" s="11" t="str">
        <f>+HYPERLINK("http://trademark.i-assist.jp/data/china/image_1898th/78247275.pdf", "78247275")</f>
        <v>78247275</v>
      </c>
      <c r="F524" s="10" t="s">
        <v>1963</v>
      </c>
      <c r="G524" s="10" t="s">
        <v>1964</v>
      </c>
      <c r="H524" s="10" t="s">
        <v>1965</v>
      </c>
      <c r="I524" s="10" t="s">
        <v>125</v>
      </c>
    </row>
    <row r="525" spans="1:9" x14ac:dyDescent="0.15">
      <c r="A525" s="9">
        <v>524</v>
      </c>
      <c r="B525" s="10" t="s">
        <v>9</v>
      </c>
      <c r="C525" s="10" t="s">
        <v>299</v>
      </c>
      <c r="D525" s="10" t="s">
        <v>300</v>
      </c>
      <c r="E525" s="11" t="str">
        <f>+HYPERLINK("http://trademark.i-assist.jp/data/china/image_1898th/78247718.pdf", "78247718")</f>
        <v>78247718</v>
      </c>
      <c r="F525" s="10" t="s">
        <v>1966</v>
      </c>
      <c r="G525" s="10" t="s">
        <v>1967</v>
      </c>
      <c r="H525" s="10" t="s">
        <v>1968</v>
      </c>
      <c r="I525" s="10" t="s">
        <v>125</v>
      </c>
    </row>
    <row r="526" spans="1:9" x14ac:dyDescent="0.15">
      <c r="A526" s="9">
        <v>525</v>
      </c>
      <c r="B526" s="10" t="s">
        <v>9</v>
      </c>
      <c r="C526" s="10" t="s">
        <v>299</v>
      </c>
      <c r="D526" s="10" t="s">
        <v>300</v>
      </c>
      <c r="E526" s="11" t="str">
        <f>+HYPERLINK("http://trademark.i-assist.jp/data/china/image_1898th/78247723.pdf", "78247723")</f>
        <v>78247723</v>
      </c>
      <c r="F526" s="10" t="s">
        <v>1969</v>
      </c>
      <c r="G526" s="10" t="s">
        <v>1970</v>
      </c>
      <c r="H526" s="10" t="s">
        <v>1971</v>
      </c>
      <c r="I526" s="10" t="s">
        <v>125</v>
      </c>
    </row>
    <row r="527" spans="1:9" x14ac:dyDescent="0.15">
      <c r="A527" s="9">
        <v>526</v>
      </c>
      <c r="B527" s="10" t="s">
        <v>9</v>
      </c>
      <c r="C527" s="10" t="s">
        <v>299</v>
      </c>
      <c r="D527" s="10" t="s">
        <v>300</v>
      </c>
      <c r="E527" s="11" t="str">
        <f>+HYPERLINK("http://trademark.i-assist.jp/data/china/image_1898th/78249769.pdf", "78249769")</f>
        <v>78249769</v>
      </c>
      <c r="F527" s="10" t="s">
        <v>1972</v>
      </c>
      <c r="G527" s="10" t="s">
        <v>1973</v>
      </c>
      <c r="H527" s="10" t="s">
        <v>1974</v>
      </c>
      <c r="I527" s="10" t="s">
        <v>125</v>
      </c>
    </row>
    <row r="528" spans="1:9" x14ac:dyDescent="0.15">
      <c r="A528" s="9">
        <v>527</v>
      </c>
      <c r="B528" s="10" t="s">
        <v>9</v>
      </c>
      <c r="C528" s="10" t="s">
        <v>299</v>
      </c>
      <c r="D528" s="10" t="s">
        <v>300</v>
      </c>
      <c r="E528" s="11" t="str">
        <f>+HYPERLINK("http://trademark.i-assist.jp/data/china/image_1898th/78251446.pdf", "78251446")</f>
        <v>78251446</v>
      </c>
      <c r="F528" s="10" t="s">
        <v>1975</v>
      </c>
      <c r="G528" s="10" t="s">
        <v>1964</v>
      </c>
      <c r="H528" s="10" t="s">
        <v>1976</v>
      </c>
      <c r="I528" s="10" t="s">
        <v>125</v>
      </c>
    </row>
    <row r="529" spans="1:9" x14ac:dyDescent="0.15">
      <c r="A529" s="9">
        <v>528</v>
      </c>
      <c r="B529" s="10" t="s">
        <v>9</v>
      </c>
      <c r="C529" s="10" t="s">
        <v>299</v>
      </c>
      <c r="D529" s="10" t="s">
        <v>300</v>
      </c>
      <c r="E529" s="11" t="str">
        <f>+HYPERLINK("http://trademark.i-assist.jp/data/china/image_1898th/78252545.pdf", "78252545")</f>
        <v>78252545</v>
      </c>
      <c r="F529" s="10" t="s">
        <v>126</v>
      </c>
      <c r="G529" s="10" t="s">
        <v>127</v>
      </c>
      <c r="H529" s="10" t="s">
        <v>1977</v>
      </c>
      <c r="I529" s="10" t="s">
        <v>125</v>
      </c>
    </row>
    <row r="530" spans="1:9" x14ac:dyDescent="0.15">
      <c r="A530" s="9">
        <v>529</v>
      </c>
      <c r="B530" s="10" t="s">
        <v>9</v>
      </c>
      <c r="C530" s="10" t="s">
        <v>299</v>
      </c>
      <c r="D530" s="10" t="s">
        <v>300</v>
      </c>
      <c r="E530" s="11" t="str">
        <f>+HYPERLINK("http://trademark.i-assist.jp/data/china/image_1898th/78253554.pdf", "78253554")</f>
        <v>78253554</v>
      </c>
      <c r="F530" s="10" t="s">
        <v>1978</v>
      </c>
      <c r="G530" s="10" t="s">
        <v>1979</v>
      </c>
      <c r="H530" s="10" t="s">
        <v>1980</v>
      </c>
      <c r="I530" s="10" t="s">
        <v>125</v>
      </c>
    </row>
    <row r="531" spans="1:9" x14ac:dyDescent="0.15">
      <c r="A531" s="9">
        <v>530</v>
      </c>
      <c r="B531" s="10" t="s">
        <v>9</v>
      </c>
      <c r="C531" s="10" t="s">
        <v>299</v>
      </c>
      <c r="D531" s="10" t="s">
        <v>300</v>
      </c>
      <c r="E531" s="11" t="str">
        <f>+HYPERLINK("http://trademark.i-assist.jp/data/china/image_1898th/78254208.pdf", "78254208")</f>
        <v>78254208</v>
      </c>
      <c r="F531" s="10" t="s">
        <v>1981</v>
      </c>
      <c r="G531" s="10" t="s">
        <v>1982</v>
      </c>
      <c r="H531" s="10" t="s">
        <v>1983</v>
      </c>
      <c r="I531" s="10" t="s">
        <v>125</v>
      </c>
    </row>
    <row r="532" spans="1:9" x14ac:dyDescent="0.15">
      <c r="A532" s="9">
        <v>531</v>
      </c>
      <c r="B532" s="10" t="s">
        <v>9</v>
      </c>
      <c r="C532" s="10" t="s">
        <v>299</v>
      </c>
      <c r="D532" s="10" t="s">
        <v>300</v>
      </c>
      <c r="E532" s="11" t="str">
        <f>+HYPERLINK("http://trademark.i-assist.jp/data/china/image_1898th/78256811.pdf", "78256811")</f>
        <v>78256811</v>
      </c>
      <c r="F532" s="10" t="s">
        <v>1984</v>
      </c>
      <c r="G532" s="10" t="s">
        <v>155</v>
      </c>
      <c r="H532" s="10" t="s">
        <v>1985</v>
      </c>
      <c r="I532" s="10" t="s">
        <v>125</v>
      </c>
    </row>
    <row r="533" spans="1:9" x14ac:dyDescent="0.15">
      <c r="A533" s="9">
        <v>532</v>
      </c>
      <c r="B533" s="10" t="s">
        <v>9</v>
      </c>
      <c r="C533" s="10" t="s">
        <v>299</v>
      </c>
      <c r="D533" s="10" t="s">
        <v>300</v>
      </c>
      <c r="E533" s="11" t="str">
        <f>+HYPERLINK("http://trademark.i-assist.jp/data/china/image_1898th/78256826.pdf", "78256826")</f>
        <v>78256826</v>
      </c>
      <c r="F533" s="10" t="s">
        <v>1986</v>
      </c>
      <c r="G533" s="10" t="s">
        <v>1987</v>
      </c>
      <c r="H533" s="10" t="s">
        <v>1988</v>
      </c>
      <c r="I533" s="10" t="s">
        <v>125</v>
      </c>
    </row>
    <row r="534" spans="1:9" x14ac:dyDescent="0.15">
      <c r="A534" s="9">
        <v>533</v>
      </c>
      <c r="B534" s="10" t="s">
        <v>9</v>
      </c>
      <c r="C534" s="10" t="s">
        <v>299</v>
      </c>
      <c r="D534" s="10" t="s">
        <v>300</v>
      </c>
      <c r="E534" s="11" t="str">
        <f>+HYPERLINK("http://trademark.i-assist.jp/data/china/image_1898th/78256940.pdf", "78256940")</f>
        <v>78256940</v>
      </c>
      <c r="F534" s="10" t="s">
        <v>1989</v>
      </c>
      <c r="G534" s="10" t="s">
        <v>1990</v>
      </c>
      <c r="H534" s="10" t="s">
        <v>1991</v>
      </c>
      <c r="I534" s="10" t="s">
        <v>125</v>
      </c>
    </row>
    <row r="535" spans="1:9" x14ac:dyDescent="0.15">
      <c r="A535" s="9">
        <v>534</v>
      </c>
      <c r="B535" s="10" t="s">
        <v>9</v>
      </c>
      <c r="C535" s="10" t="s">
        <v>299</v>
      </c>
      <c r="D535" s="10" t="s">
        <v>300</v>
      </c>
      <c r="E535" s="11" t="str">
        <f>+HYPERLINK("http://trademark.i-assist.jp/data/china/image_1898th/78256976.pdf", "78256976")</f>
        <v>78256976</v>
      </c>
      <c r="F535" s="10" t="s">
        <v>1992</v>
      </c>
      <c r="G535" s="10" t="s">
        <v>1993</v>
      </c>
      <c r="H535" s="10" t="s">
        <v>1994</v>
      </c>
      <c r="I535" s="10" t="s">
        <v>125</v>
      </c>
    </row>
    <row r="536" spans="1:9" x14ac:dyDescent="0.15">
      <c r="A536" s="9">
        <v>535</v>
      </c>
      <c r="B536" s="10" t="s">
        <v>9</v>
      </c>
      <c r="C536" s="10" t="s">
        <v>299</v>
      </c>
      <c r="D536" s="10" t="s">
        <v>300</v>
      </c>
      <c r="E536" s="11" t="str">
        <f>+HYPERLINK("http://trademark.i-assist.jp/data/china/image_1898th/78257099.pdf", "78257099")</f>
        <v>78257099</v>
      </c>
      <c r="F536" s="10" t="s">
        <v>1995</v>
      </c>
      <c r="G536" s="10" t="s">
        <v>1996</v>
      </c>
      <c r="H536" s="10" t="s">
        <v>1997</v>
      </c>
      <c r="I536" s="10" t="s">
        <v>125</v>
      </c>
    </row>
    <row r="537" spans="1:9" x14ac:dyDescent="0.15">
      <c r="A537" s="9">
        <v>536</v>
      </c>
      <c r="B537" s="10" t="s">
        <v>9</v>
      </c>
      <c r="C537" s="10" t="s">
        <v>299</v>
      </c>
      <c r="D537" s="10" t="s">
        <v>300</v>
      </c>
      <c r="E537" s="11" t="str">
        <f>+HYPERLINK("http://trademark.i-assist.jp/data/china/image_1898th/78257663.pdf", "78257663")</f>
        <v>78257663</v>
      </c>
      <c r="F537" s="10" t="s">
        <v>1998</v>
      </c>
      <c r="G537" s="10" t="s">
        <v>1999</v>
      </c>
      <c r="H537" s="10" t="s">
        <v>2000</v>
      </c>
      <c r="I537" s="10" t="s">
        <v>125</v>
      </c>
    </row>
    <row r="538" spans="1:9" x14ac:dyDescent="0.15">
      <c r="A538" s="9">
        <v>537</v>
      </c>
      <c r="B538" s="10" t="s">
        <v>9</v>
      </c>
      <c r="C538" s="10" t="s">
        <v>299</v>
      </c>
      <c r="D538" s="10" t="s">
        <v>300</v>
      </c>
      <c r="E538" s="11" t="str">
        <f>+HYPERLINK("http://trademark.i-assist.jp/data/china/image_1898th/78257680.pdf", "78257680")</f>
        <v>78257680</v>
      </c>
      <c r="F538" s="10" t="s">
        <v>2001</v>
      </c>
      <c r="G538" s="10" t="s">
        <v>128</v>
      </c>
      <c r="H538" s="10" t="s">
        <v>34</v>
      </c>
      <c r="I538" s="10" t="s">
        <v>125</v>
      </c>
    </row>
    <row r="539" spans="1:9" x14ac:dyDescent="0.15">
      <c r="A539" s="9">
        <v>538</v>
      </c>
      <c r="B539" s="10" t="s">
        <v>9</v>
      </c>
      <c r="C539" s="10" t="s">
        <v>299</v>
      </c>
      <c r="D539" s="10" t="s">
        <v>300</v>
      </c>
      <c r="E539" s="11" t="str">
        <f>+HYPERLINK("http://trademark.i-assist.jp/data/china/image_1898th/78257994.pdf", "78257994")</f>
        <v>78257994</v>
      </c>
      <c r="F539" s="10" t="s">
        <v>2002</v>
      </c>
      <c r="G539" s="10" t="s">
        <v>2003</v>
      </c>
      <c r="H539" s="10" t="s">
        <v>2004</v>
      </c>
      <c r="I539" s="10" t="s">
        <v>125</v>
      </c>
    </row>
    <row r="540" spans="1:9" x14ac:dyDescent="0.15">
      <c r="A540" s="9">
        <v>539</v>
      </c>
      <c r="B540" s="10" t="s">
        <v>9</v>
      </c>
      <c r="C540" s="10" t="s">
        <v>299</v>
      </c>
      <c r="D540" s="10" t="s">
        <v>300</v>
      </c>
      <c r="E540" s="11" t="str">
        <f>+HYPERLINK("http://trademark.i-assist.jp/data/china/image_1898th/78258118.pdf", "78258118")</f>
        <v>78258118</v>
      </c>
      <c r="F540" s="10" t="s">
        <v>2005</v>
      </c>
      <c r="G540" s="10" t="s">
        <v>2006</v>
      </c>
      <c r="H540" s="10" t="s">
        <v>2007</v>
      </c>
      <c r="I540" s="10" t="s">
        <v>125</v>
      </c>
    </row>
    <row r="541" spans="1:9" x14ac:dyDescent="0.15">
      <c r="A541" s="9">
        <v>540</v>
      </c>
      <c r="B541" s="10" t="s">
        <v>9</v>
      </c>
      <c r="C541" s="10" t="s">
        <v>299</v>
      </c>
      <c r="D541" s="10" t="s">
        <v>300</v>
      </c>
      <c r="E541" s="11" t="str">
        <f>+HYPERLINK("http://trademark.i-assist.jp/data/china/image_1898th/78258215.pdf", "78258215")</f>
        <v>78258215</v>
      </c>
      <c r="F541" s="10" t="s">
        <v>2008</v>
      </c>
      <c r="G541" s="10" t="s">
        <v>2009</v>
      </c>
      <c r="H541" s="10" t="s">
        <v>2010</v>
      </c>
      <c r="I541" s="10" t="s">
        <v>125</v>
      </c>
    </row>
    <row r="542" spans="1:9" x14ac:dyDescent="0.15">
      <c r="A542" s="9">
        <v>541</v>
      </c>
      <c r="B542" s="10" t="s">
        <v>9</v>
      </c>
      <c r="C542" s="10" t="s">
        <v>299</v>
      </c>
      <c r="D542" s="10" t="s">
        <v>300</v>
      </c>
      <c r="E542" s="11" t="str">
        <f>+HYPERLINK("http://trademark.i-assist.jp/data/china/image_1898th/78258298.pdf", "78258298")</f>
        <v>78258298</v>
      </c>
      <c r="F542" s="10" t="s">
        <v>2011</v>
      </c>
      <c r="G542" s="10" t="s">
        <v>2012</v>
      </c>
      <c r="H542" s="10" t="s">
        <v>2013</v>
      </c>
      <c r="I542" s="10" t="s">
        <v>125</v>
      </c>
    </row>
    <row r="543" spans="1:9" x14ac:dyDescent="0.15">
      <c r="A543" s="9">
        <v>542</v>
      </c>
      <c r="B543" s="10" t="s">
        <v>9</v>
      </c>
      <c r="C543" s="10" t="s">
        <v>299</v>
      </c>
      <c r="D543" s="10" t="s">
        <v>300</v>
      </c>
      <c r="E543" s="11" t="str">
        <f>+HYPERLINK("http://trademark.i-assist.jp/data/china/image_1898th/78259865.pdf", "78259865")</f>
        <v>78259865</v>
      </c>
      <c r="F543" s="10" t="s">
        <v>2014</v>
      </c>
      <c r="G543" s="10" t="s">
        <v>2015</v>
      </c>
      <c r="H543" s="10" t="s">
        <v>2016</v>
      </c>
      <c r="I543" s="10" t="s">
        <v>125</v>
      </c>
    </row>
    <row r="544" spans="1:9" x14ac:dyDescent="0.15">
      <c r="A544" s="9">
        <v>543</v>
      </c>
      <c r="B544" s="10" t="s">
        <v>9</v>
      </c>
      <c r="C544" s="10" t="s">
        <v>299</v>
      </c>
      <c r="D544" s="10" t="s">
        <v>300</v>
      </c>
      <c r="E544" s="11" t="str">
        <f>+HYPERLINK("http://trademark.i-assist.jp/data/china/image_1898th/78260782.pdf", "78260782")</f>
        <v>78260782</v>
      </c>
      <c r="F544" s="10" t="s">
        <v>2017</v>
      </c>
      <c r="G544" s="10" t="s">
        <v>1987</v>
      </c>
      <c r="H544" s="10" t="s">
        <v>2018</v>
      </c>
      <c r="I544" s="10" t="s">
        <v>125</v>
      </c>
    </row>
    <row r="545" spans="1:9" x14ac:dyDescent="0.15">
      <c r="A545" s="9">
        <v>544</v>
      </c>
      <c r="B545" s="10" t="s">
        <v>9</v>
      </c>
      <c r="C545" s="10" t="s">
        <v>299</v>
      </c>
      <c r="D545" s="10" t="s">
        <v>300</v>
      </c>
      <c r="E545" s="11" t="str">
        <f>+HYPERLINK("http://trademark.i-assist.jp/data/china/image_1898th/78261050.pdf", "78261050")</f>
        <v>78261050</v>
      </c>
      <c r="F545" s="10" t="s">
        <v>2019</v>
      </c>
      <c r="G545" s="10" t="s">
        <v>2020</v>
      </c>
      <c r="H545" s="10" t="s">
        <v>2021</v>
      </c>
      <c r="I545" s="10" t="s">
        <v>125</v>
      </c>
    </row>
    <row r="546" spans="1:9" x14ac:dyDescent="0.15">
      <c r="A546" s="9">
        <v>545</v>
      </c>
      <c r="B546" s="10" t="s">
        <v>9</v>
      </c>
      <c r="C546" s="10" t="s">
        <v>299</v>
      </c>
      <c r="D546" s="10" t="s">
        <v>300</v>
      </c>
      <c r="E546" s="11" t="str">
        <f>+HYPERLINK("http://trademark.i-assist.jp/data/china/image_1898th/78261279.pdf", "78261279")</f>
        <v>78261279</v>
      </c>
      <c r="F546" s="10" t="s">
        <v>2022</v>
      </c>
      <c r="G546" s="10" t="s">
        <v>2023</v>
      </c>
      <c r="H546" s="10" t="s">
        <v>2024</v>
      </c>
      <c r="I546" s="10" t="s">
        <v>125</v>
      </c>
    </row>
    <row r="547" spans="1:9" x14ac:dyDescent="0.15">
      <c r="A547" s="9">
        <v>546</v>
      </c>
      <c r="B547" s="10" t="s">
        <v>9</v>
      </c>
      <c r="C547" s="10" t="s">
        <v>299</v>
      </c>
      <c r="D547" s="10" t="s">
        <v>300</v>
      </c>
      <c r="E547" s="11" t="str">
        <f>+HYPERLINK("http://trademark.i-assist.jp/data/china/image_1898th/78262218.pdf", "78262218")</f>
        <v>78262218</v>
      </c>
      <c r="F547" s="10" t="s">
        <v>2025</v>
      </c>
      <c r="G547" s="10" t="s">
        <v>136</v>
      </c>
      <c r="H547" s="10" t="s">
        <v>2026</v>
      </c>
      <c r="I547" s="10" t="s">
        <v>125</v>
      </c>
    </row>
    <row r="548" spans="1:9" x14ac:dyDescent="0.15">
      <c r="A548" s="9">
        <v>547</v>
      </c>
      <c r="B548" s="10" t="s">
        <v>9</v>
      </c>
      <c r="C548" s="10" t="s">
        <v>299</v>
      </c>
      <c r="D548" s="10" t="s">
        <v>300</v>
      </c>
      <c r="E548" s="11" t="str">
        <f>+HYPERLINK("http://trademark.i-assist.jp/data/china/image_1898th/78262448.pdf", "78262448")</f>
        <v>78262448</v>
      </c>
      <c r="F548" s="10" t="s">
        <v>2027</v>
      </c>
      <c r="G548" s="10" t="s">
        <v>2028</v>
      </c>
      <c r="H548" s="10" t="s">
        <v>2029</v>
      </c>
      <c r="I548" s="10" t="s">
        <v>125</v>
      </c>
    </row>
    <row r="549" spans="1:9" x14ac:dyDescent="0.15">
      <c r="A549" s="9">
        <v>548</v>
      </c>
      <c r="B549" s="10" t="s">
        <v>9</v>
      </c>
      <c r="C549" s="10" t="s">
        <v>299</v>
      </c>
      <c r="D549" s="10" t="s">
        <v>300</v>
      </c>
      <c r="E549" s="11" t="str">
        <f>+HYPERLINK("http://trademark.i-assist.jp/data/china/image_1898th/78264437.pdf", "78264437")</f>
        <v>78264437</v>
      </c>
      <c r="F549" s="10" t="s">
        <v>2030</v>
      </c>
      <c r="G549" s="10" t="s">
        <v>2031</v>
      </c>
      <c r="H549" s="10" t="s">
        <v>2032</v>
      </c>
      <c r="I549" s="10" t="s">
        <v>125</v>
      </c>
    </row>
    <row r="550" spans="1:9" x14ac:dyDescent="0.15">
      <c r="A550" s="9">
        <v>549</v>
      </c>
      <c r="B550" s="10" t="s">
        <v>9</v>
      </c>
      <c r="C550" s="10" t="s">
        <v>299</v>
      </c>
      <c r="D550" s="10" t="s">
        <v>300</v>
      </c>
      <c r="E550" s="11" t="str">
        <f>+HYPERLINK("http://trademark.i-assist.jp/data/china/image_1898th/78264497.pdf", "78264497")</f>
        <v>78264497</v>
      </c>
      <c r="F550" s="10" t="s">
        <v>2033</v>
      </c>
      <c r="G550" s="10" t="s">
        <v>2034</v>
      </c>
      <c r="H550" s="10" t="s">
        <v>2035</v>
      </c>
      <c r="I550" s="10" t="s">
        <v>125</v>
      </c>
    </row>
    <row r="551" spans="1:9" x14ac:dyDescent="0.15">
      <c r="A551" s="9">
        <v>550</v>
      </c>
      <c r="B551" s="10" t="s">
        <v>9</v>
      </c>
      <c r="C551" s="10" t="s">
        <v>299</v>
      </c>
      <c r="D551" s="10" t="s">
        <v>300</v>
      </c>
      <c r="E551" s="11" t="str">
        <f>+HYPERLINK("http://trademark.i-assist.jp/data/china/image_1898th/78264748.pdf", "78264748")</f>
        <v>78264748</v>
      </c>
      <c r="F551" s="10" t="s">
        <v>2036</v>
      </c>
      <c r="G551" s="10" t="s">
        <v>2037</v>
      </c>
      <c r="H551" s="10" t="s">
        <v>2038</v>
      </c>
      <c r="I551" s="10" t="s">
        <v>125</v>
      </c>
    </row>
    <row r="552" spans="1:9" x14ac:dyDescent="0.15">
      <c r="A552" s="9">
        <v>551</v>
      </c>
      <c r="B552" s="10" t="s">
        <v>9</v>
      </c>
      <c r="C552" s="10" t="s">
        <v>299</v>
      </c>
      <c r="D552" s="10" t="s">
        <v>300</v>
      </c>
      <c r="E552" s="11" t="str">
        <f>+HYPERLINK("http://trademark.i-assist.jp/data/china/image_1898th/78265185.pdf", "78265185")</f>
        <v>78265185</v>
      </c>
      <c r="F552" s="10" t="s">
        <v>2039</v>
      </c>
      <c r="G552" s="10" t="s">
        <v>2040</v>
      </c>
      <c r="H552" s="10" t="s">
        <v>2041</v>
      </c>
      <c r="I552" s="10" t="s">
        <v>125</v>
      </c>
    </row>
    <row r="553" spans="1:9" x14ac:dyDescent="0.15">
      <c r="A553" s="9">
        <v>552</v>
      </c>
      <c r="B553" s="10" t="s">
        <v>9</v>
      </c>
      <c r="C553" s="10" t="s">
        <v>299</v>
      </c>
      <c r="D553" s="10" t="s">
        <v>300</v>
      </c>
      <c r="E553" s="11" t="str">
        <f>+HYPERLINK("http://trademark.i-assist.jp/data/china/image_1898th/78265632.pdf", "78265632")</f>
        <v>78265632</v>
      </c>
      <c r="F553" s="10" t="s">
        <v>2042</v>
      </c>
      <c r="G553" s="10" t="s">
        <v>2043</v>
      </c>
      <c r="H553" s="10" t="s">
        <v>2044</v>
      </c>
      <c r="I553" s="10" t="s">
        <v>125</v>
      </c>
    </row>
    <row r="554" spans="1:9" x14ac:dyDescent="0.15">
      <c r="A554" s="9">
        <v>553</v>
      </c>
      <c r="B554" s="10" t="s">
        <v>9</v>
      </c>
      <c r="C554" s="10" t="s">
        <v>299</v>
      </c>
      <c r="D554" s="10" t="s">
        <v>300</v>
      </c>
      <c r="E554" s="11" t="str">
        <f>+HYPERLINK("http://trademark.i-assist.jp/data/china/image_1898th/78266143.pdf", "78266143")</f>
        <v>78266143</v>
      </c>
      <c r="F554" s="10" t="s">
        <v>2045</v>
      </c>
      <c r="G554" s="10" t="s">
        <v>2046</v>
      </c>
      <c r="H554" s="10" t="s">
        <v>2047</v>
      </c>
      <c r="I554" s="10" t="s">
        <v>125</v>
      </c>
    </row>
    <row r="555" spans="1:9" x14ac:dyDescent="0.15">
      <c r="A555" s="9">
        <v>554</v>
      </c>
      <c r="B555" s="10" t="s">
        <v>9</v>
      </c>
      <c r="C555" s="10" t="s">
        <v>299</v>
      </c>
      <c r="D555" s="10" t="s">
        <v>300</v>
      </c>
      <c r="E555" s="11" t="str">
        <f>+HYPERLINK("http://trademark.i-assist.jp/data/china/image_1898th/78266185.pdf", "78266185")</f>
        <v>78266185</v>
      </c>
      <c r="F555" s="10" t="s">
        <v>2048</v>
      </c>
      <c r="G555" s="10" t="s">
        <v>2049</v>
      </c>
      <c r="H555" s="10" t="s">
        <v>2050</v>
      </c>
      <c r="I555" s="10" t="s">
        <v>125</v>
      </c>
    </row>
    <row r="556" spans="1:9" x14ac:dyDescent="0.15">
      <c r="A556" s="9">
        <v>555</v>
      </c>
      <c r="B556" s="10" t="s">
        <v>9</v>
      </c>
      <c r="C556" s="10" t="s">
        <v>299</v>
      </c>
      <c r="D556" s="10" t="s">
        <v>300</v>
      </c>
      <c r="E556" s="11" t="str">
        <f>+HYPERLINK("http://trademark.i-assist.jp/data/china/image_1898th/78266736.pdf", "78266736")</f>
        <v>78266736</v>
      </c>
      <c r="F556" s="10" t="s">
        <v>2051</v>
      </c>
      <c r="G556" s="10" t="s">
        <v>2052</v>
      </c>
      <c r="H556" s="10" t="s">
        <v>2053</v>
      </c>
      <c r="I556" s="10" t="s">
        <v>125</v>
      </c>
    </row>
    <row r="557" spans="1:9" x14ac:dyDescent="0.15">
      <c r="A557" s="9">
        <v>556</v>
      </c>
      <c r="B557" s="10" t="s">
        <v>9</v>
      </c>
      <c r="C557" s="10" t="s">
        <v>299</v>
      </c>
      <c r="D557" s="10" t="s">
        <v>300</v>
      </c>
      <c r="E557" s="11" t="str">
        <f>+HYPERLINK("http://trademark.i-assist.jp/data/china/image_1898th/78267043.pdf", "78267043")</f>
        <v>78267043</v>
      </c>
      <c r="F557" s="10" t="s">
        <v>2054</v>
      </c>
      <c r="G557" s="10" t="s">
        <v>1996</v>
      </c>
      <c r="H557" s="10" t="s">
        <v>2055</v>
      </c>
      <c r="I557" s="10" t="s">
        <v>125</v>
      </c>
    </row>
    <row r="558" spans="1:9" x14ac:dyDescent="0.15">
      <c r="A558" s="9">
        <v>557</v>
      </c>
      <c r="B558" s="10" t="s">
        <v>9</v>
      </c>
      <c r="C558" s="10" t="s">
        <v>299</v>
      </c>
      <c r="D558" s="10" t="s">
        <v>300</v>
      </c>
      <c r="E558" s="11" t="str">
        <f>+HYPERLINK("http://trademark.i-assist.jp/data/china/image_1898th/78267458.pdf", "78267458")</f>
        <v>78267458</v>
      </c>
      <c r="F558" s="10" t="s">
        <v>2056</v>
      </c>
      <c r="G558" s="10" t="s">
        <v>1953</v>
      </c>
      <c r="H558" s="10" t="s">
        <v>2057</v>
      </c>
      <c r="I558" s="10" t="s">
        <v>125</v>
      </c>
    </row>
    <row r="559" spans="1:9" x14ac:dyDescent="0.15">
      <c r="A559" s="9">
        <v>558</v>
      </c>
      <c r="B559" s="10" t="s">
        <v>9</v>
      </c>
      <c r="C559" s="10" t="s">
        <v>299</v>
      </c>
      <c r="D559" s="10" t="s">
        <v>300</v>
      </c>
      <c r="E559" s="11" t="str">
        <f>+HYPERLINK("http://trademark.i-assist.jp/data/china/image_1898th/78268383.pdf", "78268383")</f>
        <v>78268383</v>
      </c>
      <c r="F559" s="10" t="s">
        <v>2058</v>
      </c>
      <c r="G559" s="10" t="s">
        <v>2012</v>
      </c>
      <c r="H559" s="10" t="s">
        <v>2059</v>
      </c>
      <c r="I559" s="10" t="s">
        <v>125</v>
      </c>
    </row>
    <row r="560" spans="1:9" x14ac:dyDescent="0.15">
      <c r="A560" s="9">
        <v>559</v>
      </c>
      <c r="B560" s="10" t="s">
        <v>9</v>
      </c>
      <c r="C560" s="10" t="s">
        <v>299</v>
      </c>
      <c r="D560" s="10" t="s">
        <v>300</v>
      </c>
      <c r="E560" s="11" t="str">
        <f>+HYPERLINK("http://trademark.i-assist.jp/data/china/image_1898th/78268706.pdf", "78268706")</f>
        <v>78268706</v>
      </c>
      <c r="F560" s="10" t="s">
        <v>19</v>
      </c>
      <c r="G560" s="10" t="s">
        <v>2060</v>
      </c>
      <c r="H560" s="10" t="s">
        <v>2061</v>
      </c>
      <c r="I560" s="10" t="s">
        <v>125</v>
      </c>
    </row>
    <row r="561" spans="1:9" x14ac:dyDescent="0.15">
      <c r="A561" s="9">
        <v>560</v>
      </c>
      <c r="B561" s="10" t="s">
        <v>9</v>
      </c>
      <c r="C561" s="10" t="s">
        <v>299</v>
      </c>
      <c r="D561" s="10" t="s">
        <v>300</v>
      </c>
      <c r="E561" s="11" t="str">
        <f>+HYPERLINK("http://trademark.i-assist.jp/data/china/image_1898th/78269346.pdf", "78269346")</f>
        <v>78269346</v>
      </c>
      <c r="F561" s="10" t="s">
        <v>2062</v>
      </c>
      <c r="G561" s="10" t="s">
        <v>119</v>
      </c>
      <c r="H561" s="10" t="s">
        <v>2063</v>
      </c>
      <c r="I561" s="10" t="s">
        <v>125</v>
      </c>
    </row>
    <row r="562" spans="1:9" x14ac:dyDescent="0.15">
      <c r="A562" s="9">
        <v>561</v>
      </c>
      <c r="B562" s="10" t="s">
        <v>9</v>
      </c>
      <c r="C562" s="10" t="s">
        <v>299</v>
      </c>
      <c r="D562" s="10" t="s">
        <v>300</v>
      </c>
      <c r="E562" s="11" t="str">
        <f>+HYPERLINK("http://trademark.i-assist.jp/data/china/image_1898th/78269626.pdf", "78269626")</f>
        <v>78269626</v>
      </c>
      <c r="F562" s="10" t="s">
        <v>2064</v>
      </c>
      <c r="G562" s="10" t="s">
        <v>2065</v>
      </c>
      <c r="H562" s="10" t="s">
        <v>2066</v>
      </c>
      <c r="I562" s="10" t="s">
        <v>125</v>
      </c>
    </row>
    <row r="563" spans="1:9" x14ac:dyDescent="0.15">
      <c r="A563" s="9">
        <v>562</v>
      </c>
      <c r="B563" s="10" t="s">
        <v>9</v>
      </c>
      <c r="C563" s="10" t="s">
        <v>299</v>
      </c>
      <c r="D563" s="10" t="s">
        <v>300</v>
      </c>
      <c r="E563" s="11" t="str">
        <f>+HYPERLINK("http://trademark.i-assist.jp/data/china/image_1898th/78269951.pdf", "78269951")</f>
        <v>78269951</v>
      </c>
      <c r="F563" s="10" t="s">
        <v>2067</v>
      </c>
      <c r="G563" s="10" t="s">
        <v>2068</v>
      </c>
      <c r="H563" s="10" t="s">
        <v>2069</v>
      </c>
      <c r="I563" s="10" t="s">
        <v>125</v>
      </c>
    </row>
    <row r="564" spans="1:9" x14ac:dyDescent="0.15">
      <c r="A564" s="9">
        <v>563</v>
      </c>
      <c r="B564" s="10" t="s">
        <v>9</v>
      </c>
      <c r="C564" s="10" t="s">
        <v>299</v>
      </c>
      <c r="D564" s="10" t="s">
        <v>300</v>
      </c>
      <c r="E564" s="11" t="str">
        <f>+HYPERLINK("http://trademark.i-assist.jp/data/china/image_1898th/78271750.pdf", "78271750")</f>
        <v>78271750</v>
      </c>
      <c r="F564" s="10" t="s">
        <v>2070</v>
      </c>
      <c r="G564" s="10" t="s">
        <v>130</v>
      </c>
      <c r="H564" s="10" t="s">
        <v>2071</v>
      </c>
      <c r="I564" s="10" t="s">
        <v>125</v>
      </c>
    </row>
    <row r="565" spans="1:9" x14ac:dyDescent="0.15">
      <c r="A565" s="9">
        <v>564</v>
      </c>
      <c r="B565" s="10" t="s">
        <v>9</v>
      </c>
      <c r="C565" s="10" t="s">
        <v>299</v>
      </c>
      <c r="D565" s="10" t="s">
        <v>300</v>
      </c>
      <c r="E565" s="11" t="str">
        <f>+HYPERLINK("http://trademark.i-assist.jp/data/china/image_1898th/78272391.pdf", "78272391")</f>
        <v>78272391</v>
      </c>
      <c r="F565" s="10" t="s">
        <v>2072</v>
      </c>
      <c r="G565" s="10" t="s">
        <v>2073</v>
      </c>
      <c r="H565" s="10" t="s">
        <v>2074</v>
      </c>
      <c r="I565" s="10" t="s">
        <v>125</v>
      </c>
    </row>
    <row r="566" spans="1:9" x14ac:dyDescent="0.15">
      <c r="A566" s="9">
        <v>565</v>
      </c>
      <c r="B566" s="10" t="s">
        <v>9</v>
      </c>
      <c r="C566" s="10" t="s">
        <v>299</v>
      </c>
      <c r="D566" s="10" t="s">
        <v>300</v>
      </c>
      <c r="E566" s="11" t="str">
        <f>+HYPERLINK("http://trademark.i-assist.jp/data/china/image_1898th/78272616.pdf", "78272616")</f>
        <v>78272616</v>
      </c>
      <c r="F566" s="10" t="s">
        <v>2075</v>
      </c>
      <c r="G566" s="10" t="s">
        <v>2076</v>
      </c>
      <c r="H566" s="10" t="s">
        <v>2077</v>
      </c>
      <c r="I566" s="10" t="s">
        <v>125</v>
      </c>
    </row>
    <row r="567" spans="1:9" x14ac:dyDescent="0.15">
      <c r="A567" s="9">
        <v>566</v>
      </c>
      <c r="B567" s="10" t="s">
        <v>9</v>
      </c>
      <c r="C567" s="10" t="s">
        <v>299</v>
      </c>
      <c r="D567" s="10" t="s">
        <v>300</v>
      </c>
      <c r="E567" s="11" t="str">
        <f>+HYPERLINK("http://trademark.i-assist.jp/data/china/image_1898th/78273214.pdf", "78273214")</f>
        <v>78273214</v>
      </c>
      <c r="F567" s="10" t="s">
        <v>2078</v>
      </c>
      <c r="G567" s="10" t="s">
        <v>2079</v>
      </c>
      <c r="H567" s="10" t="s">
        <v>2080</v>
      </c>
      <c r="I567" s="10" t="s">
        <v>131</v>
      </c>
    </row>
    <row r="568" spans="1:9" x14ac:dyDescent="0.15">
      <c r="A568" s="9">
        <v>567</v>
      </c>
      <c r="B568" s="10" t="s">
        <v>9</v>
      </c>
      <c r="C568" s="10" t="s">
        <v>299</v>
      </c>
      <c r="D568" s="10" t="s">
        <v>300</v>
      </c>
      <c r="E568" s="11" t="str">
        <f>+HYPERLINK("http://trademark.i-assist.jp/data/china/image_1898th/78273375.pdf", "78273375")</f>
        <v>78273375</v>
      </c>
      <c r="F568" s="10" t="s">
        <v>2081</v>
      </c>
      <c r="G568" s="10" t="s">
        <v>2082</v>
      </c>
      <c r="H568" s="10" t="s">
        <v>2083</v>
      </c>
      <c r="I568" s="10" t="s">
        <v>131</v>
      </c>
    </row>
    <row r="569" spans="1:9" x14ac:dyDescent="0.15">
      <c r="A569" s="9">
        <v>568</v>
      </c>
      <c r="B569" s="10" t="s">
        <v>9</v>
      </c>
      <c r="C569" s="10" t="s">
        <v>299</v>
      </c>
      <c r="D569" s="10" t="s">
        <v>300</v>
      </c>
      <c r="E569" s="11" t="str">
        <f>+HYPERLINK("http://trademark.i-assist.jp/data/china/image_1898th/78274082.pdf", "78274082")</f>
        <v>78274082</v>
      </c>
      <c r="F569" s="10" t="s">
        <v>2084</v>
      </c>
      <c r="G569" s="10" t="s">
        <v>2085</v>
      </c>
      <c r="H569" s="10" t="s">
        <v>2086</v>
      </c>
      <c r="I569" s="10" t="s">
        <v>131</v>
      </c>
    </row>
    <row r="570" spans="1:9" x14ac:dyDescent="0.15">
      <c r="A570" s="9">
        <v>569</v>
      </c>
      <c r="B570" s="10" t="s">
        <v>9</v>
      </c>
      <c r="C570" s="10" t="s">
        <v>299</v>
      </c>
      <c r="D570" s="10" t="s">
        <v>300</v>
      </c>
      <c r="E570" s="11" t="str">
        <f>+HYPERLINK("http://trademark.i-assist.jp/data/china/image_1898th/78275457.pdf", "78275457")</f>
        <v>78275457</v>
      </c>
      <c r="F570" s="10" t="s">
        <v>2081</v>
      </c>
      <c r="G570" s="10" t="s">
        <v>2082</v>
      </c>
      <c r="H570" s="10" t="s">
        <v>2087</v>
      </c>
      <c r="I570" s="10" t="s">
        <v>131</v>
      </c>
    </row>
    <row r="571" spans="1:9" x14ac:dyDescent="0.15">
      <c r="A571" s="9">
        <v>570</v>
      </c>
      <c r="B571" s="10" t="s">
        <v>9</v>
      </c>
      <c r="C571" s="10" t="s">
        <v>299</v>
      </c>
      <c r="D571" s="10" t="s">
        <v>300</v>
      </c>
      <c r="E571" s="11" t="str">
        <f>+HYPERLINK("http://trademark.i-assist.jp/data/china/image_1898th/78275899.pdf", "78275899")</f>
        <v>78275899</v>
      </c>
      <c r="F571" s="10" t="s">
        <v>2088</v>
      </c>
      <c r="G571" s="10" t="s">
        <v>2089</v>
      </c>
      <c r="H571" s="10" t="s">
        <v>2090</v>
      </c>
      <c r="I571" s="10" t="s">
        <v>131</v>
      </c>
    </row>
    <row r="572" spans="1:9" x14ac:dyDescent="0.15">
      <c r="A572" s="9">
        <v>571</v>
      </c>
      <c r="B572" s="10" t="s">
        <v>9</v>
      </c>
      <c r="C572" s="10" t="s">
        <v>299</v>
      </c>
      <c r="D572" s="10" t="s">
        <v>300</v>
      </c>
      <c r="E572" s="11" t="str">
        <f>+HYPERLINK("http://trademark.i-assist.jp/data/china/image_1898th/78277419.pdf", "78277419")</f>
        <v>78277419</v>
      </c>
      <c r="F572" s="10" t="s">
        <v>2091</v>
      </c>
      <c r="G572" s="10" t="s">
        <v>2092</v>
      </c>
      <c r="H572" s="10" t="s">
        <v>2093</v>
      </c>
      <c r="I572" s="10" t="s">
        <v>131</v>
      </c>
    </row>
    <row r="573" spans="1:9" x14ac:dyDescent="0.15">
      <c r="A573" s="9">
        <v>572</v>
      </c>
      <c r="B573" s="10" t="s">
        <v>9</v>
      </c>
      <c r="C573" s="10" t="s">
        <v>299</v>
      </c>
      <c r="D573" s="10" t="s">
        <v>300</v>
      </c>
      <c r="E573" s="11" t="str">
        <f>+HYPERLINK("http://trademark.i-assist.jp/data/china/image_1898th/78277738.pdf", "78277738")</f>
        <v>78277738</v>
      </c>
      <c r="F573" s="10" t="s">
        <v>2094</v>
      </c>
      <c r="G573" s="10" t="s">
        <v>2095</v>
      </c>
      <c r="H573" s="10" t="s">
        <v>2096</v>
      </c>
      <c r="I573" s="10" t="s">
        <v>131</v>
      </c>
    </row>
    <row r="574" spans="1:9" x14ac:dyDescent="0.15">
      <c r="A574" s="9">
        <v>573</v>
      </c>
      <c r="B574" s="10" t="s">
        <v>9</v>
      </c>
      <c r="C574" s="10" t="s">
        <v>299</v>
      </c>
      <c r="D574" s="10" t="s">
        <v>300</v>
      </c>
      <c r="E574" s="11" t="str">
        <f>+HYPERLINK("http://trademark.i-assist.jp/data/china/image_1898th/78279156.pdf", "78279156")</f>
        <v>78279156</v>
      </c>
      <c r="F574" s="10" t="s">
        <v>2097</v>
      </c>
      <c r="G574" s="10" t="s">
        <v>2098</v>
      </c>
      <c r="H574" s="10" t="s">
        <v>2099</v>
      </c>
      <c r="I574" s="10" t="s">
        <v>131</v>
      </c>
    </row>
    <row r="575" spans="1:9" x14ac:dyDescent="0.15">
      <c r="A575" s="9">
        <v>574</v>
      </c>
      <c r="B575" s="10" t="s">
        <v>9</v>
      </c>
      <c r="C575" s="10" t="s">
        <v>299</v>
      </c>
      <c r="D575" s="10" t="s">
        <v>300</v>
      </c>
      <c r="E575" s="11" t="str">
        <f>+HYPERLINK("http://trademark.i-assist.jp/data/china/image_1898th/78282153.pdf", "78282153")</f>
        <v>78282153</v>
      </c>
      <c r="F575" s="10" t="s">
        <v>2100</v>
      </c>
      <c r="G575" s="10" t="s">
        <v>2101</v>
      </c>
      <c r="H575" s="10" t="s">
        <v>2102</v>
      </c>
      <c r="I575" s="10" t="s">
        <v>138</v>
      </c>
    </row>
    <row r="576" spans="1:9" x14ac:dyDescent="0.15">
      <c r="A576" s="9">
        <v>575</v>
      </c>
      <c r="B576" s="10" t="s">
        <v>9</v>
      </c>
      <c r="C576" s="10" t="s">
        <v>299</v>
      </c>
      <c r="D576" s="10" t="s">
        <v>300</v>
      </c>
      <c r="E576" s="11" t="str">
        <f>+HYPERLINK("http://trademark.i-assist.jp/data/china/image_1898th/78283238.pdf", "78283238")</f>
        <v>78283238</v>
      </c>
      <c r="F576" s="10" t="s">
        <v>2103</v>
      </c>
      <c r="G576" s="10" t="s">
        <v>2104</v>
      </c>
      <c r="H576" s="10" t="s">
        <v>2105</v>
      </c>
      <c r="I576" s="10" t="s">
        <v>138</v>
      </c>
    </row>
    <row r="577" spans="1:9" x14ac:dyDescent="0.15">
      <c r="A577" s="9">
        <v>576</v>
      </c>
      <c r="B577" s="10" t="s">
        <v>9</v>
      </c>
      <c r="C577" s="10" t="s">
        <v>299</v>
      </c>
      <c r="D577" s="10" t="s">
        <v>300</v>
      </c>
      <c r="E577" s="11" t="str">
        <f>+HYPERLINK("http://trademark.i-assist.jp/data/china/image_1898th/78283309.pdf", "78283309")</f>
        <v>78283309</v>
      </c>
      <c r="F577" s="10" t="s">
        <v>2106</v>
      </c>
      <c r="G577" s="10" t="s">
        <v>137</v>
      </c>
      <c r="H577" s="10" t="s">
        <v>2107</v>
      </c>
      <c r="I577" s="10" t="s">
        <v>138</v>
      </c>
    </row>
    <row r="578" spans="1:9" x14ac:dyDescent="0.15">
      <c r="A578" s="9">
        <v>577</v>
      </c>
      <c r="B578" s="10" t="s">
        <v>9</v>
      </c>
      <c r="C578" s="10" t="s">
        <v>299</v>
      </c>
      <c r="D578" s="10" t="s">
        <v>300</v>
      </c>
      <c r="E578" s="11" t="str">
        <f>+HYPERLINK("http://trademark.i-assist.jp/data/china/image_1898th/78286463.pdf", "78286463")</f>
        <v>78286463</v>
      </c>
      <c r="F578" s="10" t="s">
        <v>2108</v>
      </c>
      <c r="G578" s="10" t="s">
        <v>2109</v>
      </c>
      <c r="H578" s="10" t="s">
        <v>2110</v>
      </c>
      <c r="I578" s="10" t="s">
        <v>138</v>
      </c>
    </row>
    <row r="579" spans="1:9" x14ac:dyDescent="0.15">
      <c r="A579" s="9">
        <v>578</v>
      </c>
      <c r="B579" s="10" t="s">
        <v>9</v>
      </c>
      <c r="C579" s="10" t="s">
        <v>299</v>
      </c>
      <c r="D579" s="10" t="s">
        <v>300</v>
      </c>
      <c r="E579" s="11" t="str">
        <f>+HYPERLINK("http://trademark.i-assist.jp/data/china/image_1898th/78287360.pdf", "78287360")</f>
        <v>78287360</v>
      </c>
      <c r="F579" s="10" t="s">
        <v>2111</v>
      </c>
      <c r="G579" s="10" t="s">
        <v>2112</v>
      </c>
      <c r="H579" s="10" t="s">
        <v>2113</v>
      </c>
      <c r="I579" s="10" t="s">
        <v>138</v>
      </c>
    </row>
    <row r="580" spans="1:9" x14ac:dyDescent="0.15">
      <c r="A580" s="9">
        <v>579</v>
      </c>
      <c r="B580" s="10" t="s">
        <v>9</v>
      </c>
      <c r="C580" s="10" t="s">
        <v>299</v>
      </c>
      <c r="D580" s="10" t="s">
        <v>300</v>
      </c>
      <c r="E580" s="11" t="str">
        <f>+HYPERLINK("http://trademark.i-assist.jp/data/china/image_1898th/78287403.pdf", "78287403")</f>
        <v>78287403</v>
      </c>
      <c r="F580" s="10" t="s">
        <v>2114</v>
      </c>
      <c r="G580" s="10" t="s">
        <v>2115</v>
      </c>
      <c r="H580" s="10" t="s">
        <v>2116</v>
      </c>
      <c r="I580" s="10" t="s">
        <v>138</v>
      </c>
    </row>
    <row r="581" spans="1:9" x14ac:dyDescent="0.15">
      <c r="A581" s="9">
        <v>580</v>
      </c>
      <c r="B581" s="10" t="s">
        <v>9</v>
      </c>
      <c r="C581" s="10" t="s">
        <v>299</v>
      </c>
      <c r="D581" s="10" t="s">
        <v>300</v>
      </c>
      <c r="E581" s="11" t="str">
        <f>+HYPERLINK("http://trademark.i-assist.jp/data/china/image_1898th/78287449.pdf", "78287449")</f>
        <v>78287449</v>
      </c>
      <c r="F581" s="10" t="s">
        <v>2117</v>
      </c>
      <c r="G581" s="10" t="s">
        <v>2118</v>
      </c>
      <c r="H581" s="10" t="s">
        <v>2119</v>
      </c>
      <c r="I581" s="10" t="s">
        <v>138</v>
      </c>
    </row>
    <row r="582" spans="1:9" x14ac:dyDescent="0.15">
      <c r="A582" s="9">
        <v>581</v>
      </c>
      <c r="B582" s="10" t="s">
        <v>9</v>
      </c>
      <c r="C582" s="10" t="s">
        <v>299</v>
      </c>
      <c r="D582" s="10" t="s">
        <v>300</v>
      </c>
      <c r="E582" s="11" t="str">
        <f>+HYPERLINK("http://trademark.i-assist.jp/data/china/image_1898th/78287500.pdf", "78287500")</f>
        <v>78287500</v>
      </c>
      <c r="F582" s="10" t="s">
        <v>2120</v>
      </c>
      <c r="G582" s="10" t="s">
        <v>2121</v>
      </c>
      <c r="H582" s="10" t="s">
        <v>2122</v>
      </c>
      <c r="I582" s="10" t="s">
        <v>138</v>
      </c>
    </row>
    <row r="583" spans="1:9" x14ac:dyDescent="0.15">
      <c r="A583" s="9">
        <v>582</v>
      </c>
      <c r="B583" s="10" t="s">
        <v>9</v>
      </c>
      <c r="C583" s="10" t="s">
        <v>299</v>
      </c>
      <c r="D583" s="10" t="s">
        <v>300</v>
      </c>
      <c r="E583" s="11" t="str">
        <f>+HYPERLINK("http://trademark.i-assist.jp/data/china/image_1898th/78288200.pdf", "78288200")</f>
        <v>78288200</v>
      </c>
      <c r="F583" s="10" t="s">
        <v>2123</v>
      </c>
      <c r="G583" s="10" t="s">
        <v>2124</v>
      </c>
      <c r="H583" s="10" t="s">
        <v>2125</v>
      </c>
      <c r="I583" s="10" t="s">
        <v>138</v>
      </c>
    </row>
    <row r="584" spans="1:9" x14ac:dyDescent="0.15">
      <c r="A584" s="9">
        <v>583</v>
      </c>
      <c r="B584" s="10" t="s">
        <v>9</v>
      </c>
      <c r="C584" s="10" t="s">
        <v>299</v>
      </c>
      <c r="D584" s="10" t="s">
        <v>300</v>
      </c>
      <c r="E584" s="11" t="str">
        <f>+HYPERLINK("http://trademark.i-assist.jp/data/china/image_1898th/78288904.pdf", "78288904")</f>
        <v>78288904</v>
      </c>
      <c r="F584" s="10" t="s">
        <v>2126</v>
      </c>
      <c r="G584" s="10" t="s">
        <v>2127</v>
      </c>
      <c r="H584" s="10" t="s">
        <v>2128</v>
      </c>
      <c r="I584" s="10" t="s">
        <v>138</v>
      </c>
    </row>
    <row r="585" spans="1:9" x14ac:dyDescent="0.15">
      <c r="A585" s="9">
        <v>584</v>
      </c>
      <c r="B585" s="10" t="s">
        <v>9</v>
      </c>
      <c r="C585" s="10" t="s">
        <v>299</v>
      </c>
      <c r="D585" s="10" t="s">
        <v>300</v>
      </c>
      <c r="E585" s="11" t="str">
        <f>+HYPERLINK("http://trademark.i-assist.jp/data/china/image_1898th/78290234.pdf", "78290234")</f>
        <v>78290234</v>
      </c>
      <c r="F585" s="10" t="s">
        <v>2129</v>
      </c>
      <c r="G585" s="10" t="s">
        <v>2130</v>
      </c>
      <c r="H585" s="10" t="s">
        <v>2131</v>
      </c>
      <c r="I585" s="10" t="s">
        <v>138</v>
      </c>
    </row>
    <row r="586" spans="1:9" x14ac:dyDescent="0.15">
      <c r="A586" s="9">
        <v>585</v>
      </c>
      <c r="B586" s="10" t="s">
        <v>9</v>
      </c>
      <c r="C586" s="10" t="s">
        <v>299</v>
      </c>
      <c r="D586" s="10" t="s">
        <v>300</v>
      </c>
      <c r="E586" s="11" t="str">
        <f>+HYPERLINK("http://trademark.i-assist.jp/data/china/image_1898th/78291083.pdf", "78291083")</f>
        <v>78291083</v>
      </c>
      <c r="F586" s="10" t="s">
        <v>2132</v>
      </c>
      <c r="G586" s="10" t="s">
        <v>2133</v>
      </c>
      <c r="H586" s="10" t="s">
        <v>2134</v>
      </c>
      <c r="I586" s="10" t="s">
        <v>138</v>
      </c>
    </row>
    <row r="587" spans="1:9" x14ac:dyDescent="0.15">
      <c r="A587" s="9">
        <v>586</v>
      </c>
      <c r="B587" s="10" t="s">
        <v>9</v>
      </c>
      <c r="C587" s="10" t="s">
        <v>299</v>
      </c>
      <c r="D587" s="10" t="s">
        <v>300</v>
      </c>
      <c r="E587" s="11" t="str">
        <f>+HYPERLINK("http://trademark.i-assist.jp/data/china/image_1898th/78291607.pdf", "78291607")</f>
        <v>78291607</v>
      </c>
      <c r="F587" s="10" t="s">
        <v>19</v>
      </c>
      <c r="G587" s="10" t="s">
        <v>2135</v>
      </c>
      <c r="H587" s="10" t="s">
        <v>2136</v>
      </c>
      <c r="I587" s="10" t="s">
        <v>138</v>
      </c>
    </row>
    <row r="588" spans="1:9" x14ac:dyDescent="0.15">
      <c r="A588" s="9">
        <v>587</v>
      </c>
      <c r="B588" s="10" t="s">
        <v>9</v>
      </c>
      <c r="C588" s="10" t="s">
        <v>299</v>
      </c>
      <c r="D588" s="10" t="s">
        <v>300</v>
      </c>
      <c r="E588" s="11" t="str">
        <f>+HYPERLINK("http://trademark.i-assist.jp/data/china/image_1898th/78292785.pdf", "78292785")</f>
        <v>78292785</v>
      </c>
      <c r="F588" s="10" t="s">
        <v>2137</v>
      </c>
      <c r="G588" s="10" t="s">
        <v>2138</v>
      </c>
      <c r="H588" s="10" t="s">
        <v>2139</v>
      </c>
      <c r="I588" s="10" t="s">
        <v>138</v>
      </c>
    </row>
    <row r="589" spans="1:9" x14ac:dyDescent="0.15">
      <c r="A589" s="9">
        <v>588</v>
      </c>
      <c r="B589" s="10" t="s">
        <v>9</v>
      </c>
      <c r="C589" s="10" t="s">
        <v>299</v>
      </c>
      <c r="D589" s="10" t="s">
        <v>300</v>
      </c>
      <c r="E589" s="11" t="str">
        <f>+HYPERLINK("http://trademark.i-assist.jp/data/china/image_1898th/78295105.pdf", "78295105")</f>
        <v>78295105</v>
      </c>
      <c r="F589" s="10" t="s">
        <v>2140</v>
      </c>
      <c r="G589" s="10" t="s">
        <v>137</v>
      </c>
      <c r="H589" s="10" t="s">
        <v>2141</v>
      </c>
      <c r="I589" s="10" t="s">
        <v>138</v>
      </c>
    </row>
    <row r="590" spans="1:9" x14ac:dyDescent="0.15">
      <c r="A590" s="9">
        <v>589</v>
      </c>
      <c r="B590" s="10" t="s">
        <v>9</v>
      </c>
      <c r="C590" s="10" t="s">
        <v>299</v>
      </c>
      <c r="D590" s="10" t="s">
        <v>300</v>
      </c>
      <c r="E590" s="11" t="str">
        <f>+HYPERLINK("http://trademark.i-assist.jp/data/china/image_1898th/78295928.pdf", "78295928")</f>
        <v>78295928</v>
      </c>
      <c r="F590" s="10" t="s">
        <v>2142</v>
      </c>
      <c r="G590" s="10" t="s">
        <v>137</v>
      </c>
      <c r="H590" s="10" t="s">
        <v>2143</v>
      </c>
      <c r="I590" s="10" t="s">
        <v>138</v>
      </c>
    </row>
    <row r="591" spans="1:9" x14ac:dyDescent="0.15">
      <c r="A591" s="9">
        <v>590</v>
      </c>
      <c r="B591" s="10" t="s">
        <v>9</v>
      </c>
      <c r="C591" s="10" t="s">
        <v>299</v>
      </c>
      <c r="D591" s="10" t="s">
        <v>300</v>
      </c>
      <c r="E591" s="11" t="str">
        <f>+HYPERLINK("http://trademark.i-assist.jp/data/china/image_1898th/78296427.pdf", "78296427")</f>
        <v>78296427</v>
      </c>
      <c r="F591" s="10" t="s">
        <v>2144</v>
      </c>
      <c r="G591" s="10" t="s">
        <v>2145</v>
      </c>
      <c r="H591" s="10" t="s">
        <v>2146</v>
      </c>
      <c r="I591" s="10" t="s">
        <v>138</v>
      </c>
    </row>
    <row r="592" spans="1:9" x14ac:dyDescent="0.15">
      <c r="A592" s="9">
        <v>591</v>
      </c>
      <c r="B592" s="10" t="s">
        <v>9</v>
      </c>
      <c r="C592" s="10" t="s">
        <v>299</v>
      </c>
      <c r="D592" s="10" t="s">
        <v>300</v>
      </c>
      <c r="E592" s="11" t="str">
        <f>+HYPERLINK("http://trademark.i-assist.jp/data/china/image_1898th/78296465.pdf", "78296465")</f>
        <v>78296465</v>
      </c>
      <c r="F592" s="10" t="s">
        <v>2147</v>
      </c>
      <c r="G592" s="10" t="s">
        <v>2148</v>
      </c>
      <c r="H592" s="10" t="s">
        <v>2149</v>
      </c>
      <c r="I592" s="10" t="s">
        <v>138</v>
      </c>
    </row>
    <row r="593" spans="1:9" x14ac:dyDescent="0.15">
      <c r="A593" s="9">
        <v>592</v>
      </c>
      <c r="B593" s="10" t="s">
        <v>9</v>
      </c>
      <c r="C593" s="10" t="s">
        <v>299</v>
      </c>
      <c r="D593" s="10" t="s">
        <v>300</v>
      </c>
      <c r="E593" s="11" t="str">
        <f>+HYPERLINK("http://trademark.i-assist.jp/data/china/image_1898th/78296739.pdf", "78296739")</f>
        <v>78296739</v>
      </c>
      <c r="F593" s="10" t="s">
        <v>2150</v>
      </c>
      <c r="G593" s="10" t="s">
        <v>2151</v>
      </c>
      <c r="H593" s="10" t="s">
        <v>2152</v>
      </c>
      <c r="I593" s="10" t="s">
        <v>138</v>
      </c>
    </row>
    <row r="594" spans="1:9" x14ac:dyDescent="0.15">
      <c r="A594" s="9">
        <v>593</v>
      </c>
      <c r="B594" s="10" t="s">
        <v>9</v>
      </c>
      <c r="C594" s="10" t="s">
        <v>299</v>
      </c>
      <c r="D594" s="10" t="s">
        <v>300</v>
      </c>
      <c r="E594" s="11" t="str">
        <f>+HYPERLINK("http://trademark.i-assist.jp/data/china/image_1898th/78297339.pdf", "78297339")</f>
        <v>78297339</v>
      </c>
      <c r="F594" s="10" t="s">
        <v>2153</v>
      </c>
      <c r="G594" s="10" t="s">
        <v>2154</v>
      </c>
      <c r="H594" s="10" t="s">
        <v>2155</v>
      </c>
      <c r="I594" s="10" t="s">
        <v>138</v>
      </c>
    </row>
    <row r="595" spans="1:9" x14ac:dyDescent="0.15">
      <c r="A595" s="9">
        <v>594</v>
      </c>
      <c r="B595" s="10" t="s">
        <v>9</v>
      </c>
      <c r="C595" s="10" t="s">
        <v>299</v>
      </c>
      <c r="D595" s="10" t="s">
        <v>300</v>
      </c>
      <c r="E595" s="11" t="str">
        <f>+HYPERLINK("http://trademark.i-assist.jp/data/china/image_1898th/78297721.pdf", "78297721")</f>
        <v>78297721</v>
      </c>
      <c r="F595" s="10" t="s">
        <v>19</v>
      </c>
      <c r="G595" s="10" t="s">
        <v>2156</v>
      </c>
      <c r="H595" s="10" t="s">
        <v>2157</v>
      </c>
      <c r="I595" s="10" t="s">
        <v>138</v>
      </c>
    </row>
    <row r="596" spans="1:9" x14ac:dyDescent="0.15">
      <c r="A596" s="9">
        <v>595</v>
      </c>
      <c r="B596" s="10" t="s">
        <v>9</v>
      </c>
      <c r="C596" s="10" t="s">
        <v>299</v>
      </c>
      <c r="D596" s="10" t="s">
        <v>300</v>
      </c>
      <c r="E596" s="11" t="str">
        <f>+HYPERLINK("http://trademark.i-assist.jp/data/china/image_1898th/78299311.pdf", "78299311")</f>
        <v>78299311</v>
      </c>
      <c r="F596" s="10" t="s">
        <v>2158</v>
      </c>
      <c r="G596" s="10" t="s">
        <v>2159</v>
      </c>
      <c r="H596" s="10" t="s">
        <v>2160</v>
      </c>
      <c r="I596" s="10" t="s">
        <v>138</v>
      </c>
    </row>
    <row r="597" spans="1:9" x14ac:dyDescent="0.15">
      <c r="A597" s="9">
        <v>596</v>
      </c>
      <c r="B597" s="10" t="s">
        <v>9</v>
      </c>
      <c r="C597" s="10" t="s">
        <v>299</v>
      </c>
      <c r="D597" s="10" t="s">
        <v>300</v>
      </c>
      <c r="E597" s="11" t="str">
        <f>+HYPERLINK("http://trademark.i-assist.jp/data/china/image_1898th/78300122.pdf", "78300122")</f>
        <v>78300122</v>
      </c>
      <c r="F597" s="10" t="s">
        <v>2161</v>
      </c>
      <c r="G597" s="10" t="s">
        <v>2162</v>
      </c>
      <c r="H597" s="10" t="s">
        <v>43</v>
      </c>
      <c r="I597" s="10" t="s">
        <v>138</v>
      </c>
    </row>
    <row r="598" spans="1:9" x14ac:dyDescent="0.15">
      <c r="A598" s="9">
        <v>597</v>
      </c>
      <c r="B598" s="10" t="s">
        <v>9</v>
      </c>
      <c r="C598" s="10" t="s">
        <v>299</v>
      </c>
      <c r="D598" s="10" t="s">
        <v>300</v>
      </c>
      <c r="E598" s="11" t="str">
        <f>+HYPERLINK("http://trademark.i-assist.jp/data/china/image_1898th/78302657.pdf", "78302657")</f>
        <v>78302657</v>
      </c>
      <c r="F598" s="10" t="s">
        <v>2163</v>
      </c>
      <c r="G598" s="10" t="s">
        <v>2164</v>
      </c>
      <c r="H598" s="10" t="s">
        <v>2165</v>
      </c>
      <c r="I598" s="10" t="s">
        <v>138</v>
      </c>
    </row>
    <row r="599" spans="1:9" x14ac:dyDescent="0.15">
      <c r="A599" s="9">
        <v>598</v>
      </c>
      <c r="B599" s="10" t="s">
        <v>9</v>
      </c>
      <c r="C599" s="10" t="s">
        <v>299</v>
      </c>
      <c r="D599" s="10" t="s">
        <v>300</v>
      </c>
      <c r="E599" s="11" t="str">
        <f>+HYPERLINK("http://trademark.i-assist.jp/data/china/image_1898th/78303304.pdf", "78303304")</f>
        <v>78303304</v>
      </c>
      <c r="F599" s="10" t="s">
        <v>2166</v>
      </c>
      <c r="G599" s="10" t="s">
        <v>2167</v>
      </c>
      <c r="H599" s="10" t="s">
        <v>2168</v>
      </c>
      <c r="I599" s="10" t="s">
        <v>138</v>
      </c>
    </row>
    <row r="600" spans="1:9" x14ac:dyDescent="0.15">
      <c r="A600" s="9">
        <v>599</v>
      </c>
      <c r="B600" s="10" t="s">
        <v>9</v>
      </c>
      <c r="C600" s="10" t="s">
        <v>299</v>
      </c>
      <c r="D600" s="10" t="s">
        <v>300</v>
      </c>
      <c r="E600" s="11" t="str">
        <f>+HYPERLINK("http://trademark.i-assist.jp/data/china/image_1898th/78304910.pdf", "78304910")</f>
        <v>78304910</v>
      </c>
      <c r="F600" s="10" t="s">
        <v>2169</v>
      </c>
      <c r="G600" s="10" t="s">
        <v>2170</v>
      </c>
      <c r="H600" s="10" t="s">
        <v>2171</v>
      </c>
      <c r="I600" s="10" t="s">
        <v>138</v>
      </c>
    </row>
    <row r="601" spans="1:9" x14ac:dyDescent="0.15">
      <c r="A601" s="9">
        <v>600</v>
      </c>
      <c r="B601" s="10" t="s">
        <v>9</v>
      </c>
      <c r="C601" s="10" t="s">
        <v>299</v>
      </c>
      <c r="D601" s="10" t="s">
        <v>300</v>
      </c>
      <c r="E601" s="11" t="str">
        <f>+HYPERLINK("http://trademark.i-assist.jp/data/china/image_1898th/78306053.pdf", "78306053")</f>
        <v>78306053</v>
      </c>
      <c r="F601" s="10" t="s">
        <v>2172</v>
      </c>
      <c r="G601" s="10" t="s">
        <v>137</v>
      </c>
      <c r="H601" s="10" t="s">
        <v>2173</v>
      </c>
      <c r="I601" s="10" t="s">
        <v>138</v>
      </c>
    </row>
    <row r="602" spans="1:9" x14ac:dyDescent="0.15">
      <c r="A602" s="9">
        <v>601</v>
      </c>
      <c r="B602" s="10" t="s">
        <v>9</v>
      </c>
      <c r="C602" s="10" t="s">
        <v>299</v>
      </c>
      <c r="D602" s="10" t="s">
        <v>300</v>
      </c>
      <c r="E602" s="11" t="str">
        <f>+HYPERLINK("http://trademark.i-assist.jp/data/china/image_1898th/78306066.pdf", "78306066")</f>
        <v>78306066</v>
      </c>
      <c r="F602" s="10" t="s">
        <v>2174</v>
      </c>
      <c r="G602" s="10" t="s">
        <v>137</v>
      </c>
      <c r="H602" s="10" t="s">
        <v>2175</v>
      </c>
      <c r="I602" s="10" t="s">
        <v>138</v>
      </c>
    </row>
    <row r="603" spans="1:9" x14ac:dyDescent="0.15">
      <c r="A603" s="9">
        <v>602</v>
      </c>
      <c r="B603" s="10" t="s">
        <v>9</v>
      </c>
      <c r="C603" s="10" t="s">
        <v>299</v>
      </c>
      <c r="D603" s="10" t="s">
        <v>300</v>
      </c>
      <c r="E603" s="11" t="str">
        <f>+HYPERLINK("http://trademark.i-assist.jp/data/china/image_1898th/78306523.pdf", "78306523")</f>
        <v>78306523</v>
      </c>
      <c r="F603" s="10" t="s">
        <v>2176</v>
      </c>
      <c r="G603" s="10" t="s">
        <v>2177</v>
      </c>
      <c r="H603" s="10" t="s">
        <v>2178</v>
      </c>
      <c r="I603" s="10" t="s">
        <v>138</v>
      </c>
    </row>
    <row r="604" spans="1:9" x14ac:dyDescent="0.15">
      <c r="A604" s="9">
        <v>603</v>
      </c>
      <c r="B604" s="10" t="s">
        <v>9</v>
      </c>
      <c r="C604" s="10" t="s">
        <v>299</v>
      </c>
      <c r="D604" s="10" t="s">
        <v>300</v>
      </c>
      <c r="E604" s="11" t="str">
        <f>+HYPERLINK("http://trademark.i-assist.jp/data/china/image_1898th/78307056.pdf", "78307056")</f>
        <v>78307056</v>
      </c>
      <c r="F604" s="10" t="s">
        <v>2179</v>
      </c>
      <c r="G604" s="10" t="s">
        <v>2180</v>
      </c>
      <c r="H604" s="10" t="s">
        <v>2181</v>
      </c>
      <c r="I604" s="10" t="s">
        <v>138</v>
      </c>
    </row>
    <row r="605" spans="1:9" x14ac:dyDescent="0.15">
      <c r="A605" s="9">
        <v>604</v>
      </c>
      <c r="B605" s="10" t="s">
        <v>9</v>
      </c>
      <c r="C605" s="10" t="s">
        <v>299</v>
      </c>
      <c r="D605" s="10" t="s">
        <v>300</v>
      </c>
      <c r="E605" s="11" t="str">
        <f>+HYPERLINK("http://trademark.i-assist.jp/data/china/image_1898th/78307754.pdf", "78307754")</f>
        <v>78307754</v>
      </c>
      <c r="F605" s="10" t="s">
        <v>2182</v>
      </c>
      <c r="G605" s="10" t="s">
        <v>2183</v>
      </c>
      <c r="H605" s="10" t="s">
        <v>2184</v>
      </c>
      <c r="I605" s="10" t="s">
        <v>138</v>
      </c>
    </row>
    <row r="606" spans="1:9" x14ac:dyDescent="0.15">
      <c r="A606" s="9">
        <v>605</v>
      </c>
      <c r="B606" s="10" t="s">
        <v>9</v>
      </c>
      <c r="C606" s="10" t="s">
        <v>299</v>
      </c>
      <c r="D606" s="10" t="s">
        <v>300</v>
      </c>
      <c r="E606" s="11" t="str">
        <f>+HYPERLINK("http://trademark.i-assist.jp/data/china/image_1898th/78309161.pdf", "78309161")</f>
        <v>78309161</v>
      </c>
      <c r="F606" s="10" t="s">
        <v>19</v>
      </c>
      <c r="G606" s="10" t="s">
        <v>2185</v>
      </c>
      <c r="H606" s="10" t="s">
        <v>34</v>
      </c>
      <c r="I606" s="10" t="s">
        <v>138</v>
      </c>
    </row>
    <row r="607" spans="1:9" x14ac:dyDescent="0.15">
      <c r="A607" s="9">
        <v>606</v>
      </c>
      <c r="B607" s="10" t="s">
        <v>9</v>
      </c>
      <c r="C607" s="10" t="s">
        <v>299</v>
      </c>
      <c r="D607" s="10" t="s">
        <v>300</v>
      </c>
      <c r="E607" s="11" t="str">
        <f>+HYPERLINK("http://trademark.i-assist.jp/data/china/image_1898th/78309845.pdf", "78309845")</f>
        <v>78309845</v>
      </c>
      <c r="F607" s="10" t="s">
        <v>2186</v>
      </c>
      <c r="G607" s="10" t="s">
        <v>137</v>
      </c>
      <c r="H607" s="10" t="s">
        <v>2187</v>
      </c>
      <c r="I607" s="10" t="s">
        <v>138</v>
      </c>
    </row>
    <row r="608" spans="1:9" x14ac:dyDescent="0.15">
      <c r="A608" s="9">
        <v>607</v>
      </c>
      <c r="B608" s="10" t="s">
        <v>9</v>
      </c>
      <c r="C608" s="10" t="s">
        <v>299</v>
      </c>
      <c r="D608" s="10" t="s">
        <v>300</v>
      </c>
      <c r="E608" s="11" t="str">
        <f>+HYPERLINK("http://trademark.i-assist.jp/data/china/image_1898th/78311659.pdf", "78311659")</f>
        <v>78311659</v>
      </c>
      <c r="F608" s="10" t="s">
        <v>2188</v>
      </c>
      <c r="G608" s="10" t="s">
        <v>2189</v>
      </c>
      <c r="H608" s="10" t="s">
        <v>2190</v>
      </c>
      <c r="I608" s="10" t="s">
        <v>142</v>
      </c>
    </row>
    <row r="609" spans="1:9" x14ac:dyDescent="0.15">
      <c r="A609" s="9">
        <v>608</v>
      </c>
      <c r="B609" s="10" t="s">
        <v>9</v>
      </c>
      <c r="C609" s="10" t="s">
        <v>299</v>
      </c>
      <c r="D609" s="10" t="s">
        <v>300</v>
      </c>
      <c r="E609" s="11" t="str">
        <f>+HYPERLINK("http://trademark.i-assist.jp/data/china/image_1898th/78311797.pdf", "78311797")</f>
        <v>78311797</v>
      </c>
      <c r="F609" s="10" t="s">
        <v>2191</v>
      </c>
      <c r="G609" s="10" t="s">
        <v>41</v>
      </c>
      <c r="H609" s="10" t="s">
        <v>2192</v>
      </c>
      <c r="I609" s="10" t="s">
        <v>142</v>
      </c>
    </row>
    <row r="610" spans="1:9" x14ac:dyDescent="0.15">
      <c r="A610" s="9">
        <v>609</v>
      </c>
      <c r="B610" s="10" t="s">
        <v>9</v>
      </c>
      <c r="C610" s="10" t="s">
        <v>299</v>
      </c>
      <c r="D610" s="10" t="s">
        <v>300</v>
      </c>
      <c r="E610" s="11" t="str">
        <f>+HYPERLINK("http://trademark.i-assist.jp/data/china/image_1898th/78312448.pdf", "78312448")</f>
        <v>78312448</v>
      </c>
      <c r="F610" s="10" t="s">
        <v>2193</v>
      </c>
      <c r="G610" s="10" t="s">
        <v>2194</v>
      </c>
      <c r="H610" s="10" t="s">
        <v>2195</v>
      </c>
      <c r="I610" s="10" t="s">
        <v>142</v>
      </c>
    </row>
    <row r="611" spans="1:9" x14ac:dyDescent="0.15">
      <c r="A611" s="9">
        <v>610</v>
      </c>
      <c r="B611" s="10" t="s">
        <v>9</v>
      </c>
      <c r="C611" s="10" t="s">
        <v>299</v>
      </c>
      <c r="D611" s="10" t="s">
        <v>300</v>
      </c>
      <c r="E611" s="11" t="str">
        <f>+HYPERLINK("http://trademark.i-assist.jp/data/china/image_1898th/78316269.pdf", "78316269")</f>
        <v>78316269</v>
      </c>
      <c r="F611" s="10" t="s">
        <v>2196</v>
      </c>
      <c r="G611" s="10" t="s">
        <v>2197</v>
      </c>
      <c r="H611" s="10" t="s">
        <v>2198</v>
      </c>
      <c r="I611" s="10" t="s">
        <v>142</v>
      </c>
    </row>
    <row r="612" spans="1:9" x14ac:dyDescent="0.15">
      <c r="A612" s="9">
        <v>611</v>
      </c>
      <c r="B612" s="10" t="s">
        <v>9</v>
      </c>
      <c r="C612" s="10" t="s">
        <v>299</v>
      </c>
      <c r="D612" s="10" t="s">
        <v>300</v>
      </c>
      <c r="E612" s="11" t="str">
        <f>+HYPERLINK("http://trademark.i-assist.jp/data/china/image_1898th/78316533.pdf", "78316533")</f>
        <v>78316533</v>
      </c>
      <c r="F612" s="10" t="s">
        <v>2199</v>
      </c>
      <c r="G612" s="10" t="s">
        <v>2200</v>
      </c>
      <c r="H612" s="10" t="s">
        <v>2201</v>
      </c>
      <c r="I612" s="10" t="s">
        <v>142</v>
      </c>
    </row>
    <row r="613" spans="1:9" x14ac:dyDescent="0.15">
      <c r="A613" s="9">
        <v>612</v>
      </c>
      <c r="B613" s="10" t="s">
        <v>9</v>
      </c>
      <c r="C613" s="10" t="s">
        <v>299</v>
      </c>
      <c r="D613" s="10" t="s">
        <v>300</v>
      </c>
      <c r="E613" s="11" t="str">
        <f>+HYPERLINK("http://trademark.i-assist.jp/data/china/image_1898th/78316999.pdf", "78316999")</f>
        <v>78316999</v>
      </c>
      <c r="F613" s="10" t="s">
        <v>2202</v>
      </c>
      <c r="G613" s="10" t="s">
        <v>145</v>
      </c>
      <c r="H613" s="10" t="s">
        <v>2203</v>
      </c>
      <c r="I613" s="10" t="s">
        <v>142</v>
      </c>
    </row>
    <row r="614" spans="1:9" x14ac:dyDescent="0.15">
      <c r="A614" s="9">
        <v>613</v>
      </c>
      <c r="B614" s="10" t="s">
        <v>9</v>
      </c>
      <c r="C614" s="10" t="s">
        <v>299</v>
      </c>
      <c r="D614" s="10" t="s">
        <v>300</v>
      </c>
      <c r="E614" s="11" t="str">
        <f>+HYPERLINK("http://trademark.i-assist.jp/data/china/image_1898th/78317646.pdf", "78317646")</f>
        <v>78317646</v>
      </c>
      <c r="F614" s="10" t="s">
        <v>19</v>
      </c>
      <c r="G614" s="10" t="s">
        <v>2204</v>
      </c>
      <c r="H614" s="10" t="s">
        <v>2205</v>
      </c>
      <c r="I614" s="10" t="s">
        <v>142</v>
      </c>
    </row>
    <row r="615" spans="1:9" x14ac:dyDescent="0.15">
      <c r="A615" s="9">
        <v>614</v>
      </c>
      <c r="B615" s="10" t="s">
        <v>9</v>
      </c>
      <c r="C615" s="10" t="s">
        <v>299</v>
      </c>
      <c r="D615" s="10" t="s">
        <v>300</v>
      </c>
      <c r="E615" s="11" t="str">
        <f>+HYPERLINK("http://trademark.i-assist.jp/data/china/image_1898th/78320511.pdf", "78320511")</f>
        <v>78320511</v>
      </c>
      <c r="F615" s="10" t="s">
        <v>2206</v>
      </c>
      <c r="G615" s="10" t="s">
        <v>146</v>
      </c>
      <c r="H615" s="10" t="s">
        <v>2207</v>
      </c>
      <c r="I615" s="10" t="s">
        <v>142</v>
      </c>
    </row>
    <row r="616" spans="1:9" x14ac:dyDescent="0.15">
      <c r="A616" s="9">
        <v>615</v>
      </c>
      <c r="B616" s="10" t="s">
        <v>9</v>
      </c>
      <c r="C616" s="10" t="s">
        <v>299</v>
      </c>
      <c r="D616" s="10" t="s">
        <v>300</v>
      </c>
      <c r="E616" s="11" t="str">
        <f>+HYPERLINK("http://trademark.i-assist.jp/data/china/image_1898th/78320585.pdf", "78320585")</f>
        <v>78320585</v>
      </c>
      <c r="F616" s="10" t="s">
        <v>2208</v>
      </c>
      <c r="G616" s="10" t="s">
        <v>2209</v>
      </c>
      <c r="H616" s="10" t="s">
        <v>2210</v>
      </c>
      <c r="I616" s="10" t="s">
        <v>142</v>
      </c>
    </row>
    <row r="617" spans="1:9" x14ac:dyDescent="0.15">
      <c r="A617" s="9">
        <v>616</v>
      </c>
      <c r="B617" s="10" t="s">
        <v>9</v>
      </c>
      <c r="C617" s="10" t="s">
        <v>299</v>
      </c>
      <c r="D617" s="10" t="s">
        <v>300</v>
      </c>
      <c r="E617" s="11" t="str">
        <f>+HYPERLINK("http://trademark.i-assist.jp/data/china/image_1898th/78321838.pdf", "78321838")</f>
        <v>78321838</v>
      </c>
      <c r="F617" s="10" t="s">
        <v>2211</v>
      </c>
      <c r="G617" s="10" t="s">
        <v>2212</v>
      </c>
      <c r="H617" s="10" t="s">
        <v>2213</v>
      </c>
      <c r="I617" s="10" t="s">
        <v>142</v>
      </c>
    </row>
    <row r="618" spans="1:9" x14ac:dyDescent="0.15">
      <c r="A618" s="9">
        <v>617</v>
      </c>
      <c r="B618" s="10" t="s">
        <v>9</v>
      </c>
      <c r="C618" s="10" t="s">
        <v>299</v>
      </c>
      <c r="D618" s="10" t="s">
        <v>300</v>
      </c>
      <c r="E618" s="11" t="str">
        <f>+HYPERLINK("http://trademark.i-assist.jp/data/china/image_1898th/78321916.pdf", "78321916")</f>
        <v>78321916</v>
      </c>
      <c r="F618" s="10" t="s">
        <v>2214</v>
      </c>
      <c r="G618" s="10" t="s">
        <v>2215</v>
      </c>
      <c r="H618" s="10" t="s">
        <v>2216</v>
      </c>
      <c r="I618" s="10" t="s">
        <v>142</v>
      </c>
    </row>
    <row r="619" spans="1:9" x14ac:dyDescent="0.15">
      <c r="A619" s="9">
        <v>618</v>
      </c>
      <c r="B619" s="10" t="s">
        <v>9</v>
      </c>
      <c r="C619" s="10" t="s">
        <v>299</v>
      </c>
      <c r="D619" s="10" t="s">
        <v>300</v>
      </c>
      <c r="E619" s="11" t="str">
        <f>+HYPERLINK("http://trademark.i-assist.jp/data/china/image_1898th/78321952.pdf", "78321952")</f>
        <v>78321952</v>
      </c>
      <c r="F619" s="10" t="s">
        <v>2217</v>
      </c>
      <c r="G619" s="10" t="s">
        <v>41</v>
      </c>
      <c r="H619" s="10" t="s">
        <v>2218</v>
      </c>
      <c r="I619" s="10" t="s">
        <v>142</v>
      </c>
    </row>
    <row r="620" spans="1:9" x14ac:dyDescent="0.15">
      <c r="A620" s="9">
        <v>619</v>
      </c>
      <c r="B620" s="10" t="s">
        <v>9</v>
      </c>
      <c r="C620" s="10" t="s">
        <v>299</v>
      </c>
      <c r="D620" s="10" t="s">
        <v>300</v>
      </c>
      <c r="E620" s="11" t="str">
        <f>+HYPERLINK("http://trademark.i-assist.jp/data/china/image_1898th/78323988.pdf", "78323988")</f>
        <v>78323988</v>
      </c>
      <c r="F620" s="10" t="s">
        <v>2219</v>
      </c>
      <c r="G620" s="10" t="s">
        <v>2220</v>
      </c>
      <c r="H620" s="10" t="s">
        <v>2221</v>
      </c>
      <c r="I620" s="10" t="s">
        <v>142</v>
      </c>
    </row>
    <row r="621" spans="1:9" x14ac:dyDescent="0.15">
      <c r="A621" s="9">
        <v>620</v>
      </c>
      <c r="B621" s="10" t="s">
        <v>9</v>
      </c>
      <c r="C621" s="10" t="s">
        <v>299</v>
      </c>
      <c r="D621" s="10" t="s">
        <v>300</v>
      </c>
      <c r="E621" s="11" t="str">
        <f>+HYPERLINK("http://trademark.i-assist.jp/data/china/image_1898th/78325320.pdf", "78325320")</f>
        <v>78325320</v>
      </c>
      <c r="F621" s="10" t="s">
        <v>2222</v>
      </c>
      <c r="G621" s="10" t="s">
        <v>2223</v>
      </c>
      <c r="H621" s="10" t="s">
        <v>2224</v>
      </c>
      <c r="I621" s="10" t="s">
        <v>142</v>
      </c>
    </row>
    <row r="622" spans="1:9" x14ac:dyDescent="0.15">
      <c r="A622" s="9">
        <v>621</v>
      </c>
      <c r="B622" s="10" t="s">
        <v>9</v>
      </c>
      <c r="C622" s="10" t="s">
        <v>299</v>
      </c>
      <c r="D622" s="10" t="s">
        <v>300</v>
      </c>
      <c r="E622" s="11" t="str">
        <f>+HYPERLINK("http://trademark.i-assist.jp/data/china/image_1898th/78326459.pdf", "78326459")</f>
        <v>78326459</v>
      </c>
      <c r="F622" s="10" t="s">
        <v>2225</v>
      </c>
      <c r="G622" s="10" t="s">
        <v>41</v>
      </c>
      <c r="H622" s="10" t="s">
        <v>2226</v>
      </c>
      <c r="I622" s="10" t="s">
        <v>142</v>
      </c>
    </row>
    <row r="623" spans="1:9" x14ac:dyDescent="0.15">
      <c r="A623" s="9">
        <v>622</v>
      </c>
      <c r="B623" s="10" t="s">
        <v>9</v>
      </c>
      <c r="C623" s="10" t="s">
        <v>299</v>
      </c>
      <c r="D623" s="10" t="s">
        <v>300</v>
      </c>
      <c r="E623" s="11" t="str">
        <f>+HYPERLINK("http://trademark.i-assist.jp/data/china/image_1898th/78326896.pdf", "78326896")</f>
        <v>78326896</v>
      </c>
      <c r="F623" s="10" t="s">
        <v>2227</v>
      </c>
      <c r="G623" s="10" t="s">
        <v>153</v>
      </c>
      <c r="H623" s="10" t="s">
        <v>2228</v>
      </c>
      <c r="I623" s="10" t="s">
        <v>142</v>
      </c>
    </row>
    <row r="624" spans="1:9" x14ac:dyDescent="0.15">
      <c r="A624" s="9">
        <v>623</v>
      </c>
      <c r="B624" s="10" t="s">
        <v>9</v>
      </c>
      <c r="C624" s="10" t="s">
        <v>299</v>
      </c>
      <c r="D624" s="10" t="s">
        <v>300</v>
      </c>
      <c r="E624" s="11" t="str">
        <f>+HYPERLINK("http://trademark.i-assist.jp/data/china/image_1898th/78327105.pdf", "78327105")</f>
        <v>78327105</v>
      </c>
      <c r="F624" s="10" t="s">
        <v>2229</v>
      </c>
      <c r="G624" s="10" t="s">
        <v>2230</v>
      </c>
      <c r="H624" s="10" t="s">
        <v>2231</v>
      </c>
      <c r="I624" s="10" t="s">
        <v>142</v>
      </c>
    </row>
    <row r="625" spans="1:9" x14ac:dyDescent="0.15">
      <c r="A625" s="9">
        <v>624</v>
      </c>
      <c r="B625" s="10" t="s">
        <v>9</v>
      </c>
      <c r="C625" s="10" t="s">
        <v>299</v>
      </c>
      <c r="D625" s="10" t="s">
        <v>300</v>
      </c>
      <c r="E625" s="11" t="str">
        <f>+HYPERLINK("http://trademark.i-assist.jp/data/china/image_1898th/78328270.pdf", "78328270")</f>
        <v>78328270</v>
      </c>
      <c r="F625" s="10" t="s">
        <v>2232</v>
      </c>
      <c r="G625" s="10" t="s">
        <v>2233</v>
      </c>
      <c r="H625" s="10" t="s">
        <v>2234</v>
      </c>
      <c r="I625" s="10" t="s">
        <v>142</v>
      </c>
    </row>
    <row r="626" spans="1:9" x14ac:dyDescent="0.15">
      <c r="A626" s="9">
        <v>625</v>
      </c>
      <c r="B626" s="10" t="s">
        <v>9</v>
      </c>
      <c r="C626" s="10" t="s">
        <v>299</v>
      </c>
      <c r="D626" s="10" t="s">
        <v>300</v>
      </c>
      <c r="E626" s="11" t="str">
        <f>+HYPERLINK("http://trademark.i-assist.jp/data/china/image_1898th/78329322.pdf", "78329322")</f>
        <v>78329322</v>
      </c>
      <c r="F626" s="10" t="s">
        <v>2235</v>
      </c>
      <c r="G626" s="10" t="s">
        <v>2236</v>
      </c>
      <c r="H626" s="10" t="s">
        <v>2237</v>
      </c>
      <c r="I626" s="10" t="s">
        <v>142</v>
      </c>
    </row>
    <row r="627" spans="1:9" x14ac:dyDescent="0.15">
      <c r="A627" s="9">
        <v>626</v>
      </c>
      <c r="B627" s="10" t="s">
        <v>9</v>
      </c>
      <c r="C627" s="10" t="s">
        <v>299</v>
      </c>
      <c r="D627" s="10" t="s">
        <v>300</v>
      </c>
      <c r="E627" s="11" t="str">
        <f>+HYPERLINK("http://trademark.i-assist.jp/data/china/image_1898th/78329539.pdf", "78329539")</f>
        <v>78329539</v>
      </c>
      <c r="F627" s="10" t="s">
        <v>2238</v>
      </c>
      <c r="G627" s="10" t="s">
        <v>2239</v>
      </c>
      <c r="H627" s="10" t="s">
        <v>2240</v>
      </c>
      <c r="I627" s="10" t="s">
        <v>142</v>
      </c>
    </row>
    <row r="628" spans="1:9" x14ac:dyDescent="0.15">
      <c r="A628" s="9">
        <v>627</v>
      </c>
      <c r="B628" s="10" t="s">
        <v>9</v>
      </c>
      <c r="C628" s="10" t="s">
        <v>299</v>
      </c>
      <c r="D628" s="10" t="s">
        <v>300</v>
      </c>
      <c r="E628" s="11" t="str">
        <f>+HYPERLINK("http://trademark.i-assist.jp/data/china/image_1898th/78329695.pdf", "78329695")</f>
        <v>78329695</v>
      </c>
      <c r="F628" s="10" t="s">
        <v>2241</v>
      </c>
      <c r="G628" s="10" t="s">
        <v>2242</v>
      </c>
      <c r="H628" s="10" t="s">
        <v>2243</v>
      </c>
      <c r="I628" s="10" t="s">
        <v>142</v>
      </c>
    </row>
    <row r="629" spans="1:9" x14ac:dyDescent="0.15">
      <c r="A629" s="9">
        <v>628</v>
      </c>
      <c r="B629" s="10" t="s">
        <v>9</v>
      </c>
      <c r="C629" s="10" t="s">
        <v>299</v>
      </c>
      <c r="D629" s="10" t="s">
        <v>300</v>
      </c>
      <c r="E629" s="11" t="str">
        <f>+HYPERLINK("http://trademark.i-assist.jp/data/china/image_1898th/78331832.pdf", "78331832")</f>
        <v>78331832</v>
      </c>
      <c r="F629" s="10" t="s">
        <v>2244</v>
      </c>
      <c r="G629" s="10" t="s">
        <v>2245</v>
      </c>
      <c r="H629" s="10" t="s">
        <v>2246</v>
      </c>
      <c r="I629" s="10" t="s">
        <v>142</v>
      </c>
    </row>
    <row r="630" spans="1:9" x14ac:dyDescent="0.15">
      <c r="A630" s="9">
        <v>629</v>
      </c>
      <c r="B630" s="10" t="s">
        <v>9</v>
      </c>
      <c r="C630" s="10" t="s">
        <v>299</v>
      </c>
      <c r="D630" s="10" t="s">
        <v>300</v>
      </c>
      <c r="E630" s="11" t="str">
        <f>+HYPERLINK("http://trademark.i-assist.jp/data/china/image_1898th/78334917.pdf", "78334917")</f>
        <v>78334917</v>
      </c>
      <c r="F630" s="10" t="s">
        <v>2247</v>
      </c>
      <c r="G630" s="10" t="s">
        <v>2248</v>
      </c>
      <c r="H630" s="10" t="s">
        <v>2249</v>
      </c>
      <c r="I630" s="10" t="s">
        <v>142</v>
      </c>
    </row>
    <row r="631" spans="1:9" x14ac:dyDescent="0.15">
      <c r="A631" s="9">
        <v>630</v>
      </c>
      <c r="B631" s="10" t="s">
        <v>9</v>
      </c>
      <c r="C631" s="10" t="s">
        <v>299</v>
      </c>
      <c r="D631" s="10" t="s">
        <v>300</v>
      </c>
      <c r="E631" s="11" t="str">
        <f>+HYPERLINK("http://trademark.i-assist.jp/data/china/image_1898th/78335216.pdf", "78335216")</f>
        <v>78335216</v>
      </c>
      <c r="F631" s="10" t="s">
        <v>2250</v>
      </c>
      <c r="G631" s="10" t="s">
        <v>2251</v>
      </c>
      <c r="H631" s="10" t="s">
        <v>2252</v>
      </c>
      <c r="I631" s="10" t="s">
        <v>142</v>
      </c>
    </row>
    <row r="632" spans="1:9" x14ac:dyDescent="0.15">
      <c r="A632" s="9">
        <v>631</v>
      </c>
      <c r="B632" s="10" t="s">
        <v>9</v>
      </c>
      <c r="C632" s="10" t="s">
        <v>299</v>
      </c>
      <c r="D632" s="10" t="s">
        <v>300</v>
      </c>
      <c r="E632" s="11" t="str">
        <f>+HYPERLINK("http://trademark.i-assist.jp/data/china/image_1898th/78336327.pdf", "78336327")</f>
        <v>78336327</v>
      </c>
      <c r="F632" s="10" t="s">
        <v>2253</v>
      </c>
      <c r="G632" s="10" t="s">
        <v>2254</v>
      </c>
      <c r="H632" s="10" t="s">
        <v>2255</v>
      </c>
      <c r="I632" s="10" t="s">
        <v>142</v>
      </c>
    </row>
    <row r="633" spans="1:9" x14ac:dyDescent="0.15">
      <c r="A633" s="9">
        <v>632</v>
      </c>
      <c r="B633" s="10" t="s">
        <v>9</v>
      </c>
      <c r="C633" s="10" t="s">
        <v>299</v>
      </c>
      <c r="D633" s="10" t="s">
        <v>300</v>
      </c>
      <c r="E633" s="11" t="str">
        <f>+HYPERLINK("http://trademark.i-assist.jp/data/china/image_1898th/78336616.pdf", "78336616")</f>
        <v>78336616</v>
      </c>
      <c r="F633" s="10" t="s">
        <v>2256</v>
      </c>
      <c r="G633" s="10" t="s">
        <v>144</v>
      </c>
      <c r="H633" s="10" t="s">
        <v>2257</v>
      </c>
      <c r="I633" s="10" t="s">
        <v>142</v>
      </c>
    </row>
    <row r="634" spans="1:9" x14ac:dyDescent="0.15">
      <c r="A634" s="9">
        <v>633</v>
      </c>
      <c r="B634" s="10" t="s">
        <v>9</v>
      </c>
      <c r="C634" s="10" t="s">
        <v>299</v>
      </c>
      <c r="D634" s="10" t="s">
        <v>300</v>
      </c>
      <c r="E634" s="11" t="str">
        <f>+HYPERLINK("http://trademark.i-assist.jp/data/china/image_1898th/78337831.pdf", "78337831")</f>
        <v>78337831</v>
      </c>
      <c r="F634" s="10" t="s">
        <v>2258</v>
      </c>
      <c r="G634" s="10" t="s">
        <v>2259</v>
      </c>
      <c r="H634" s="10" t="s">
        <v>2260</v>
      </c>
      <c r="I634" s="10" t="s">
        <v>142</v>
      </c>
    </row>
    <row r="635" spans="1:9" x14ac:dyDescent="0.15">
      <c r="A635" s="9">
        <v>634</v>
      </c>
      <c r="B635" s="10" t="s">
        <v>9</v>
      </c>
      <c r="C635" s="10" t="s">
        <v>299</v>
      </c>
      <c r="D635" s="10" t="s">
        <v>300</v>
      </c>
      <c r="E635" s="11" t="str">
        <f>+HYPERLINK("http://trademark.i-assist.jp/data/china/image_1898th/78339761.pdf", "78339761")</f>
        <v>78339761</v>
      </c>
      <c r="F635" s="10" t="s">
        <v>2261</v>
      </c>
      <c r="G635" s="10" t="s">
        <v>2262</v>
      </c>
      <c r="H635" s="10" t="s">
        <v>2263</v>
      </c>
      <c r="I635" s="10" t="s">
        <v>142</v>
      </c>
    </row>
    <row r="636" spans="1:9" x14ac:dyDescent="0.15">
      <c r="A636" s="9">
        <v>635</v>
      </c>
      <c r="B636" s="10" t="s">
        <v>9</v>
      </c>
      <c r="C636" s="10" t="s">
        <v>299</v>
      </c>
      <c r="D636" s="10" t="s">
        <v>300</v>
      </c>
      <c r="E636" s="11" t="str">
        <f>+HYPERLINK("http://trademark.i-assist.jp/data/china/image_1898th/78339804.pdf", "78339804")</f>
        <v>78339804</v>
      </c>
      <c r="F636" s="10" t="s">
        <v>2264</v>
      </c>
      <c r="G636" s="10" t="s">
        <v>2265</v>
      </c>
      <c r="H636" s="10" t="s">
        <v>2266</v>
      </c>
      <c r="I636" s="10" t="s">
        <v>142</v>
      </c>
    </row>
    <row r="637" spans="1:9" x14ac:dyDescent="0.15">
      <c r="A637" s="9">
        <v>636</v>
      </c>
      <c r="B637" s="10" t="s">
        <v>9</v>
      </c>
      <c r="C637" s="10" t="s">
        <v>299</v>
      </c>
      <c r="D637" s="10" t="s">
        <v>300</v>
      </c>
      <c r="E637" s="11" t="str">
        <f>+HYPERLINK("http://trademark.i-assist.jp/data/china/image_1898th/78339848.pdf", "78339848")</f>
        <v>78339848</v>
      </c>
      <c r="F637" s="10" t="s">
        <v>2267</v>
      </c>
      <c r="G637" s="10" t="s">
        <v>2268</v>
      </c>
      <c r="H637" s="10" t="s">
        <v>2269</v>
      </c>
      <c r="I637" s="10" t="s">
        <v>142</v>
      </c>
    </row>
    <row r="638" spans="1:9" x14ac:dyDescent="0.15">
      <c r="A638" s="9">
        <v>637</v>
      </c>
      <c r="B638" s="10" t="s">
        <v>9</v>
      </c>
      <c r="C638" s="10" t="s">
        <v>299</v>
      </c>
      <c r="D638" s="10" t="s">
        <v>300</v>
      </c>
      <c r="E638" s="11" t="str">
        <f>+HYPERLINK("http://trademark.i-assist.jp/data/china/image_1898th/78340880.pdf", "78340880")</f>
        <v>78340880</v>
      </c>
      <c r="F638" s="10" t="s">
        <v>1173</v>
      </c>
      <c r="G638" s="10" t="s">
        <v>1174</v>
      </c>
      <c r="H638" s="10" t="s">
        <v>1175</v>
      </c>
      <c r="I638" s="10" t="s">
        <v>142</v>
      </c>
    </row>
    <row r="639" spans="1:9" x14ac:dyDescent="0.15">
      <c r="A639" s="9">
        <v>638</v>
      </c>
      <c r="B639" s="10" t="s">
        <v>9</v>
      </c>
      <c r="C639" s="10" t="s">
        <v>299</v>
      </c>
      <c r="D639" s="10" t="s">
        <v>300</v>
      </c>
      <c r="E639" s="11" t="str">
        <f>+HYPERLINK("http://trademark.i-assist.jp/data/china/image_1898th/78340915.pdf", "78340915")</f>
        <v>78340915</v>
      </c>
      <c r="F639" s="10" t="s">
        <v>1176</v>
      </c>
      <c r="G639" s="10" t="s">
        <v>41</v>
      </c>
      <c r="H639" s="10" t="s">
        <v>1177</v>
      </c>
      <c r="I639" s="10" t="s">
        <v>142</v>
      </c>
    </row>
    <row r="640" spans="1:9" x14ac:dyDescent="0.15">
      <c r="A640" s="9">
        <v>639</v>
      </c>
      <c r="B640" s="10" t="s">
        <v>9</v>
      </c>
      <c r="C640" s="10" t="s">
        <v>299</v>
      </c>
      <c r="D640" s="10" t="s">
        <v>300</v>
      </c>
      <c r="E640" s="11" t="str">
        <f>+HYPERLINK("http://trademark.i-assist.jp/data/china/image_1898th/78341950.pdf", "78341950")</f>
        <v>78341950</v>
      </c>
      <c r="F640" s="10" t="s">
        <v>1178</v>
      </c>
      <c r="G640" s="10" t="s">
        <v>1179</v>
      </c>
      <c r="H640" s="10" t="s">
        <v>1180</v>
      </c>
      <c r="I640" s="10" t="s">
        <v>142</v>
      </c>
    </row>
    <row r="641" spans="1:9" x14ac:dyDescent="0.15">
      <c r="A641" s="9">
        <v>640</v>
      </c>
      <c r="B641" s="10" t="s">
        <v>9</v>
      </c>
      <c r="C641" s="10" t="s">
        <v>299</v>
      </c>
      <c r="D641" s="10" t="s">
        <v>300</v>
      </c>
      <c r="E641" s="11" t="str">
        <f>+HYPERLINK("http://trademark.i-assist.jp/data/china/image_1898th/78342108.pdf", "78342108")</f>
        <v>78342108</v>
      </c>
      <c r="F641" s="10" t="s">
        <v>1181</v>
      </c>
      <c r="G641" s="10" t="s">
        <v>1182</v>
      </c>
      <c r="H641" s="10" t="s">
        <v>1183</v>
      </c>
      <c r="I641" s="10" t="s">
        <v>142</v>
      </c>
    </row>
    <row r="642" spans="1:9" x14ac:dyDescent="0.15">
      <c r="A642" s="9">
        <v>641</v>
      </c>
      <c r="B642" s="10" t="s">
        <v>9</v>
      </c>
      <c r="C642" s="10" t="s">
        <v>299</v>
      </c>
      <c r="D642" s="10" t="s">
        <v>300</v>
      </c>
      <c r="E642" s="11" t="str">
        <f>+HYPERLINK("http://trademark.i-assist.jp/data/china/image_1898th/78345361.pdf", "78345361")</f>
        <v>78345361</v>
      </c>
      <c r="F642" s="10" t="s">
        <v>1184</v>
      </c>
      <c r="G642" s="10" t="s">
        <v>1185</v>
      </c>
      <c r="H642" s="10" t="s">
        <v>1186</v>
      </c>
      <c r="I642" s="10" t="s">
        <v>142</v>
      </c>
    </row>
    <row r="643" spans="1:9" x14ac:dyDescent="0.15">
      <c r="A643" s="9">
        <v>642</v>
      </c>
      <c r="B643" s="10" t="s">
        <v>9</v>
      </c>
      <c r="C643" s="10" t="s">
        <v>299</v>
      </c>
      <c r="D643" s="10" t="s">
        <v>300</v>
      </c>
      <c r="E643" s="11" t="str">
        <f>+HYPERLINK("http://trademark.i-assist.jp/data/china/image_1898th/78346520.pdf", "78346520")</f>
        <v>78346520</v>
      </c>
      <c r="F643" s="10" t="s">
        <v>1187</v>
      </c>
      <c r="G643" s="10" t="s">
        <v>1188</v>
      </c>
      <c r="H643" s="10" t="s">
        <v>1189</v>
      </c>
      <c r="I643" s="10" t="s">
        <v>142</v>
      </c>
    </row>
    <row r="644" spans="1:9" x14ac:dyDescent="0.15">
      <c r="A644" s="9">
        <v>643</v>
      </c>
      <c r="B644" s="10" t="s">
        <v>9</v>
      </c>
      <c r="C644" s="10" t="s">
        <v>299</v>
      </c>
      <c r="D644" s="10" t="s">
        <v>300</v>
      </c>
      <c r="E644" s="11" t="str">
        <f>+HYPERLINK("http://trademark.i-assist.jp/data/china/image_1898th/78347947.pdf", "78347947")</f>
        <v>78347947</v>
      </c>
      <c r="F644" s="10" t="s">
        <v>1190</v>
      </c>
      <c r="G644" s="10" t="s">
        <v>1191</v>
      </c>
      <c r="H644" s="10" t="s">
        <v>1192</v>
      </c>
      <c r="I644" s="10" t="s">
        <v>142</v>
      </c>
    </row>
    <row r="645" spans="1:9" x14ac:dyDescent="0.15">
      <c r="A645" s="9">
        <v>644</v>
      </c>
      <c r="B645" s="10" t="s">
        <v>9</v>
      </c>
      <c r="C645" s="10" t="s">
        <v>299</v>
      </c>
      <c r="D645" s="10" t="s">
        <v>300</v>
      </c>
      <c r="E645" s="11" t="str">
        <f>+HYPERLINK("http://trademark.i-assist.jp/data/china/image_1898th/78350401.pdf", "78350401")</f>
        <v>78350401</v>
      </c>
      <c r="F645" s="10" t="s">
        <v>1193</v>
      </c>
      <c r="G645" s="10" t="s">
        <v>1194</v>
      </c>
      <c r="H645" s="10" t="s">
        <v>1195</v>
      </c>
      <c r="I645" s="10" t="s">
        <v>154</v>
      </c>
    </row>
    <row r="646" spans="1:9" x14ac:dyDescent="0.15">
      <c r="A646" s="9">
        <v>645</v>
      </c>
      <c r="B646" s="10" t="s">
        <v>9</v>
      </c>
      <c r="C646" s="10" t="s">
        <v>299</v>
      </c>
      <c r="D646" s="10" t="s">
        <v>300</v>
      </c>
      <c r="E646" s="11" t="str">
        <f>+HYPERLINK("http://trademark.i-assist.jp/data/china/image_1898th/78352119.pdf", "78352119")</f>
        <v>78352119</v>
      </c>
      <c r="F646" s="10" t="s">
        <v>1196</v>
      </c>
      <c r="G646" s="10" t="s">
        <v>1194</v>
      </c>
      <c r="H646" s="10" t="s">
        <v>1197</v>
      </c>
      <c r="I646" s="10" t="s">
        <v>154</v>
      </c>
    </row>
    <row r="647" spans="1:9" x14ac:dyDescent="0.15">
      <c r="A647" s="9">
        <v>646</v>
      </c>
      <c r="B647" s="10" t="s">
        <v>9</v>
      </c>
      <c r="C647" s="10" t="s">
        <v>299</v>
      </c>
      <c r="D647" s="10" t="s">
        <v>300</v>
      </c>
      <c r="E647" s="11" t="str">
        <f>+HYPERLINK("http://trademark.i-assist.jp/data/china/image_1898th/78352394.pdf", "78352394")</f>
        <v>78352394</v>
      </c>
      <c r="F647" s="10" t="s">
        <v>1198</v>
      </c>
      <c r="G647" s="10" t="s">
        <v>1194</v>
      </c>
      <c r="H647" s="10" t="s">
        <v>1199</v>
      </c>
      <c r="I647" s="10" t="s">
        <v>154</v>
      </c>
    </row>
    <row r="648" spans="1:9" x14ac:dyDescent="0.15">
      <c r="A648" s="9">
        <v>647</v>
      </c>
      <c r="B648" s="10" t="s">
        <v>9</v>
      </c>
      <c r="C648" s="10" t="s">
        <v>299</v>
      </c>
      <c r="D648" s="10" t="s">
        <v>300</v>
      </c>
      <c r="E648" s="11" t="str">
        <f>+HYPERLINK("http://trademark.i-assist.jp/data/china/image_1898th/78353630.pdf", "78353630")</f>
        <v>78353630</v>
      </c>
      <c r="F648" s="10" t="s">
        <v>1200</v>
      </c>
      <c r="G648" s="10" t="s">
        <v>1201</v>
      </c>
      <c r="H648" s="10" t="s">
        <v>34</v>
      </c>
      <c r="I648" s="10" t="s">
        <v>156</v>
      </c>
    </row>
    <row r="649" spans="1:9" x14ac:dyDescent="0.15">
      <c r="A649" s="9">
        <v>648</v>
      </c>
      <c r="B649" s="10" t="s">
        <v>9</v>
      </c>
      <c r="C649" s="10" t="s">
        <v>299</v>
      </c>
      <c r="D649" s="10" t="s">
        <v>300</v>
      </c>
      <c r="E649" s="11" t="str">
        <f>+HYPERLINK("http://trademark.i-assist.jp/data/china/image_1898th/78353709.pdf", "78353709")</f>
        <v>78353709</v>
      </c>
      <c r="F649" s="10" t="s">
        <v>1202</v>
      </c>
      <c r="G649" s="10" t="s">
        <v>1203</v>
      </c>
      <c r="H649" s="10" t="s">
        <v>34</v>
      </c>
      <c r="I649" s="10" t="s">
        <v>156</v>
      </c>
    </row>
    <row r="650" spans="1:9" x14ac:dyDescent="0.15">
      <c r="A650" s="9">
        <v>649</v>
      </c>
      <c r="B650" s="10" t="s">
        <v>9</v>
      </c>
      <c r="C650" s="10" t="s">
        <v>299</v>
      </c>
      <c r="D650" s="10" t="s">
        <v>300</v>
      </c>
      <c r="E650" s="11" t="str">
        <f>+HYPERLINK("http://trademark.i-assist.jp/data/china/image_1898th/78353838.pdf", "78353838")</f>
        <v>78353838</v>
      </c>
      <c r="F650" s="10" t="s">
        <v>1204</v>
      </c>
      <c r="G650" s="10" t="s">
        <v>1205</v>
      </c>
      <c r="H650" s="10" t="s">
        <v>1206</v>
      </c>
      <c r="I650" s="10" t="s">
        <v>156</v>
      </c>
    </row>
    <row r="651" spans="1:9" x14ac:dyDescent="0.15">
      <c r="A651" s="9">
        <v>650</v>
      </c>
      <c r="B651" s="10" t="s">
        <v>9</v>
      </c>
      <c r="C651" s="10" t="s">
        <v>299</v>
      </c>
      <c r="D651" s="10" t="s">
        <v>300</v>
      </c>
      <c r="E651" s="11" t="str">
        <f>+HYPERLINK("http://trademark.i-assist.jp/data/china/image_1898th/78354473.pdf", "78354473")</f>
        <v>78354473</v>
      </c>
      <c r="F651" s="10" t="s">
        <v>1207</v>
      </c>
      <c r="G651" s="10" t="s">
        <v>1208</v>
      </c>
      <c r="H651" s="10" t="s">
        <v>1209</v>
      </c>
      <c r="I651" s="10" t="s">
        <v>154</v>
      </c>
    </row>
    <row r="652" spans="1:9" x14ac:dyDescent="0.15">
      <c r="A652" s="9">
        <v>651</v>
      </c>
      <c r="B652" s="10" t="s">
        <v>9</v>
      </c>
      <c r="C652" s="10" t="s">
        <v>299</v>
      </c>
      <c r="D652" s="10" t="s">
        <v>300</v>
      </c>
      <c r="E652" s="11" t="str">
        <f>+HYPERLINK("http://trademark.i-assist.jp/data/china/image_1898th/78355699.pdf", "78355699")</f>
        <v>78355699</v>
      </c>
      <c r="F652" s="10" t="s">
        <v>1210</v>
      </c>
      <c r="G652" s="10" t="s">
        <v>1211</v>
      </c>
      <c r="H652" s="10" t="s">
        <v>1212</v>
      </c>
      <c r="I652" s="10" t="s">
        <v>156</v>
      </c>
    </row>
    <row r="653" spans="1:9" x14ac:dyDescent="0.15">
      <c r="A653" s="9">
        <v>652</v>
      </c>
      <c r="B653" s="10" t="s">
        <v>9</v>
      </c>
      <c r="C653" s="10" t="s">
        <v>299</v>
      </c>
      <c r="D653" s="10" t="s">
        <v>300</v>
      </c>
      <c r="E653" s="11" t="str">
        <f>+HYPERLINK("http://trademark.i-assist.jp/data/china/image_1898th/78357376.pdf", "78357376")</f>
        <v>78357376</v>
      </c>
      <c r="F653" s="10" t="s">
        <v>1213</v>
      </c>
      <c r="G653" s="10" t="s">
        <v>1214</v>
      </c>
      <c r="H653" s="10" t="s">
        <v>1215</v>
      </c>
      <c r="I653" s="10" t="s">
        <v>154</v>
      </c>
    </row>
    <row r="654" spans="1:9" x14ac:dyDescent="0.15">
      <c r="A654" s="9">
        <v>653</v>
      </c>
      <c r="B654" s="10" t="s">
        <v>9</v>
      </c>
      <c r="C654" s="10" t="s">
        <v>299</v>
      </c>
      <c r="D654" s="10" t="s">
        <v>300</v>
      </c>
      <c r="E654" s="11" t="str">
        <f>+HYPERLINK("http://trademark.i-assist.jp/data/china/image_1898th/78357677.pdf", "78357677")</f>
        <v>78357677</v>
      </c>
      <c r="F654" s="10" t="s">
        <v>1216</v>
      </c>
      <c r="G654" s="10" t="s">
        <v>1217</v>
      </c>
      <c r="H654" s="10" t="s">
        <v>1218</v>
      </c>
      <c r="I654" s="10" t="s">
        <v>154</v>
      </c>
    </row>
    <row r="655" spans="1:9" x14ac:dyDescent="0.15">
      <c r="A655" s="9">
        <v>654</v>
      </c>
      <c r="B655" s="10" t="s">
        <v>9</v>
      </c>
      <c r="C655" s="10" t="s">
        <v>299</v>
      </c>
      <c r="D655" s="10" t="s">
        <v>300</v>
      </c>
      <c r="E655" s="11" t="str">
        <f>+HYPERLINK("http://trademark.i-assist.jp/data/china/image_1898th/78357777.pdf", "78357777")</f>
        <v>78357777</v>
      </c>
      <c r="F655" s="10" t="s">
        <v>1219</v>
      </c>
      <c r="G655" s="10" t="s">
        <v>1220</v>
      </c>
      <c r="H655" s="10" t="s">
        <v>1221</v>
      </c>
      <c r="I655" s="10" t="s">
        <v>154</v>
      </c>
    </row>
    <row r="656" spans="1:9" x14ac:dyDescent="0.15">
      <c r="A656" s="9">
        <v>655</v>
      </c>
      <c r="B656" s="10" t="s">
        <v>9</v>
      </c>
      <c r="C656" s="10" t="s">
        <v>299</v>
      </c>
      <c r="D656" s="10" t="s">
        <v>300</v>
      </c>
      <c r="E656" s="11" t="str">
        <f>+HYPERLINK("http://trademark.i-assist.jp/data/china/image_1898th/78358742.pdf", "78358742")</f>
        <v>78358742</v>
      </c>
      <c r="F656" s="10" t="s">
        <v>1222</v>
      </c>
      <c r="G656" s="10" t="s">
        <v>1223</v>
      </c>
      <c r="H656" s="10" t="s">
        <v>1224</v>
      </c>
      <c r="I656" s="10" t="s">
        <v>156</v>
      </c>
    </row>
    <row r="657" spans="1:9" x14ac:dyDescent="0.15">
      <c r="A657" s="9">
        <v>656</v>
      </c>
      <c r="B657" s="10" t="s">
        <v>9</v>
      </c>
      <c r="C657" s="10" t="s">
        <v>299</v>
      </c>
      <c r="D657" s="10" t="s">
        <v>300</v>
      </c>
      <c r="E657" s="11" t="str">
        <f>+HYPERLINK("http://trademark.i-assist.jp/data/china/image_1898th/78358927.pdf", "78358927")</f>
        <v>78358927</v>
      </c>
      <c r="F657" s="10" t="s">
        <v>1225</v>
      </c>
      <c r="G657" s="10" t="s">
        <v>42</v>
      </c>
      <c r="H657" s="10" t="s">
        <v>1226</v>
      </c>
      <c r="I657" s="10" t="s">
        <v>156</v>
      </c>
    </row>
    <row r="658" spans="1:9" x14ac:dyDescent="0.15">
      <c r="A658" s="9">
        <v>657</v>
      </c>
      <c r="B658" s="10" t="s">
        <v>9</v>
      </c>
      <c r="C658" s="10" t="s">
        <v>299</v>
      </c>
      <c r="D658" s="10" t="s">
        <v>300</v>
      </c>
      <c r="E658" s="11" t="str">
        <f>+HYPERLINK("http://trademark.i-assist.jp/data/china/image_1898th/78359059.pdf", "78359059")</f>
        <v>78359059</v>
      </c>
      <c r="F658" s="10" t="s">
        <v>1227</v>
      </c>
      <c r="G658" s="10" t="s">
        <v>162</v>
      </c>
      <c r="H658" s="10" t="s">
        <v>1228</v>
      </c>
      <c r="I658" s="10" t="s">
        <v>154</v>
      </c>
    </row>
    <row r="659" spans="1:9" x14ac:dyDescent="0.15">
      <c r="A659" s="9">
        <v>658</v>
      </c>
      <c r="B659" s="10" t="s">
        <v>9</v>
      </c>
      <c r="C659" s="10" t="s">
        <v>299</v>
      </c>
      <c r="D659" s="10" t="s">
        <v>300</v>
      </c>
      <c r="E659" s="11" t="str">
        <f>+HYPERLINK("http://trademark.i-assist.jp/data/china/image_1898th/78359452.pdf", "78359452")</f>
        <v>78359452</v>
      </c>
      <c r="F659" s="10" t="s">
        <v>1229</v>
      </c>
      <c r="G659" s="10" t="s">
        <v>1230</v>
      </c>
      <c r="H659" s="10" t="s">
        <v>1231</v>
      </c>
      <c r="I659" s="10" t="s">
        <v>154</v>
      </c>
    </row>
    <row r="660" spans="1:9" x14ac:dyDescent="0.15">
      <c r="A660" s="9">
        <v>659</v>
      </c>
      <c r="B660" s="10" t="s">
        <v>9</v>
      </c>
      <c r="C660" s="10" t="s">
        <v>299</v>
      </c>
      <c r="D660" s="10" t="s">
        <v>300</v>
      </c>
      <c r="E660" s="11" t="str">
        <f>+HYPERLINK("http://trademark.i-assist.jp/data/china/image_1898th/78360068.pdf", "78360068")</f>
        <v>78360068</v>
      </c>
      <c r="F660" s="10" t="s">
        <v>1232</v>
      </c>
      <c r="G660" s="10" t="s">
        <v>1233</v>
      </c>
      <c r="H660" s="10" t="s">
        <v>1234</v>
      </c>
      <c r="I660" s="10" t="s">
        <v>154</v>
      </c>
    </row>
    <row r="661" spans="1:9" x14ac:dyDescent="0.15">
      <c r="A661" s="9">
        <v>660</v>
      </c>
      <c r="B661" s="10" t="s">
        <v>9</v>
      </c>
      <c r="C661" s="10" t="s">
        <v>299</v>
      </c>
      <c r="D661" s="10" t="s">
        <v>300</v>
      </c>
      <c r="E661" s="11" t="str">
        <f>+HYPERLINK("http://trademark.i-assist.jp/data/china/image_1898th/78360257.pdf", "78360257")</f>
        <v>78360257</v>
      </c>
      <c r="F661" s="10" t="s">
        <v>1235</v>
      </c>
      <c r="G661" s="10" t="s">
        <v>1194</v>
      </c>
      <c r="H661" s="10" t="s">
        <v>1236</v>
      </c>
      <c r="I661" s="10" t="s">
        <v>154</v>
      </c>
    </row>
    <row r="662" spans="1:9" x14ac:dyDescent="0.15">
      <c r="A662" s="9">
        <v>661</v>
      </c>
      <c r="B662" s="10" t="s">
        <v>9</v>
      </c>
      <c r="C662" s="10" t="s">
        <v>299</v>
      </c>
      <c r="D662" s="10" t="s">
        <v>300</v>
      </c>
      <c r="E662" s="11" t="str">
        <f>+HYPERLINK("http://trademark.i-assist.jp/data/china/image_1898th/78360657.pdf", "78360657")</f>
        <v>78360657</v>
      </c>
      <c r="F662" s="10" t="s">
        <v>1237</v>
      </c>
      <c r="G662" s="10" t="s">
        <v>164</v>
      </c>
      <c r="H662" s="10" t="s">
        <v>1238</v>
      </c>
      <c r="I662" s="10" t="s">
        <v>154</v>
      </c>
    </row>
    <row r="663" spans="1:9" x14ac:dyDescent="0.15">
      <c r="A663" s="9">
        <v>662</v>
      </c>
      <c r="B663" s="10" t="s">
        <v>9</v>
      </c>
      <c r="C663" s="10" t="s">
        <v>299</v>
      </c>
      <c r="D663" s="10" t="s">
        <v>300</v>
      </c>
      <c r="E663" s="11" t="str">
        <f>+HYPERLINK("http://trademark.i-assist.jp/data/china/image_1898th/78361598.pdf", "78361598")</f>
        <v>78361598</v>
      </c>
      <c r="F663" s="10" t="s">
        <v>1239</v>
      </c>
      <c r="G663" s="10" t="s">
        <v>1240</v>
      </c>
      <c r="H663" s="10" t="s">
        <v>1241</v>
      </c>
      <c r="I663" s="10" t="s">
        <v>154</v>
      </c>
    </row>
    <row r="664" spans="1:9" x14ac:dyDescent="0.15">
      <c r="A664" s="9">
        <v>663</v>
      </c>
      <c r="B664" s="10" t="s">
        <v>9</v>
      </c>
      <c r="C664" s="10" t="s">
        <v>299</v>
      </c>
      <c r="D664" s="10" t="s">
        <v>300</v>
      </c>
      <c r="E664" s="11" t="str">
        <f>+HYPERLINK("http://trademark.i-assist.jp/data/china/image_1898th/78361617.pdf", "78361617")</f>
        <v>78361617</v>
      </c>
      <c r="F664" s="10" t="s">
        <v>1242</v>
      </c>
      <c r="G664" s="10" t="s">
        <v>1194</v>
      </c>
      <c r="H664" s="10" t="s">
        <v>1243</v>
      </c>
      <c r="I664" s="10" t="s">
        <v>154</v>
      </c>
    </row>
    <row r="665" spans="1:9" x14ac:dyDescent="0.15">
      <c r="A665" s="9">
        <v>664</v>
      </c>
      <c r="B665" s="10" t="s">
        <v>9</v>
      </c>
      <c r="C665" s="10" t="s">
        <v>299</v>
      </c>
      <c r="D665" s="10" t="s">
        <v>300</v>
      </c>
      <c r="E665" s="11" t="str">
        <f>+HYPERLINK("http://trademark.i-assist.jp/data/china/image_1898th/78361666.pdf", "78361666")</f>
        <v>78361666</v>
      </c>
      <c r="F665" s="10" t="s">
        <v>1244</v>
      </c>
      <c r="G665" s="10" t="s">
        <v>168</v>
      </c>
      <c r="H665" s="10" t="s">
        <v>1245</v>
      </c>
      <c r="I665" s="10" t="s">
        <v>154</v>
      </c>
    </row>
    <row r="666" spans="1:9" x14ac:dyDescent="0.15">
      <c r="A666" s="9">
        <v>665</v>
      </c>
      <c r="B666" s="10" t="s">
        <v>9</v>
      </c>
      <c r="C666" s="10" t="s">
        <v>299</v>
      </c>
      <c r="D666" s="10" t="s">
        <v>300</v>
      </c>
      <c r="E666" s="11" t="str">
        <f>+HYPERLINK("http://trademark.i-assist.jp/data/china/image_1898th/78362173.pdf", "78362173")</f>
        <v>78362173</v>
      </c>
      <c r="F666" s="10" t="s">
        <v>1246</v>
      </c>
      <c r="G666" s="10" t="s">
        <v>1247</v>
      </c>
      <c r="H666" s="10" t="s">
        <v>1248</v>
      </c>
      <c r="I666" s="10" t="s">
        <v>154</v>
      </c>
    </row>
    <row r="667" spans="1:9" x14ac:dyDescent="0.15">
      <c r="A667" s="9">
        <v>666</v>
      </c>
      <c r="B667" s="10" t="s">
        <v>9</v>
      </c>
      <c r="C667" s="10" t="s">
        <v>299</v>
      </c>
      <c r="D667" s="10" t="s">
        <v>300</v>
      </c>
      <c r="E667" s="11" t="str">
        <f>+HYPERLINK("http://trademark.i-assist.jp/data/china/image_1898th/78362663.pdf", "78362663")</f>
        <v>78362663</v>
      </c>
      <c r="F667" s="10" t="s">
        <v>2270</v>
      </c>
      <c r="G667" s="10" t="s">
        <v>2271</v>
      </c>
      <c r="H667" s="10" t="s">
        <v>2272</v>
      </c>
      <c r="I667" s="10" t="s">
        <v>154</v>
      </c>
    </row>
    <row r="668" spans="1:9" x14ac:dyDescent="0.15">
      <c r="A668" s="9">
        <v>667</v>
      </c>
      <c r="B668" s="10" t="s">
        <v>9</v>
      </c>
      <c r="C668" s="10" t="s">
        <v>299</v>
      </c>
      <c r="D668" s="10" t="s">
        <v>300</v>
      </c>
      <c r="E668" s="11" t="str">
        <f>+HYPERLINK("http://trademark.i-assist.jp/data/china/image_1898th/78363122.pdf", "78363122")</f>
        <v>78363122</v>
      </c>
      <c r="F668" s="10" t="s">
        <v>2273</v>
      </c>
      <c r="G668" s="10" t="s">
        <v>166</v>
      </c>
      <c r="H668" s="10" t="s">
        <v>2274</v>
      </c>
      <c r="I668" s="10" t="s">
        <v>154</v>
      </c>
    </row>
    <row r="669" spans="1:9" x14ac:dyDescent="0.15">
      <c r="A669" s="9">
        <v>668</v>
      </c>
      <c r="B669" s="10" t="s">
        <v>9</v>
      </c>
      <c r="C669" s="10" t="s">
        <v>299</v>
      </c>
      <c r="D669" s="10" t="s">
        <v>300</v>
      </c>
      <c r="E669" s="11" t="str">
        <f>+HYPERLINK("http://trademark.i-assist.jp/data/china/image_1898th/78363125.pdf", "78363125")</f>
        <v>78363125</v>
      </c>
      <c r="F669" s="10" t="s">
        <v>2275</v>
      </c>
      <c r="G669" s="10" t="s">
        <v>2276</v>
      </c>
      <c r="H669" s="10" t="s">
        <v>2277</v>
      </c>
      <c r="I669" s="10" t="s">
        <v>154</v>
      </c>
    </row>
    <row r="670" spans="1:9" x14ac:dyDescent="0.15">
      <c r="A670" s="9">
        <v>669</v>
      </c>
      <c r="B670" s="10" t="s">
        <v>9</v>
      </c>
      <c r="C670" s="10" t="s">
        <v>299</v>
      </c>
      <c r="D670" s="10" t="s">
        <v>300</v>
      </c>
      <c r="E670" s="11" t="str">
        <f>+HYPERLINK("http://trademark.i-assist.jp/data/china/image_1898th/78363311.pdf", "78363311")</f>
        <v>78363311</v>
      </c>
      <c r="F670" s="10" t="s">
        <v>2278</v>
      </c>
      <c r="G670" s="10" t="s">
        <v>1194</v>
      </c>
      <c r="H670" s="10" t="s">
        <v>2279</v>
      </c>
      <c r="I670" s="10" t="s">
        <v>154</v>
      </c>
    </row>
    <row r="671" spans="1:9" x14ac:dyDescent="0.15">
      <c r="A671" s="9">
        <v>670</v>
      </c>
      <c r="B671" s="10" t="s">
        <v>9</v>
      </c>
      <c r="C671" s="10" t="s">
        <v>299</v>
      </c>
      <c r="D671" s="10" t="s">
        <v>300</v>
      </c>
      <c r="E671" s="11" t="str">
        <f>+HYPERLINK("http://trademark.i-assist.jp/data/china/image_1898th/78363343.pdf", "78363343")</f>
        <v>78363343</v>
      </c>
      <c r="F671" s="10" t="s">
        <v>2280</v>
      </c>
      <c r="G671" s="10" t="s">
        <v>1194</v>
      </c>
      <c r="H671" s="10" t="s">
        <v>2281</v>
      </c>
      <c r="I671" s="10" t="s">
        <v>154</v>
      </c>
    </row>
    <row r="672" spans="1:9" x14ac:dyDescent="0.15">
      <c r="A672" s="9">
        <v>671</v>
      </c>
      <c r="B672" s="10" t="s">
        <v>9</v>
      </c>
      <c r="C672" s="10" t="s">
        <v>299</v>
      </c>
      <c r="D672" s="10" t="s">
        <v>300</v>
      </c>
      <c r="E672" s="11" t="str">
        <f>+HYPERLINK("http://trademark.i-assist.jp/data/china/image_1898th/78364014.pdf", "78364014")</f>
        <v>78364014</v>
      </c>
      <c r="F672" s="10" t="s">
        <v>2282</v>
      </c>
      <c r="G672" s="10" t="s">
        <v>1194</v>
      </c>
      <c r="H672" s="10" t="s">
        <v>2283</v>
      </c>
      <c r="I672" s="10" t="s">
        <v>154</v>
      </c>
    </row>
    <row r="673" spans="1:9" x14ac:dyDescent="0.15">
      <c r="A673" s="9">
        <v>672</v>
      </c>
      <c r="B673" s="10" t="s">
        <v>9</v>
      </c>
      <c r="C673" s="10" t="s">
        <v>299</v>
      </c>
      <c r="D673" s="10" t="s">
        <v>300</v>
      </c>
      <c r="E673" s="11" t="str">
        <f>+HYPERLINK("http://trademark.i-assist.jp/data/china/image_1898th/78366290.pdf", "78366290")</f>
        <v>78366290</v>
      </c>
      <c r="F673" s="10" t="s">
        <v>2284</v>
      </c>
      <c r="G673" s="10" t="s">
        <v>1194</v>
      </c>
      <c r="H673" s="10" t="s">
        <v>2285</v>
      </c>
      <c r="I673" s="10" t="s">
        <v>154</v>
      </c>
    </row>
    <row r="674" spans="1:9" x14ac:dyDescent="0.15">
      <c r="A674" s="9">
        <v>673</v>
      </c>
      <c r="B674" s="10" t="s">
        <v>9</v>
      </c>
      <c r="C674" s="10" t="s">
        <v>299</v>
      </c>
      <c r="D674" s="10" t="s">
        <v>300</v>
      </c>
      <c r="E674" s="11" t="str">
        <f>+HYPERLINK("http://trademark.i-assist.jp/data/china/image_1898th/78366925.pdf", "78366925")</f>
        <v>78366925</v>
      </c>
      <c r="F674" s="10" t="s">
        <v>2286</v>
      </c>
      <c r="G674" s="10" t="s">
        <v>1194</v>
      </c>
      <c r="H674" s="10" t="s">
        <v>2287</v>
      </c>
      <c r="I674" s="10" t="s">
        <v>154</v>
      </c>
    </row>
    <row r="675" spans="1:9" x14ac:dyDescent="0.15">
      <c r="A675" s="9">
        <v>674</v>
      </c>
      <c r="B675" s="10" t="s">
        <v>9</v>
      </c>
      <c r="C675" s="10" t="s">
        <v>299</v>
      </c>
      <c r="D675" s="10" t="s">
        <v>300</v>
      </c>
      <c r="E675" s="11" t="str">
        <f>+HYPERLINK("http://trademark.i-assist.jp/data/china/image_1898th/78366941.pdf", "78366941")</f>
        <v>78366941</v>
      </c>
      <c r="F675" s="10" t="s">
        <v>2288</v>
      </c>
      <c r="G675" s="10" t="s">
        <v>2289</v>
      </c>
      <c r="H675" s="10" t="s">
        <v>2290</v>
      </c>
      <c r="I675" s="10" t="s">
        <v>154</v>
      </c>
    </row>
    <row r="676" spans="1:9" x14ac:dyDescent="0.15">
      <c r="A676" s="9">
        <v>675</v>
      </c>
      <c r="B676" s="10" t="s">
        <v>9</v>
      </c>
      <c r="C676" s="10" t="s">
        <v>299</v>
      </c>
      <c r="D676" s="10" t="s">
        <v>300</v>
      </c>
      <c r="E676" s="11" t="str">
        <f>+HYPERLINK("http://trademark.i-assist.jp/data/china/image_1898th/78367103.pdf", "78367103")</f>
        <v>78367103</v>
      </c>
      <c r="F676" s="10" t="s">
        <v>2291</v>
      </c>
      <c r="G676" s="10" t="s">
        <v>2292</v>
      </c>
      <c r="H676" s="10" t="s">
        <v>2293</v>
      </c>
      <c r="I676" s="10" t="s">
        <v>154</v>
      </c>
    </row>
    <row r="677" spans="1:9" x14ac:dyDescent="0.15">
      <c r="A677" s="9">
        <v>676</v>
      </c>
      <c r="B677" s="10" t="s">
        <v>9</v>
      </c>
      <c r="C677" s="10" t="s">
        <v>299</v>
      </c>
      <c r="D677" s="10" t="s">
        <v>300</v>
      </c>
      <c r="E677" s="11" t="str">
        <f>+HYPERLINK("http://trademark.i-assist.jp/data/china/image_1898th/78367249.pdf", "78367249")</f>
        <v>78367249</v>
      </c>
      <c r="F677" s="10" t="s">
        <v>2294</v>
      </c>
      <c r="G677" s="10" t="s">
        <v>112</v>
      </c>
      <c r="H677" s="10" t="s">
        <v>2295</v>
      </c>
      <c r="I677" s="10" t="s">
        <v>154</v>
      </c>
    </row>
    <row r="678" spans="1:9" x14ac:dyDescent="0.15">
      <c r="A678" s="9">
        <v>677</v>
      </c>
      <c r="B678" s="10" t="s">
        <v>9</v>
      </c>
      <c r="C678" s="10" t="s">
        <v>299</v>
      </c>
      <c r="D678" s="10" t="s">
        <v>300</v>
      </c>
      <c r="E678" s="11" t="str">
        <f>+HYPERLINK("http://trademark.i-assist.jp/data/china/image_1898th/78367259.pdf", "78367259")</f>
        <v>78367259</v>
      </c>
      <c r="F678" s="10" t="s">
        <v>2296</v>
      </c>
      <c r="G678" s="10" t="s">
        <v>164</v>
      </c>
      <c r="H678" s="10" t="s">
        <v>2297</v>
      </c>
      <c r="I678" s="10" t="s">
        <v>154</v>
      </c>
    </row>
    <row r="679" spans="1:9" x14ac:dyDescent="0.15">
      <c r="A679" s="9">
        <v>678</v>
      </c>
      <c r="B679" s="10" t="s">
        <v>9</v>
      </c>
      <c r="C679" s="10" t="s">
        <v>299</v>
      </c>
      <c r="D679" s="10" t="s">
        <v>300</v>
      </c>
      <c r="E679" s="11" t="str">
        <f>+HYPERLINK("http://trademark.i-assist.jp/data/china/image_1898th/78367377.pdf", "78367377")</f>
        <v>78367377</v>
      </c>
      <c r="F679" s="10" t="s">
        <v>2298</v>
      </c>
      <c r="G679" s="10" t="s">
        <v>122</v>
      </c>
      <c r="H679" s="10" t="s">
        <v>2299</v>
      </c>
      <c r="I679" s="10" t="s">
        <v>154</v>
      </c>
    </row>
    <row r="680" spans="1:9" x14ac:dyDescent="0.15">
      <c r="A680" s="9">
        <v>679</v>
      </c>
      <c r="B680" s="10" t="s">
        <v>9</v>
      </c>
      <c r="C680" s="10" t="s">
        <v>299</v>
      </c>
      <c r="D680" s="10" t="s">
        <v>300</v>
      </c>
      <c r="E680" s="11" t="str">
        <f>+HYPERLINK("http://trademark.i-assist.jp/data/china/image_1898th/78368157.pdf", "78368157")</f>
        <v>78368157</v>
      </c>
      <c r="F680" s="10" t="s">
        <v>2300</v>
      </c>
      <c r="G680" s="10" t="s">
        <v>2301</v>
      </c>
      <c r="H680" s="10" t="s">
        <v>2302</v>
      </c>
      <c r="I680" s="10" t="s">
        <v>154</v>
      </c>
    </row>
    <row r="681" spans="1:9" x14ac:dyDescent="0.15">
      <c r="A681" s="9">
        <v>680</v>
      </c>
      <c r="B681" s="10" t="s">
        <v>9</v>
      </c>
      <c r="C681" s="10" t="s">
        <v>299</v>
      </c>
      <c r="D681" s="10" t="s">
        <v>300</v>
      </c>
      <c r="E681" s="11" t="str">
        <f>+HYPERLINK("http://trademark.i-assist.jp/data/china/image_1898th/78368490.pdf", "78368490")</f>
        <v>78368490</v>
      </c>
      <c r="F681" s="10" t="s">
        <v>2303</v>
      </c>
      <c r="G681" s="10" t="s">
        <v>1194</v>
      </c>
      <c r="H681" s="10" t="s">
        <v>2304</v>
      </c>
      <c r="I681" s="10" t="s">
        <v>154</v>
      </c>
    </row>
    <row r="682" spans="1:9" x14ac:dyDescent="0.15">
      <c r="A682" s="9">
        <v>681</v>
      </c>
      <c r="B682" s="10" t="s">
        <v>9</v>
      </c>
      <c r="C682" s="10" t="s">
        <v>299</v>
      </c>
      <c r="D682" s="10" t="s">
        <v>300</v>
      </c>
      <c r="E682" s="11" t="str">
        <f>+HYPERLINK("http://trademark.i-assist.jp/data/china/image_1898th/78368799.pdf", "78368799")</f>
        <v>78368799</v>
      </c>
      <c r="F682" s="10" t="s">
        <v>2305</v>
      </c>
      <c r="G682" s="10" t="s">
        <v>2306</v>
      </c>
      <c r="H682" s="10" t="s">
        <v>2307</v>
      </c>
      <c r="I682" s="10" t="s">
        <v>154</v>
      </c>
    </row>
    <row r="683" spans="1:9" x14ac:dyDescent="0.15">
      <c r="A683" s="9">
        <v>682</v>
      </c>
      <c r="B683" s="10" t="s">
        <v>9</v>
      </c>
      <c r="C683" s="10" t="s">
        <v>299</v>
      </c>
      <c r="D683" s="10" t="s">
        <v>300</v>
      </c>
      <c r="E683" s="11" t="str">
        <f>+HYPERLINK("http://trademark.i-assist.jp/data/china/image_1898th/78368939.pdf", "78368939")</f>
        <v>78368939</v>
      </c>
      <c r="F683" s="10" t="s">
        <v>2308</v>
      </c>
      <c r="G683" s="10" t="s">
        <v>1321</v>
      </c>
      <c r="H683" s="10" t="s">
        <v>2309</v>
      </c>
      <c r="I683" s="10" t="s">
        <v>154</v>
      </c>
    </row>
    <row r="684" spans="1:9" x14ac:dyDescent="0.15">
      <c r="A684" s="9">
        <v>683</v>
      </c>
      <c r="B684" s="10" t="s">
        <v>9</v>
      </c>
      <c r="C684" s="10" t="s">
        <v>299</v>
      </c>
      <c r="D684" s="10" t="s">
        <v>300</v>
      </c>
      <c r="E684" s="11" t="str">
        <f>+HYPERLINK("http://trademark.i-assist.jp/data/china/image_1898th/78368942.pdf", "78368942")</f>
        <v>78368942</v>
      </c>
      <c r="F684" s="10" t="s">
        <v>19</v>
      </c>
      <c r="G684" s="10" t="s">
        <v>191</v>
      </c>
      <c r="H684" s="10" t="s">
        <v>2310</v>
      </c>
      <c r="I684" s="10" t="s">
        <v>154</v>
      </c>
    </row>
    <row r="685" spans="1:9" x14ac:dyDescent="0.15">
      <c r="A685" s="9">
        <v>684</v>
      </c>
      <c r="B685" s="10" t="s">
        <v>9</v>
      </c>
      <c r="C685" s="10" t="s">
        <v>299</v>
      </c>
      <c r="D685" s="10" t="s">
        <v>300</v>
      </c>
      <c r="E685" s="11" t="str">
        <f>+HYPERLINK("http://trademark.i-assist.jp/data/china/image_1898th/78368970.pdf", "78368970")</f>
        <v>78368970</v>
      </c>
      <c r="F685" s="10" t="s">
        <v>2311</v>
      </c>
      <c r="G685" s="10" t="s">
        <v>1194</v>
      </c>
      <c r="H685" s="10" t="s">
        <v>2312</v>
      </c>
      <c r="I685" s="10" t="s">
        <v>154</v>
      </c>
    </row>
    <row r="686" spans="1:9" x14ac:dyDescent="0.15">
      <c r="A686" s="9">
        <v>685</v>
      </c>
      <c r="B686" s="10" t="s">
        <v>9</v>
      </c>
      <c r="C686" s="10" t="s">
        <v>299</v>
      </c>
      <c r="D686" s="10" t="s">
        <v>300</v>
      </c>
      <c r="E686" s="11" t="str">
        <f>+HYPERLINK("http://trademark.i-assist.jp/data/china/image_1898th/78369290.pdf", "78369290")</f>
        <v>78369290</v>
      </c>
      <c r="F686" s="10" t="s">
        <v>2313</v>
      </c>
      <c r="G686" s="10" t="s">
        <v>1194</v>
      </c>
      <c r="H686" s="10" t="s">
        <v>2314</v>
      </c>
      <c r="I686" s="10" t="s">
        <v>154</v>
      </c>
    </row>
    <row r="687" spans="1:9" x14ac:dyDescent="0.15">
      <c r="A687" s="9">
        <v>686</v>
      </c>
      <c r="B687" s="10" t="s">
        <v>9</v>
      </c>
      <c r="C687" s="10" t="s">
        <v>299</v>
      </c>
      <c r="D687" s="10" t="s">
        <v>300</v>
      </c>
      <c r="E687" s="11" t="str">
        <f>+HYPERLINK("http://trademark.i-assist.jp/data/china/image_1898th/78369452.pdf", "78369452")</f>
        <v>78369452</v>
      </c>
      <c r="F687" s="10" t="s">
        <v>19</v>
      </c>
      <c r="G687" s="10" t="s">
        <v>2315</v>
      </c>
      <c r="H687" s="10" t="s">
        <v>2316</v>
      </c>
      <c r="I687" s="10" t="s">
        <v>156</v>
      </c>
    </row>
    <row r="688" spans="1:9" x14ac:dyDescent="0.15">
      <c r="A688" s="9">
        <v>687</v>
      </c>
      <c r="B688" s="10" t="s">
        <v>9</v>
      </c>
      <c r="C688" s="10" t="s">
        <v>299</v>
      </c>
      <c r="D688" s="10" t="s">
        <v>300</v>
      </c>
      <c r="E688" s="11" t="str">
        <f>+HYPERLINK("http://trademark.i-assist.jp/data/china/image_1898th/78370136.pdf", "78370136")</f>
        <v>78370136</v>
      </c>
      <c r="F688" s="10" t="s">
        <v>2317</v>
      </c>
      <c r="G688" s="10" t="s">
        <v>2318</v>
      </c>
      <c r="H688" s="10" t="s">
        <v>2319</v>
      </c>
      <c r="I688" s="10" t="s">
        <v>154</v>
      </c>
    </row>
    <row r="689" spans="1:9" x14ac:dyDescent="0.15">
      <c r="A689" s="9">
        <v>688</v>
      </c>
      <c r="B689" s="10" t="s">
        <v>9</v>
      </c>
      <c r="C689" s="10" t="s">
        <v>299</v>
      </c>
      <c r="D689" s="10" t="s">
        <v>300</v>
      </c>
      <c r="E689" s="11" t="str">
        <f>+HYPERLINK("http://trademark.i-assist.jp/data/china/image_1898th/78370445.pdf", "78370445")</f>
        <v>78370445</v>
      </c>
      <c r="F689" s="10" t="s">
        <v>2320</v>
      </c>
      <c r="G689" s="10" t="s">
        <v>2321</v>
      </c>
      <c r="H689" s="10" t="s">
        <v>2322</v>
      </c>
      <c r="I689" s="10" t="s">
        <v>156</v>
      </c>
    </row>
    <row r="690" spans="1:9" x14ac:dyDescent="0.15">
      <c r="A690" s="9">
        <v>689</v>
      </c>
      <c r="B690" s="10" t="s">
        <v>9</v>
      </c>
      <c r="C690" s="10" t="s">
        <v>299</v>
      </c>
      <c r="D690" s="10" t="s">
        <v>300</v>
      </c>
      <c r="E690" s="11" t="str">
        <f>+HYPERLINK("http://trademark.i-assist.jp/data/china/image_1898th/78370656.pdf", "78370656")</f>
        <v>78370656</v>
      </c>
      <c r="F690" s="10" t="s">
        <v>2323</v>
      </c>
      <c r="G690" s="10" t="s">
        <v>1194</v>
      </c>
      <c r="H690" s="10" t="s">
        <v>2324</v>
      </c>
      <c r="I690" s="10" t="s">
        <v>154</v>
      </c>
    </row>
    <row r="691" spans="1:9" x14ac:dyDescent="0.15">
      <c r="A691" s="9">
        <v>690</v>
      </c>
      <c r="B691" s="10" t="s">
        <v>9</v>
      </c>
      <c r="C691" s="10" t="s">
        <v>299</v>
      </c>
      <c r="D691" s="10" t="s">
        <v>300</v>
      </c>
      <c r="E691" s="11" t="str">
        <f>+HYPERLINK("http://trademark.i-assist.jp/data/china/image_1898th/78370729.pdf", "78370729")</f>
        <v>78370729</v>
      </c>
      <c r="F691" s="10" t="s">
        <v>2325</v>
      </c>
      <c r="G691" s="10" t="s">
        <v>1194</v>
      </c>
      <c r="H691" s="10" t="s">
        <v>2326</v>
      </c>
      <c r="I691" s="10" t="s">
        <v>154</v>
      </c>
    </row>
    <row r="692" spans="1:9" x14ac:dyDescent="0.15">
      <c r="A692" s="9">
        <v>691</v>
      </c>
      <c r="B692" s="10" t="s">
        <v>9</v>
      </c>
      <c r="C692" s="10" t="s">
        <v>299</v>
      </c>
      <c r="D692" s="10" t="s">
        <v>300</v>
      </c>
      <c r="E692" s="11" t="str">
        <f>+HYPERLINK("http://trademark.i-assist.jp/data/china/image_1898th/78370939.pdf", "78370939")</f>
        <v>78370939</v>
      </c>
      <c r="F692" s="10" t="s">
        <v>2327</v>
      </c>
      <c r="G692" s="10" t="s">
        <v>2328</v>
      </c>
      <c r="H692" s="10" t="s">
        <v>2329</v>
      </c>
      <c r="I692" s="10" t="s">
        <v>156</v>
      </c>
    </row>
    <row r="693" spans="1:9" x14ac:dyDescent="0.15">
      <c r="A693" s="9">
        <v>692</v>
      </c>
      <c r="B693" s="10" t="s">
        <v>9</v>
      </c>
      <c r="C693" s="10" t="s">
        <v>299</v>
      </c>
      <c r="D693" s="10" t="s">
        <v>300</v>
      </c>
      <c r="E693" s="11" t="str">
        <f>+HYPERLINK("http://trademark.i-assist.jp/data/china/image_1898th/78371123.pdf", "78371123")</f>
        <v>78371123</v>
      </c>
      <c r="F693" s="10" t="s">
        <v>2330</v>
      </c>
      <c r="G693" s="10" t="s">
        <v>1208</v>
      </c>
      <c r="H693" s="10" t="s">
        <v>2331</v>
      </c>
      <c r="I693" s="10" t="s">
        <v>154</v>
      </c>
    </row>
    <row r="694" spans="1:9" x14ac:dyDescent="0.15">
      <c r="A694" s="9">
        <v>693</v>
      </c>
      <c r="B694" s="10" t="s">
        <v>9</v>
      </c>
      <c r="C694" s="10" t="s">
        <v>299</v>
      </c>
      <c r="D694" s="10" t="s">
        <v>300</v>
      </c>
      <c r="E694" s="11" t="str">
        <f>+HYPERLINK("http://trademark.i-assist.jp/data/china/image_1898th/78371144.pdf", "78371144")</f>
        <v>78371144</v>
      </c>
      <c r="F694" s="10" t="s">
        <v>2332</v>
      </c>
      <c r="G694" s="10" t="s">
        <v>2333</v>
      </c>
      <c r="H694" s="10" t="s">
        <v>2334</v>
      </c>
      <c r="I694" s="10" t="s">
        <v>154</v>
      </c>
    </row>
    <row r="695" spans="1:9" x14ac:dyDescent="0.15">
      <c r="A695" s="9">
        <v>694</v>
      </c>
      <c r="B695" s="10" t="s">
        <v>9</v>
      </c>
      <c r="C695" s="10" t="s">
        <v>299</v>
      </c>
      <c r="D695" s="10" t="s">
        <v>300</v>
      </c>
      <c r="E695" s="11" t="str">
        <f>+HYPERLINK("http://trademark.i-assist.jp/data/china/image_1898th/78371463.pdf", "78371463")</f>
        <v>78371463</v>
      </c>
      <c r="F695" s="10" t="s">
        <v>2335</v>
      </c>
      <c r="G695" s="10" t="s">
        <v>2336</v>
      </c>
      <c r="H695" s="10" t="s">
        <v>2337</v>
      </c>
      <c r="I695" s="10" t="s">
        <v>154</v>
      </c>
    </row>
    <row r="696" spans="1:9" x14ac:dyDescent="0.15">
      <c r="A696" s="9">
        <v>695</v>
      </c>
      <c r="B696" s="10" t="s">
        <v>9</v>
      </c>
      <c r="C696" s="10" t="s">
        <v>299</v>
      </c>
      <c r="D696" s="10" t="s">
        <v>300</v>
      </c>
      <c r="E696" s="11" t="str">
        <f>+HYPERLINK("http://trademark.i-assist.jp/data/china/image_1898th/78372960.pdf", "78372960")</f>
        <v>78372960</v>
      </c>
      <c r="F696" s="10" t="s">
        <v>2338</v>
      </c>
      <c r="G696" s="10" t="s">
        <v>2339</v>
      </c>
      <c r="H696" s="10" t="s">
        <v>2340</v>
      </c>
      <c r="I696" s="10" t="s">
        <v>154</v>
      </c>
    </row>
    <row r="697" spans="1:9" x14ac:dyDescent="0.15">
      <c r="A697" s="9">
        <v>696</v>
      </c>
      <c r="B697" s="10" t="s">
        <v>9</v>
      </c>
      <c r="C697" s="10" t="s">
        <v>299</v>
      </c>
      <c r="D697" s="10" t="s">
        <v>300</v>
      </c>
      <c r="E697" s="11" t="str">
        <f>+HYPERLINK("http://trademark.i-assist.jp/data/china/image_1898th/78373267.pdf", "78373267")</f>
        <v>78373267</v>
      </c>
      <c r="F697" s="10" t="s">
        <v>2341</v>
      </c>
      <c r="G697" s="10" t="s">
        <v>2342</v>
      </c>
      <c r="H697" s="10" t="s">
        <v>2343</v>
      </c>
      <c r="I697" s="10" t="s">
        <v>154</v>
      </c>
    </row>
    <row r="698" spans="1:9" x14ac:dyDescent="0.15">
      <c r="A698" s="9">
        <v>697</v>
      </c>
      <c r="B698" s="10" t="s">
        <v>9</v>
      </c>
      <c r="C698" s="10" t="s">
        <v>299</v>
      </c>
      <c r="D698" s="10" t="s">
        <v>300</v>
      </c>
      <c r="E698" s="11" t="str">
        <f>+HYPERLINK("http://trademark.i-assist.jp/data/china/image_1898th/78373746.pdf", "78373746")</f>
        <v>78373746</v>
      </c>
      <c r="F698" s="10" t="s">
        <v>2344</v>
      </c>
      <c r="G698" s="10" t="s">
        <v>1194</v>
      </c>
      <c r="H698" s="10" t="s">
        <v>2345</v>
      </c>
      <c r="I698" s="10" t="s">
        <v>154</v>
      </c>
    </row>
    <row r="699" spans="1:9" x14ac:dyDescent="0.15">
      <c r="A699" s="9">
        <v>698</v>
      </c>
      <c r="B699" s="10" t="s">
        <v>9</v>
      </c>
      <c r="C699" s="10" t="s">
        <v>299</v>
      </c>
      <c r="D699" s="10" t="s">
        <v>300</v>
      </c>
      <c r="E699" s="11" t="str">
        <f>+HYPERLINK("http://trademark.i-assist.jp/data/china/image_1898th/78374008.pdf", "78374008")</f>
        <v>78374008</v>
      </c>
      <c r="F699" s="10" t="s">
        <v>2346</v>
      </c>
      <c r="G699" s="10" t="s">
        <v>170</v>
      </c>
      <c r="H699" s="10" t="s">
        <v>2347</v>
      </c>
      <c r="I699" s="10" t="s">
        <v>154</v>
      </c>
    </row>
    <row r="700" spans="1:9" x14ac:dyDescent="0.15">
      <c r="A700" s="9">
        <v>699</v>
      </c>
      <c r="B700" s="10" t="s">
        <v>9</v>
      </c>
      <c r="C700" s="10" t="s">
        <v>299</v>
      </c>
      <c r="D700" s="10" t="s">
        <v>300</v>
      </c>
      <c r="E700" s="11" t="str">
        <f>+HYPERLINK("http://trademark.i-assist.jp/data/china/image_1898th/78374066.pdf", "78374066")</f>
        <v>78374066</v>
      </c>
      <c r="F700" s="10" t="s">
        <v>2348</v>
      </c>
      <c r="G700" s="10" t="s">
        <v>2349</v>
      </c>
      <c r="H700" s="10" t="s">
        <v>2350</v>
      </c>
      <c r="I700" s="10" t="s">
        <v>154</v>
      </c>
    </row>
    <row r="701" spans="1:9" x14ac:dyDescent="0.15">
      <c r="A701" s="9">
        <v>700</v>
      </c>
      <c r="B701" s="10" t="s">
        <v>9</v>
      </c>
      <c r="C701" s="10" t="s">
        <v>299</v>
      </c>
      <c r="D701" s="10" t="s">
        <v>300</v>
      </c>
      <c r="E701" s="11" t="str">
        <f>+HYPERLINK("http://trademark.i-assist.jp/data/china/image_1898th/78374510.pdf", "78374510")</f>
        <v>78374510</v>
      </c>
      <c r="F701" s="10" t="s">
        <v>2351</v>
      </c>
      <c r="G701" s="10" t="s">
        <v>1194</v>
      </c>
      <c r="H701" s="10" t="s">
        <v>2352</v>
      </c>
      <c r="I701" s="10" t="s">
        <v>154</v>
      </c>
    </row>
    <row r="702" spans="1:9" x14ac:dyDescent="0.15">
      <c r="A702" s="9">
        <v>701</v>
      </c>
      <c r="B702" s="10" t="s">
        <v>9</v>
      </c>
      <c r="C702" s="10" t="s">
        <v>299</v>
      </c>
      <c r="D702" s="10" t="s">
        <v>300</v>
      </c>
      <c r="E702" s="11" t="str">
        <f>+HYPERLINK("http://trademark.i-assist.jp/data/china/image_1898th/78374574.pdf", "78374574")</f>
        <v>78374574</v>
      </c>
      <c r="F702" s="10" t="s">
        <v>2353</v>
      </c>
      <c r="G702" s="10" t="s">
        <v>1194</v>
      </c>
      <c r="H702" s="10" t="s">
        <v>2354</v>
      </c>
      <c r="I702" s="10" t="s">
        <v>154</v>
      </c>
    </row>
    <row r="703" spans="1:9" x14ac:dyDescent="0.15">
      <c r="A703" s="9">
        <v>702</v>
      </c>
      <c r="B703" s="10" t="s">
        <v>9</v>
      </c>
      <c r="C703" s="10" t="s">
        <v>299</v>
      </c>
      <c r="D703" s="10" t="s">
        <v>300</v>
      </c>
      <c r="E703" s="11" t="str">
        <f>+HYPERLINK("http://trademark.i-assist.jp/data/china/image_1898th/78374924.pdf", "78374924")</f>
        <v>78374924</v>
      </c>
      <c r="F703" s="10" t="s">
        <v>2355</v>
      </c>
      <c r="G703" s="10" t="s">
        <v>219</v>
      </c>
      <c r="H703" s="10" t="s">
        <v>2356</v>
      </c>
      <c r="I703" s="10" t="s">
        <v>154</v>
      </c>
    </row>
    <row r="704" spans="1:9" x14ac:dyDescent="0.15">
      <c r="A704" s="9">
        <v>703</v>
      </c>
      <c r="B704" s="10" t="s">
        <v>9</v>
      </c>
      <c r="C704" s="10" t="s">
        <v>299</v>
      </c>
      <c r="D704" s="10" t="s">
        <v>300</v>
      </c>
      <c r="E704" s="11" t="str">
        <f>+HYPERLINK("http://trademark.i-assist.jp/data/china/image_1898th/78375393.pdf", "78375393")</f>
        <v>78375393</v>
      </c>
      <c r="F704" s="10" t="s">
        <v>2357</v>
      </c>
      <c r="G704" s="10" t="s">
        <v>2358</v>
      </c>
      <c r="H704" s="10" t="s">
        <v>2359</v>
      </c>
      <c r="I704" s="10" t="s">
        <v>154</v>
      </c>
    </row>
    <row r="705" spans="1:9" x14ac:dyDescent="0.15">
      <c r="A705" s="9">
        <v>704</v>
      </c>
      <c r="B705" s="10" t="s">
        <v>9</v>
      </c>
      <c r="C705" s="10" t="s">
        <v>299</v>
      </c>
      <c r="D705" s="10" t="s">
        <v>300</v>
      </c>
      <c r="E705" s="11" t="str">
        <f>+HYPERLINK("http://trademark.i-assist.jp/data/china/image_1898th/78375782.pdf", "78375782")</f>
        <v>78375782</v>
      </c>
      <c r="F705" s="10" t="s">
        <v>2360</v>
      </c>
      <c r="G705" s="10" t="s">
        <v>2361</v>
      </c>
      <c r="H705" s="10" t="s">
        <v>2362</v>
      </c>
      <c r="I705" s="10" t="s">
        <v>154</v>
      </c>
    </row>
    <row r="706" spans="1:9" x14ac:dyDescent="0.15">
      <c r="A706" s="9">
        <v>705</v>
      </c>
      <c r="B706" s="10" t="s">
        <v>9</v>
      </c>
      <c r="C706" s="10" t="s">
        <v>299</v>
      </c>
      <c r="D706" s="10" t="s">
        <v>300</v>
      </c>
      <c r="E706" s="11" t="str">
        <f>+HYPERLINK("http://trademark.i-assist.jp/data/china/image_1898th/78375797.pdf", "78375797")</f>
        <v>78375797</v>
      </c>
      <c r="F706" s="10" t="s">
        <v>2363</v>
      </c>
      <c r="G706" s="10" t="s">
        <v>1194</v>
      </c>
      <c r="H706" s="10" t="s">
        <v>2364</v>
      </c>
      <c r="I706" s="10" t="s">
        <v>154</v>
      </c>
    </row>
    <row r="707" spans="1:9" x14ac:dyDescent="0.15">
      <c r="A707" s="9">
        <v>706</v>
      </c>
      <c r="B707" s="10" t="s">
        <v>9</v>
      </c>
      <c r="C707" s="10" t="s">
        <v>299</v>
      </c>
      <c r="D707" s="10" t="s">
        <v>300</v>
      </c>
      <c r="E707" s="11" t="str">
        <f>+HYPERLINK("http://trademark.i-assist.jp/data/china/image_1898th/78376460.pdf", "78376460")</f>
        <v>78376460</v>
      </c>
      <c r="F707" s="10" t="s">
        <v>2365</v>
      </c>
      <c r="G707" s="10" t="s">
        <v>2366</v>
      </c>
      <c r="H707" s="10" t="s">
        <v>2367</v>
      </c>
      <c r="I707" s="10" t="s">
        <v>154</v>
      </c>
    </row>
    <row r="708" spans="1:9" x14ac:dyDescent="0.15">
      <c r="A708" s="9">
        <v>707</v>
      </c>
      <c r="B708" s="10" t="s">
        <v>9</v>
      </c>
      <c r="C708" s="10" t="s">
        <v>299</v>
      </c>
      <c r="D708" s="10" t="s">
        <v>300</v>
      </c>
      <c r="E708" s="11" t="str">
        <f>+HYPERLINK("http://trademark.i-assist.jp/data/china/image_1898th/78376819.pdf", "78376819")</f>
        <v>78376819</v>
      </c>
      <c r="F708" s="10" t="s">
        <v>2368</v>
      </c>
      <c r="G708" s="10" t="s">
        <v>2369</v>
      </c>
      <c r="H708" s="10" t="s">
        <v>2370</v>
      </c>
      <c r="I708" s="10" t="s">
        <v>154</v>
      </c>
    </row>
    <row r="709" spans="1:9" x14ac:dyDescent="0.15">
      <c r="A709" s="9">
        <v>708</v>
      </c>
      <c r="B709" s="10" t="s">
        <v>9</v>
      </c>
      <c r="C709" s="10" t="s">
        <v>299</v>
      </c>
      <c r="D709" s="10" t="s">
        <v>300</v>
      </c>
      <c r="E709" s="11" t="str">
        <f>+HYPERLINK("http://trademark.i-assist.jp/data/china/image_1898th/78376959.pdf", "78376959")</f>
        <v>78376959</v>
      </c>
      <c r="F709" s="10" t="s">
        <v>2371</v>
      </c>
      <c r="G709" s="10" t="s">
        <v>2372</v>
      </c>
      <c r="H709" s="10" t="s">
        <v>2373</v>
      </c>
      <c r="I709" s="10" t="s">
        <v>154</v>
      </c>
    </row>
    <row r="710" spans="1:9" x14ac:dyDescent="0.15">
      <c r="A710" s="9">
        <v>709</v>
      </c>
      <c r="B710" s="10" t="s">
        <v>9</v>
      </c>
      <c r="C710" s="10" t="s">
        <v>299</v>
      </c>
      <c r="D710" s="10" t="s">
        <v>300</v>
      </c>
      <c r="E710" s="11" t="str">
        <f>+HYPERLINK("http://trademark.i-assist.jp/data/china/image_1898th/78377049.pdf", "78377049")</f>
        <v>78377049</v>
      </c>
      <c r="F710" s="10" t="s">
        <v>2374</v>
      </c>
      <c r="G710" s="10" t="s">
        <v>2375</v>
      </c>
      <c r="H710" s="10" t="s">
        <v>34</v>
      </c>
      <c r="I710" s="10" t="s">
        <v>154</v>
      </c>
    </row>
    <row r="711" spans="1:9" x14ac:dyDescent="0.15">
      <c r="A711" s="9">
        <v>710</v>
      </c>
      <c r="B711" s="10" t="s">
        <v>9</v>
      </c>
      <c r="C711" s="10" t="s">
        <v>299</v>
      </c>
      <c r="D711" s="10" t="s">
        <v>300</v>
      </c>
      <c r="E711" s="11" t="str">
        <f>+HYPERLINK("http://trademark.i-assist.jp/data/china/image_1898th/78377059.pdf", "78377059")</f>
        <v>78377059</v>
      </c>
      <c r="F711" s="10" t="s">
        <v>2376</v>
      </c>
      <c r="G711" s="10" t="s">
        <v>2377</v>
      </c>
      <c r="H711" s="10" t="s">
        <v>2378</v>
      </c>
      <c r="I711" s="10" t="s">
        <v>154</v>
      </c>
    </row>
    <row r="712" spans="1:9" x14ac:dyDescent="0.15">
      <c r="A712" s="9">
        <v>711</v>
      </c>
      <c r="B712" s="10" t="s">
        <v>9</v>
      </c>
      <c r="C712" s="10" t="s">
        <v>299</v>
      </c>
      <c r="D712" s="10" t="s">
        <v>300</v>
      </c>
      <c r="E712" s="11" t="str">
        <f>+HYPERLINK("http://trademark.i-assist.jp/data/china/image_1898th/78377532.pdf", "78377532")</f>
        <v>78377532</v>
      </c>
      <c r="F712" s="10" t="s">
        <v>2379</v>
      </c>
      <c r="G712" s="10" t="s">
        <v>214</v>
      </c>
      <c r="H712" s="10" t="s">
        <v>2380</v>
      </c>
      <c r="I712" s="10" t="s">
        <v>154</v>
      </c>
    </row>
    <row r="713" spans="1:9" x14ac:dyDescent="0.15">
      <c r="A713" s="9">
        <v>712</v>
      </c>
      <c r="B713" s="10" t="s">
        <v>9</v>
      </c>
      <c r="C713" s="10" t="s">
        <v>299</v>
      </c>
      <c r="D713" s="10" t="s">
        <v>300</v>
      </c>
      <c r="E713" s="11" t="str">
        <f>+HYPERLINK("http://trademark.i-assist.jp/data/china/image_1898th/78377570.pdf", "78377570")</f>
        <v>78377570</v>
      </c>
      <c r="F713" s="10" t="s">
        <v>2381</v>
      </c>
      <c r="G713" s="10" t="s">
        <v>1194</v>
      </c>
      <c r="H713" s="10" t="s">
        <v>2382</v>
      </c>
      <c r="I713" s="10" t="s">
        <v>154</v>
      </c>
    </row>
    <row r="714" spans="1:9" x14ac:dyDescent="0.15">
      <c r="A714" s="9">
        <v>713</v>
      </c>
      <c r="B714" s="10" t="s">
        <v>9</v>
      </c>
      <c r="C714" s="10" t="s">
        <v>299</v>
      </c>
      <c r="D714" s="10" t="s">
        <v>300</v>
      </c>
      <c r="E714" s="11" t="str">
        <f>+HYPERLINK("http://trademark.i-assist.jp/data/china/image_1898th/78377698.pdf", "78377698")</f>
        <v>78377698</v>
      </c>
      <c r="F714" s="10" t="s">
        <v>2383</v>
      </c>
      <c r="G714" s="10" t="s">
        <v>2384</v>
      </c>
      <c r="H714" s="10" t="s">
        <v>2385</v>
      </c>
      <c r="I714" s="10" t="s">
        <v>154</v>
      </c>
    </row>
    <row r="715" spans="1:9" x14ac:dyDescent="0.15">
      <c r="A715" s="9">
        <v>714</v>
      </c>
      <c r="B715" s="10" t="s">
        <v>9</v>
      </c>
      <c r="C715" s="10" t="s">
        <v>299</v>
      </c>
      <c r="D715" s="10" t="s">
        <v>300</v>
      </c>
      <c r="E715" s="11" t="str">
        <f>+HYPERLINK("http://trademark.i-assist.jp/data/china/image_1898th/78377921.pdf", "78377921")</f>
        <v>78377921</v>
      </c>
      <c r="F715" s="10" t="s">
        <v>2386</v>
      </c>
      <c r="G715" s="10" t="s">
        <v>1194</v>
      </c>
      <c r="H715" s="10" t="s">
        <v>2387</v>
      </c>
      <c r="I715" s="10" t="s">
        <v>154</v>
      </c>
    </row>
    <row r="716" spans="1:9" x14ac:dyDescent="0.15">
      <c r="A716" s="9">
        <v>715</v>
      </c>
      <c r="B716" s="10" t="s">
        <v>9</v>
      </c>
      <c r="C716" s="10" t="s">
        <v>299</v>
      </c>
      <c r="D716" s="10" t="s">
        <v>300</v>
      </c>
      <c r="E716" s="11" t="str">
        <f>+HYPERLINK("http://trademark.i-assist.jp/data/china/image_1898th/78377964.pdf", "78377964")</f>
        <v>78377964</v>
      </c>
      <c r="F716" s="10" t="s">
        <v>2388</v>
      </c>
      <c r="G716" s="10" t="s">
        <v>2389</v>
      </c>
      <c r="H716" s="10" t="s">
        <v>2390</v>
      </c>
      <c r="I716" s="10" t="s">
        <v>154</v>
      </c>
    </row>
    <row r="717" spans="1:9" x14ac:dyDescent="0.15">
      <c r="A717" s="9">
        <v>716</v>
      </c>
      <c r="B717" s="10" t="s">
        <v>9</v>
      </c>
      <c r="C717" s="10" t="s">
        <v>299</v>
      </c>
      <c r="D717" s="10" t="s">
        <v>300</v>
      </c>
      <c r="E717" s="11" t="str">
        <f>+HYPERLINK("http://trademark.i-assist.jp/data/china/image_1898th/78378053.pdf", "78378053")</f>
        <v>78378053</v>
      </c>
      <c r="F717" s="10" t="s">
        <v>2391</v>
      </c>
      <c r="G717" s="10" t="s">
        <v>1194</v>
      </c>
      <c r="H717" s="10" t="s">
        <v>2392</v>
      </c>
      <c r="I717" s="10" t="s">
        <v>154</v>
      </c>
    </row>
    <row r="718" spans="1:9" x14ac:dyDescent="0.15">
      <c r="A718" s="9">
        <v>717</v>
      </c>
      <c r="B718" s="10" t="s">
        <v>9</v>
      </c>
      <c r="C718" s="10" t="s">
        <v>299</v>
      </c>
      <c r="D718" s="10" t="s">
        <v>300</v>
      </c>
      <c r="E718" s="11" t="str">
        <f>+HYPERLINK("http://trademark.i-assist.jp/data/china/image_1898th/78378191.pdf", "78378191")</f>
        <v>78378191</v>
      </c>
      <c r="F718" s="10" t="s">
        <v>2393</v>
      </c>
      <c r="G718" s="10" t="s">
        <v>1194</v>
      </c>
      <c r="H718" s="10" t="s">
        <v>34</v>
      </c>
      <c r="I718" s="10" t="s">
        <v>154</v>
      </c>
    </row>
    <row r="719" spans="1:9" x14ac:dyDescent="0.15">
      <c r="A719" s="9">
        <v>718</v>
      </c>
      <c r="B719" s="10" t="s">
        <v>9</v>
      </c>
      <c r="C719" s="10" t="s">
        <v>299</v>
      </c>
      <c r="D719" s="10" t="s">
        <v>300</v>
      </c>
      <c r="E719" s="11" t="str">
        <f>+HYPERLINK("http://trademark.i-assist.jp/data/china/image_1898th/78378252.pdf", "78378252")</f>
        <v>78378252</v>
      </c>
      <c r="F719" s="10" t="s">
        <v>2394</v>
      </c>
      <c r="G719" s="10" t="s">
        <v>1194</v>
      </c>
      <c r="H719" s="10" t="s">
        <v>2395</v>
      </c>
      <c r="I719" s="10" t="s">
        <v>154</v>
      </c>
    </row>
    <row r="720" spans="1:9" x14ac:dyDescent="0.15">
      <c r="A720" s="9">
        <v>719</v>
      </c>
      <c r="B720" s="10" t="s">
        <v>9</v>
      </c>
      <c r="C720" s="10" t="s">
        <v>299</v>
      </c>
      <c r="D720" s="10" t="s">
        <v>300</v>
      </c>
      <c r="E720" s="11" t="str">
        <f>+HYPERLINK("http://trademark.i-assist.jp/data/china/image_1898th/78378327.pdf", "78378327")</f>
        <v>78378327</v>
      </c>
      <c r="F720" s="10" t="s">
        <v>2396</v>
      </c>
      <c r="G720" s="10" t="s">
        <v>1194</v>
      </c>
      <c r="H720" s="10" t="s">
        <v>2397</v>
      </c>
      <c r="I720" s="10" t="s">
        <v>154</v>
      </c>
    </row>
    <row r="721" spans="1:9" x14ac:dyDescent="0.15">
      <c r="A721" s="9">
        <v>720</v>
      </c>
      <c r="B721" s="10" t="s">
        <v>9</v>
      </c>
      <c r="C721" s="10" t="s">
        <v>299</v>
      </c>
      <c r="D721" s="10" t="s">
        <v>300</v>
      </c>
      <c r="E721" s="11" t="str">
        <f>+HYPERLINK("http://trademark.i-assist.jp/data/china/image_1898th/78378618.pdf", "78378618")</f>
        <v>78378618</v>
      </c>
      <c r="F721" s="10" t="s">
        <v>19</v>
      </c>
      <c r="G721" s="10" t="s">
        <v>2398</v>
      </c>
      <c r="H721" s="10" t="s">
        <v>2399</v>
      </c>
      <c r="I721" s="10" t="s">
        <v>154</v>
      </c>
    </row>
    <row r="722" spans="1:9" x14ac:dyDescent="0.15">
      <c r="A722" s="9">
        <v>721</v>
      </c>
      <c r="B722" s="10" t="s">
        <v>9</v>
      </c>
      <c r="C722" s="10" t="s">
        <v>299</v>
      </c>
      <c r="D722" s="10" t="s">
        <v>300</v>
      </c>
      <c r="E722" s="11" t="str">
        <f>+HYPERLINK("http://trademark.i-assist.jp/data/china/image_1898th/78378678.pdf", "78378678")</f>
        <v>78378678</v>
      </c>
      <c r="F722" s="10" t="s">
        <v>2400</v>
      </c>
      <c r="G722" s="10" t="s">
        <v>1208</v>
      </c>
      <c r="H722" s="10" t="s">
        <v>2401</v>
      </c>
      <c r="I722" s="10" t="s">
        <v>154</v>
      </c>
    </row>
    <row r="723" spans="1:9" x14ac:dyDescent="0.15">
      <c r="A723" s="9">
        <v>722</v>
      </c>
      <c r="B723" s="10" t="s">
        <v>9</v>
      </c>
      <c r="C723" s="10" t="s">
        <v>299</v>
      </c>
      <c r="D723" s="10" t="s">
        <v>300</v>
      </c>
      <c r="E723" s="11" t="str">
        <f>+HYPERLINK("http://trademark.i-assist.jp/data/china/image_1898th/78378942.pdf", "78378942")</f>
        <v>78378942</v>
      </c>
      <c r="F723" s="10" t="s">
        <v>2402</v>
      </c>
      <c r="G723" s="10" t="s">
        <v>1240</v>
      </c>
      <c r="H723" s="10" t="s">
        <v>2403</v>
      </c>
      <c r="I723" s="10" t="s">
        <v>154</v>
      </c>
    </row>
    <row r="724" spans="1:9" x14ac:dyDescent="0.15">
      <c r="A724" s="9">
        <v>723</v>
      </c>
      <c r="B724" s="10" t="s">
        <v>9</v>
      </c>
      <c r="C724" s="10" t="s">
        <v>299</v>
      </c>
      <c r="D724" s="10" t="s">
        <v>300</v>
      </c>
      <c r="E724" s="11" t="str">
        <f>+HYPERLINK("http://trademark.i-assist.jp/data/china/image_1898th/78379641.pdf", "78379641")</f>
        <v>78379641</v>
      </c>
      <c r="F724" s="10" t="s">
        <v>2404</v>
      </c>
      <c r="G724" s="10" t="s">
        <v>2405</v>
      </c>
      <c r="H724" s="10" t="s">
        <v>2406</v>
      </c>
      <c r="I724" s="10" t="s">
        <v>156</v>
      </c>
    </row>
    <row r="725" spans="1:9" x14ac:dyDescent="0.15">
      <c r="A725" s="9">
        <v>724</v>
      </c>
      <c r="B725" s="10" t="s">
        <v>9</v>
      </c>
      <c r="C725" s="10" t="s">
        <v>299</v>
      </c>
      <c r="D725" s="10" t="s">
        <v>300</v>
      </c>
      <c r="E725" s="11" t="str">
        <f>+HYPERLINK("http://trademark.i-assist.jp/data/china/image_1898th/78379845.pdf", "78379845")</f>
        <v>78379845</v>
      </c>
      <c r="F725" s="10" t="s">
        <v>2407</v>
      </c>
      <c r="G725" s="10" t="s">
        <v>2408</v>
      </c>
      <c r="H725" s="10" t="s">
        <v>2409</v>
      </c>
      <c r="I725" s="10" t="s">
        <v>154</v>
      </c>
    </row>
    <row r="726" spans="1:9" x14ac:dyDescent="0.15">
      <c r="A726" s="9">
        <v>725</v>
      </c>
      <c r="B726" s="10" t="s">
        <v>9</v>
      </c>
      <c r="C726" s="10" t="s">
        <v>299</v>
      </c>
      <c r="D726" s="10" t="s">
        <v>300</v>
      </c>
      <c r="E726" s="11" t="str">
        <f>+HYPERLINK("http://trademark.i-assist.jp/data/china/image_1898th/78379977.pdf", "78379977")</f>
        <v>78379977</v>
      </c>
      <c r="F726" s="10" t="s">
        <v>2410</v>
      </c>
      <c r="G726" s="10" t="s">
        <v>2411</v>
      </c>
      <c r="H726" s="10" t="s">
        <v>2412</v>
      </c>
      <c r="I726" s="10" t="s">
        <v>154</v>
      </c>
    </row>
    <row r="727" spans="1:9" x14ac:dyDescent="0.15">
      <c r="A727" s="9">
        <v>726</v>
      </c>
      <c r="B727" s="10" t="s">
        <v>9</v>
      </c>
      <c r="C727" s="10" t="s">
        <v>299</v>
      </c>
      <c r="D727" s="10" t="s">
        <v>300</v>
      </c>
      <c r="E727" s="11" t="str">
        <f>+HYPERLINK("http://trademark.i-assist.jp/data/china/image_1898th/78380009.pdf", "78380009")</f>
        <v>78380009</v>
      </c>
      <c r="F727" s="10" t="s">
        <v>2413</v>
      </c>
      <c r="G727" s="10" t="s">
        <v>2414</v>
      </c>
      <c r="H727" s="10" t="s">
        <v>2415</v>
      </c>
      <c r="I727" s="10" t="s">
        <v>154</v>
      </c>
    </row>
    <row r="728" spans="1:9" x14ac:dyDescent="0.15">
      <c r="A728" s="9">
        <v>727</v>
      </c>
      <c r="B728" s="10" t="s">
        <v>9</v>
      </c>
      <c r="C728" s="10" t="s">
        <v>299</v>
      </c>
      <c r="D728" s="10" t="s">
        <v>300</v>
      </c>
      <c r="E728" s="11" t="str">
        <f>+HYPERLINK("http://trademark.i-assist.jp/data/china/image_1898th/78380541.pdf", "78380541")</f>
        <v>78380541</v>
      </c>
      <c r="F728" s="10" t="s">
        <v>2416</v>
      </c>
      <c r="G728" s="10" t="s">
        <v>2417</v>
      </c>
      <c r="H728" s="10" t="s">
        <v>2418</v>
      </c>
      <c r="I728" s="10" t="s">
        <v>154</v>
      </c>
    </row>
    <row r="729" spans="1:9" x14ac:dyDescent="0.15">
      <c r="A729" s="9">
        <v>728</v>
      </c>
      <c r="B729" s="10" t="s">
        <v>9</v>
      </c>
      <c r="C729" s="10" t="s">
        <v>299</v>
      </c>
      <c r="D729" s="10" t="s">
        <v>300</v>
      </c>
      <c r="E729" s="11" t="str">
        <f>+HYPERLINK("http://trademark.i-assist.jp/data/china/image_1898th/78380587.pdf", "78380587")</f>
        <v>78380587</v>
      </c>
      <c r="F729" s="10" t="s">
        <v>19</v>
      </c>
      <c r="G729" s="10" t="s">
        <v>2419</v>
      </c>
      <c r="H729" s="10" t="s">
        <v>2420</v>
      </c>
      <c r="I729" s="10" t="s">
        <v>154</v>
      </c>
    </row>
    <row r="730" spans="1:9" x14ac:dyDescent="0.15">
      <c r="A730" s="9">
        <v>729</v>
      </c>
      <c r="B730" s="10" t="s">
        <v>9</v>
      </c>
      <c r="C730" s="10" t="s">
        <v>299</v>
      </c>
      <c r="D730" s="10" t="s">
        <v>300</v>
      </c>
      <c r="E730" s="11" t="str">
        <f>+HYPERLINK("http://trademark.i-assist.jp/data/china/image_1898th/78380747.pdf", "78380747")</f>
        <v>78380747</v>
      </c>
      <c r="F730" s="10" t="s">
        <v>2421</v>
      </c>
      <c r="G730" s="10" t="s">
        <v>2422</v>
      </c>
      <c r="H730" s="10" t="s">
        <v>2423</v>
      </c>
      <c r="I730" s="10" t="s">
        <v>154</v>
      </c>
    </row>
    <row r="731" spans="1:9" x14ac:dyDescent="0.15">
      <c r="A731" s="9">
        <v>730</v>
      </c>
      <c r="B731" s="10" t="s">
        <v>9</v>
      </c>
      <c r="C731" s="10" t="s">
        <v>299</v>
      </c>
      <c r="D731" s="10" t="s">
        <v>300</v>
      </c>
      <c r="E731" s="11" t="str">
        <f>+HYPERLINK("http://trademark.i-assist.jp/data/china/image_1898th/78380915.pdf", "78380915")</f>
        <v>78380915</v>
      </c>
      <c r="F731" s="10" t="s">
        <v>2424</v>
      </c>
      <c r="G731" s="10" t="s">
        <v>2425</v>
      </c>
      <c r="H731" s="10" t="s">
        <v>2426</v>
      </c>
      <c r="I731" s="10" t="s">
        <v>154</v>
      </c>
    </row>
    <row r="732" spans="1:9" x14ac:dyDescent="0.15">
      <c r="A732" s="9">
        <v>731</v>
      </c>
      <c r="B732" s="10" t="s">
        <v>9</v>
      </c>
      <c r="C732" s="10" t="s">
        <v>299</v>
      </c>
      <c r="D732" s="10" t="s">
        <v>300</v>
      </c>
      <c r="E732" s="11" t="str">
        <f>+HYPERLINK("http://trademark.i-assist.jp/data/china/image_1898th/78381260.pdf", "78381260")</f>
        <v>78381260</v>
      </c>
      <c r="F732" s="10" t="s">
        <v>2427</v>
      </c>
      <c r="G732" s="10" t="s">
        <v>2405</v>
      </c>
      <c r="H732" s="10" t="s">
        <v>2428</v>
      </c>
      <c r="I732" s="10" t="s">
        <v>156</v>
      </c>
    </row>
    <row r="733" spans="1:9" x14ac:dyDescent="0.15">
      <c r="A733" s="9">
        <v>732</v>
      </c>
      <c r="B733" s="10" t="s">
        <v>9</v>
      </c>
      <c r="C733" s="10" t="s">
        <v>299</v>
      </c>
      <c r="D733" s="10" t="s">
        <v>300</v>
      </c>
      <c r="E733" s="11" t="str">
        <f>+HYPERLINK("http://trademark.i-assist.jp/data/china/image_1898th/78381316.pdf", "78381316")</f>
        <v>78381316</v>
      </c>
      <c r="F733" s="10" t="s">
        <v>2429</v>
      </c>
      <c r="G733" s="10" t="s">
        <v>129</v>
      </c>
      <c r="H733" s="10" t="s">
        <v>2430</v>
      </c>
      <c r="I733" s="10" t="s">
        <v>156</v>
      </c>
    </row>
    <row r="734" spans="1:9" x14ac:dyDescent="0.15">
      <c r="A734" s="9">
        <v>733</v>
      </c>
      <c r="B734" s="10" t="s">
        <v>9</v>
      </c>
      <c r="C734" s="10" t="s">
        <v>299</v>
      </c>
      <c r="D734" s="10" t="s">
        <v>300</v>
      </c>
      <c r="E734" s="11" t="str">
        <f>+HYPERLINK("http://trademark.i-assist.jp/data/china/image_1898th/78381597.pdf", "78381597")</f>
        <v>78381597</v>
      </c>
      <c r="F734" s="10" t="s">
        <v>19</v>
      </c>
      <c r="G734" s="10" t="s">
        <v>2366</v>
      </c>
      <c r="H734" s="10" t="s">
        <v>2431</v>
      </c>
      <c r="I734" s="10" t="s">
        <v>154</v>
      </c>
    </row>
    <row r="735" spans="1:9" x14ac:dyDescent="0.15">
      <c r="A735" s="9">
        <v>734</v>
      </c>
      <c r="B735" s="10" t="s">
        <v>9</v>
      </c>
      <c r="C735" s="10" t="s">
        <v>299</v>
      </c>
      <c r="D735" s="10" t="s">
        <v>300</v>
      </c>
      <c r="E735" s="11" t="str">
        <f>+HYPERLINK("http://trademark.i-assist.jp/data/china/image_1898th/78381760.pdf", "78381760")</f>
        <v>78381760</v>
      </c>
      <c r="F735" s="10" t="s">
        <v>2432</v>
      </c>
      <c r="G735" s="10" t="s">
        <v>143</v>
      </c>
      <c r="H735" s="10" t="s">
        <v>2433</v>
      </c>
      <c r="I735" s="10" t="s">
        <v>154</v>
      </c>
    </row>
    <row r="736" spans="1:9" x14ac:dyDescent="0.15">
      <c r="A736" s="9">
        <v>735</v>
      </c>
      <c r="B736" s="10" t="s">
        <v>9</v>
      </c>
      <c r="C736" s="10" t="s">
        <v>299</v>
      </c>
      <c r="D736" s="10" t="s">
        <v>300</v>
      </c>
      <c r="E736" s="11" t="str">
        <f>+HYPERLINK("http://trademark.i-assist.jp/data/china/image_1898th/78381966.pdf", "78381966")</f>
        <v>78381966</v>
      </c>
      <c r="F736" s="10" t="s">
        <v>2434</v>
      </c>
      <c r="G736" s="10" t="s">
        <v>1194</v>
      </c>
      <c r="H736" s="10" t="s">
        <v>2435</v>
      </c>
      <c r="I736" s="10" t="s">
        <v>154</v>
      </c>
    </row>
    <row r="737" spans="1:9" x14ac:dyDescent="0.15">
      <c r="A737" s="9">
        <v>736</v>
      </c>
      <c r="B737" s="10" t="s">
        <v>9</v>
      </c>
      <c r="C737" s="10" t="s">
        <v>299</v>
      </c>
      <c r="D737" s="10" t="s">
        <v>300</v>
      </c>
      <c r="E737" s="11" t="str">
        <f>+HYPERLINK("http://trademark.i-assist.jp/data/china/image_1898th/78382366.pdf", "78382366")</f>
        <v>78382366</v>
      </c>
      <c r="F737" s="10" t="s">
        <v>2436</v>
      </c>
      <c r="G737" s="10" t="s">
        <v>1194</v>
      </c>
      <c r="H737" s="10" t="s">
        <v>2437</v>
      </c>
      <c r="I737" s="10" t="s">
        <v>154</v>
      </c>
    </row>
    <row r="738" spans="1:9" x14ac:dyDescent="0.15">
      <c r="A738" s="9">
        <v>737</v>
      </c>
      <c r="B738" s="10" t="s">
        <v>9</v>
      </c>
      <c r="C738" s="10" t="s">
        <v>299</v>
      </c>
      <c r="D738" s="10" t="s">
        <v>300</v>
      </c>
      <c r="E738" s="11" t="str">
        <f>+HYPERLINK("http://trademark.i-assist.jp/data/china/image_1898th/78382924.pdf", "78382924")</f>
        <v>78382924</v>
      </c>
      <c r="F738" s="10" t="s">
        <v>2438</v>
      </c>
      <c r="G738" s="10" t="s">
        <v>2439</v>
      </c>
      <c r="H738" s="10" t="s">
        <v>2440</v>
      </c>
      <c r="I738" s="10" t="s">
        <v>156</v>
      </c>
    </row>
    <row r="739" spans="1:9" x14ac:dyDescent="0.15">
      <c r="A739" s="9">
        <v>738</v>
      </c>
      <c r="B739" s="10" t="s">
        <v>9</v>
      </c>
      <c r="C739" s="10" t="s">
        <v>299</v>
      </c>
      <c r="D739" s="10" t="s">
        <v>300</v>
      </c>
      <c r="E739" s="11" t="str">
        <f>+HYPERLINK("http://trademark.i-assist.jp/data/china/image_1898th/78383315.pdf", "78383315")</f>
        <v>78383315</v>
      </c>
      <c r="F739" s="10" t="s">
        <v>19</v>
      </c>
      <c r="G739" s="10" t="s">
        <v>2441</v>
      </c>
      <c r="H739" s="10" t="s">
        <v>2442</v>
      </c>
      <c r="I739" s="10" t="s">
        <v>154</v>
      </c>
    </row>
    <row r="740" spans="1:9" x14ac:dyDescent="0.15">
      <c r="A740" s="9">
        <v>739</v>
      </c>
      <c r="B740" s="10" t="s">
        <v>9</v>
      </c>
      <c r="C740" s="10" t="s">
        <v>299</v>
      </c>
      <c r="D740" s="10" t="s">
        <v>300</v>
      </c>
      <c r="E740" s="11" t="str">
        <f>+HYPERLINK("http://trademark.i-assist.jp/data/china/image_1898th/78383410.pdf", "78383410")</f>
        <v>78383410</v>
      </c>
      <c r="F740" s="10" t="s">
        <v>2443</v>
      </c>
      <c r="G740" s="10" t="s">
        <v>1240</v>
      </c>
      <c r="H740" s="10" t="s">
        <v>2444</v>
      </c>
      <c r="I740" s="10" t="s">
        <v>154</v>
      </c>
    </row>
    <row r="741" spans="1:9" x14ac:dyDescent="0.15">
      <c r="A741" s="9">
        <v>740</v>
      </c>
      <c r="B741" s="10" t="s">
        <v>9</v>
      </c>
      <c r="C741" s="10" t="s">
        <v>299</v>
      </c>
      <c r="D741" s="10" t="s">
        <v>300</v>
      </c>
      <c r="E741" s="11" t="str">
        <f>+HYPERLINK("http://trademark.i-assist.jp/data/china/image_1898th/78383847.pdf", "78383847")</f>
        <v>78383847</v>
      </c>
      <c r="F741" s="10" t="s">
        <v>2445</v>
      </c>
      <c r="G741" s="10" t="s">
        <v>2446</v>
      </c>
      <c r="H741" s="10" t="s">
        <v>2447</v>
      </c>
      <c r="I741" s="10" t="s">
        <v>156</v>
      </c>
    </row>
    <row r="742" spans="1:9" x14ac:dyDescent="0.15">
      <c r="A742" s="9">
        <v>741</v>
      </c>
      <c r="B742" s="10" t="s">
        <v>9</v>
      </c>
      <c r="C742" s="10" t="s">
        <v>299</v>
      </c>
      <c r="D742" s="10" t="s">
        <v>300</v>
      </c>
      <c r="E742" s="11" t="str">
        <f>+HYPERLINK("http://trademark.i-assist.jp/data/china/image_1898th/78383973.pdf", "78383973")</f>
        <v>78383973</v>
      </c>
      <c r="F742" s="10" t="s">
        <v>2448</v>
      </c>
      <c r="G742" s="10" t="s">
        <v>2449</v>
      </c>
      <c r="H742" s="10" t="s">
        <v>2450</v>
      </c>
      <c r="I742" s="10" t="s">
        <v>154</v>
      </c>
    </row>
    <row r="743" spans="1:9" x14ac:dyDescent="0.15">
      <c r="A743" s="9">
        <v>742</v>
      </c>
      <c r="B743" s="10" t="s">
        <v>9</v>
      </c>
      <c r="C743" s="10" t="s">
        <v>299</v>
      </c>
      <c r="D743" s="10" t="s">
        <v>300</v>
      </c>
      <c r="E743" s="11" t="str">
        <f>+HYPERLINK("http://trademark.i-assist.jp/data/china/image_1898th/78384048.pdf", "78384048")</f>
        <v>78384048</v>
      </c>
      <c r="F743" s="10" t="s">
        <v>2451</v>
      </c>
      <c r="G743" s="10" t="s">
        <v>2452</v>
      </c>
      <c r="H743" s="10" t="s">
        <v>2453</v>
      </c>
      <c r="I743" s="10" t="s">
        <v>156</v>
      </c>
    </row>
    <row r="744" spans="1:9" x14ac:dyDescent="0.15">
      <c r="A744" s="9">
        <v>743</v>
      </c>
      <c r="B744" s="10" t="s">
        <v>9</v>
      </c>
      <c r="C744" s="10" t="s">
        <v>299</v>
      </c>
      <c r="D744" s="10" t="s">
        <v>300</v>
      </c>
      <c r="E744" s="11" t="str">
        <f>+HYPERLINK("http://trademark.i-assist.jp/data/china/image_1898th/78385160.pdf", "78385160")</f>
        <v>78385160</v>
      </c>
      <c r="F744" s="10" t="s">
        <v>2454</v>
      </c>
      <c r="G744" s="10" t="s">
        <v>2455</v>
      </c>
      <c r="H744" s="10" t="s">
        <v>2456</v>
      </c>
      <c r="I744" s="10" t="s">
        <v>154</v>
      </c>
    </row>
    <row r="745" spans="1:9" x14ac:dyDescent="0.15">
      <c r="A745" s="9">
        <v>744</v>
      </c>
      <c r="B745" s="10" t="s">
        <v>9</v>
      </c>
      <c r="C745" s="10" t="s">
        <v>299</v>
      </c>
      <c r="D745" s="10" t="s">
        <v>300</v>
      </c>
      <c r="E745" s="11" t="str">
        <f>+HYPERLINK("http://trademark.i-assist.jp/data/china/image_1898th/78385642.pdf", "78385642")</f>
        <v>78385642</v>
      </c>
      <c r="F745" s="10" t="s">
        <v>2457</v>
      </c>
      <c r="G745" s="10" t="s">
        <v>2458</v>
      </c>
      <c r="H745" s="10" t="s">
        <v>2459</v>
      </c>
      <c r="I745" s="10" t="s">
        <v>156</v>
      </c>
    </row>
    <row r="746" spans="1:9" x14ac:dyDescent="0.15">
      <c r="A746" s="9">
        <v>745</v>
      </c>
      <c r="B746" s="10" t="s">
        <v>9</v>
      </c>
      <c r="C746" s="10" t="s">
        <v>299</v>
      </c>
      <c r="D746" s="10" t="s">
        <v>300</v>
      </c>
      <c r="E746" s="11" t="str">
        <f>+HYPERLINK("http://trademark.i-assist.jp/data/china/image_1898th/78385665.pdf", "78385665")</f>
        <v>78385665</v>
      </c>
      <c r="F746" s="10" t="s">
        <v>2460</v>
      </c>
      <c r="G746" s="10" t="s">
        <v>2461</v>
      </c>
      <c r="H746" s="10" t="s">
        <v>2462</v>
      </c>
      <c r="I746" s="10" t="s">
        <v>156</v>
      </c>
    </row>
    <row r="747" spans="1:9" x14ac:dyDescent="0.15">
      <c r="A747" s="9">
        <v>746</v>
      </c>
      <c r="B747" s="10" t="s">
        <v>9</v>
      </c>
      <c r="C747" s="10" t="s">
        <v>299</v>
      </c>
      <c r="D747" s="10" t="s">
        <v>300</v>
      </c>
      <c r="E747" s="11" t="str">
        <f>+HYPERLINK("http://trademark.i-assist.jp/data/china/image_1898th/78386518.pdf", "78386518")</f>
        <v>78386518</v>
      </c>
      <c r="F747" s="10" t="s">
        <v>2463</v>
      </c>
      <c r="G747" s="10" t="s">
        <v>2464</v>
      </c>
      <c r="H747" s="10" t="s">
        <v>1302</v>
      </c>
      <c r="I747" s="10" t="s">
        <v>154</v>
      </c>
    </row>
    <row r="748" spans="1:9" x14ac:dyDescent="0.15">
      <c r="A748" s="9">
        <v>747</v>
      </c>
      <c r="B748" s="10" t="s">
        <v>9</v>
      </c>
      <c r="C748" s="10" t="s">
        <v>299</v>
      </c>
      <c r="D748" s="10" t="s">
        <v>300</v>
      </c>
      <c r="E748" s="11" t="str">
        <f>+HYPERLINK("http://trademark.i-assist.jp/data/china/image_1898th/78387105.pdf", "78387105")</f>
        <v>78387105</v>
      </c>
      <c r="F748" s="10" t="s">
        <v>2465</v>
      </c>
      <c r="G748" s="10" t="s">
        <v>2466</v>
      </c>
      <c r="H748" s="10" t="s">
        <v>2467</v>
      </c>
      <c r="I748" s="10" t="s">
        <v>156</v>
      </c>
    </row>
    <row r="749" spans="1:9" x14ac:dyDescent="0.15">
      <c r="A749" s="9">
        <v>748</v>
      </c>
      <c r="B749" s="10" t="s">
        <v>9</v>
      </c>
      <c r="C749" s="10" t="s">
        <v>299</v>
      </c>
      <c r="D749" s="10" t="s">
        <v>300</v>
      </c>
      <c r="E749" s="11" t="str">
        <f>+HYPERLINK("http://trademark.i-assist.jp/data/china/image_1898th/78387204.pdf", "78387204")</f>
        <v>78387204</v>
      </c>
      <c r="F749" s="10" t="s">
        <v>2468</v>
      </c>
      <c r="G749" s="10" t="s">
        <v>1194</v>
      </c>
      <c r="H749" s="10" t="s">
        <v>2469</v>
      </c>
      <c r="I749" s="10" t="s">
        <v>154</v>
      </c>
    </row>
    <row r="750" spans="1:9" x14ac:dyDescent="0.15">
      <c r="A750" s="9">
        <v>749</v>
      </c>
      <c r="B750" s="10" t="s">
        <v>9</v>
      </c>
      <c r="C750" s="10" t="s">
        <v>299</v>
      </c>
      <c r="D750" s="10" t="s">
        <v>300</v>
      </c>
      <c r="E750" s="11" t="str">
        <f>+HYPERLINK("http://trademark.i-assist.jp/data/china/image_1898th/78387239.pdf", "78387239")</f>
        <v>78387239</v>
      </c>
      <c r="F750" s="10" t="s">
        <v>2470</v>
      </c>
      <c r="G750" s="10" t="s">
        <v>2471</v>
      </c>
      <c r="H750" s="10" t="s">
        <v>2472</v>
      </c>
      <c r="I750" s="10" t="s">
        <v>154</v>
      </c>
    </row>
    <row r="751" spans="1:9" x14ac:dyDescent="0.15">
      <c r="A751" s="9">
        <v>750</v>
      </c>
      <c r="B751" s="10" t="s">
        <v>9</v>
      </c>
      <c r="C751" s="10" t="s">
        <v>299</v>
      </c>
      <c r="D751" s="10" t="s">
        <v>300</v>
      </c>
      <c r="E751" s="11" t="str">
        <f>+HYPERLINK("http://trademark.i-assist.jp/data/china/image_1898th/78388356.pdf", "78388356")</f>
        <v>78388356</v>
      </c>
      <c r="F751" s="10" t="s">
        <v>2473</v>
      </c>
      <c r="G751" s="10" t="s">
        <v>2474</v>
      </c>
      <c r="H751" s="10" t="s">
        <v>2475</v>
      </c>
      <c r="I751" s="10" t="s">
        <v>154</v>
      </c>
    </row>
    <row r="752" spans="1:9" x14ac:dyDescent="0.15">
      <c r="A752" s="9">
        <v>751</v>
      </c>
      <c r="B752" s="10" t="s">
        <v>9</v>
      </c>
      <c r="C752" s="10" t="s">
        <v>299</v>
      </c>
      <c r="D752" s="10" t="s">
        <v>300</v>
      </c>
      <c r="E752" s="11" t="str">
        <f>+HYPERLINK("http://trademark.i-assist.jp/data/china/image_1898th/78388462.pdf", "78388462")</f>
        <v>78388462</v>
      </c>
      <c r="F752" s="10" t="s">
        <v>2476</v>
      </c>
      <c r="G752" s="10" t="s">
        <v>2477</v>
      </c>
      <c r="H752" s="10" t="s">
        <v>2478</v>
      </c>
      <c r="I752" s="10" t="s">
        <v>154</v>
      </c>
    </row>
    <row r="753" spans="1:9" x14ac:dyDescent="0.15">
      <c r="A753" s="9">
        <v>752</v>
      </c>
      <c r="B753" s="10" t="s">
        <v>9</v>
      </c>
      <c r="C753" s="10" t="s">
        <v>299</v>
      </c>
      <c r="D753" s="10" t="s">
        <v>300</v>
      </c>
      <c r="E753" s="11" t="str">
        <f>+HYPERLINK("http://trademark.i-assist.jp/data/china/image_1898th/78388466.pdf", "78388466")</f>
        <v>78388466</v>
      </c>
      <c r="F753" s="10" t="s">
        <v>2479</v>
      </c>
      <c r="G753" s="10" t="s">
        <v>1194</v>
      </c>
      <c r="H753" s="10" t="s">
        <v>2480</v>
      </c>
      <c r="I753" s="10" t="s">
        <v>154</v>
      </c>
    </row>
    <row r="754" spans="1:9" x14ac:dyDescent="0.15">
      <c r="A754" s="9">
        <v>753</v>
      </c>
      <c r="B754" s="10" t="s">
        <v>9</v>
      </c>
      <c r="C754" s="10" t="s">
        <v>299</v>
      </c>
      <c r="D754" s="10" t="s">
        <v>300</v>
      </c>
      <c r="E754" s="11" t="str">
        <f>+HYPERLINK("http://trademark.i-assist.jp/data/china/image_1898th/78388477.pdf", "78388477")</f>
        <v>78388477</v>
      </c>
      <c r="F754" s="10" t="s">
        <v>2481</v>
      </c>
      <c r="G754" s="10" t="s">
        <v>2482</v>
      </c>
      <c r="H754" s="10" t="s">
        <v>2483</v>
      </c>
      <c r="I754" s="10" t="s">
        <v>154</v>
      </c>
    </row>
    <row r="755" spans="1:9" x14ac:dyDescent="0.15">
      <c r="A755" s="9">
        <v>754</v>
      </c>
      <c r="B755" s="10" t="s">
        <v>9</v>
      </c>
      <c r="C755" s="10" t="s">
        <v>299</v>
      </c>
      <c r="D755" s="10" t="s">
        <v>300</v>
      </c>
      <c r="E755" s="11" t="str">
        <f>+HYPERLINK("http://trademark.i-assist.jp/data/china/image_1898th/78388522.pdf", "78388522")</f>
        <v>78388522</v>
      </c>
      <c r="F755" s="10" t="s">
        <v>2484</v>
      </c>
      <c r="G755" s="10" t="s">
        <v>2485</v>
      </c>
      <c r="H755" s="10" t="s">
        <v>2486</v>
      </c>
      <c r="I755" s="10" t="s">
        <v>154</v>
      </c>
    </row>
    <row r="756" spans="1:9" x14ac:dyDescent="0.15">
      <c r="A756" s="9">
        <v>755</v>
      </c>
      <c r="B756" s="10" t="s">
        <v>9</v>
      </c>
      <c r="C756" s="10" t="s">
        <v>299</v>
      </c>
      <c r="D756" s="10" t="s">
        <v>300</v>
      </c>
      <c r="E756" s="11" t="str">
        <f>+HYPERLINK("http://trademark.i-assist.jp/data/china/image_1898th/78388869.pdf", "78388869")</f>
        <v>78388869</v>
      </c>
      <c r="F756" s="10" t="s">
        <v>2487</v>
      </c>
      <c r="G756" s="10" t="s">
        <v>2488</v>
      </c>
      <c r="H756" s="10" t="s">
        <v>2489</v>
      </c>
      <c r="I756" s="10" t="s">
        <v>156</v>
      </c>
    </row>
    <row r="757" spans="1:9" x14ac:dyDescent="0.15">
      <c r="A757" s="9">
        <v>756</v>
      </c>
      <c r="B757" s="10" t="s">
        <v>9</v>
      </c>
      <c r="C757" s="10" t="s">
        <v>299</v>
      </c>
      <c r="D757" s="10" t="s">
        <v>300</v>
      </c>
      <c r="E757" s="11" t="str">
        <f>+HYPERLINK("http://trademark.i-assist.jp/data/china/image_1898th/78389233.pdf", "78389233")</f>
        <v>78389233</v>
      </c>
      <c r="F757" s="10" t="s">
        <v>2490</v>
      </c>
      <c r="G757" s="10" t="s">
        <v>2491</v>
      </c>
      <c r="H757" s="10" t="s">
        <v>2492</v>
      </c>
      <c r="I757" s="10" t="s">
        <v>154</v>
      </c>
    </row>
    <row r="758" spans="1:9" x14ac:dyDescent="0.15">
      <c r="A758" s="9">
        <v>757</v>
      </c>
      <c r="B758" s="10" t="s">
        <v>9</v>
      </c>
      <c r="C758" s="10" t="s">
        <v>299</v>
      </c>
      <c r="D758" s="10" t="s">
        <v>300</v>
      </c>
      <c r="E758" s="11" t="str">
        <f>+HYPERLINK("http://trademark.i-assist.jp/data/china/image_1898th/78389262.pdf", "78389262")</f>
        <v>78389262</v>
      </c>
      <c r="F758" s="10" t="s">
        <v>2493</v>
      </c>
      <c r="G758" s="10" t="s">
        <v>2494</v>
      </c>
      <c r="H758" s="10" t="s">
        <v>2495</v>
      </c>
      <c r="I758" s="10" t="s">
        <v>154</v>
      </c>
    </row>
    <row r="759" spans="1:9" x14ac:dyDescent="0.15">
      <c r="A759" s="9">
        <v>758</v>
      </c>
      <c r="B759" s="10" t="s">
        <v>9</v>
      </c>
      <c r="C759" s="10" t="s">
        <v>299</v>
      </c>
      <c r="D759" s="10" t="s">
        <v>300</v>
      </c>
      <c r="E759" s="11" t="str">
        <f>+HYPERLINK("http://trademark.i-assist.jp/data/china/image_1898th/78389317.pdf", "78389317")</f>
        <v>78389317</v>
      </c>
      <c r="F759" s="10" t="s">
        <v>2496</v>
      </c>
      <c r="G759" s="10" t="s">
        <v>2497</v>
      </c>
      <c r="H759" s="10" t="s">
        <v>2498</v>
      </c>
      <c r="I759" s="10" t="s">
        <v>154</v>
      </c>
    </row>
    <row r="760" spans="1:9" x14ac:dyDescent="0.15">
      <c r="A760" s="9">
        <v>759</v>
      </c>
      <c r="B760" s="10" t="s">
        <v>9</v>
      </c>
      <c r="C760" s="10" t="s">
        <v>299</v>
      </c>
      <c r="D760" s="10" t="s">
        <v>300</v>
      </c>
      <c r="E760" s="11" t="str">
        <f>+HYPERLINK("http://trademark.i-assist.jp/data/china/image_1898th/78389571.pdf", "78389571")</f>
        <v>78389571</v>
      </c>
      <c r="F760" s="10" t="s">
        <v>2499</v>
      </c>
      <c r="G760" s="10" t="s">
        <v>1194</v>
      </c>
      <c r="H760" s="10" t="s">
        <v>2500</v>
      </c>
      <c r="I760" s="10" t="s">
        <v>154</v>
      </c>
    </row>
    <row r="761" spans="1:9" x14ac:dyDescent="0.15">
      <c r="A761" s="9">
        <v>760</v>
      </c>
      <c r="B761" s="10" t="s">
        <v>9</v>
      </c>
      <c r="C761" s="10" t="s">
        <v>299</v>
      </c>
      <c r="D761" s="10" t="s">
        <v>300</v>
      </c>
      <c r="E761" s="11" t="str">
        <f>+HYPERLINK("http://trademark.i-assist.jp/data/china/image_1898th/78389591.pdf", "78389591")</f>
        <v>78389591</v>
      </c>
      <c r="F761" s="10" t="s">
        <v>2501</v>
      </c>
      <c r="G761" s="10" t="s">
        <v>1194</v>
      </c>
      <c r="H761" s="10" t="s">
        <v>2502</v>
      </c>
      <c r="I761" s="10" t="s">
        <v>154</v>
      </c>
    </row>
    <row r="762" spans="1:9" x14ac:dyDescent="0.15">
      <c r="A762" s="9">
        <v>761</v>
      </c>
      <c r="B762" s="10" t="s">
        <v>9</v>
      </c>
      <c r="C762" s="10" t="s">
        <v>299</v>
      </c>
      <c r="D762" s="10" t="s">
        <v>300</v>
      </c>
      <c r="E762" s="11" t="str">
        <f>+HYPERLINK("http://trademark.i-assist.jp/data/china/image_1898th/78389728.pdf", "78389728")</f>
        <v>78389728</v>
      </c>
      <c r="F762" s="10" t="s">
        <v>2503</v>
      </c>
      <c r="G762" s="10" t="s">
        <v>42</v>
      </c>
      <c r="H762" s="10" t="s">
        <v>2504</v>
      </c>
      <c r="I762" s="10" t="s">
        <v>156</v>
      </c>
    </row>
    <row r="763" spans="1:9" x14ac:dyDescent="0.15">
      <c r="A763" s="9">
        <v>762</v>
      </c>
      <c r="B763" s="10" t="s">
        <v>9</v>
      </c>
      <c r="C763" s="10" t="s">
        <v>299</v>
      </c>
      <c r="D763" s="10" t="s">
        <v>300</v>
      </c>
      <c r="E763" s="11" t="str">
        <f>+HYPERLINK("http://trademark.i-assist.jp/data/china/image_1898th/78389879.pdf", "78389879")</f>
        <v>78389879</v>
      </c>
      <c r="F763" s="10" t="s">
        <v>2505</v>
      </c>
      <c r="G763" s="10" t="s">
        <v>2506</v>
      </c>
      <c r="H763" s="10" t="s">
        <v>2507</v>
      </c>
      <c r="I763" s="10" t="s">
        <v>154</v>
      </c>
    </row>
    <row r="764" spans="1:9" x14ac:dyDescent="0.15">
      <c r="A764" s="9">
        <v>763</v>
      </c>
      <c r="B764" s="10" t="s">
        <v>9</v>
      </c>
      <c r="C764" s="10" t="s">
        <v>299</v>
      </c>
      <c r="D764" s="10" t="s">
        <v>300</v>
      </c>
      <c r="E764" s="11" t="str">
        <f>+HYPERLINK("http://trademark.i-assist.jp/data/china/image_1898th/78389938.pdf", "78389938")</f>
        <v>78389938</v>
      </c>
      <c r="F764" s="10" t="s">
        <v>2508</v>
      </c>
      <c r="G764" s="10" t="s">
        <v>1194</v>
      </c>
      <c r="H764" s="10" t="s">
        <v>2509</v>
      </c>
      <c r="I764" s="10" t="s">
        <v>154</v>
      </c>
    </row>
    <row r="765" spans="1:9" x14ac:dyDescent="0.15">
      <c r="A765" s="9">
        <v>764</v>
      </c>
      <c r="B765" s="10" t="s">
        <v>9</v>
      </c>
      <c r="C765" s="10" t="s">
        <v>299</v>
      </c>
      <c r="D765" s="10" t="s">
        <v>300</v>
      </c>
      <c r="E765" s="11" t="str">
        <f>+HYPERLINK("http://trademark.i-assist.jp/data/china/image_1898th/78391377.pdf", "78391377")</f>
        <v>78391377</v>
      </c>
      <c r="F765" s="10" t="s">
        <v>2510</v>
      </c>
      <c r="G765" s="10" t="s">
        <v>2511</v>
      </c>
      <c r="H765" s="10" t="s">
        <v>2512</v>
      </c>
      <c r="I765" s="10" t="s">
        <v>156</v>
      </c>
    </row>
    <row r="766" spans="1:9" x14ac:dyDescent="0.15">
      <c r="A766" s="9">
        <v>765</v>
      </c>
      <c r="B766" s="10" t="s">
        <v>9</v>
      </c>
      <c r="C766" s="10" t="s">
        <v>299</v>
      </c>
      <c r="D766" s="10" t="s">
        <v>300</v>
      </c>
      <c r="E766" s="11" t="str">
        <f>+HYPERLINK("http://trademark.i-assist.jp/data/china/image_1898th/78391882.pdf", "78391882")</f>
        <v>78391882</v>
      </c>
      <c r="F766" s="10" t="s">
        <v>2513</v>
      </c>
      <c r="G766" s="10" t="s">
        <v>2514</v>
      </c>
      <c r="H766" s="10" t="s">
        <v>2515</v>
      </c>
      <c r="I766" s="10" t="s">
        <v>156</v>
      </c>
    </row>
    <row r="767" spans="1:9" x14ac:dyDescent="0.15">
      <c r="A767" s="9">
        <v>766</v>
      </c>
      <c r="B767" s="10" t="s">
        <v>9</v>
      </c>
      <c r="C767" s="10" t="s">
        <v>299</v>
      </c>
      <c r="D767" s="10" t="s">
        <v>300</v>
      </c>
      <c r="E767" s="11" t="str">
        <f>+HYPERLINK("http://trademark.i-assist.jp/data/china/image_1898th/78393382.pdf", "78393382")</f>
        <v>78393382</v>
      </c>
      <c r="F767" s="10" t="s">
        <v>2516</v>
      </c>
      <c r="G767" s="10" t="s">
        <v>2517</v>
      </c>
      <c r="H767" s="10" t="s">
        <v>2518</v>
      </c>
      <c r="I767" s="10" t="s">
        <v>156</v>
      </c>
    </row>
    <row r="768" spans="1:9" x14ac:dyDescent="0.15">
      <c r="A768" s="9">
        <v>767</v>
      </c>
      <c r="B768" s="10" t="s">
        <v>9</v>
      </c>
      <c r="C768" s="10" t="s">
        <v>299</v>
      </c>
      <c r="D768" s="10" t="s">
        <v>300</v>
      </c>
      <c r="E768" s="11" t="str">
        <f>+HYPERLINK("http://trademark.i-assist.jp/data/china/image_1898th/78393476.pdf", "78393476")</f>
        <v>78393476</v>
      </c>
      <c r="F768" s="10" t="s">
        <v>2519</v>
      </c>
      <c r="G768" s="10" t="s">
        <v>2520</v>
      </c>
      <c r="H768" s="10" t="s">
        <v>34</v>
      </c>
      <c r="I768" s="10" t="s">
        <v>156</v>
      </c>
    </row>
    <row r="769" spans="1:9" x14ac:dyDescent="0.15">
      <c r="A769" s="9">
        <v>768</v>
      </c>
      <c r="B769" s="10" t="s">
        <v>9</v>
      </c>
      <c r="C769" s="10" t="s">
        <v>299</v>
      </c>
      <c r="D769" s="10" t="s">
        <v>300</v>
      </c>
      <c r="E769" s="11" t="str">
        <f>+HYPERLINK("http://trademark.i-assist.jp/data/china/image_1898th/78393696.pdf", "78393696")</f>
        <v>78393696</v>
      </c>
      <c r="F769" s="10" t="s">
        <v>2521</v>
      </c>
      <c r="G769" s="10" t="s">
        <v>2522</v>
      </c>
      <c r="H769" s="10" t="s">
        <v>2523</v>
      </c>
      <c r="I769" s="10" t="s">
        <v>156</v>
      </c>
    </row>
    <row r="770" spans="1:9" x14ac:dyDescent="0.15">
      <c r="A770" s="9">
        <v>769</v>
      </c>
      <c r="B770" s="10" t="s">
        <v>9</v>
      </c>
      <c r="C770" s="10" t="s">
        <v>299</v>
      </c>
      <c r="D770" s="10" t="s">
        <v>300</v>
      </c>
      <c r="E770" s="11" t="str">
        <f>+HYPERLINK("http://trademark.i-assist.jp/data/china/image_1898th/78393898.pdf", "78393898")</f>
        <v>78393898</v>
      </c>
      <c r="F770" s="10" t="s">
        <v>2524</v>
      </c>
      <c r="G770" s="10" t="s">
        <v>2525</v>
      </c>
      <c r="H770" s="10" t="s">
        <v>2526</v>
      </c>
      <c r="I770" s="10" t="s">
        <v>156</v>
      </c>
    </row>
    <row r="771" spans="1:9" x14ac:dyDescent="0.15">
      <c r="A771" s="9">
        <v>770</v>
      </c>
      <c r="B771" s="10" t="s">
        <v>9</v>
      </c>
      <c r="C771" s="10" t="s">
        <v>299</v>
      </c>
      <c r="D771" s="10" t="s">
        <v>300</v>
      </c>
      <c r="E771" s="11" t="str">
        <f>+HYPERLINK("http://trademark.i-assist.jp/data/china/image_1898th/78394275.pdf", "78394275")</f>
        <v>78394275</v>
      </c>
      <c r="F771" s="10" t="s">
        <v>2527</v>
      </c>
      <c r="G771" s="10" t="s">
        <v>2528</v>
      </c>
      <c r="H771" s="10" t="s">
        <v>2529</v>
      </c>
      <c r="I771" s="10" t="s">
        <v>156</v>
      </c>
    </row>
    <row r="772" spans="1:9" x14ac:dyDescent="0.15">
      <c r="A772" s="9">
        <v>771</v>
      </c>
      <c r="B772" s="10" t="s">
        <v>9</v>
      </c>
      <c r="C772" s="10" t="s">
        <v>299</v>
      </c>
      <c r="D772" s="10" t="s">
        <v>300</v>
      </c>
      <c r="E772" s="11" t="str">
        <f>+HYPERLINK("http://trademark.i-assist.jp/data/china/image_1898th/78394723.pdf", "78394723")</f>
        <v>78394723</v>
      </c>
      <c r="F772" s="10" t="s">
        <v>2530</v>
      </c>
      <c r="G772" s="10" t="s">
        <v>2531</v>
      </c>
      <c r="H772" s="10" t="s">
        <v>2532</v>
      </c>
      <c r="I772" s="10" t="s">
        <v>156</v>
      </c>
    </row>
    <row r="773" spans="1:9" x14ac:dyDescent="0.15">
      <c r="A773" s="9">
        <v>772</v>
      </c>
      <c r="B773" s="10" t="s">
        <v>9</v>
      </c>
      <c r="C773" s="10" t="s">
        <v>299</v>
      </c>
      <c r="D773" s="10" t="s">
        <v>300</v>
      </c>
      <c r="E773" s="11" t="str">
        <f>+HYPERLINK("http://trademark.i-assist.jp/data/china/image_1898th/78395007.pdf", "78395007")</f>
        <v>78395007</v>
      </c>
      <c r="F773" s="10" t="s">
        <v>2533</v>
      </c>
      <c r="G773" s="10" t="s">
        <v>2534</v>
      </c>
      <c r="H773" s="10" t="s">
        <v>2535</v>
      </c>
      <c r="I773" s="10" t="s">
        <v>156</v>
      </c>
    </row>
    <row r="774" spans="1:9" x14ac:dyDescent="0.15">
      <c r="A774" s="9">
        <v>773</v>
      </c>
      <c r="B774" s="10" t="s">
        <v>9</v>
      </c>
      <c r="C774" s="10" t="s">
        <v>299</v>
      </c>
      <c r="D774" s="10" t="s">
        <v>300</v>
      </c>
      <c r="E774" s="11" t="str">
        <f>+HYPERLINK("http://trademark.i-assist.jp/data/china/image_1898th/78395541.pdf", "78395541")</f>
        <v>78395541</v>
      </c>
      <c r="F774" s="10" t="s">
        <v>2536</v>
      </c>
      <c r="G774" s="10" t="s">
        <v>2537</v>
      </c>
      <c r="H774" s="10" t="s">
        <v>2538</v>
      </c>
      <c r="I774" s="10" t="s">
        <v>156</v>
      </c>
    </row>
    <row r="775" spans="1:9" x14ac:dyDescent="0.15">
      <c r="A775" s="9">
        <v>774</v>
      </c>
      <c r="B775" s="10" t="s">
        <v>9</v>
      </c>
      <c r="C775" s="10" t="s">
        <v>299</v>
      </c>
      <c r="D775" s="10" t="s">
        <v>300</v>
      </c>
      <c r="E775" s="11" t="str">
        <f>+HYPERLINK("http://trademark.i-assist.jp/data/china/image_1898th/78395649.pdf", "78395649")</f>
        <v>78395649</v>
      </c>
      <c r="F775" s="10" t="s">
        <v>2539</v>
      </c>
      <c r="G775" s="10" t="s">
        <v>1987</v>
      </c>
      <c r="H775" s="10" t="s">
        <v>2540</v>
      </c>
      <c r="I775" s="10" t="s">
        <v>156</v>
      </c>
    </row>
    <row r="776" spans="1:9" x14ac:dyDescent="0.15">
      <c r="A776" s="9">
        <v>775</v>
      </c>
      <c r="B776" s="10" t="s">
        <v>9</v>
      </c>
      <c r="C776" s="10" t="s">
        <v>299</v>
      </c>
      <c r="D776" s="10" t="s">
        <v>300</v>
      </c>
      <c r="E776" s="11" t="str">
        <f>+HYPERLINK("http://trademark.i-assist.jp/data/china/image_1898th/78395849.pdf", "78395849")</f>
        <v>78395849</v>
      </c>
      <c r="F776" s="10" t="s">
        <v>2541</v>
      </c>
      <c r="G776" s="10" t="s">
        <v>177</v>
      </c>
      <c r="H776" s="10" t="s">
        <v>2542</v>
      </c>
      <c r="I776" s="10" t="s">
        <v>156</v>
      </c>
    </row>
    <row r="777" spans="1:9" x14ac:dyDescent="0.15">
      <c r="A777" s="9">
        <v>776</v>
      </c>
      <c r="B777" s="10" t="s">
        <v>9</v>
      </c>
      <c r="C777" s="10" t="s">
        <v>299</v>
      </c>
      <c r="D777" s="10" t="s">
        <v>300</v>
      </c>
      <c r="E777" s="11" t="str">
        <f>+HYPERLINK("http://trademark.i-assist.jp/data/china/image_1898th/78396979.pdf", "78396979")</f>
        <v>78396979</v>
      </c>
      <c r="F777" s="10" t="s">
        <v>2543</v>
      </c>
      <c r="G777" s="10" t="s">
        <v>265</v>
      </c>
      <c r="H777" s="10" t="s">
        <v>2544</v>
      </c>
      <c r="I777" s="10" t="s">
        <v>156</v>
      </c>
    </row>
    <row r="778" spans="1:9" x14ac:dyDescent="0.15">
      <c r="A778" s="9">
        <v>777</v>
      </c>
      <c r="B778" s="10" t="s">
        <v>9</v>
      </c>
      <c r="C778" s="10" t="s">
        <v>299</v>
      </c>
      <c r="D778" s="10" t="s">
        <v>300</v>
      </c>
      <c r="E778" s="11" t="str">
        <f>+HYPERLINK("http://trademark.i-assist.jp/data/china/image_1898th/78397001.pdf", "78397001")</f>
        <v>78397001</v>
      </c>
      <c r="F778" s="10" t="s">
        <v>2545</v>
      </c>
      <c r="G778" s="10" t="s">
        <v>2546</v>
      </c>
      <c r="H778" s="10" t="s">
        <v>2547</v>
      </c>
      <c r="I778" s="10" t="s">
        <v>156</v>
      </c>
    </row>
    <row r="779" spans="1:9" x14ac:dyDescent="0.15">
      <c r="A779" s="9">
        <v>778</v>
      </c>
      <c r="B779" s="10" t="s">
        <v>9</v>
      </c>
      <c r="C779" s="10" t="s">
        <v>299</v>
      </c>
      <c r="D779" s="10" t="s">
        <v>300</v>
      </c>
      <c r="E779" s="11" t="str">
        <f>+HYPERLINK("http://trademark.i-assist.jp/data/china/image_1898th/78397242.pdf", "78397242")</f>
        <v>78397242</v>
      </c>
      <c r="F779" s="10" t="s">
        <v>2548</v>
      </c>
      <c r="G779" s="10" t="s">
        <v>1666</v>
      </c>
      <c r="H779" s="10" t="s">
        <v>2549</v>
      </c>
      <c r="I779" s="10" t="s">
        <v>156</v>
      </c>
    </row>
    <row r="780" spans="1:9" x14ac:dyDescent="0.15">
      <c r="A780" s="9">
        <v>779</v>
      </c>
      <c r="B780" s="10" t="s">
        <v>9</v>
      </c>
      <c r="C780" s="10" t="s">
        <v>299</v>
      </c>
      <c r="D780" s="10" t="s">
        <v>300</v>
      </c>
      <c r="E780" s="11" t="str">
        <f>+HYPERLINK("http://trademark.i-assist.jp/data/china/image_1898th/78397302.pdf", "78397302")</f>
        <v>78397302</v>
      </c>
      <c r="F780" s="10" t="s">
        <v>2550</v>
      </c>
      <c r="G780" s="10" t="s">
        <v>2551</v>
      </c>
      <c r="H780" s="10" t="s">
        <v>2552</v>
      </c>
      <c r="I780" s="10" t="s">
        <v>156</v>
      </c>
    </row>
    <row r="781" spans="1:9" x14ac:dyDescent="0.15">
      <c r="A781" s="9">
        <v>780</v>
      </c>
      <c r="B781" s="10" t="s">
        <v>9</v>
      </c>
      <c r="C781" s="10" t="s">
        <v>299</v>
      </c>
      <c r="D781" s="10" t="s">
        <v>300</v>
      </c>
      <c r="E781" s="11" t="str">
        <f>+HYPERLINK("http://trademark.i-assist.jp/data/china/image_1898th/78397414.pdf", "78397414")</f>
        <v>78397414</v>
      </c>
      <c r="F781" s="10" t="s">
        <v>2553</v>
      </c>
      <c r="G781" s="10" t="s">
        <v>2554</v>
      </c>
      <c r="H781" s="10" t="s">
        <v>2555</v>
      </c>
      <c r="I781" s="10" t="s">
        <v>156</v>
      </c>
    </row>
    <row r="782" spans="1:9" x14ac:dyDescent="0.15">
      <c r="A782" s="9">
        <v>781</v>
      </c>
      <c r="B782" s="10" t="s">
        <v>9</v>
      </c>
      <c r="C782" s="10" t="s">
        <v>299</v>
      </c>
      <c r="D782" s="10" t="s">
        <v>300</v>
      </c>
      <c r="E782" s="11" t="str">
        <f>+HYPERLINK("http://trademark.i-assist.jp/data/china/image_1898th/78397462.pdf", "78397462")</f>
        <v>78397462</v>
      </c>
      <c r="F782" s="10" t="s">
        <v>2556</v>
      </c>
      <c r="G782" s="10" t="s">
        <v>2557</v>
      </c>
      <c r="H782" s="10" t="s">
        <v>2558</v>
      </c>
      <c r="I782" s="10" t="s">
        <v>156</v>
      </c>
    </row>
    <row r="783" spans="1:9" x14ac:dyDescent="0.15">
      <c r="A783" s="9">
        <v>782</v>
      </c>
      <c r="B783" s="10" t="s">
        <v>9</v>
      </c>
      <c r="C783" s="10" t="s">
        <v>299</v>
      </c>
      <c r="D783" s="10" t="s">
        <v>300</v>
      </c>
      <c r="E783" s="11" t="str">
        <f>+HYPERLINK("http://trademark.i-assist.jp/data/china/image_1898th/78397469.pdf", "78397469")</f>
        <v>78397469</v>
      </c>
      <c r="F783" s="10" t="s">
        <v>2559</v>
      </c>
      <c r="G783" s="10" t="s">
        <v>2560</v>
      </c>
      <c r="H783" s="10" t="s">
        <v>2561</v>
      </c>
      <c r="I783" s="10" t="s">
        <v>156</v>
      </c>
    </row>
    <row r="784" spans="1:9" x14ac:dyDescent="0.15">
      <c r="A784" s="9">
        <v>783</v>
      </c>
      <c r="B784" s="10" t="s">
        <v>9</v>
      </c>
      <c r="C784" s="10" t="s">
        <v>299</v>
      </c>
      <c r="D784" s="10" t="s">
        <v>300</v>
      </c>
      <c r="E784" s="11" t="str">
        <f>+HYPERLINK("http://trademark.i-assist.jp/data/china/image_1898th/78397624.pdf", "78397624")</f>
        <v>78397624</v>
      </c>
      <c r="F784" s="10" t="s">
        <v>2562</v>
      </c>
      <c r="G784" s="10" t="s">
        <v>2563</v>
      </c>
      <c r="H784" s="10" t="s">
        <v>2564</v>
      </c>
      <c r="I784" s="10" t="s">
        <v>156</v>
      </c>
    </row>
    <row r="785" spans="1:9" x14ac:dyDescent="0.15">
      <c r="A785" s="9">
        <v>784</v>
      </c>
      <c r="B785" s="10" t="s">
        <v>9</v>
      </c>
      <c r="C785" s="10" t="s">
        <v>299</v>
      </c>
      <c r="D785" s="10" t="s">
        <v>300</v>
      </c>
      <c r="E785" s="11" t="str">
        <f>+HYPERLINK("http://trademark.i-assist.jp/data/china/image_1898th/78398505.pdf", "78398505")</f>
        <v>78398505</v>
      </c>
      <c r="F785" s="10" t="s">
        <v>2565</v>
      </c>
      <c r="G785" s="10" t="s">
        <v>2566</v>
      </c>
      <c r="H785" s="10" t="s">
        <v>2567</v>
      </c>
      <c r="I785" s="10" t="s">
        <v>156</v>
      </c>
    </row>
    <row r="786" spans="1:9" x14ac:dyDescent="0.15">
      <c r="A786" s="9">
        <v>785</v>
      </c>
      <c r="B786" s="10" t="s">
        <v>9</v>
      </c>
      <c r="C786" s="10" t="s">
        <v>299</v>
      </c>
      <c r="D786" s="10" t="s">
        <v>300</v>
      </c>
      <c r="E786" s="11" t="str">
        <f>+HYPERLINK("http://trademark.i-assist.jp/data/china/image_1898th/78398841.pdf", "78398841")</f>
        <v>78398841</v>
      </c>
      <c r="F786" s="10" t="s">
        <v>2568</v>
      </c>
      <c r="G786" s="10" t="s">
        <v>2569</v>
      </c>
      <c r="H786" s="10" t="s">
        <v>2570</v>
      </c>
      <c r="I786" s="10" t="s">
        <v>156</v>
      </c>
    </row>
    <row r="787" spans="1:9" x14ac:dyDescent="0.15">
      <c r="A787" s="9">
        <v>786</v>
      </c>
      <c r="B787" s="10" t="s">
        <v>9</v>
      </c>
      <c r="C787" s="10" t="s">
        <v>299</v>
      </c>
      <c r="D787" s="10" t="s">
        <v>300</v>
      </c>
      <c r="E787" s="11" t="str">
        <f>+HYPERLINK("http://trademark.i-assist.jp/data/china/image_1898th/78398883.pdf", "78398883")</f>
        <v>78398883</v>
      </c>
      <c r="F787" s="10" t="s">
        <v>2571</v>
      </c>
      <c r="G787" s="10" t="s">
        <v>2572</v>
      </c>
      <c r="H787" s="10" t="s">
        <v>2573</v>
      </c>
      <c r="I787" s="10" t="s">
        <v>156</v>
      </c>
    </row>
    <row r="788" spans="1:9" x14ac:dyDescent="0.15">
      <c r="A788" s="9">
        <v>787</v>
      </c>
      <c r="B788" s="10" t="s">
        <v>9</v>
      </c>
      <c r="C788" s="10" t="s">
        <v>299</v>
      </c>
      <c r="D788" s="10" t="s">
        <v>300</v>
      </c>
      <c r="E788" s="11" t="str">
        <f>+HYPERLINK("http://trademark.i-assist.jp/data/china/image_1898th/78399056.pdf", "78399056")</f>
        <v>78399056</v>
      </c>
      <c r="F788" s="10" t="s">
        <v>2574</v>
      </c>
      <c r="G788" s="10" t="s">
        <v>2560</v>
      </c>
      <c r="H788" s="10" t="s">
        <v>2575</v>
      </c>
      <c r="I788" s="10" t="s">
        <v>156</v>
      </c>
    </row>
    <row r="789" spans="1:9" x14ac:dyDescent="0.15">
      <c r="A789" s="9">
        <v>788</v>
      </c>
      <c r="B789" s="10" t="s">
        <v>9</v>
      </c>
      <c r="C789" s="10" t="s">
        <v>299</v>
      </c>
      <c r="D789" s="10" t="s">
        <v>300</v>
      </c>
      <c r="E789" s="11" t="str">
        <f>+HYPERLINK("http://trademark.i-assist.jp/data/china/image_1898th/78399325.pdf", "78399325")</f>
        <v>78399325</v>
      </c>
      <c r="F789" s="10" t="s">
        <v>123</v>
      </c>
      <c r="G789" s="10" t="s">
        <v>103</v>
      </c>
      <c r="H789" s="10" t="s">
        <v>2576</v>
      </c>
      <c r="I789" s="10" t="s">
        <v>156</v>
      </c>
    </row>
    <row r="790" spans="1:9" x14ac:dyDescent="0.15">
      <c r="A790" s="9">
        <v>789</v>
      </c>
      <c r="B790" s="10" t="s">
        <v>9</v>
      </c>
      <c r="C790" s="10" t="s">
        <v>299</v>
      </c>
      <c r="D790" s="10" t="s">
        <v>300</v>
      </c>
      <c r="E790" s="11" t="str">
        <f>+HYPERLINK("http://trademark.i-assist.jp/data/china/image_1898th/78399329.pdf", "78399329")</f>
        <v>78399329</v>
      </c>
      <c r="F790" s="10" t="s">
        <v>2577</v>
      </c>
      <c r="G790" s="10" t="s">
        <v>2578</v>
      </c>
      <c r="H790" s="10" t="s">
        <v>2579</v>
      </c>
      <c r="I790" s="10" t="s">
        <v>156</v>
      </c>
    </row>
    <row r="791" spans="1:9" x14ac:dyDescent="0.15">
      <c r="A791" s="9">
        <v>790</v>
      </c>
      <c r="B791" s="10" t="s">
        <v>9</v>
      </c>
      <c r="C791" s="10" t="s">
        <v>299</v>
      </c>
      <c r="D791" s="10" t="s">
        <v>300</v>
      </c>
      <c r="E791" s="11" t="str">
        <f>+HYPERLINK("http://trademark.i-assist.jp/data/china/image_1898th/78399553.pdf", "78399553")</f>
        <v>78399553</v>
      </c>
      <c r="F791" s="10" t="s">
        <v>2580</v>
      </c>
      <c r="G791" s="10" t="s">
        <v>2581</v>
      </c>
      <c r="H791" s="10" t="s">
        <v>2582</v>
      </c>
      <c r="I791" s="10" t="s">
        <v>156</v>
      </c>
    </row>
    <row r="792" spans="1:9" x14ac:dyDescent="0.15">
      <c r="A792" s="9">
        <v>791</v>
      </c>
      <c r="B792" s="10" t="s">
        <v>9</v>
      </c>
      <c r="C792" s="10" t="s">
        <v>299</v>
      </c>
      <c r="D792" s="10" t="s">
        <v>300</v>
      </c>
      <c r="E792" s="11" t="str">
        <f>+HYPERLINK("http://trademark.i-assist.jp/data/china/image_1898th/78399635.pdf", "78399635")</f>
        <v>78399635</v>
      </c>
      <c r="F792" s="10" t="s">
        <v>2583</v>
      </c>
      <c r="G792" s="10" t="s">
        <v>2584</v>
      </c>
      <c r="H792" s="10" t="s">
        <v>2585</v>
      </c>
      <c r="I792" s="10" t="s">
        <v>156</v>
      </c>
    </row>
    <row r="793" spans="1:9" x14ac:dyDescent="0.15">
      <c r="A793" s="9">
        <v>792</v>
      </c>
      <c r="B793" s="10" t="s">
        <v>9</v>
      </c>
      <c r="C793" s="10" t="s">
        <v>299</v>
      </c>
      <c r="D793" s="10" t="s">
        <v>300</v>
      </c>
      <c r="E793" s="11" t="str">
        <f>+HYPERLINK("http://trademark.i-assist.jp/data/china/image_1898th/78399917.pdf", "78399917")</f>
        <v>78399917</v>
      </c>
      <c r="F793" s="10" t="s">
        <v>2586</v>
      </c>
      <c r="G793" s="10" t="s">
        <v>2587</v>
      </c>
      <c r="H793" s="10" t="s">
        <v>2588</v>
      </c>
      <c r="I793" s="10" t="s">
        <v>156</v>
      </c>
    </row>
    <row r="794" spans="1:9" x14ac:dyDescent="0.15">
      <c r="A794" s="9">
        <v>793</v>
      </c>
      <c r="B794" s="10" t="s">
        <v>9</v>
      </c>
      <c r="C794" s="10" t="s">
        <v>299</v>
      </c>
      <c r="D794" s="10" t="s">
        <v>300</v>
      </c>
      <c r="E794" s="11" t="str">
        <f>+HYPERLINK("http://trademark.i-assist.jp/data/china/image_1898th/78400038.pdf", "78400038")</f>
        <v>78400038</v>
      </c>
      <c r="F794" s="10" t="s">
        <v>2589</v>
      </c>
      <c r="G794" s="10" t="s">
        <v>2590</v>
      </c>
      <c r="H794" s="10" t="s">
        <v>2591</v>
      </c>
      <c r="I794" s="10" t="s">
        <v>156</v>
      </c>
    </row>
    <row r="795" spans="1:9" x14ac:dyDescent="0.15">
      <c r="A795" s="9">
        <v>794</v>
      </c>
      <c r="B795" s="10" t="s">
        <v>9</v>
      </c>
      <c r="C795" s="10" t="s">
        <v>299</v>
      </c>
      <c r="D795" s="10" t="s">
        <v>300</v>
      </c>
      <c r="E795" s="11" t="str">
        <f>+HYPERLINK("http://trademark.i-assist.jp/data/china/image_1898th/78400125.pdf", "78400125")</f>
        <v>78400125</v>
      </c>
      <c r="F795" s="10" t="s">
        <v>19</v>
      </c>
      <c r="G795" s="10" t="s">
        <v>2592</v>
      </c>
      <c r="H795" s="10" t="s">
        <v>2593</v>
      </c>
      <c r="I795" s="10" t="s">
        <v>156</v>
      </c>
    </row>
    <row r="796" spans="1:9" x14ac:dyDescent="0.15">
      <c r="A796" s="9">
        <v>795</v>
      </c>
      <c r="B796" s="10" t="s">
        <v>9</v>
      </c>
      <c r="C796" s="10" t="s">
        <v>299</v>
      </c>
      <c r="D796" s="10" t="s">
        <v>300</v>
      </c>
      <c r="E796" s="11" t="str">
        <f>+HYPERLINK("http://trademark.i-assist.jp/data/china/image_1898th/78400264.pdf", "78400264")</f>
        <v>78400264</v>
      </c>
      <c r="F796" s="10" t="s">
        <v>19</v>
      </c>
      <c r="G796" s="10" t="s">
        <v>2594</v>
      </c>
      <c r="H796" s="10" t="s">
        <v>2595</v>
      </c>
      <c r="I796" s="10" t="s">
        <v>156</v>
      </c>
    </row>
    <row r="797" spans="1:9" x14ac:dyDescent="0.15">
      <c r="A797" s="9">
        <v>796</v>
      </c>
      <c r="B797" s="10" t="s">
        <v>9</v>
      </c>
      <c r="C797" s="10" t="s">
        <v>299</v>
      </c>
      <c r="D797" s="10" t="s">
        <v>300</v>
      </c>
      <c r="E797" s="11" t="str">
        <f>+HYPERLINK("http://trademark.i-assist.jp/data/china/image_1898th/78400347.pdf", "78400347")</f>
        <v>78400347</v>
      </c>
      <c r="F797" s="10" t="s">
        <v>2596</v>
      </c>
      <c r="G797" s="10" t="s">
        <v>2597</v>
      </c>
      <c r="H797" s="10" t="s">
        <v>2598</v>
      </c>
      <c r="I797" s="10" t="s">
        <v>156</v>
      </c>
    </row>
    <row r="798" spans="1:9" x14ac:dyDescent="0.15">
      <c r="A798" s="9">
        <v>797</v>
      </c>
      <c r="B798" s="10" t="s">
        <v>9</v>
      </c>
      <c r="C798" s="10" t="s">
        <v>299</v>
      </c>
      <c r="D798" s="10" t="s">
        <v>300</v>
      </c>
      <c r="E798" s="11" t="str">
        <f>+HYPERLINK("http://trademark.i-assist.jp/data/china/image_1898th/78400411.pdf", "78400411")</f>
        <v>78400411</v>
      </c>
      <c r="F798" s="10" t="s">
        <v>2599</v>
      </c>
      <c r="G798" s="10" t="s">
        <v>2600</v>
      </c>
      <c r="H798" s="10" t="s">
        <v>2601</v>
      </c>
      <c r="I798" s="10" t="s">
        <v>156</v>
      </c>
    </row>
    <row r="799" spans="1:9" x14ac:dyDescent="0.15">
      <c r="A799" s="9">
        <v>798</v>
      </c>
      <c r="B799" s="10" t="s">
        <v>9</v>
      </c>
      <c r="C799" s="10" t="s">
        <v>299</v>
      </c>
      <c r="D799" s="10" t="s">
        <v>300</v>
      </c>
      <c r="E799" s="11" t="str">
        <f>+HYPERLINK("http://trademark.i-assist.jp/data/china/image_1898th/78400526.pdf", "78400526")</f>
        <v>78400526</v>
      </c>
      <c r="F799" s="10" t="s">
        <v>2602</v>
      </c>
      <c r="G799" s="10" t="s">
        <v>2603</v>
      </c>
      <c r="H799" s="10" t="s">
        <v>2604</v>
      </c>
      <c r="I799" s="10" t="s">
        <v>156</v>
      </c>
    </row>
    <row r="800" spans="1:9" x14ac:dyDescent="0.15">
      <c r="A800" s="9">
        <v>799</v>
      </c>
      <c r="B800" s="10" t="s">
        <v>9</v>
      </c>
      <c r="C800" s="10" t="s">
        <v>299</v>
      </c>
      <c r="D800" s="10" t="s">
        <v>300</v>
      </c>
      <c r="E800" s="11" t="str">
        <f>+HYPERLINK("http://trademark.i-assist.jp/data/china/image_1898th/78400560.pdf", "78400560")</f>
        <v>78400560</v>
      </c>
      <c r="F800" s="10" t="s">
        <v>2605</v>
      </c>
      <c r="G800" s="10" t="s">
        <v>287</v>
      </c>
      <c r="H800" s="10" t="s">
        <v>2606</v>
      </c>
      <c r="I800" s="10" t="s">
        <v>156</v>
      </c>
    </row>
    <row r="801" spans="1:9" x14ac:dyDescent="0.15">
      <c r="A801" s="9">
        <v>800</v>
      </c>
      <c r="B801" s="10" t="s">
        <v>9</v>
      </c>
      <c r="C801" s="10" t="s">
        <v>299</v>
      </c>
      <c r="D801" s="10" t="s">
        <v>300</v>
      </c>
      <c r="E801" s="11" t="str">
        <f>+HYPERLINK("http://trademark.i-assist.jp/data/china/image_1898th/78400736.pdf", "78400736")</f>
        <v>78400736</v>
      </c>
      <c r="F801" s="10" t="s">
        <v>2607</v>
      </c>
      <c r="G801" s="10" t="s">
        <v>2608</v>
      </c>
      <c r="H801" s="10" t="s">
        <v>2609</v>
      </c>
      <c r="I801" s="10" t="s">
        <v>156</v>
      </c>
    </row>
    <row r="802" spans="1:9" x14ac:dyDescent="0.15">
      <c r="A802" s="9">
        <v>801</v>
      </c>
      <c r="B802" s="10" t="s">
        <v>9</v>
      </c>
      <c r="C802" s="10" t="s">
        <v>299</v>
      </c>
      <c r="D802" s="10" t="s">
        <v>300</v>
      </c>
      <c r="E802" s="11" t="str">
        <f>+HYPERLINK("http://trademark.i-assist.jp/data/china/image_1898th/78400814.pdf", "78400814")</f>
        <v>78400814</v>
      </c>
      <c r="F802" s="10" t="s">
        <v>2610</v>
      </c>
      <c r="G802" s="10" t="s">
        <v>1205</v>
      </c>
      <c r="H802" s="10" t="s">
        <v>2611</v>
      </c>
      <c r="I802" s="10" t="s">
        <v>156</v>
      </c>
    </row>
    <row r="803" spans="1:9" x14ac:dyDescent="0.15">
      <c r="A803" s="9">
        <v>802</v>
      </c>
      <c r="B803" s="10" t="s">
        <v>9</v>
      </c>
      <c r="C803" s="10" t="s">
        <v>299</v>
      </c>
      <c r="D803" s="10" t="s">
        <v>300</v>
      </c>
      <c r="E803" s="11" t="str">
        <f>+HYPERLINK("http://trademark.i-assist.jp/data/china/image_1898th/78400922.pdf", "78400922")</f>
        <v>78400922</v>
      </c>
      <c r="F803" s="10" t="s">
        <v>2612</v>
      </c>
      <c r="G803" s="10" t="s">
        <v>188</v>
      </c>
      <c r="H803" s="10" t="s">
        <v>2613</v>
      </c>
      <c r="I803" s="10" t="s">
        <v>156</v>
      </c>
    </row>
    <row r="804" spans="1:9" x14ac:dyDescent="0.15">
      <c r="A804" s="9">
        <v>803</v>
      </c>
      <c r="B804" s="10" t="s">
        <v>9</v>
      </c>
      <c r="C804" s="10" t="s">
        <v>299</v>
      </c>
      <c r="D804" s="10" t="s">
        <v>300</v>
      </c>
      <c r="E804" s="11" t="str">
        <f>+HYPERLINK("http://trademark.i-assist.jp/data/china/image_1898th/78400970.pdf", "78400970")</f>
        <v>78400970</v>
      </c>
      <c r="F804" s="10" t="s">
        <v>2614</v>
      </c>
      <c r="G804" s="10" t="s">
        <v>2615</v>
      </c>
      <c r="H804" s="10" t="s">
        <v>2616</v>
      </c>
      <c r="I804" s="10" t="s">
        <v>156</v>
      </c>
    </row>
    <row r="805" spans="1:9" x14ac:dyDescent="0.15">
      <c r="A805" s="9">
        <v>804</v>
      </c>
      <c r="B805" s="10" t="s">
        <v>9</v>
      </c>
      <c r="C805" s="10" t="s">
        <v>299</v>
      </c>
      <c r="D805" s="10" t="s">
        <v>300</v>
      </c>
      <c r="E805" s="11" t="str">
        <f>+HYPERLINK("http://trademark.i-assist.jp/data/china/image_1898th/78401141.pdf", "78401141")</f>
        <v>78401141</v>
      </c>
      <c r="F805" s="10" t="s">
        <v>2617</v>
      </c>
      <c r="G805" s="10" t="s">
        <v>2618</v>
      </c>
      <c r="H805" s="10" t="s">
        <v>2619</v>
      </c>
      <c r="I805" s="10" t="s">
        <v>156</v>
      </c>
    </row>
    <row r="806" spans="1:9" x14ac:dyDescent="0.15">
      <c r="A806" s="9">
        <v>805</v>
      </c>
      <c r="B806" s="10" t="s">
        <v>9</v>
      </c>
      <c r="C806" s="10" t="s">
        <v>299</v>
      </c>
      <c r="D806" s="10" t="s">
        <v>300</v>
      </c>
      <c r="E806" s="11" t="str">
        <f>+HYPERLINK("http://trademark.i-assist.jp/data/china/image_1898th/78401197.pdf", "78401197")</f>
        <v>78401197</v>
      </c>
      <c r="F806" s="10" t="s">
        <v>2620</v>
      </c>
      <c r="G806" s="10" t="s">
        <v>2621</v>
      </c>
      <c r="H806" s="10" t="s">
        <v>2622</v>
      </c>
      <c r="I806" s="10" t="s">
        <v>156</v>
      </c>
    </row>
    <row r="807" spans="1:9" x14ac:dyDescent="0.15">
      <c r="A807" s="9">
        <v>806</v>
      </c>
      <c r="B807" s="10" t="s">
        <v>9</v>
      </c>
      <c r="C807" s="10" t="s">
        <v>299</v>
      </c>
      <c r="D807" s="10" t="s">
        <v>300</v>
      </c>
      <c r="E807" s="11" t="str">
        <f>+HYPERLINK("http://trademark.i-assist.jp/data/china/image_1898th/78401212.pdf", "78401212")</f>
        <v>78401212</v>
      </c>
      <c r="F807" s="10" t="s">
        <v>19</v>
      </c>
      <c r="G807" s="10" t="s">
        <v>2623</v>
      </c>
      <c r="H807" s="10" t="s">
        <v>2624</v>
      </c>
      <c r="I807" s="10" t="s">
        <v>156</v>
      </c>
    </row>
    <row r="808" spans="1:9" x14ac:dyDescent="0.15">
      <c r="A808" s="9">
        <v>807</v>
      </c>
      <c r="B808" s="10" t="s">
        <v>9</v>
      </c>
      <c r="C808" s="10" t="s">
        <v>299</v>
      </c>
      <c r="D808" s="10" t="s">
        <v>300</v>
      </c>
      <c r="E808" s="11" t="str">
        <f>+HYPERLINK("http://trademark.i-assist.jp/data/china/image_1898th/78401270.pdf", "78401270")</f>
        <v>78401270</v>
      </c>
      <c r="F808" s="10" t="s">
        <v>2625</v>
      </c>
      <c r="G808" s="10" t="s">
        <v>2626</v>
      </c>
      <c r="H808" s="10" t="s">
        <v>2627</v>
      </c>
      <c r="I808" s="10" t="s">
        <v>156</v>
      </c>
    </row>
    <row r="809" spans="1:9" x14ac:dyDescent="0.15">
      <c r="A809" s="9">
        <v>808</v>
      </c>
      <c r="B809" s="10" t="s">
        <v>9</v>
      </c>
      <c r="C809" s="10" t="s">
        <v>299</v>
      </c>
      <c r="D809" s="10" t="s">
        <v>300</v>
      </c>
      <c r="E809" s="11" t="str">
        <f>+HYPERLINK("http://trademark.i-assist.jp/data/china/image_1898th/78401372.pdf", "78401372")</f>
        <v>78401372</v>
      </c>
      <c r="F809" s="10" t="s">
        <v>2628</v>
      </c>
      <c r="G809" s="10" t="s">
        <v>183</v>
      </c>
      <c r="H809" s="10" t="s">
        <v>2629</v>
      </c>
      <c r="I809" s="10" t="s">
        <v>156</v>
      </c>
    </row>
    <row r="810" spans="1:9" x14ac:dyDescent="0.15">
      <c r="A810" s="9">
        <v>809</v>
      </c>
      <c r="B810" s="10" t="s">
        <v>9</v>
      </c>
      <c r="C810" s="10" t="s">
        <v>299</v>
      </c>
      <c r="D810" s="10" t="s">
        <v>300</v>
      </c>
      <c r="E810" s="11" t="str">
        <f>+HYPERLINK("http://trademark.i-assist.jp/data/china/image_1898th/78401425.pdf", "78401425")</f>
        <v>78401425</v>
      </c>
      <c r="F810" s="10" t="s">
        <v>1792</v>
      </c>
      <c r="G810" s="10" t="s">
        <v>2630</v>
      </c>
      <c r="H810" s="10" t="s">
        <v>2631</v>
      </c>
      <c r="I810" s="10" t="s">
        <v>156</v>
      </c>
    </row>
    <row r="811" spans="1:9" x14ac:dyDescent="0.15">
      <c r="A811" s="9">
        <v>810</v>
      </c>
      <c r="B811" s="10" t="s">
        <v>9</v>
      </c>
      <c r="C811" s="10" t="s">
        <v>299</v>
      </c>
      <c r="D811" s="10" t="s">
        <v>300</v>
      </c>
      <c r="E811" s="11" t="str">
        <f>+HYPERLINK("http://trademark.i-assist.jp/data/china/image_1898th/78402249.pdf", "78402249")</f>
        <v>78402249</v>
      </c>
      <c r="F811" s="10" t="s">
        <v>2632</v>
      </c>
      <c r="G811" s="10" t="s">
        <v>2563</v>
      </c>
      <c r="H811" s="10" t="s">
        <v>2633</v>
      </c>
      <c r="I811" s="10" t="s">
        <v>156</v>
      </c>
    </row>
    <row r="812" spans="1:9" x14ac:dyDescent="0.15">
      <c r="A812" s="9">
        <v>811</v>
      </c>
      <c r="B812" s="10" t="s">
        <v>9</v>
      </c>
      <c r="C812" s="10" t="s">
        <v>299</v>
      </c>
      <c r="D812" s="10" t="s">
        <v>300</v>
      </c>
      <c r="E812" s="11" t="str">
        <f>+HYPERLINK("http://trademark.i-assist.jp/data/china/image_1898th/78402470.pdf", "78402470")</f>
        <v>78402470</v>
      </c>
      <c r="F812" s="10" t="s">
        <v>19</v>
      </c>
      <c r="G812" s="10" t="s">
        <v>2634</v>
      </c>
      <c r="H812" s="10" t="s">
        <v>2635</v>
      </c>
      <c r="I812" s="10" t="s">
        <v>156</v>
      </c>
    </row>
    <row r="813" spans="1:9" x14ac:dyDescent="0.15">
      <c r="A813" s="9">
        <v>812</v>
      </c>
      <c r="B813" s="10" t="s">
        <v>9</v>
      </c>
      <c r="C813" s="10" t="s">
        <v>299</v>
      </c>
      <c r="D813" s="10" t="s">
        <v>300</v>
      </c>
      <c r="E813" s="11" t="str">
        <f>+HYPERLINK("http://trademark.i-assist.jp/data/china/image_1898th/78402572.pdf", "78402572")</f>
        <v>78402572</v>
      </c>
      <c r="F813" s="10" t="s">
        <v>2636</v>
      </c>
      <c r="G813" s="10" t="s">
        <v>2560</v>
      </c>
      <c r="H813" s="10" t="s">
        <v>2637</v>
      </c>
      <c r="I813" s="10" t="s">
        <v>156</v>
      </c>
    </row>
    <row r="814" spans="1:9" x14ac:dyDescent="0.15">
      <c r="A814" s="9">
        <v>813</v>
      </c>
      <c r="B814" s="10" t="s">
        <v>9</v>
      </c>
      <c r="C814" s="10" t="s">
        <v>299</v>
      </c>
      <c r="D814" s="10" t="s">
        <v>300</v>
      </c>
      <c r="E814" s="11" t="str">
        <f>+HYPERLINK("http://trademark.i-assist.jp/data/china/image_1898th/78403001.pdf", "78403001")</f>
        <v>78403001</v>
      </c>
      <c r="F814" s="10" t="s">
        <v>2638</v>
      </c>
      <c r="G814" s="10" t="s">
        <v>2639</v>
      </c>
      <c r="H814" s="10" t="s">
        <v>2640</v>
      </c>
      <c r="I814" s="10" t="s">
        <v>156</v>
      </c>
    </row>
    <row r="815" spans="1:9" x14ac:dyDescent="0.15">
      <c r="A815" s="9">
        <v>814</v>
      </c>
      <c r="B815" s="10" t="s">
        <v>9</v>
      </c>
      <c r="C815" s="10" t="s">
        <v>299</v>
      </c>
      <c r="D815" s="10" t="s">
        <v>300</v>
      </c>
      <c r="E815" s="11" t="str">
        <f>+HYPERLINK("http://trademark.i-assist.jp/data/china/image_1898th/78403437.pdf", "78403437")</f>
        <v>78403437</v>
      </c>
      <c r="F815" s="10" t="s">
        <v>2641</v>
      </c>
      <c r="G815" s="10" t="s">
        <v>2642</v>
      </c>
      <c r="H815" s="10" t="s">
        <v>2643</v>
      </c>
      <c r="I815" s="10" t="s">
        <v>156</v>
      </c>
    </row>
    <row r="816" spans="1:9" x14ac:dyDescent="0.15">
      <c r="A816" s="9">
        <v>815</v>
      </c>
      <c r="B816" s="10" t="s">
        <v>9</v>
      </c>
      <c r="C816" s="10" t="s">
        <v>299</v>
      </c>
      <c r="D816" s="10" t="s">
        <v>300</v>
      </c>
      <c r="E816" s="11" t="str">
        <f>+HYPERLINK("http://trademark.i-assist.jp/data/china/image_1898th/78403748.pdf", "78403748")</f>
        <v>78403748</v>
      </c>
      <c r="F816" s="10" t="s">
        <v>2644</v>
      </c>
      <c r="G816" s="10" t="s">
        <v>77</v>
      </c>
      <c r="H816" s="10" t="s">
        <v>2645</v>
      </c>
      <c r="I816" s="10" t="s">
        <v>156</v>
      </c>
    </row>
    <row r="817" spans="1:9" x14ac:dyDescent="0.15">
      <c r="A817" s="9">
        <v>816</v>
      </c>
      <c r="B817" s="10" t="s">
        <v>9</v>
      </c>
      <c r="C817" s="10" t="s">
        <v>299</v>
      </c>
      <c r="D817" s="10" t="s">
        <v>300</v>
      </c>
      <c r="E817" s="11" t="str">
        <f>+HYPERLINK("http://trademark.i-assist.jp/data/china/image_1898th/78403857.pdf", "78403857")</f>
        <v>78403857</v>
      </c>
      <c r="F817" s="10" t="s">
        <v>2646</v>
      </c>
      <c r="G817" s="10" t="s">
        <v>2647</v>
      </c>
      <c r="H817" s="10" t="s">
        <v>2648</v>
      </c>
      <c r="I817" s="10" t="s">
        <v>156</v>
      </c>
    </row>
    <row r="818" spans="1:9" x14ac:dyDescent="0.15">
      <c r="A818" s="9">
        <v>817</v>
      </c>
      <c r="B818" s="10" t="s">
        <v>9</v>
      </c>
      <c r="C818" s="10" t="s">
        <v>299</v>
      </c>
      <c r="D818" s="10" t="s">
        <v>300</v>
      </c>
      <c r="E818" s="11" t="str">
        <f>+HYPERLINK("http://trademark.i-assist.jp/data/china/image_1898th/78403999.pdf", "78403999")</f>
        <v>78403999</v>
      </c>
      <c r="F818" s="10" t="s">
        <v>2649</v>
      </c>
      <c r="G818" s="10" t="s">
        <v>2650</v>
      </c>
      <c r="H818" s="10" t="s">
        <v>2651</v>
      </c>
      <c r="I818" s="10" t="s">
        <v>156</v>
      </c>
    </row>
    <row r="819" spans="1:9" x14ac:dyDescent="0.15">
      <c r="A819" s="9">
        <v>818</v>
      </c>
      <c r="B819" s="10" t="s">
        <v>9</v>
      </c>
      <c r="C819" s="10" t="s">
        <v>299</v>
      </c>
      <c r="D819" s="10" t="s">
        <v>300</v>
      </c>
      <c r="E819" s="11" t="str">
        <f>+HYPERLINK("http://trademark.i-assist.jp/data/china/image_1898th/78404860.pdf", "78404860")</f>
        <v>78404860</v>
      </c>
      <c r="F819" s="10" t="s">
        <v>2652</v>
      </c>
      <c r="G819" s="10" t="s">
        <v>1666</v>
      </c>
      <c r="H819" s="10" t="s">
        <v>2653</v>
      </c>
      <c r="I819" s="10" t="s">
        <v>156</v>
      </c>
    </row>
    <row r="820" spans="1:9" x14ac:dyDescent="0.15">
      <c r="A820" s="9">
        <v>819</v>
      </c>
      <c r="B820" s="10" t="s">
        <v>9</v>
      </c>
      <c r="C820" s="10" t="s">
        <v>299</v>
      </c>
      <c r="D820" s="10" t="s">
        <v>300</v>
      </c>
      <c r="E820" s="11" t="str">
        <f>+HYPERLINK("http://trademark.i-assist.jp/data/china/image_1898th/78406055.pdf", "78406055")</f>
        <v>78406055</v>
      </c>
      <c r="F820" s="10" t="s">
        <v>2654</v>
      </c>
      <c r="G820" s="10" t="s">
        <v>2600</v>
      </c>
      <c r="H820" s="10" t="s">
        <v>2655</v>
      </c>
      <c r="I820" s="10" t="s">
        <v>156</v>
      </c>
    </row>
    <row r="821" spans="1:9" x14ac:dyDescent="0.15">
      <c r="A821" s="9">
        <v>820</v>
      </c>
      <c r="B821" s="10" t="s">
        <v>9</v>
      </c>
      <c r="C821" s="10" t="s">
        <v>299</v>
      </c>
      <c r="D821" s="10" t="s">
        <v>300</v>
      </c>
      <c r="E821" s="11" t="str">
        <f>+HYPERLINK("http://trademark.i-assist.jp/data/china/image_1898th/78406726.pdf", "78406726")</f>
        <v>78406726</v>
      </c>
      <c r="F821" s="10" t="s">
        <v>2656</v>
      </c>
      <c r="G821" s="10" t="s">
        <v>178</v>
      </c>
      <c r="H821" s="10" t="s">
        <v>2657</v>
      </c>
      <c r="I821" s="10" t="s">
        <v>156</v>
      </c>
    </row>
    <row r="822" spans="1:9" x14ac:dyDescent="0.15">
      <c r="A822" s="9">
        <v>821</v>
      </c>
      <c r="B822" s="10" t="s">
        <v>9</v>
      </c>
      <c r="C822" s="10" t="s">
        <v>299</v>
      </c>
      <c r="D822" s="10" t="s">
        <v>300</v>
      </c>
      <c r="E822" s="11" t="str">
        <f>+HYPERLINK("http://trademark.i-assist.jp/data/china/image_1898th/78406869.pdf", "78406869")</f>
        <v>78406869</v>
      </c>
      <c r="F822" s="10" t="s">
        <v>2658</v>
      </c>
      <c r="G822" s="10" t="s">
        <v>2563</v>
      </c>
      <c r="H822" s="10" t="s">
        <v>2659</v>
      </c>
      <c r="I822" s="10" t="s">
        <v>156</v>
      </c>
    </row>
    <row r="823" spans="1:9" x14ac:dyDescent="0.15">
      <c r="A823" s="9">
        <v>822</v>
      </c>
      <c r="B823" s="10" t="s">
        <v>9</v>
      </c>
      <c r="C823" s="10" t="s">
        <v>299</v>
      </c>
      <c r="D823" s="10" t="s">
        <v>300</v>
      </c>
      <c r="E823" s="11" t="str">
        <f>+HYPERLINK("http://trademark.i-assist.jp/data/china/image_1898th/78407004.pdf", "78407004")</f>
        <v>78407004</v>
      </c>
      <c r="F823" s="10" t="s">
        <v>2660</v>
      </c>
      <c r="G823" s="10" t="s">
        <v>103</v>
      </c>
      <c r="H823" s="10" t="s">
        <v>2661</v>
      </c>
      <c r="I823" s="10" t="s">
        <v>156</v>
      </c>
    </row>
    <row r="824" spans="1:9" x14ac:dyDescent="0.15">
      <c r="A824" s="9">
        <v>823</v>
      </c>
      <c r="B824" s="10" t="s">
        <v>9</v>
      </c>
      <c r="C824" s="10" t="s">
        <v>299</v>
      </c>
      <c r="D824" s="10" t="s">
        <v>300</v>
      </c>
      <c r="E824" s="11" t="str">
        <f>+HYPERLINK("http://trademark.i-assist.jp/data/china/image_1898th/78407279.pdf", "78407279")</f>
        <v>78407279</v>
      </c>
      <c r="F824" s="10" t="s">
        <v>2662</v>
      </c>
      <c r="G824" s="10" t="s">
        <v>2663</v>
      </c>
      <c r="H824" s="10" t="s">
        <v>2664</v>
      </c>
      <c r="I824" s="10" t="s">
        <v>156</v>
      </c>
    </row>
    <row r="825" spans="1:9" x14ac:dyDescent="0.15">
      <c r="A825" s="9">
        <v>824</v>
      </c>
      <c r="B825" s="10" t="s">
        <v>9</v>
      </c>
      <c r="C825" s="10" t="s">
        <v>299</v>
      </c>
      <c r="D825" s="10" t="s">
        <v>300</v>
      </c>
      <c r="E825" s="11" t="str">
        <f>+HYPERLINK("http://trademark.i-assist.jp/data/china/image_1898th/78407330.pdf", "78407330")</f>
        <v>78407330</v>
      </c>
      <c r="F825" s="10" t="s">
        <v>2665</v>
      </c>
      <c r="G825" s="10" t="s">
        <v>2666</v>
      </c>
      <c r="H825" s="10" t="s">
        <v>2667</v>
      </c>
      <c r="I825" s="10" t="s">
        <v>156</v>
      </c>
    </row>
    <row r="826" spans="1:9" x14ac:dyDescent="0.15">
      <c r="A826" s="9">
        <v>825</v>
      </c>
      <c r="B826" s="10" t="s">
        <v>9</v>
      </c>
      <c r="C826" s="10" t="s">
        <v>299</v>
      </c>
      <c r="D826" s="10" t="s">
        <v>300</v>
      </c>
      <c r="E826" s="11" t="str">
        <f>+HYPERLINK("http://trademark.i-assist.jp/data/china/image_1898th/78407338.pdf", "78407338")</f>
        <v>78407338</v>
      </c>
      <c r="F826" s="10" t="s">
        <v>2668</v>
      </c>
      <c r="G826" s="10" t="s">
        <v>2669</v>
      </c>
      <c r="H826" s="10" t="s">
        <v>2670</v>
      </c>
      <c r="I826" s="10" t="s">
        <v>156</v>
      </c>
    </row>
    <row r="827" spans="1:9" x14ac:dyDescent="0.15">
      <c r="A827" s="9">
        <v>826</v>
      </c>
      <c r="B827" s="10" t="s">
        <v>9</v>
      </c>
      <c r="C827" s="10" t="s">
        <v>299</v>
      </c>
      <c r="D827" s="10" t="s">
        <v>300</v>
      </c>
      <c r="E827" s="11" t="str">
        <f>+HYPERLINK("http://trademark.i-assist.jp/data/china/image_1898th/78407418.pdf", "78407418")</f>
        <v>78407418</v>
      </c>
      <c r="F827" s="10" t="s">
        <v>2671</v>
      </c>
      <c r="G827" s="10" t="s">
        <v>1946</v>
      </c>
      <c r="H827" s="10" t="s">
        <v>2672</v>
      </c>
      <c r="I827" s="10" t="s">
        <v>156</v>
      </c>
    </row>
    <row r="828" spans="1:9" x14ac:dyDescent="0.15">
      <c r="A828" s="9">
        <v>827</v>
      </c>
      <c r="B828" s="10" t="s">
        <v>9</v>
      </c>
      <c r="C828" s="10" t="s">
        <v>299</v>
      </c>
      <c r="D828" s="10" t="s">
        <v>300</v>
      </c>
      <c r="E828" s="11" t="str">
        <f>+HYPERLINK("http://trademark.i-assist.jp/data/china/image_1898th/78407781.pdf", "78407781")</f>
        <v>78407781</v>
      </c>
      <c r="F828" s="10" t="s">
        <v>2673</v>
      </c>
      <c r="G828" s="10" t="s">
        <v>2674</v>
      </c>
      <c r="H828" s="10" t="s">
        <v>2675</v>
      </c>
      <c r="I828" s="10" t="s">
        <v>156</v>
      </c>
    </row>
    <row r="829" spans="1:9" x14ac:dyDescent="0.15">
      <c r="A829" s="9">
        <v>828</v>
      </c>
      <c r="B829" s="10" t="s">
        <v>9</v>
      </c>
      <c r="C829" s="10" t="s">
        <v>299</v>
      </c>
      <c r="D829" s="10" t="s">
        <v>300</v>
      </c>
      <c r="E829" s="11" t="str">
        <f>+HYPERLINK("http://trademark.i-assist.jp/data/china/image_1898th/78408046.pdf", "78408046")</f>
        <v>78408046</v>
      </c>
      <c r="F829" s="10" t="s">
        <v>2676</v>
      </c>
      <c r="G829" s="10" t="s">
        <v>2639</v>
      </c>
      <c r="H829" s="10" t="s">
        <v>2677</v>
      </c>
      <c r="I829" s="10" t="s">
        <v>156</v>
      </c>
    </row>
    <row r="830" spans="1:9" x14ac:dyDescent="0.15">
      <c r="A830" s="9">
        <v>829</v>
      </c>
      <c r="B830" s="10" t="s">
        <v>9</v>
      </c>
      <c r="C830" s="10" t="s">
        <v>299</v>
      </c>
      <c r="D830" s="10" t="s">
        <v>300</v>
      </c>
      <c r="E830" s="11" t="str">
        <f>+HYPERLINK("http://trademark.i-assist.jp/data/china/image_1898th/78408126.pdf", "78408126")</f>
        <v>78408126</v>
      </c>
      <c r="F830" s="10" t="s">
        <v>2678</v>
      </c>
      <c r="G830" s="10" t="s">
        <v>2679</v>
      </c>
      <c r="H830" s="10" t="s">
        <v>2680</v>
      </c>
      <c r="I830" s="10" t="s">
        <v>156</v>
      </c>
    </row>
    <row r="831" spans="1:9" x14ac:dyDescent="0.15">
      <c r="A831" s="9">
        <v>830</v>
      </c>
      <c r="B831" s="10" t="s">
        <v>9</v>
      </c>
      <c r="C831" s="10" t="s">
        <v>299</v>
      </c>
      <c r="D831" s="10" t="s">
        <v>300</v>
      </c>
      <c r="E831" s="11" t="str">
        <f>+HYPERLINK("http://trademark.i-assist.jp/data/china/image_1898th/78408245.pdf", "78408245")</f>
        <v>78408245</v>
      </c>
      <c r="F831" s="10" t="s">
        <v>2681</v>
      </c>
      <c r="G831" s="10" t="s">
        <v>2682</v>
      </c>
      <c r="H831" s="10" t="s">
        <v>2683</v>
      </c>
      <c r="I831" s="10" t="s">
        <v>156</v>
      </c>
    </row>
    <row r="832" spans="1:9" x14ac:dyDescent="0.15">
      <c r="A832" s="9">
        <v>831</v>
      </c>
      <c r="B832" s="10" t="s">
        <v>9</v>
      </c>
      <c r="C832" s="10" t="s">
        <v>299</v>
      </c>
      <c r="D832" s="10" t="s">
        <v>300</v>
      </c>
      <c r="E832" s="11" t="str">
        <f>+HYPERLINK("http://trademark.i-assist.jp/data/china/image_1898th/78408302.pdf", "78408302")</f>
        <v>78408302</v>
      </c>
      <c r="F832" s="10" t="s">
        <v>2684</v>
      </c>
      <c r="G832" s="10" t="s">
        <v>2685</v>
      </c>
      <c r="H832" s="10" t="s">
        <v>2686</v>
      </c>
      <c r="I832" s="10" t="s">
        <v>156</v>
      </c>
    </row>
    <row r="833" spans="1:9" x14ac:dyDescent="0.15">
      <c r="A833" s="9">
        <v>832</v>
      </c>
      <c r="B833" s="10" t="s">
        <v>9</v>
      </c>
      <c r="C833" s="10" t="s">
        <v>299</v>
      </c>
      <c r="D833" s="10" t="s">
        <v>300</v>
      </c>
      <c r="E833" s="11" t="str">
        <f>+HYPERLINK("http://trademark.i-assist.jp/data/china/image_1898th/78408309.pdf", "78408309")</f>
        <v>78408309</v>
      </c>
      <c r="F833" s="10" t="s">
        <v>2687</v>
      </c>
      <c r="G833" s="10" t="s">
        <v>2688</v>
      </c>
      <c r="H833" s="10" t="s">
        <v>2689</v>
      </c>
      <c r="I833" s="10" t="s">
        <v>156</v>
      </c>
    </row>
    <row r="834" spans="1:9" x14ac:dyDescent="0.15">
      <c r="A834" s="9">
        <v>833</v>
      </c>
      <c r="B834" s="10" t="s">
        <v>9</v>
      </c>
      <c r="C834" s="10" t="s">
        <v>299</v>
      </c>
      <c r="D834" s="10" t="s">
        <v>300</v>
      </c>
      <c r="E834" s="11" t="str">
        <f>+HYPERLINK("http://trademark.i-assist.jp/data/china/image_1898th/78408417.pdf", "78408417")</f>
        <v>78408417</v>
      </c>
      <c r="F834" s="10" t="s">
        <v>2690</v>
      </c>
      <c r="G834" s="10" t="s">
        <v>2691</v>
      </c>
      <c r="H834" s="10" t="s">
        <v>2692</v>
      </c>
      <c r="I834" s="10" t="s">
        <v>156</v>
      </c>
    </row>
    <row r="835" spans="1:9" x14ac:dyDescent="0.15">
      <c r="A835" s="9">
        <v>834</v>
      </c>
      <c r="B835" s="10" t="s">
        <v>9</v>
      </c>
      <c r="C835" s="10" t="s">
        <v>299</v>
      </c>
      <c r="D835" s="10" t="s">
        <v>300</v>
      </c>
      <c r="E835" s="11" t="str">
        <f>+HYPERLINK("http://trademark.i-assist.jp/data/china/image_1898th/78408788.pdf", "78408788")</f>
        <v>78408788</v>
      </c>
      <c r="F835" s="10" t="s">
        <v>2693</v>
      </c>
      <c r="G835" s="10" t="s">
        <v>2694</v>
      </c>
      <c r="H835" s="10" t="s">
        <v>2695</v>
      </c>
      <c r="I835" s="10" t="s">
        <v>156</v>
      </c>
    </row>
    <row r="836" spans="1:9" x14ac:dyDescent="0.15">
      <c r="A836" s="9">
        <v>835</v>
      </c>
      <c r="B836" s="10" t="s">
        <v>9</v>
      </c>
      <c r="C836" s="10" t="s">
        <v>299</v>
      </c>
      <c r="D836" s="10" t="s">
        <v>300</v>
      </c>
      <c r="E836" s="11" t="str">
        <f>+HYPERLINK("http://trademark.i-assist.jp/data/china/image_1898th/78408947.pdf", "78408947")</f>
        <v>78408947</v>
      </c>
      <c r="F836" s="10" t="s">
        <v>2696</v>
      </c>
      <c r="G836" s="10" t="s">
        <v>2603</v>
      </c>
      <c r="H836" s="10" t="s">
        <v>2697</v>
      </c>
      <c r="I836" s="10" t="s">
        <v>156</v>
      </c>
    </row>
    <row r="837" spans="1:9" x14ac:dyDescent="0.15">
      <c r="A837" s="9">
        <v>836</v>
      </c>
      <c r="B837" s="10" t="s">
        <v>9</v>
      </c>
      <c r="C837" s="10" t="s">
        <v>299</v>
      </c>
      <c r="D837" s="10" t="s">
        <v>300</v>
      </c>
      <c r="E837" s="11" t="str">
        <f>+HYPERLINK("http://trademark.i-assist.jp/data/china/image_1898th/78409429.pdf", "78409429")</f>
        <v>78409429</v>
      </c>
      <c r="F837" s="10" t="s">
        <v>2698</v>
      </c>
      <c r="G837" s="10" t="s">
        <v>2688</v>
      </c>
      <c r="H837" s="10" t="s">
        <v>2699</v>
      </c>
      <c r="I837" s="10" t="s">
        <v>156</v>
      </c>
    </row>
    <row r="838" spans="1:9" x14ac:dyDescent="0.15">
      <c r="A838" s="9">
        <v>837</v>
      </c>
      <c r="B838" s="10" t="s">
        <v>9</v>
      </c>
      <c r="C838" s="10" t="s">
        <v>299</v>
      </c>
      <c r="D838" s="10" t="s">
        <v>300</v>
      </c>
      <c r="E838" s="11" t="str">
        <f>+HYPERLINK("http://trademark.i-assist.jp/data/china/image_1898th/78409871.pdf", "78409871")</f>
        <v>78409871</v>
      </c>
      <c r="F838" s="10" t="s">
        <v>2700</v>
      </c>
      <c r="G838" s="10" t="s">
        <v>2701</v>
      </c>
      <c r="H838" s="10" t="s">
        <v>2702</v>
      </c>
      <c r="I838" s="10" t="s">
        <v>156</v>
      </c>
    </row>
    <row r="839" spans="1:9" x14ac:dyDescent="0.15">
      <c r="A839" s="9">
        <v>838</v>
      </c>
      <c r="B839" s="10" t="s">
        <v>9</v>
      </c>
      <c r="C839" s="10" t="s">
        <v>299</v>
      </c>
      <c r="D839" s="10" t="s">
        <v>300</v>
      </c>
      <c r="E839" s="11" t="str">
        <f>+HYPERLINK("http://trademark.i-assist.jp/data/china/image_1898th/78409957.pdf", "78409957")</f>
        <v>78409957</v>
      </c>
      <c r="F839" s="10" t="s">
        <v>2703</v>
      </c>
      <c r="G839" s="10" t="s">
        <v>2704</v>
      </c>
      <c r="H839" s="10" t="s">
        <v>2705</v>
      </c>
      <c r="I839" s="10" t="s">
        <v>156</v>
      </c>
    </row>
    <row r="840" spans="1:9" x14ac:dyDescent="0.15">
      <c r="A840" s="9">
        <v>839</v>
      </c>
      <c r="B840" s="10" t="s">
        <v>9</v>
      </c>
      <c r="C840" s="10" t="s">
        <v>299</v>
      </c>
      <c r="D840" s="10" t="s">
        <v>300</v>
      </c>
      <c r="E840" s="11" t="str">
        <f>+HYPERLINK("http://trademark.i-assist.jp/data/china/image_1898th/78410055.pdf", "78410055")</f>
        <v>78410055</v>
      </c>
      <c r="F840" s="10" t="s">
        <v>2706</v>
      </c>
      <c r="G840" s="10" t="s">
        <v>2707</v>
      </c>
      <c r="H840" s="10" t="s">
        <v>2708</v>
      </c>
      <c r="I840" s="10" t="s">
        <v>156</v>
      </c>
    </row>
    <row r="841" spans="1:9" x14ac:dyDescent="0.15">
      <c r="A841" s="9">
        <v>840</v>
      </c>
      <c r="B841" s="10" t="s">
        <v>9</v>
      </c>
      <c r="C841" s="10" t="s">
        <v>299</v>
      </c>
      <c r="D841" s="10" t="s">
        <v>300</v>
      </c>
      <c r="E841" s="11" t="str">
        <f>+HYPERLINK("http://trademark.i-assist.jp/data/china/image_1898th/78410118.pdf", "78410118")</f>
        <v>78410118</v>
      </c>
      <c r="F841" s="10" t="s">
        <v>2709</v>
      </c>
      <c r="G841" s="10" t="s">
        <v>103</v>
      </c>
      <c r="H841" s="10" t="s">
        <v>2710</v>
      </c>
      <c r="I841" s="10" t="s">
        <v>156</v>
      </c>
    </row>
    <row r="842" spans="1:9" x14ac:dyDescent="0.15">
      <c r="A842" s="9">
        <v>841</v>
      </c>
      <c r="B842" s="10" t="s">
        <v>9</v>
      </c>
      <c r="C842" s="10" t="s">
        <v>299</v>
      </c>
      <c r="D842" s="10" t="s">
        <v>300</v>
      </c>
      <c r="E842" s="11" t="str">
        <f>+HYPERLINK("http://trademark.i-assist.jp/data/china/image_1898th/78410262.pdf", "78410262")</f>
        <v>78410262</v>
      </c>
      <c r="F842" s="10" t="s">
        <v>2711</v>
      </c>
      <c r="G842" s="10" t="s">
        <v>2663</v>
      </c>
      <c r="H842" s="10" t="s">
        <v>2712</v>
      </c>
      <c r="I842" s="10" t="s">
        <v>156</v>
      </c>
    </row>
    <row r="843" spans="1:9" x14ac:dyDescent="0.15">
      <c r="A843" s="9">
        <v>842</v>
      </c>
      <c r="B843" s="10" t="s">
        <v>9</v>
      </c>
      <c r="C843" s="10" t="s">
        <v>299</v>
      </c>
      <c r="D843" s="10" t="s">
        <v>300</v>
      </c>
      <c r="E843" s="11" t="str">
        <f>+HYPERLINK("http://trademark.i-assist.jp/data/china/image_1898th/78410530.pdf", "78410530")</f>
        <v>78410530</v>
      </c>
      <c r="F843" s="10" t="s">
        <v>2713</v>
      </c>
      <c r="G843" s="10" t="s">
        <v>2584</v>
      </c>
      <c r="H843" s="10" t="s">
        <v>2714</v>
      </c>
      <c r="I843" s="10" t="s">
        <v>156</v>
      </c>
    </row>
    <row r="844" spans="1:9" x14ac:dyDescent="0.15">
      <c r="A844" s="9">
        <v>843</v>
      </c>
      <c r="B844" s="10" t="s">
        <v>9</v>
      </c>
      <c r="C844" s="10" t="s">
        <v>299</v>
      </c>
      <c r="D844" s="10" t="s">
        <v>300</v>
      </c>
      <c r="E844" s="11" t="str">
        <f>+HYPERLINK("http://trademark.i-assist.jp/data/china/image_1898th/78410880.pdf", "78410880")</f>
        <v>78410880</v>
      </c>
      <c r="F844" s="10" t="s">
        <v>2715</v>
      </c>
      <c r="G844" s="10" t="s">
        <v>2716</v>
      </c>
      <c r="H844" s="10" t="s">
        <v>2717</v>
      </c>
      <c r="I844" s="10" t="s">
        <v>156</v>
      </c>
    </row>
    <row r="845" spans="1:9" x14ac:dyDescent="0.15">
      <c r="A845" s="9">
        <v>844</v>
      </c>
      <c r="B845" s="10" t="s">
        <v>9</v>
      </c>
      <c r="C845" s="10" t="s">
        <v>299</v>
      </c>
      <c r="D845" s="10" t="s">
        <v>300</v>
      </c>
      <c r="E845" s="11" t="str">
        <f>+HYPERLINK("http://trademark.i-assist.jp/data/china/image_1898th/78411113.pdf", "78411113")</f>
        <v>78411113</v>
      </c>
      <c r="F845" s="10" t="s">
        <v>2718</v>
      </c>
      <c r="G845" s="10" t="s">
        <v>2719</v>
      </c>
      <c r="H845" s="10" t="s">
        <v>2720</v>
      </c>
      <c r="I845" s="10" t="s">
        <v>156</v>
      </c>
    </row>
    <row r="846" spans="1:9" x14ac:dyDescent="0.15">
      <c r="A846" s="9">
        <v>845</v>
      </c>
      <c r="B846" s="10" t="s">
        <v>9</v>
      </c>
      <c r="C846" s="10" t="s">
        <v>299</v>
      </c>
      <c r="D846" s="10" t="s">
        <v>300</v>
      </c>
      <c r="E846" s="11" t="str">
        <f>+HYPERLINK("http://trademark.i-assist.jp/data/china/image_1898th/78411373.pdf", "78411373")</f>
        <v>78411373</v>
      </c>
      <c r="F846" s="10" t="s">
        <v>2721</v>
      </c>
      <c r="G846" s="10" t="s">
        <v>2722</v>
      </c>
      <c r="H846" s="10" t="s">
        <v>2723</v>
      </c>
      <c r="I846" s="10" t="s">
        <v>156</v>
      </c>
    </row>
    <row r="847" spans="1:9" x14ac:dyDescent="0.15">
      <c r="A847" s="9">
        <v>846</v>
      </c>
      <c r="B847" s="10" t="s">
        <v>9</v>
      </c>
      <c r="C847" s="10" t="s">
        <v>299</v>
      </c>
      <c r="D847" s="10" t="s">
        <v>300</v>
      </c>
      <c r="E847" s="11" t="str">
        <f>+HYPERLINK("http://trademark.i-assist.jp/data/china/image_1898th/78411583.pdf", "78411583")</f>
        <v>78411583</v>
      </c>
      <c r="F847" s="10" t="s">
        <v>2724</v>
      </c>
      <c r="G847" s="10" t="s">
        <v>2688</v>
      </c>
      <c r="H847" s="10" t="s">
        <v>2725</v>
      </c>
      <c r="I847" s="10" t="s">
        <v>156</v>
      </c>
    </row>
    <row r="848" spans="1:9" x14ac:dyDescent="0.15">
      <c r="A848" s="9">
        <v>847</v>
      </c>
      <c r="B848" s="10" t="s">
        <v>9</v>
      </c>
      <c r="C848" s="10" t="s">
        <v>299</v>
      </c>
      <c r="D848" s="10" t="s">
        <v>300</v>
      </c>
      <c r="E848" s="11" t="str">
        <f>+HYPERLINK("http://trademark.i-assist.jp/data/china/image_1898th/78411700.pdf", "78411700")</f>
        <v>78411700</v>
      </c>
      <c r="F848" s="10" t="s">
        <v>2726</v>
      </c>
      <c r="G848" s="10" t="s">
        <v>2727</v>
      </c>
      <c r="H848" s="10" t="s">
        <v>2728</v>
      </c>
      <c r="I848" s="10" t="s">
        <v>156</v>
      </c>
    </row>
    <row r="849" spans="1:9" x14ac:dyDescent="0.15">
      <c r="A849" s="9">
        <v>848</v>
      </c>
      <c r="B849" s="10" t="s">
        <v>9</v>
      </c>
      <c r="C849" s="10" t="s">
        <v>299</v>
      </c>
      <c r="D849" s="10" t="s">
        <v>300</v>
      </c>
      <c r="E849" s="11" t="str">
        <f>+HYPERLINK("http://trademark.i-assist.jp/data/china/image_1898th/78411825.pdf", "78411825")</f>
        <v>78411825</v>
      </c>
      <c r="F849" s="10" t="s">
        <v>2729</v>
      </c>
      <c r="G849" s="10" t="s">
        <v>2461</v>
      </c>
      <c r="H849" s="10" t="s">
        <v>2730</v>
      </c>
      <c r="I849" s="10" t="s">
        <v>156</v>
      </c>
    </row>
    <row r="850" spans="1:9" x14ac:dyDescent="0.15">
      <c r="A850" s="9">
        <v>849</v>
      </c>
      <c r="B850" s="10" t="s">
        <v>9</v>
      </c>
      <c r="C850" s="10" t="s">
        <v>299</v>
      </c>
      <c r="D850" s="10" t="s">
        <v>300</v>
      </c>
      <c r="E850" s="11" t="str">
        <f>+HYPERLINK("http://trademark.i-assist.jp/data/china/image_1898th/78411843.pdf", "78411843")</f>
        <v>78411843</v>
      </c>
      <c r="F850" s="10" t="s">
        <v>2731</v>
      </c>
      <c r="G850" s="10" t="s">
        <v>2732</v>
      </c>
      <c r="H850" s="10" t="s">
        <v>2733</v>
      </c>
      <c r="I850" s="10" t="s">
        <v>156</v>
      </c>
    </row>
    <row r="851" spans="1:9" x14ac:dyDescent="0.15">
      <c r="A851" s="9">
        <v>850</v>
      </c>
      <c r="B851" s="10" t="s">
        <v>9</v>
      </c>
      <c r="C851" s="10" t="s">
        <v>299</v>
      </c>
      <c r="D851" s="10" t="s">
        <v>300</v>
      </c>
      <c r="E851" s="11" t="str">
        <f>+HYPERLINK("http://trademark.i-assist.jp/data/china/image_1898th/78411876.pdf", "78411876")</f>
        <v>78411876</v>
      </c>
      <c r="F851" s="10" t="s">
        <v>2734</v>
      </c>
      <c r="G851" s="10" t="s">
        <v>2534</v>
      </c>
      <c r="H851" s="10" t="s">
        <v>34</v>
      </c>
      <c r="I851" s="10" t="s">
        <v>34</v>
      </c>
    </row>
    <row r="852" spans="1:9" x14ac:dyDescent="0.15">
      <c r="A852" s="9">
        <v>851</v>
      </c>
      <c r="B852" s="10" t="s">
        <v>9</v>
      </c>
      <c r="C852" s="10" t="s">
        <v>299</v>
      </c>
      <c r="D852" s="10" t="s">
        <v>300</v>
      </c>
      <c r="E852" s="11" t="str">
        <f>+HYPERLINK("http://trademark.i-assist.jp/data/china/image_1898th/78411960.pdf", "78411960")</f>
        <v>78411960</v>
      </c>
      <c r="F852" s="10" t="s">
        <v>2735</v>
      </c>
      <c r="G852" s="10" t="s">
        <v>2736</v>
      </c>
      <c r="H852" s="10" t="s">
        <v>2737</v>
      </c>
      <c r="I852" s="10" t="s">
        <v>156</v>
      </c>
    </row>
    <row r="853" spans="1:9" x14ac:dyDescent="0.15">
      <c r="A853" s="9">
        <v>852</v>
      </c>
      <c r="B853" s="10" t="s">
        <v>9</v>
      </c>
      <c r="C853" s="10" t="s">
        <v>299</v>
      </c>
      <c r="D853" s="10" t="s">
        <v>300</v>
      </c>
      <c r="E853" s="11" t="str">
        <f>+HYPERLINK("http://trademark.i-assist.jp/data/china/image_1898th/78412027.pdf", "78412027")</f>
        <v>78412027</v>
      </c>
      <c r="F853" s="10" t="s">
        <v>2738</v>
      </c>
      <c r="G853" s="10" t="s">
        <v>188</v>
      </c>
      <c r="H853" s="10" t="s">
        <v>2739</v>
      </c>
      <c r="I853" s="10" t="s">
        <v>156</v>
      </c>
    </row>
    <row r="854" spans="1:9" x14ac:dyDescent="0.15">
      <c r="A854" s="9">
        <v>853</v>
      </c>
      <c r="B854" s="10" t="s">
        <v>9</v>
      </c>
      <c r="C854" s="10" t="s">
        <v>299</v>
      </c>
      <c r="D854" s="10" t="s">
        <v>300</v>
      </c>
      <c r="E854" s="11" t="str">
        <f>+HYPERLINK("http://trademark.i-assist.jp/data/china/image_1898th/78412419.pdf", "78412419")</f>
        <v>78412419</v>
      </c>
      <c r="F854" s="10" t="s">
        <v>2740</v>
      </c>
      <c r="G854" s="10" t="s">
        <v>2741</v>
      </c>
      <c r="H854" s="10" t="s">
        <v>2742</v>
      </c>
      <c r="I854" s="10" t="s">
        <v>156</v>
      </c>
    </row>
    <row r="855" spans="1:9" x14ac:dyDescent="0.15">
      <c r="A855" s="9">
        <v>854</v>
      </c>
      <c r="B855" s="10" t="s">
        <v>9</v>
      </c>
      <c r="C855" s="10" t="s">
        <v>299</v>
      </c>
      <c r="D855" s="10" t="s">
        <v>300</v>
      </c>
      <c r="E855" s="11" t="str">
        <f>+HYPERLINK("http://trademark.i-assist.jp/data/china/image_1898th/78412500.pdf", "78412500")</f>
        <v>78412500</v>
      </c>
      <c r="F855" s="10" t="s">
        <v>2743</v>
      </c>
      <c r="G855" s="10" t="s">
        <v>2744</v>
      </c>
      <c r="H855" s="10" t="s">
        <v>2745</v>
      </c>
      <c r="I855" s="10" t="s">
        <v>156</v>
      </c>
    </row>
    <row r="856" spans="1:9" x14ac:dyDescent="0.15">
      <c r="A856" s="9">
        <v>855</v>
      </c>
      <c r="B856" s="10" t="s">
        <v>9</v>
      </c>
      <c r="C856" s="10" t="s">
        <v>299</v>
      </c>
      <c r="D856" s="10" t="s">
        <v>300</v>
      </c>
      <c r="E856" s="11" t="str">
        <f>+HYPERLINK("http://trademark.i-assist.jp/data/china/image_1898th/78413326.pdf", "78413326")</f>
        <v>78413326</v>
      </c>
      <c r="F856" s="10" t="s">
        <v>2746</v>
      </c>
      <c r="G856" s="10" t="s">
        <v>2747</v>
      </c>
      <c r="H856" s="10" t="s">
        <v>2748</v>
      </c>
      <c r="I856" s="10" t="s">
        <v>156</v>
      </c>
    </row>
    <row r="857" spans="1:9" x14ac:dyDescent="0.15">
      <c r="A857" s="9">
        <v>856</v>
      </c>
      <c r="B857" s="10" t="s">
        <v>9</v>
      </c>
      <c r="C857" s="10" t="s">
        <v>299</v>
      </c>
      <c r="D857" s="10" t="s">
        <v>300</v>
      </c>
      <c r="E857" s="11" t="str">
        <f>+HYPERLINK("http://trademark.i-assist.jp/data/china/image_1898th/78413362.pdf", "78413362")</f>
        <v>78413362</v>
      </c>
      <c r="F857" s="10" t="s">
        <v>2749</v>
      </c>
      <c r="G857" s="10" t="s">
        <v>255</v>
      </c>
      <c r="H857" s="10" t="s">
        <v>2750</v>
      </c>
      <c r="I857" s="10" t="s">
        <v>156</v>
      </c>
    </row>
    <row r="858" spans="1:9" x14ac:dyDescent="0.15">
      <c r="A858" s="9">
        <v>857</v>
      </c>
      <c r="B858" s="10" t="s">
        <v>9</v>
      </c>
      <c r="C858" s="10" t="s">
        <v>299</v>
      </c>
      <c r="D858" s="10" t="s">
        <v>300</v>
      </c>
      <c r="E858" s="11" t="str">
        <f>+HYPERLINK("http://trademark.i-assist.jp/data/china/image_1898th/78413796.pdf", "78413796")</f>
        <v>78413796</v>
      </c>
      <c r="F858" s="10" t="s">
        <v>2751</v>
      </c>
      <c r="G858" s="10" t="s">
        <v>2752</v>
      </c>
      <c r="H858" s="10" t="s">
        <v>2753</v>
      </c>
      <c r="I858" s="10" t="s">
        <v>156</v>
      </c>
    </row>
    <row r="859" spans="1:9" x14ac:dyDescent="0.15">
      <c r="A859" s="9">
        <v>858</v>
      </c>
      <c r="B859" s="10" t="s">
        <v>9</v>
      </c>
      <c r="C859" s="10" t="s">
        <v>299</v>
      </c>
      <c r="D859" s="10" t="s">
        <v>300</v>
      </c>
      <c r="E859" s="11" t="str">
        <f>+HYPERLINK("http://trademark.i-assist.jp/data/china/image_1898th/78413959.pdf", "78413959")</f>
        <v>78413959</v>
      </c>
      <c r="F859" s="10" t="s">
        <v>2754</v>
      </c>
      <c r="G859" s="10" t="s">
        <v>2587</v>
      </c>
      <c r="H859" s="10" t="s">
        <v>2755</v>
      </c>
      <c r="I859" s="10" t="s">
        <v>156</v>
      </c>
    </row>
    <row r="860" spans="1:9" x14ac:dyDescent="0.15">
      <c r="A860" s="9">
        <v>859</v>
      </c>
      <c r="B860" s="10" t="s">
        <v>9</v>
      </c>
      <c r="C860" s="10" t="s">
        <v>299</v>
      </c>
      <c r="D860" s="10" t="s">
        <v>300</v>
      </c>
      <c r="E860" s="11" t="str">
        <f>+HYPERLINK("http://trademark.i-assist.jp/data/china/image_1898th/78414370.pdf", "78414370")</f>
        <v>78414370</v>
      </c>
      <c r="F860" s="10" t="s">
        <v>2756</v>
      </c>
      <c r="G860" s="10" t="s">
        <v>2461</v>
      </c>
      <c r="H860" s="10" t="s">
        <v>2757</v>
      </c>
      <c r="I860" s="10" t="s">
        <v>156</v>
      </c>
    </row>
    <row r="861" spans="1:9" x14ac:dyDescent="0.15">
      <c r="A861" s="9">
        <v>860</v>
      </c>
      <c r="B861" s="10" t="s">
        <v>9</v>
      </c>
      <c r="C861" s="10" t="s">
        <v>299</v>
      </c>
      <c r="D861" s="10" t="s">
        <v>300</v>
      </c>
      <c r="E861" s="11" t="str">
        <f>+HYPERLINK("http://trademark.i-assist.jp/data/china/image_1898th/78414594.pdf", "78414594")</f>
        <v>78414594</v>
      </c>
      <c r="F861" s="10" t="s">
        <v>2758</v>
      </c>
      <c r="G861" s="10" t="s">
        <v>2759</v>
      </c>
      <c r="H861" s="10" t="s">
        <v>2760</v>
      </c>
      <c r="I861" s="10" t="s">
        <v>156</v>
      </c>
    </row>
    <row r="862" spans="1:9" x14ac:dyDescent="0.15">
      <c r="A862" s="9">
        <v>861</v>
      </c>
      <c r="B862" s="10" t="s">
        <v>9</v>
      </c>
      <c r="C862" s="10" t="s">
        <v>299</v>
      </c>
      <c r="D862" s="10" t="s">
        <v>300</v>
      </c>
      <c r="E862" s="11" t="str">
        <f>+HYPERLINK("http://trademark.i-assist.jp/data/china/image_1898th/78414662.pdf", "78414662")</f>
        <v>78414662</v>
      </c>
      <c r="F862" s="10" t="s">
        <v>2761</v>
      </c>
      <c r="G862" s="10" t="s">
        <v>2522</v>
      </c>
      <c r="H862" s="10" t="s">
        <v>2762</v>
      </c>
      <c r="I862" s="10" t="s">
        <v>156</v>
      </c>
    </row>
    <row r="863" spans="1:9" x14ac:dyDescent="0.15">
      <c r="A863" s="9">
        <v>862</v>
      </c>
      <c r="B863" s="10" t="s">
        <v>9</v>
      </c>
      <c r="C863" s="10" t="s">
        <v>299</v>
      </c>
      <c r="D863" s="10" t="s">
        <v>300</v>
      </c>
      <c r="E863" s="11" t="str">
        <f>+HYPERLINK("http://trademark.i-assist.jp/data/china/image_1898th/78414867.pdf", "78414867")</f>
        <v>78414867</v>
      </c>
      <c r="F863" s="10" t="s">
        <v>19</v>
      </c>
      <c r="G863" s="10" t="s">
        <v>2763</v>
      </c>
      <c r="H863" s="10" t="s">
        <v>2764</v>
      </c>
      <c r="I863" s="10" t="s">
        <v>156</v>
      </c>
    </row>
    <row r="864" spans="1:9" x14ac:dyDescent="0.15">
      <c r="A864" s="9">
        <v>863</v>
      </c>
      <c r="B864" s="10" t="s">
        <v>9</v>
      </c>
      <c r="C864" s="10" t="s">
        <v>299</v>
      </c>
      <c r="D864" s="10" t="s">
        <v>300</v>
      </c>
      <c r="E864" s="11" t="str">
        <f>+HYPERLINK("http://trademark.i-assist.jp/data/china/image_1898th/78415331.pdf", "78415331")</f>
        <v>78415331</v>
      </c>
      <c r="F864" s="10" t="s">
        <v>2765</v>
      </c>
      <c r="G864" s="10" t="s">
        <v>2560</v>
      </c>
      <c r="H864" s="10" t="s">
        <v>2766</v>
      </c>
      <c r="I864" s="10" t="s">
        <v>156</v>
      </c>
    </row>
    <row r="865" spans="1:9" x14ac:dyDescent="0.15">
      <c r="A865" s="9">
        <v>864</v>
      </c>
      <c r="B865" s="10" t="s">
        <v>9</v>
      </c>
      <c r="C865" s="10" t="s">
        <v>299</v>
      </c>
      <c r="D865" s="10" t="s">
        <v>300</v>
      </c>
      <c r="E865" s="11" t="str">
        <f>+HYPERLINK("http://trademark.i-assist.jp/data/china/image_1898th/78415357.pdf", "78415357")</f>
        <v>78415357</v>
      </c>
      <c r="F865" s="10" t="s">
        <v>2767</v>
      </c>
      <c r="G865" s="10" t="s">
        <v>2768</v>
      </c>
      <c r="H865" s="10" t="s">
        <v>2769</v>
      </c>
      <c r="I865" s="10" t="s">
        <v>156</v>
      </c>
    </row>
    <row r="866" spans="1:9" x14ac:dyDescent="0.15">
      <c r="A866" s="9">
        <v>865</v>
      </c>
      <c r="B866" s="10" t="s">
        <v>9</v>
      </c>
      <c r="C866" s="10" t="s">
        <v>299</v>
      </c>
      <c r="D866" s="10" t="s">
        <v>300</v>
      </c>
      <c r="E866" s="11" t="str">
        <f>+HYPERLINK("http://trademark.i-assist.jp/data/china/image_1898th/78415389.pdf", "78415389")</f>
        <v>78415389</v>
      </c>
      <c r="F866" s="10" t="s">
        <v>2770</v>
      </c>
      <c r="G866" s="10" t="s">
        <v>2771</v>
      </c>
      <c r="H866" s="10" t="s">
        <v>2772</v>
      </c>
      <c r="I866" s="10" t="s">
        <v>156</v>
      </c>
    </row>
    <row r="867" spans="1:9" x14ac:dyDescent="0.15">
      <c r="A867" s="9">
        <v>866</v>
      </c>
      <c r="B867" s="10" t="s">
        <v>9</v>
      </c>
      <c r="C867" s="10" t="s">
        <v>299</v>
      </c>
      <c r="D867" s="10" t="s">
        <v>300</v>
      </c>
      <c r="E867" s="11" t="str">
        <f>+HYPERLINK("http://trademark.i-assist.jp/data/china/image_1898th/78415419.pdf", "78415419")</f>
        <v>78415419</v>
      </c>
      <c r="F867" s="10" t="s">
        <v>2773</v>
      </c>
      <c r="G867" s="10" t="s">
        <v>2587</v>
      </c>
      <c r="H867" s="10" t="s">
        <v>2774</v>
      </c>
      <c r="I867" s="10" t="s">
        <v>156</v>
      </c>
    </row>
    <row r="868" spans="1:9" x14ac:dyDescent="0.15">
      <c r="A868" s="9">
        <v>867</v>
      </c>
      <c r="B868" s="10" t="s">
        <v>9</v>
      </c>
      <c r="C868" s="10" t="s">
        <v>299</v>
      </c>
      <c r="D868" s="10" t="s">
        <v>300</v>
      </c>
      <c r="E868" s="11" t="str">
        <f>+HYPERLINK("http://trademark.i-assist.jp/data/china/image_1898th/78415512.pdf", "78415512")</f>
        <v>78415512</v>
      </c>
      <c r="F868" s="10" t="s">
        <v>2775</v>
      </c>
      <c r="G868" s="10" t="s">
        <v>2776</v>
      </c>
      <c r="H868" s="10" t="s">
        <v>2777</v>
      </c>
      <c r="I868" s="10" t="s">
        <v>156</v>
      </c>
    </row>
    <row r="869" spans="1:9" x14ac:dyDescent="0.15">
      <c r="A869" s="9">
        <v>868</v>
      </c>
      <c r="B869" s="10" t="s">
        <v>9</v>
      </c>
      <c r="C869" s="10" t="s">
        <v>299</v>
      </c>
      <c r="D869" s="10" t="s">
        <v>300</v>
      </c>
      <c r="E869" s="11" t="str">
        <f>+HYPERLINK("http://trademark.i-assist.jp/data/china/image_1898th/78415610.pdf", "78415610")</f>
        <v>78415610</v>
      </c>
      <c r="F869" s="10" t="s">
        <v>179</v>
      </c>
      <c r="G869" s="10" t="s">
        <v>180</v>
      </c>
      <c r="H869" s="10" t="s">
        <v>2778</v>
      </c>
      <c r="I869" s="10" t="s">
        <v>156</v>
      </c>
    </row>
    <row r="870" spans="1:9" x14ac:dyDescent="0.15">
      <c r="A870" s="9">
        <v>869</v>
      </c>
      <c r="B870" s="10" t="s">
        <v>9</v>
      </c>
      <c r="C870" s="10" t="s">
        <v>299</v>
      </c>
      <c r="D870" s="10" t="s">
        <v>300</v>
      </c>
      <c r="E870" s="11" t="str">
        <f>+HYPERLINK("http://trademark.i-assist.jp/data/china/image_1898th/78415611.pdf", "78415611")</f>
        <v>78415611</v>
      </c>
      <c r="F870" s="10" t="s">
        <v>2779</v>
      </c>
      <c r="G870" s="10" t="s">
        <v>2780</v>
      </c>
      <c r="H870" s="10" t="s">
        <v>2781</v>
      </c>
      <c r="I870" s="10" t="s">
        <v>156</v>
      </c>
    </row>
    <row r="871" spans="1:9" x14ac:dyDescent="0.15">
      <c r="A871" s="9">
        <v>870</v>
      </c>
      <c r="B871" s="10" t="s">
        <v>9</v>
      </c>
      <c r="C871" s="10" t="s">
        <v>299</v>
      </c>
      <c r="D871" s="10" t="s">
        <v>300</v>
      </c>
      <c r="E871" s="11" t="str">
        <f>+HYPERLINK("http://trademark.i-assist.jp/data/china/image_1898th/78415907.pdf", "78415907")</f>
        <v>78415907</v>
      </c>
      <c r="F871" s="10" t="s">
        <v>2782</v>
      </c>
      <c r="G871" s="10" t="s">
        <v>2783</v>
      </c>
      <c r="H871" s="10" t="s">
        <v>2784</v>
      </c>
      <c r="I871" s="10" t="s">
        <v>156</v>
      </c>
    </row>
    <row r="872" spans="1:9" x14ac:dyDescent="0.15">
      <c r="A872" s="9">
        <v>871</v>
      </c>
      <c r="B872" s="10" t="s">
        <v>9</v>
      </c>
      <c r="C872" s="10" t="s">
        <v>299</v>
      </c>
      <c r="D872" s="10" t="s">
        <v>300</v>
      </c>
      <c r="E872" s="11" t="str">
        <f>+HYPERLINK("http://trademark.i-assist.jp/data/china/image_1898th/78416597.pdf", "78416597")</f>
        <v>78416597</v>
      </c>
      <c r="F872" s="10" t="s">
        <v>2785</v>
      </c>
      <c r="G872" s="10" t="s">
        <v>184</v>
      </c>
      <c r="H872" s="10" t="s">
        <v>2786</v>
      </c>
      <c r="I872" s="10" t="s">
        <v>156</v>
      </c>
    </row>
    <row r="873" spans="1:9" x14ac:dyDescent="0.15">
      <c r="A873" s="9">
        <v>872</v>
      </c>
      <c r="B873" s="10" t="s">
        <v>9</v>
      </c>
      <c r="C873" s="10" t="s">
        <v>299</v>
      </c>
      <c r="D873" s="10" t="s">
        <v>300</v>
      </c>
      <c r="E873" s="11" t="str">
        <f>+HYPERLINK("http://trademark.i-assist.jp/data/china/image_1898th/78416637.pdf", "78416637")</f>
        <v>78416637</v>
      </c>
      <c r="F873" s="10" t="s">
        <v>2787</v>
      </c>
      <c r="G873" s="10" t="s">
        <v>177</v>
      </c>
      <c r="H873" s="10" t="s">
        <v>2788</v>
      </c>
      <c r="I873" s="10" t="s">
        <v>156</v>
      </c>
    </row>
    <row r="874" spans="1:9" x14ac:dyDescent="0.15">
      <c r="A874" s="9">
        <v>873</v>
      </c>
      <c r="B874" s="10" t="s">
        <v>9</v>
      </c>
      <c r="C874" s="10" t="s">
        <v>299</v>
      </c>
      <c r="D874" s="10" t="s">
        <v>300</v>
      </c>
      <c r="E874" s="11" t="str">
        <f>+HYPERLINK("http://trademark.i-assist.jp/data/china/image_1898th/78416749.pdf", "78416749")</f>
        <v>78416749</v>
      </c>
      <c r="F874" s="10" t="s">
        <v>2789</v>
      </c>
      <c r="G874" s="10" t="s">
        <v>2790</v>
      </c>
      <c r="H874" s="10" t="s">
        <v>2791</v>
      </c>
      <c r="I874" s="10" t="s">
        <v>156</v>
      </c>
    </row>
    <row r="875" spans="1:9" x14ac:dyDescent="0.15">
      <c r="A875" s="9">
        <v>874</v>
      </c>
      <c r="B875" s="10" t="s">
        <v>9</v>
      </c>
      <c r="C875" s="10" t="s">
        <v>299</v>
      </c>
      <c r="D875" s="10" t="s">
        <v>300</v>
      </c>
      <c r="E875" s="11" t="str">
        <f>+HYPERLINK("http://trademark.i-assist.jp/data/china/image_1898th/78417993.pdf", "78417993")</f>
        <v>78417993</v>
      </c>
      <c r="F875" s="10" t="s">
        <v>2792</v>
      </c>
      <c r="G875" s="10" t="s">
        <v>2793</v>
      </c>
      <c r="H875" s="10" t="s">
        <v>2794</v>
      </c>
      <c r="I875" s="10" t="s">
        <v>193</v>
      </c>
    </row>
    <row r="876" spans="1:9" x14ac:dyDescent="0.15">
      <c r="A876" s="9">
        <v>875</v>
      </c>
      <c r="B876" s="10" t="s">
        <v>9</v>
      </c>
      <c r="C876" s="10" t="s">
        <v>299</v>
      </c>
      <c r="D876" s="10" t="s">
        <v>300</v>
      </c>
      <c r="E876" s="11" t="str">
        <f>+HYPERLINK("http://trademark.i-assist.jp/data/china/image_1898th/78418166.pdf", "78418166")</f>
        <v>78418166</v>
      </c>
      <c r="F876" s="10" t="s">
        <v>2795</v>
      </c>
      <c r="G876" s="10" t="s">
        <v>2796</v>
      </c>
      <c r="H876" s="10" t="s">
        <v>2797</v>
      </c>
      <c r="I876" s="10" t="s">
        <v>193</v>
      </c>
    </row>
    <row r="877" spans="1:9" x14ac:dyDescent="0.15">
      <c r="A877" s="9">
        <v>876</v>
      </c>
      <c r="B877" s="10" t="s">
        <v>9</v>
      </c>
      <c r="C877" s="10" t="s">
        <v>299</v>
      </c>
      <c r="D877" s="10" t="s">
        <v>300</v>
      </c>
      <c r="E877" s="11" t="str">
        <f>+HYPERLINK("http://trademark.i-assist.jp/data/china/image_1898th/78418763.pdf", "78418763")</f>
        <v>78418763</v>
      </c>
      <c r="F877" s="10" t="s">
        <v>2798</v>
      </c>
      <c r="G877" s="10" t="s">
        <v>2799</v>
      </c>
      <c r="H877" s="10" t="s">
        <v>2800</v>
      </c>
      <c r="I877" s="10" t="s">
        <v>193</v>
      </c>
    </row>
    <row r="878" spans="1:9" x14ac:dyDescent="0.15">
      <c r="A878" s="9">
        <v>877</v>
      </c>
      <c r="B878" s="10" t="s">
        <v>9</v>
      </c>
      <c r="C878" s="10" t="s">
        <v>299</v>
      </c>
      <c r="D878" s="10" t="s">
        <v>300</v>
      </c>
      <c r="E878" s="11" t="str">
        <f>+HYPERLINK("http://trademark.i-assist.jp/data/china/image_1898th/78418804.pdf", "78418804")</f>
        <v>78418804</v>
      </c>
      <c r="F878" s="10" t="s">
        <v>2801</v>
      </c>
      <c r="G878" s="10" t="s">
        <v>2802</v>
      </c>
      <c r="H878" s="10" t="s">
        <v>2803</v>
      </c>
      <c r="I878" s="10" t="s">
        <v>193</v>
      </c>
    </row>
    <row r="879" spans="1:9" x14ac:dyDescent="0.15">
      <c r="A879" s="9">
        <v>878</v>
      </c>
      <c r="B879" s="10" t="s">
        <v>9</v>
      </c>
      <c r="C879" s="10" t="s">
        <v>299</v>
      </c>
      <c r="D879" s="10" t="s">
        <v>300</v>
      </c>
      <c r="E879" s="11" t="str">
        <f>+HYPERLINK("http://trademark.i-assist.jp/data/china/image_1898th/78419791.pdf", "78419791")</f>
        <v>78419791</v>
      </c>
      <c r="F879" s="10" t="s">
        <v>2804</v>
      </c>
      <c r="G879" s="10" t="s">
        <v>2805</v>
      </c>
      <c r="H879" s="10" t="s">
        <v>2806</v>
      </c>
      <c r="I879" s="10" t="s">
        <v>193</v>
      </c>
    </row>
    <row r="880" spans="1:9" x14ac:dyDescent="0.15">
      <c r="A880" s="9">
        <v>879</v>
      </c>
      <c r="B880" s="10" t="s">
        <v>9</v>
      </c>
      <c r="C880" s="10" t="s">
        <v>299</v>
      </c>
      <c r="D880" s="10" t="s">
        <v>300</v>
      </c>
      <c r="E880" s="11" t="str">
        <f>+HYPERLINK("http://trademark.i-assist.jp/data/china/image_1898th/78420364.pdf", "78420364")</f>
        <v>78420364</v>
      </c>
      <c r="F880" s="10" t="s">
        <v>2807</v>
      </c>
      <c r="G880" s="10" t="s">
        <v>152</v>
      </c>
      <c r="H880" s="10" t="s">
        <v>2808</v>
      </c>
      <c r="I880" s="10" t="s">
        <v>193</v>
      </c>
    </row>
    <row r="881" spans="1:9" x14ac:dyDescent="0.15">
      <c r="A881" s="9">
        <v>880</v>
      </c>
      <c r="B881" s="10" t="s">
        <v>9</v>
      </c>
      <c r="C881" s="10" t="s">
        <v>299</v>
      </c>
      <c r="D881" s="10" t="s">
        <v>300</v>
      </c>
      <c r="E881" s="11" t="str">
        <f>+HYPERLINK("http://trademark.i-assist.jp/data/china/image_1898th/78420374.pdf", "78420374")</f>
        <v>78420374</v>
      </c>
      <c r="F881" s="10" t="s">
        <v>2809</v>
      </c>
      <c r="G881" s="10" t="s">
        <v>152</v>
      </c>
      <c r="H881" s="10" t="s">
        <v>2810</v>
      </c>
      <c r="I881" s="10" t="s">
        <v>193</v>
      </c>
    </row>
    <row r="882" spans="1:9" x14ac:dyDescent="0.15">
      <c r="A882" s="9">
        <v>881</v>
      </c>
      <c r="B882" s="10" t="s">
        <v>9</v>
      </c>
      <c r="C882" s="10" t="s">
        <v>299</v>
      </c>
      <c r="D882" s="10" t="s">
        <v>300</v>
      </c>
      <c r="E882" s="11" t="str">
        <f>+HYPERLINK("http://trademark.i-assist.jp/data/china/image_1898th/78420902.pdf", "78420902")</f>
        <v>78420902</v>
      </c>
      <c r="F882" s="10" t="s">
        <v>2811</v>
      </c>
      <c r="G882" s="10" t="s">
        <v>2812</v>
      </c>
      <c r="H882" s="10" t="s">
        <v>2813</v>
      </c>
      <c r="I882" s="10" t="s">
        <v>193</v>
      </c>
    </row>
    <row r="883" spans="1:9" x14ac:dyDescent="0.15">
      <c r="A883" s="9">
        <v>882</v>
      </c>
      <c r="B883" s="10" t="s">
        <v>9</v>
      </c>
      <c r="C883" s="10" t="s">
        <v>299</v>
      </c>
      <c r="D883" s="10" t="s">
        <v>300</v>
      </c>
      <c r="E883" s="11" t="str">
        <f>+HYPERLINK("http://trademark.i-assist.jp/data/china/image_1898th/78421871.pdf", "78421871")</f>
        <v>78421871</v>
      </c>
      <c r="F883" s="10" t="s">
        <v>2814</v>
      </c>
      <c r="G883" s="10" t="s">
        <v>195</v>
      </c>
      <c r="H883" s="10" t="s">
        <v>2815</v>
      </c>
      <c r="I883" s="10" t="s">
        <v>193</v>
      </c>
    </row>
    <row r="884" spans="1:9" x14ac:dyDescent="0.15">
      <c r="A884" s="9">
        <v>883</v>
      </c>
      <c r="B884" s="10" t="s">
        <v>9</v>
      </c>
      <c r="C884" s="10" t="s">
        <v>299</v>
      </c>
      <c r="D884" s="10" t="s">
        <v>300</v>
      </c>
      <c r="E884" s="11" t="str">
        <f>+HYPERLINK("http://trademark.i-assist.jp/data/china/image_1898th/78423241.pdf", "78423241")</f>
        <v>78423241</v>
      </c>
      <c r="F884" s="10" t="s">
        <v>2816</v>
      </c>
      <c r="G884" s="10" t="s">
        <v>2817</v>
      </c>
      <c r="H884" s="10" t="s">
        <v>43</v>
      </c>
      <c r="I884" s="10" t="s">
        <v>193</v>
      </c>
    </row>
    <row r="885" spans="1:9" x14ac:dyDescent="0.15">
      <c r="A885" s="9">
        <v>884</v>
      </c>
      <c r="B885" s="10" t="s">
        <v>9</v>
      </c>
      <c r="C885" s="10" t="s">
        <v>299</v>
      </c>
      <c r="D885" s="10" t="s">
        <v>300</v>
      </c>
      <c r="E885" s="11" t="str">
        <f>+HYPERLINK("http://trademark.i-assist.jp/data/china/image_1898th/78424747.pdf", "78424747")</f>
        <v>78424747</v>
      </c>
      <c r="F885" s="10" t="s">
        <v>2818</v>
      </c>
      <c r="G885" s="10" t="s">
        <v>2819</v>
      </c>
      <c r="H885" s="10" t="s">
        <v>2820</v>
      </c>
      <c r="I885" s="10" t="s">
        <v>193</v>
      </c>
    </row>
    <row r="886" spans="1:9" x14ac:dyDescent="0.15">
      <c r="A886" s="9">
        <v>885</v>
      </c>
      <c r="B886" s="10" t="s">
        <v>9</v>
      </c>
      <c r="C886" s="10" t="s">
        <v>299</v>
      </c>
      <c r="D886" s="10" t="s">
        <v>300</v>
      </c>
      <c r="E886" s="11" t="str">
        <f>+HYPERLINK("http://trademark.i-assist.jp/data/china/image_1898th/78425769.pdf", "78425769")</f>
        <v>78425769</v>
      </c>
      <c r="F886" s="10" t="s">
        <v>2821</v>
      </c>
      <c r="G886" s="10" t="s">
        <v>2793</v>
      </c>
      <c r="H886" s="10" t="s">
        <v>2822</v>
      </c>
      <c r="I886" s="10" t="s">
        <v>193</v>
      </c>
    </row>
    <row r="887" spans="1:9" x14ac:dyDescent="0.15">
      <c r="A887" s="9">
        <v>886</v>
      </c>
      <c r="B887" s="10" t="s">
        <v>9</v>
      </c>
      <c r="C887" s="10" t="s">
        <v>299</v>
      </c>
      <c r="D887" s="10" t="s">
        <v>300</v>
      </c>
      <c r="E887" s="11" t="str">
        <f>+HYPERLINK("http://trademark.i-assist.jp/data/china/image_1898th/78426340.pdf", "78426340")</f>
        <v>78426340</v>
      </c>
      <c r="F887" s="10" t="s">
        <v>2823</v>
      </c>
      <c r="G887" s="10" t="s">
        <v>2824</v>
      </c>
      <c r="H887" s="10" t="s">
        <v>2825</v>
      </c>
      <c r="I887" s="10" t="s">
        <v>193</v>
      </c>
    </row>
    <row r="888" spans="1:9" x14ac:dyDescent="0.15">
      <c r="A888" s="9">
        <v>887</v>
      </c>
      <c r="B888" s="10" t="s">
        <v>9</v>
      </c>
      <c r="C888" s="10" t="s">
        <v>299</v>
      </c>
      <c r="D888" s="10" t="s">
        <v>300</v>
      </c>
      <c r="E888" s="11" t="str">
        <f>+HYPERLINK("http://trademark.i-assist.jp/data/china/image_1898th/78426565.pdf", "78426565")</f>
        <v>78426565</v>
      </c>
      <c r="F888" s="10" t="s">
        <v>2826</v>
      </c>
      <c r="G888" s="10" t="s">
        <v>2793</v>
      </c>
      <c r="H888" s="10" t="s">
        <v>2827</v>
      </c>
      <c r="I888" s="10" t="s">
        <v>193</v>
      </c>
    </row>
    <row r="889" spans="1:9" x14ac:dyDescent="0.15">
      <c r="A889" s="9">
        <v>888</v>
      </c>
      <c r="B889" s="10" t="s">
        <v>9</v>
      </c>
      <c r="C889" s="10" t="s">
        <v>299</v>
      </c>
      <c r="D889" s="10" t="s">
        <v>300</v>
      </c>
      <c r="E889" s="11" t="str">
        <f>+HYPERLINK("http://trademark.i-assist.jp/data/china/image_1898th/78426810.pdf", "78426810")</f>
        <v>78426810</v>
      </c>
      <c r="F889" s="10" t="s">
        <v>2828</v>
      </c>
      <c r="G889" s="10" t="s">
        <v>2802</v>
      </c>
      <c r="H889" s="10" t="s">
        <v>2829</v>
      </c>
      <c r="I889" s="10" t="s">
        <v>193</v>
      </c>
    </row>
    <row r="890" spans="1:9" x14ac:dyDescent="0.15">
      <c r="A890" s="9">
        <v>889</v>
      </c>
      <c r="B890" s="10" t="s">
        <v>9</v>
      </c>
      <c r="C890" s="10" t="s">
        <v>299</v>
      </c>
      <c r="D890" s="10" t="s">
        <v>300</v>
      </c>
      <c r="E890" s="11" t="str">
        <f>+HYPERLINK("http://trademark.i-assist.jp/data/china/image_1898th/78426930.pdf", "78426930")</f>
        <v>78426930</v>
      </c>
      <c r="F890" s="10" t="s">
        <v>2830</v>
      </c>
      <c r="G890" s="10" t="s">
        <v>2831</v>
      </c>
      <c r="H890" s="10" t="s">
        <v>2832</v>
      </c>
      <c r="I890" s="10" t="s">
        <v>193</v>
      </c>
    </row>
    <row r="891" spans="1:9" x14ac:dyDescent="0.15">
      <c r="A891" s="9">
        <v>890</v>
      </c>
      <c r="B891" s="10" t="s">
        <v>9</v>
      </c>
      <c r="C891" s="10" t="s">
        <v>299</v>
      </c>
      <c r="D891" s="10" t="s">
        <v>300</v>
      </c>
      <c r="E891" s="11" t="str">
        <f>+HYPERLINK("http://trademark.i-assist.jp/data/china/image_1898th/78427101.pdf", "78427101")</f>
        <v>78427101</v>
      </c>
      <c r="F891" s="10" t="s">
        <v>19</v>
      </c>
      <c r="G891" s="10" t="s">
        <v>2833</v>
      </c>
      <c r="H891" s="10" t="s">
        <v>2834</v>
      </c>
      <c r="I891" s="10" t="s">
        <v>193</v>
      </c>
    </row>
    <row r="892" spans="1:9" x14ac:dyDescent="0.15">
      <c r="A892" s="9">
        <v>891</v>
      </c>
      <c r="B892" s="10" t="s">
        <v>9</v>
      </c>
      <c r="C892" s="10" t="s">
        <v>299</v>
      </c>
      <c r="D892" s="10" t="s">
        <v>300</v>
      </c>
      <c r="E892" s="11" t="str">
        <f>+HYPERLINK("http://trademark.i-assist.jp/data/china/image_1898th/78427439.pdf", "78427439")</f>
        <v>78427439</v>
      </c>
      <c r="F892" s="10" t="s">
        <v>2835</v>
      </c>
      <c r="G892" s="10" t="s">
        <v>2836</v>
      </c>
      <c r="H892" s="10" t="s">
        <v>2837</v>
      </c>
      <c r="I892" s="10" t="s">
        <v>193</v>
      </c>
    </row>
    <row r="893" spans="1:9" x14ac:dyDescent="0.15">
      <c r="A893" s="9">
        <v>892</v>
      </c>
      <c r="B893" s="10" t="s">
        <v>9</v>
      </c>
      <c r="C893" s="10" t="s">
        <v>299</v>
      </c>
      <c r="D893" s="10" t="s">
        <v>300</v>
      </c>
      <c r="E893" s="11" t="str">
        <f>+HYPERLINK("http://trademark.i-assist.jp/data/china/image_1898th/78427771.pdf", "78427771")</f>
        <v>78427771</v>
      </c>
      <c r="F893" s="10" t="s">
        <v>2838</v>
      </c>
      <c r="G893" s="10" t="s">
        <v>2839</v>
      </c>
      <c r="H893" s="10" t="s">
        <v>2840</v>
      </c>
      <c r="I893" s="10" t="s">
        <v>193</v>
      </c>
    </row>
    <row r="894" spans="1:9" x14ac:dyDescent="0.15">
      <c r="A894" s="9">
        <v>893</v>
      </c>
      <c r="B894" s="10" t="s">
        <v>9</v>
      </c>
      <c r="C894" s="10" t="s">
        <v>299</v>
      </c>
      <c r="D894" s="10" t="s">
        <v>300</v>
      </c>
      <c r="E894" s="11" t="str">
        <f>+HYPERLINK("http://trademark.i-assist.jp/data/china/image_1898th/78427867.pdf", "78427867")</f>
        <v>78427867</v>
      </c>
      <c r="F894" s="10" t="s">
        <v>2841</v>
      </c>
      <c r="G894" s="10" t="s">
        <v>2842</v>
      </c>
      <c r="H894" s="10" t="s">
        <v>2843</v>
      </c>
      <c r="I894" s="10" t="s">
        <v>193</v>
      </c>
    </row>
    <row r="895" spans="1:9" x14ac:dyDescent="0.15">
      <c r="A895" s="9">
        <v>894</v>
      </c>
      <c r="B895" s="10" t="s">
        <v>9</v>
      </c>
      <c r="C895" s="10" t="s">
        <v>299</v>
      </c>
      <c r="D895" s="10" t="s">
        <v>300</v>
      </c>
      <c r="E895" s="11" t="str">
        <f>+HYPERLINK("http://trademark.i-assist.jp/data/china/image_1898th/78427927.pdf", "78427927")</f>
        <v>78427927</v>
      </c>
      <c r="F895" s="10" t="s">
        <v>2844</v>
      </c>
      <c r="G895" s="10" t="s">
        <v>2845</v>
      </c>
      <c r="H895" s="10" t="s">
        <v>2846</v>
      </c>
      <c r="I895" s="10" t="s">
        <v>193</v>
      </c>
    </row>
    <row r="896" spans="1:9" x14ac:dyDescent="0.15">
      <c r="A896" s="9">
        <v>895</v>
      </c>
      <c r="B896" s="10" t="s">
        <v>9</v>
      </c>
      <c r="C896" s="10" t="s">
        <v>299</v>
      </c>
      <c r="D896" s="10" t="s">
        <v>300</v>
      </c>
      <c r="E896" s="11" t="str">
        <f>+HYPERLINK("http://trademark.i-assist.jp/data/china/image_1898th/78428106.pdf", "78428106")</f>
        <v>78428106</v>
      </c>
      <c r="F896" s="10" t="s">
        <v>2847</v>
      </c>
      <c r="G896" s="10" t="s">
        <v>2848</v>
      </c>
      <c r="H896" s="10" t="s">
        <v>2849</v>
      </c>
      <c r="I896" s="10" t="s">
        <v>193</v>
      </c>
    </row>
    <row r="897" spans="1:9" x14ac:dyDescent="0.15">
      <c r="A897" s="9">
        <v>896</v>
      </c>
      <c r="B897" s="10" t="s">
        <v>9</v>
      </c>
      <c r="C897" s="10" t="s">
        <v>299</v>
      </c>
      <c r="D897" s="10" t="s">
        <v>300</v>
      </c>
      <c r="E897" s="11" t="str">
        <f>+HYPERLINK("http://trademark.i-assist.jp/data/china/image_1898th/78428181.pdf", "78428181")</f>
        <v>78428181</v>
      </c>
      <c r="F897" s="10" t="s">
        <v>2850</v>
      </c>
      <c r="G897" s="10" t="s">
        <v>2851</v>
      </c>
      <c r="H897" s="10" t="s">
        <v>2852</v>
      </c>
      <c r="I897" s="10" t="s">
        <v>193</v>
      </c>
    </row>
    <row r="898" spans="1:9" x14ac:dyDescent="0.15">
      <c r="A898" s="9">
        <v>897</v>
      </c>
      <c r="B898" s="10" t="s">
        <v>9</v>
      </c>
      <c r="C898" s="10" t="s">
        <v>299</v>
      </c>
      <c r="D898" s="10" t="s">
        <v>300</v>
      </c>
      <c r="E898" s="11" t="str">
        <f>+HYPERLINK("http://trademark.i-assist.jp/data/china/image_1898th/78428667.pdf", "78428667")</f>
        <v>78428667</v>
      </c>
      <c r="F898" s="10" t="s">
        <v>2853</v>
      </c>
      <c r="G898" s="10" t="s">
        <v>2854</v>
      </c>
      <c r="H898" s="10" t="s">
        <v>2855</v>
      </c>
      <c r="I898" s="10" t="s">
        <v>193</v>
      </c>
    </row>
    <row r="899" spans="1:9" x14ac:dyDescent="0.15">
      <c r="A899" s="9">
        <v>898</v>
      </c>
      <c r="B899" s="10" t="s">
        <v>9</v>
      </c>
      <c r="C899" s="10" t="s">
        <v>299</v>
      </c>
      <c r="D899" s="10" t="s">
        <v>300</v>
      </c>
      <c r="E899" s="11" t="str">
        <f>+HYPERLINK("http://trademark.i-assist.jp/data/china/image_1898th/78429359.pdf", "78429359")</f>
        <v>78429359</v>
      </c>
      <c r="F899" s="10" t="s">
        <v>2856</v>
      </c>
      <c r="G899" s="10" t="s">
        <v>2857</v>
      </c>
      <c r="H899" s="10" t="s">
        <v>2858</v>
      </c>
      <c r="I899" s="10" t="s">
        <v>193</v>
      </c>
    </row>
    <row r="900" spans="1:9" x14ac:dyDescent="0.15">
      <c r="A900" s="9">
        <v>899</v>
      </c>
      <c r="B900" s="10" t="s">
        <v>9</v>
      </c>
      <c r="C900" s="10" t="s">
        <v>299</v>
      </c>
      <c r="D900" s="10" t="s">
        <v>300</v>
      </c>
      <c r="E900" s="11" t="str">
        <f>+HYPERLINK("http://trademark.i-assist.jp/data/china/image_1898th/78429369.pdf", "78429369")</f>
        <v>78429369</v>
      </c>
      <c r="F900" s="10" t="s">
        <v>2859</v>
      </c>
      <c r="G900" s="10" t="s">
        <v>2860</v>
      </c>
      <c r="H900" s="10" t="s">
        <v>2861</v>
      </c>
      <c r="I900" s="10" t="s">
        <v>193</v>
      </c>
    </row>
    <row r="901" spans="1:9" x14ac:dyDescent="0.15">
      <c r="A901" s="9">
        <v>900</v>
      </c>
      <c r="B901" s="10" t="s">
        <v>9</v>
      </c>
      <c r="C901" s="10" t="s">
        <v>299</v>
      </c>
      <c r="D901" s="10" t="s">
        <v>300</v>
      </c>
      <c r="E901" s="11" t="str">
        <f>+HYPERLINK("http://trademark.i-assist.jp/data/china/image_1898th/78429458.pdf", "78429458")</f>
        <v>78429458</v>
      </c>
      <c r="F901" s="10" t="s">
        <v>2862</v>
      </c>
      <c r="G901" s="10" t="s">
        <v>2863</v>
      </c>
      <c r="H901" s="10" t="s">
        <v>2864</v>
      </c>
      <c r="I901" s="10" t="s">
        <v>193</v>
      </c>
    </row>
    <row r="902" spans="1:9" x14ac:dyDescent="0.15">
      <c r="A902" s="9">
        <v>901</v>
      </c>
      <c r="B902" s="10" t="s">
        <v>9</v>
      </c>
      <c r="C902" s="10" t="s">
        <v>299</v>
      </c>
      <c r="D902" s="10" t="s">
        <v>300</v>
      </c>
      <c r="E902" s="11" t="str">
        <f>+HYPERLINK("http://trademark.i-assist.jp/data/china/image_1898th/78429935.pdf", "78429935")</f>
        <v>78429935</v>
      </c>
      <c r="F902" s="10" t="s">
        <v>2865</v>
      </c>
      <c r="G902" s="10" t="s">
        <v>2866</v>
      </c>
      <c r="H902" s="10" t="s">
        <v>2867</v>
      </c>
      <c r="I902" s="10" t="s">
        <v>193</v>
      </c>
    </row>
    <row r="903" spans="1:9" x14ac:dyDescent="0.15">
      <c r="A903" s="9">
        <v>902</v>
      </c>
      <c r="B903" s="10" t="s">
        <v>9</v>
      </c>
      <c r="C903" s="10" t="s">
        <v>299</v>
      </c>
      <c r="D903" s="10" t="s">
        <v>300</v>
      </c>
      <c r="E903" s="11" t="str">
        <f>+HYPERLINK("http://trademark.i-assist.jp/data/china/image_1898th/78430034.pdf", "78430034")</f>
        <v>78430034</v>
      </c>
      <c r="F903" s="10" t="s">
        <v>2868</v>
      </c>
      <c r="G903" s="10" t="s">
        <v>2869</v>
      </c>
      <c r="H903" s="10" t="s">
        <v>2870</v>
      </c>
      <c r="I903" s="10" t="s">
        <v>193</v>
      </c>
    </row>
    <row r="904" spans="1:9" x14ac:dyDescent="0.15">
      <c r="A904" s="9">
        <v>903</v>
      </c>
      <c r="B904" s="10" t="s">
        <v>9</v>
      </c>
      <c r="C904" s="10" t="s">
        <v>299</v>
      </c>
      <c r="D904" s="10" t="s">
        <v>300</v>
      </c>
      <c r="E904" s="11" t="str">
        <f>+HYPERLINK("http://trademark.i-assist.jp/data/china/image_1898th/78430242.pdf", "78430242")</f>
        <v>78430242</v>
      </c>
      <c r="F904" s="10" t="s">
        <v>2871</v>
      </c>
      <c r="G904" s="10" t="s">
        <v>2872</v>
      </c>
      <c r="H904" s="10" t="s">
        <v>2873</v>
      </c>
      <c r="I904" s="10" t="s">
        <v>193</v>
      </c>
    </row>
    <row r="905" spans="1:9" x14ac:dyDescent="0.15">
      <c r="A905" s="9">
        <v>904</v>
      </c>
      <c r="B905" s="10" t="s">
        <v>9</v>
      </c>
      <c r="C905" s="10" t="s">
        <v>299</v>
      </c>
      <c r="D905" s="10" t="s">
        <v>300</v>
      </c>
      <c r="E905" s="11" t="str">
        <f>+HYPERLINK("http://trademark.i-assist.jp/data/china/image_1898th/78430244.pdf", "78430244")</f>
        <v>78430244</v>
      </c>
      <c r="F905" s="10" t="s">
        <v>19</v>
      </c>
      <c r="G905" s="10" t="s">
        <v>2874</v>
      </c>
      <c r="H905" s="10" t="s">
        <v>2875</v>
      </c>
      <c r="I905" s="10" t="s">
        <v>193</v>
      </c>
    </row>
    <row r="906" spans="1:9" x14ac:dyDescent="0.15">
      <c r="A906" s="9">
        <v>905</v>
      </c>
      <c r="B906" s="10" t="s">
        <v>9</v>
      </c>
      <c r="C906" s="10" t="s">
        <v>299</v>
      </c>
      <c r="D906" s="10" t="s">
        <v>300</v>
      </c>
      <c r="E906" s="11" t="str">
        <f>+HYPERLINK("http://trademark.i-assist.jp/data/china/image_1898th/78430287.pdf", "78430287")</f>
        <v>78430287</v>
      </c>
      <c r="F906" s="10" t="s">
        <v>2876</v>
      </c>
      <c r="G906" s="10" t="s">
        <v>158</v>
      </c>
      <c r="H906" s="10" t="s">
        <v>149</v>
      </c>
      <c r="I906" s="10" t="s">
        <v>193</v>
      </c>
    </row>
    <row r="907" spans="1:9" x14ac:dyDescent="0.15">
      <c r="A907" s="9">
        <v>906</v>
      </c>
      <c r="B907" s="10" t="s">
        <v>9</v>
      </c>
      <c r="C907" s="10" t="s">
        <v>299</v>
      </c>
      <c r="D907" s="10" t="s">
        <v>300</v>
      </c>
      <c r="E907" s="11" t="str">
        <f>+HYPERLINK("http://trademark.i-assist.jp/data/china/image_1898th/78430567.pdf", "78430567")</f>
        <v>78430567</v>
      </c>
      <c r="F907" s="10" t="s">
        <v>2877</v>
      </c>
      <c r="G907" s="10" t="s">
        <v>2878</v>
      </c>
      <c r="H907" s="10" t="s">
        <v>2879</v>
      </c>
      <c r="I907" s="10" t="s">
        <v>193</v>
      </c>
    </row>
    <row r="908" spans="1:9" x14ac:dyDescent="0.15">
      <c r="A908" s="9">
        <v>907</v>
      </c>
      <c r="B908" s="10" t="s">
        <v>9</v>
      </c>
      <c r="C908" s="10" t="s">
        <v>299</v>
      </c>
      <c r="D908" s="10" t="s">
        <v>300</v>
      </c>
      <c r="E908" s="11" t="str">
        <f>+HYPERLINK("http://trademark.i-assist.jp/data/china/image_1898th/78430602.pdf", "78430602")</f>
        <v>78430602</v>
      </c>
      <c r="F908" s="10" t="s">
        <v>2880</v>
      </c>
      <c r="G908" s="10" t="s">
        <v>155</v>
      </c>
      <c r="H908" s="10" t="s">
        <v>2881</v>
      </c>
      <c r="I908" s="10" t="s">
        <v>193</v>
      </c>
    </row>
    <row r="909" spans="1:9" x14ac:dyDescent="0.15">
      <c r="A909" s="9">
        <v>908</v>
      </c>
      <c r="B909" s="10" t="s">
        <v>9</v>
      </c>
      <c r="C909" s="10" t="s">
        <v>299</v>
      </c>
      <c r="D909" s="10" t="s">
        <v>300</v>
      </c>
      <c r="E909" s="11" t="str">
        <f>+HYPERLINK("http://trademark.i-assist.jp/data/china/image_1898th/78430868.pdf", "78430868")</f>
        <v>78430868</v>
      </c>
      <c r="F909" s="10" t="s">
        <v>2882</v>
      </c>
      <c r="G909" s="10" t="s">
        <v>2883</v>
      </c>
      <c r="H909" s="10" t="s">
        <v>2884</v>
      </c>
      <c r="I909" s="10" t="s">
        <v>193</v>
      </c>
    </row>
    <row r="910" spans="1:9" x14ac:dyDescent="0.15">
      <c r="A910" s="9">
        <v>909</v>
      </c>
      <c r="B910" s="10" t="s">
        <v>9</v>
      </c>
      <c r="C910" s="10" t="s">
        <v>299</v>
      </c>
      <c r="D910" s="10" t="s">
        <v>300</v>
      </c>
      <c r="E910" s="11" t="str">
        <f>+HYPERLINK("http://trademark.i-assist.jp/data/china/image_1898th/78430927.pdf", "78430927")</f>
        <v>78430927</v>
      </c>
      <c r="F910" s="10" t="s">
        <v>19</v>
      </c>
      <c r="G910" s="10" t="s">
        <v>1687</v>
      </c>
      <c r="H910" s="10" t="s">
        <v>2885</v>
      </c>
      <c r="I910" s="10" t="s">
        <v>193</v>
      </c>
    </row>
    <row r="911" spans="1:9" x14ac:dyDescent="0.15">
      <c r="A911" s="9">
        <v>910</v>
      </c>
      <c r="B911" s="10" t="s">
        <v>9</v>
      </c>
      <c r="C911" s="10" t="s">
        <v>299</v>
      </c>
      <c r="D911" s="10" t="s">
        <v>300</v>
      </c>
      <c r="E911" s="11" t="str">
        <f>+HYPERLINK("http://trademark.i-assist.jp/data/china/image_1898th/78430959.pdf", "78430959")</f>
        <v>78430959</v>
      </c>
      <c r="F911" s="10" t="s">
        <v>2886</v>
      </c>
      <c r="G911" s="10" t="s">
        <v>199</v>
      </c>
      <c r="H911" s="10" t="s">
        <v>2887</v>
      </c>
      <c r="I911" s="10" t="s">
        <v>193</v>
      </c>
    </row>
    <row r="912" spans="1:9" x14ac:dyDescent="0.15">
      <c r="A912" s="9">
        <v>911</v>
      </c>
      <c r="B912" s="10" t="s">
        <v>9</v>
      </c>
      <c r="C912" s="10" t="s">
        <v>299</v>
      </c>
      <c r="D912" s="10" t="s">
        <v>300</v>
      </c>
      <c r="E912" s="11" t="str">
        <f>+HYPERLINK("http://trademark.i-assist.jp/data/china/image_1898th/78432382.pdf", "78432382")</f>
        <v>78432382</v>
      </c>
      <c r="F912" s="10" t="s">
        <v>2888</v>
      </c>
      <c r="G912" s="10" t="s">
        <v>2180</v>
      </c>
      <c r="H912" s="10" t="s">
        <v>2889</v>
      </c>
      <c r="I912" s="10" t="s">
        <v>193</v>
      </c>
    </row>
    <row r="913" spans="1:9" x14ac:dyDescent="0.15">
      <c r="A913" s="9">
        <v>912</v>
      </c>
      <c r="B913" s="10" t="s">
        <v>9</v>
      </c>
      <c r="C913" s="10" t="s">
        <v>299</v>
      </c>
      <c r="D913" s="10" t="s">
        <v>300</v>
      </c>
      <c r="E913" s="11" t="str">
        <f>+HYPERLINK("http://trademark.i-assist.jp/data/china/image_1898th/78432597.pdf", "78432597")</f>
        <v>78432597</v>
      </c>
      <c r="F913" s="10" t="s">
        <v>2890</v>
      </c>
      <c r="G913" s="10" t="s">
        <v>2891</v>
      </c>
      <c r="H913" s="10" t="s">
        <v>2892</v>
      </c>
      <c r="I913" s="10" t="s">
        <v>193</v>
      </c>
    </row>
    <row r="914" spans="1:9" x14ac:dyDescent="0.15">
      <c r="A914" s="9">
        <v>913</v>
      </c>
      <c r="B914" s="10" t="s">
        <v>9</v>
      </c>
      <c r="C914" s="10" t="s">
        <v>299</v>
      </c>
      <c r="D914" s="10" t="s">
        <v>300</v>
      </c>
      <c r="E914" s="11" t="str">
        <f>+HYPERLINK("http://trademark.i-assist.jp/data/china/image_1898th/78432862.pdf", "78432862")</f>
        <v>78432862</v>
      </c>
      <c r="F914" s="10" t="s">
        <v>2893</v>
      </c>
      <c r="G914" s="10" t="s">
        <v>2894</v>
      </c>
      <c r="H914" s="10" t="s">
        <v>2895</v>
      </c>
      <c r="I914" s="10" t="s">
        <v>193</v>
      </c>
    </row>
    <row r="915" spans="1:9" x14ac:dyDescent="0.15">
      <c r="A915" s="9">
        <v>914</v>
      </c>
      <c r="B915" s="10" t="s">
        <v>9</v>
      </c>
      <c r="C915" s="10" t="s">
        <v>299</v>
      </c>
      <c r="D915" s="10" t="s">
        <v>300</v>
      </c>
      <c r="E915" s="11" t="str">
        <f>+HYPERLINK("http://trademark.i-assist.jp/data/china/image_1898th/78432876.pdf", "78432876")</f>
        <v>78432876</v>
      </c>
      <c r="F915" s="10" t="s">
        <v>2896</v>
      </c>
      <c r="G915" s="10" t="s">
        <v>293</v>
      </c>
      <c r="H915" s="10" t="s">
        <v>2897</v>
      </c>
      <c r="I915" s="10" t="s">
        <v>193</v>
      </c>
    </row>
    <row r="916" spans="1:9" x14ac:dyDescent="0.15">
      <c r="A916" s="9">
        <v>915</v>
      </c>
      <c r="B916" s="10" t="s">
        <v>9</v>
      </c>
      <c r="C916" s="10" t="s">
        <v>299</v>
      </c>
      <c r="D916" s="10" t="s">
        <v>300</v>
      </c>
      <c r="E916" s="11" t="str">
        <f>+HYPERLINK("http://trademark.i-assist.jp/data/china/image_1898th/78433732.pdf", "78433732")</f>
        <v>78433732</v>
      </c>
      <c r="F916" s="10" t="s">
        <v>2898</v>
      </c>
      <c r="G916" s="10" t="s">
        <v>2899</v>
      </c>
      <c r="H916" s="10" t="s">
        <v>2900</v>
      </c>
      <c r="I916" s="10" t="s">
        <v>193</v>
      </c>
    </row>
    <row r="917" spans="1:9" x14ac:dyDescent="0.15">
      <c r="A917" s="9">
        <v>916</v>
      </c>
      <c r="B917" s="10" t="s">
        <v>9</v>
      </c>
      <c r="C917" s="10" t="s">
        <v>299</v>
      </c>
      <c r="D917" s="10" t="s">
        <v>300</v>
      </c>
      <c r="E917" s="11" t="str">
        <f>+HYPERLINK("http://trademark.i-assist.jp/data/china/image_1898th/78433758.pdf", "78433758")</f>
        <v>78433758</v>
      </c>
      <c r="F917" s="10" t="s">
        <v>2901</v>
      </c>
      <c r="G917" s="10" t="s">
        <v>2902</v>
      </c>
      <c r="H917" s="10" t="s">
        <v>2903</v>
      </c>
      <c r="I917" s="10" t="s">
        <v>193</v>
      </c>
    </row>
    <row r="918" spans="1:9" x14ac:dyDescent="0.15">
      <c r="A918" s="9">
        <v>917</v>
      </c>
      <c r="B918" s="10" t="s">
        <v>9</v>
      </c>
      <c r="C918" s="10" t="s">
        <v>299</v>
      </c>
      <c r="D918" s="10" t="s">
        <v>300</v>
      </c>
      <c r="E918" s="11" t="str">
        <f>+HYPERLINK("http://trademark.i-assist.jp/data/china/image_1898th/78433806.pdf", "78433806")</f>
        <v>78433806</v>
      </c>
      <c r="F918" s="10" t="s">
        <v>2904</v>
      </c>
      <c r="G918" s="10" t="s">
        <v>2905</v>
      </c>
      <c r="H918" s="10" t="s">
        <v>2906</v>
      </c>
      <c r="I918" s="10" t="s">
        <v>193</v>
      </c>
    </row>
    <row r="919" spans="1:9" x14ac:dyDescent="0.15">
      <c r="A919" s="9">
        <v>918</v>
      </c>
      <c r="B919" s="10" t="s">
        <v>9</v>
      </c>
      <c r="C919" s="10" t="s">
        <v>299</v>
      </c>
      <c r="D919" s="10" t="s">
        <v>300</v>
      </c>
      <c r="E919" s="11" t="str">
        <f>+HYPERLINK("http://trademark.i-assist.jp/data/china/image_1898th/78433950.pdf", "78433950")</f>
        <v>78433950</v>
      </c>
      <c r="F919" s="10" t="s">
        <v>2907</v>
      </c>
      <c r="G919" s="10" t="s">
        <v>2908</v>
      </c>
      <c r="H919" s="10" t="s">
        <v>2909</v>
      </c>
      <c r="I919" s="10" t="s">
        <v>193</v>
      </c>
    </row>
    <row r="920" spans="1:9" x14ac:dyDescent="0.15">
      <c r="A920" s="9">
        <v>919</v>
      </c>
      <c r="B920" s="10" t="s">
        <v>9</v>
      </c>
      <c r="C920" s="10" t="s">
        <v>299</v>
      </c>
      <c r="D920" s="10" t="s">
        <v>300</v>
      </c>
      <c r="E920" s="11" t="str">
        <f>+HYPERLINK("http://trademark.i-assist.jp/data/china/image_1898th/78434284.pdf", "78434284")</f>
        <v>78434284</v>
      </c>
      <c r="F920" s="10" t="s">
        <v>2910</v>
      </c>
      <c r="G920" s="10" t="s">
        <v>2911</v>
      </c>
      <c r="H920" s="10" t="s">
        <v>2912</v>
      </c>
      <c r="I920" s="10" t="s">
        <v>193</v>
      </c>
    </row>
    <row r="921" spans="1:9" x14ac:dyDescent="0.15">
      <c r="A921" s="9">
        <v>920</v>
      </c>
      <c r="B921" s="10" t="s">
        <v>9</v>
      </c>
      <c r="C921" s="10" t="s">
        <v>299</v>
      </c>
      <c r="D921" s="10" t="s">
        <v>300</v>
      </c>
      <c r="E921" s="11" t="str">
        <f>+HYPERLINK("http://trademark.i-assist.jp/data/china/image_1898th/78434477.pdf", "78434477")</f>
        <v>78434477</v>
      </c>
      <c r="F921" s="10" t="s">
        <v>2913</v>
      </c>
      <c r="G921" s="10" t="s">
        <v>2914</v>
      </c>
      <c r="H921" s="10" t="s">
        <v>2915</v>
      </c>
      <c r="I921" s="10" t="s">
        <v>193</v>
      </c>
    </row>
    <row r="922" spans="1:9" x14ac:dyDescent="0.15">
      <c r="A922" s="9">
        <v>921</v>
      </c>
      <c r="B922" s="10" t="s">
        <v>9</v>
      </c>
      <c r="C922" s="10" t="s">
        <v>299</v>
      </c>
      <c r="D922" s="10" t="s">
        <v>300</v>
      </c>
      <c r="E922" s="11" t="str">
        <f>+HYPERLINK("http://trademark.i-assist.jp/data/china/image_1898th/78434896.pdf", "78434896")</f>
        <v>78434896</v>
      </c>
      <c r="F922" s="10" t="s">
        <v>19</v>
      </c>
      <c r="G922" s="10" t="s">
        <v>2916</v>
      </c>
      <c r="H922" s="10" t="s">
        <v>2917</v>
      </c>
      <c r="I922" s="10" t="s">
        <v>193</v>
      </c>
    </row>
    <row r="923" spans="1:9" x14ac:dyDescent="0.15">
      <c r="A923" s="9">
        <v>922</v>
      </c>
      <c r="B923" s="10" t="s">
        <v>9</v>
      </c>
      <c r="C923" s="10" t="s">
        <v>299</v>
      </c>
      <c r="D923" s="10" t="s">
        <v>300</v>
      </c>
      <c r="E923" s="11" t="str">
        <f>+HYPERLINK("http://trademark.i-assist.jp/data/china/image_1898th/78434955.pdf", "78434955")</f>
        <v>78434955</v>
      </c>
      <c r="F923" s="10" t="s">
        <v>2918</v>
      </c>
      <c r="G923" s="10" t="s">
        <v>2919</v>
      </c>
      <c r="H923" s="10" t="s">
        <v>2920</v>
      </c>
      <c r="I923" s="10" t="s">
        <v>193</v>
      </c>
    </row>
    <row r="924" spans="1:9" x14ac:dyDescent="0.15">
      <c r="A924" s="9">
        <v>923</v>
      </c>
      <c r="B924" s="10" t="s">
        <v>9</v>
      </c>
      <c r="C924" s="10" t="s">
        <v>299</v>
      </c>
      <c r="D924" s="10" t="s">
        <v>300</v>
      </c>
      <c r="E924" s="11" t="str">
        <f>+HYPERLINK("http://trademark.i-assist.jp/data/china/image_1898th/78435044.pdf", "78435044")</f>
        <v>78435044</v>
      </c>
      <c r="F924" s="10" t="s">
        <v>2921</v>
      </c>
      <c r="G924" s="10" t="s">
        <v>2922</v>
      </c>
      <c r="H924" s="10" t="s">
        <v>2923</v>
      </c>
      <c r="I924" s="10" t="s">
        <v>193</v>
      </c>
    </row>
    <row r="925" spans="1:9" x14ac:dyDescent="0.15">
      <c r="A925" s="9">
        <v>924</v>
      </c>
      <c r="B925" s="10" t="s">
        <v>9</v>
      </c>
      <c r="C925" s="10" t="s">
        <v>299</v>
      </c>
      <c r="D925" s="10" t="s">
        <v>300</v>
      </c>
      <c r="E925" s="11" t="str">
        <f>+HYPERLINK("http://trademark.i-assist.jp/data/china/image_1898th/78435463.pdf", "78435463")</f>
        <v>78435463</v>
      </c>
      <c r="F925" s="10" t="s">
        <v>2924</v>
      </c>
      <c r="G925" s="10" t="s">
        <v>2925</v>
      </c>
      <c r="H925" s="10" t="s">
        <v>2926</v>
      </c>
      <c r="I925" s="10" t="s">
        <v>193</v>
      </c>
    </row>
    <row r="926" spans="1:9" x14ac:dyDescent="0.15">
      <c r="A926" s="9">
        <v>925</v>
      </c>
      <c r="B926" s="10" t="s">
        <v>9</v>
      </c>
      <c r="C926" s="10" t="s">
        <v>299</v>
      </c>
      <c r="D926" s="10" t="s">
        <v>300</v>
      </c>
      <c r="E926" s="11" t="str">
        <f>+HYPERLINK("http://trademark.i-assist.jp/data/china/image_1898th/78436353.pdf", "78436353")</f>
        <v>78436353</v>
      </c>
      <c r="F926" s="10" t="s">
        <v>2927</v>
      </c>
      <c r="G926" s="10" t="s">
        <v>186</v>
      </c>
      <c r="H926" s="10" t="s">
        <v>2928</v>
      </c>
      <c r="I926" s="10" t="s">
        <v>193</v>
      </c>
    </row>
    <row r="927" spans="1:9" x14ac:dyDescent="0.15">
      <c r="A927" s="9">
        <v>926</v>
      </c>
      <c r="B927" s="10" t="s">
        <v>9</v>
      </c>
      <c r="C927" s="10" t="s">
        <v>299</v>
      </c>
      <c r="D927" s="10" t="s">
        <v>300</v>
      </c>
      <c r="E927" s="11" t="str">
        <f>+HYPERLINK("http://trademark.i-assist.jp/data/china/image_1898th/78436612.pdf", "78436612")</f>
        <v>78436612</v>
      </c>
      <c r="F927" s="10" t="s">
        <v>2929</v>
      </c>
      <c r="G927" s="10" t="s">
        <v>192</v>
      </c>
      <c r="H927" s="10" t="s">
        <v>2930</v>
      </c>
      <c r="I927" s="10" t="s">
        <v>193</v>
      </c>
    </row>
    <row r="928" spans="1:9" x14ac:dyDescent="0.15">
      <c r="A928" s="9">
        <v>927</v>
      </c>
      <c r="B928" s="10" t="s">
        <v>9</v>
      </c>
      <c r="C928" s="10" t="s">
        <v>299</v>
      </c>
      <c r="D928" s="10" t="s">
        <v>300</v>
      </c>
      <c r="E928" s="11" t="str">
        <f>+HYPERLINK("http://trademark.i-assist.jp/data/china/image_1898th/78436978.pdf", "78436978")</f>
        <v>78436978</v>
      </c>
      <c r="F928" s="10" t="s">
        <v>19</v>
      </c>
      <c r="G928" s="10" t="s">
        <v>2931</v>
      </c>
      <c r="H928" s="10" t="s">
        <v>2932</v>
      </c>
      <c r="I928" s="10" t="s">
        <v>193</v>
      </c>
    </row>
    <row r="929" spans="1:9" x14ac:dyDescent="0.15">
      <c r="A929" s="9">
        <v>928</v>
      </c>
      <c r="B929" s="10" t="s">
        <v>9</v>
      </c>
      <c r="C929" s="10" t="s">
        <v>299</v>
      </c>
      <c r="D929" s="10" t="s">
        <v>300</v>
      </c>
      <c r="E929" s="11" t="str">
        <f>+HYPERLINK("http://trademark.i-assist.jp/data/china/image_1898th/78437041.pdf", "78437041")</f>
        <v>78437041</v>
      </c>
      <c r="F929" s="10" t="s">
        <v>2933</v>
      </c>
      <c r="G929" s="10" t="s">
        <v>2934</v>
      </c>
      <c r="H929" s="10" t="s">
        <v>2935</v>
      </c>
      <c r="I929" s="10" t="s">
        <v>193</v>
      </c>
    </row>
    <row r="930" spans="1:9" x14ac:dyDescent="0.15">
      <c r="A930" s="9">
        <v>929</v>
      </c>
      <c r="B930" s="10" t="s">
        <v>9</v>
      </c>
      <c r="C930" s="10" t="s">
        <v>299</v>
      </c>
      <c r="D930" s="10" t="s">
        <v>300</v>
      </c>
      <c r="E930" s="11" t="str">
        <f>+HYPERLINK("http://trademark.i-assist.jp/data/china/image_1898th/78437379.pdf", "78437379")</f>
        <v>78437379</v>
      </c>
      <c r="F930" s="10" t="s">
        <v>2936</v>
      </c>
      <c r="G930" s="10" t="s">
        <v>2937</v>
      </c>
      <c r="H930" s="10" t="s">
        <v>2938</v>
      </c>
      <c r="I930" s="10" t="s">
        <v>193</v>
      </c>
    </row>
    <row r="931" spans="1:9" x14ac:dyDescent="0.15">
      <c r="A931" s="9">
        <v>930</v>
      </c>
      <c r="B931" s="10" t="s">
        <v>9</v>
      </c>
      <c r="C931" s="10" t="s">
        <v>299</v>
      </c>
      <c r="D931" s="10" t="s">
        <v>300</v>
      </c>
      <c r="E931" s="11" t="str">
        <f>+HYPERLINK("http://trademark.i-assist.jp/data/china/image_1898th/78437698.pdf", "78437698")</f>
        <v>78437698</v>
      </c>
      <c r="F931" s="10" t="s">
        <v>2939</v>
      </c>
      <c r="G931" s="10" t="s">
        <v>252</v>
      </c>
      <c r="H931" s="10" t="s">
        <v>2940</v>
      </c>
      <c r="I931" s="10" t="s">
        <v>193</v>
      </c>
    </row>
    <row r="932" spans="1:9" x14ac:dyDescent="0.15">
      <c r="A932" s="9">
        <v>931</v>
      </c>
      <c r="B932" s="10" t="s">
        <v>9</v>
      </c>
      <c r="C932" s="10" t="s">
        <v>299</v>
      </c>
      <c r="D932" s="10" t="s">
        <v>300</v>
      </c>
      <c r="E932" s="11" t="str">
        <f>+HYPERLINK("http://trademark.i-assist.jp/data/china/image_1898th/78438333.pdf", "78438333")</f>
        <v>78438333</v>
      </c>
      <c r="F932" s="10" t="s">
        <v>2941</v>
      </c>
      <c r="G932" s="10" t="s">
        <v>2942</v>
      </c>
      <c r="H932" s="10" t="s">
        <v>2943</v>
      </c>
      <c r="I932" s="10" t="s">
        <v>193</v>
      </c>
    </row>
    <row r="933" spans="1:9" x14ac:dyDescent="0.15">
      <c r="A933" s="9">
        <v>932</v>
      </c>
      <c r="B933" s="10" t="s">
        <v>9</v>
      </c>
      <c r="C933" s="10" t="s">
        <v>299</v>
      </c>
      <c r="D933" s="10" t="s">
        <v>300</v>
      </c>
      <c r="E933" s="11" t="str">
        <f>+HYPERLINK("http://trademark.i-assist.jp/data/china/image_1898th/78438602.pdf", "78438602")</f>
        <v>78438602</v>
      </c>
      <c r="F933" s="10" t="s">
        <v>2944</v>
      </c>
      <c r="G933" s="10" t="s">
        <v>201</v>
      </c>
      <c r="H933" s="10" t="s">
        <v>2945</v>
      </c>
      <c r="I933" s="10" t="s">
        <v>193</v>
      </c>
    </row>
    <row r="934" spans="1:9" x14ac:dyDescent="0.15">
      <c r="A934" s="9">
        <v>933</v>
      </c>
      <c r="B934" s="10" t="s">
        <v>9</v>
      </c>
      <c r="C934" s="10" t="s">
        <v>299</v>
      </c>
      <c r="D934" s="10" t="s">
        <v>300</v>
      </c>
      <c r="E934" s="11" t="str">
        <f>+HYPERLINK("http://trademark.i-assist.jp/data/china/image_1898th/78438782.pdf", "78438782")</f>
        <v>78438782</v>
      </c>
      <c r="F934" s="10" t="s">
        <v>2946</v>
      </c>
      <c r="G934" s="10" t="s">
        <v>204</v>
      </c>
      <c r="H934" s="10" t="s">
        <v>2947</v>
      </c>
      <c r="I934" s="10" t="s">
        <v>193</v>
      </c>
    </row>
    <row r="935" spans="1:9" x14ac:dyDescent="0.15">
      <c r="A935" s="9">
        <v>934</v>
      </c>
      <c r="B935" s="10" t="s">
        <v>9</v>
      </c>
      <c r="C935" s="10" t="s">
        <v>299</v>
      </c>
      <c r="D935" s="10" t="s">
        <v>300</v>
      </c>
      <c r="E935" s="11" t="str">
        <f>+HYPERLINK("http://trademark.i-assist.jp/data/china/image_1898th/78438884.pdf", "78438884")</f>
        <v>78438884</v>
      </c>
      <c r="F935" s="10" t="s">
        <v>19</v>
      </c>
      <c r="G935" s="10" t="s">
        <v>2948</v>
      </c>
      <c r="H935" s="10" t="s">
        <v>2949</v>
      </c>
      <c r="I935" s="10" t="s">
        <v>193</v>
      </c>
    </row>
    <row r="936" spans="1:9" x14ac:dyDescent="0.15">
      <c r="A936" s="9">
        <v>935</v>
      </c>
      <c r="B936" s="10" t="s">
        <v>9</v>
      </c>
      <c r="C936" s="10" t="s">
        <v>299</v>
      </c>
      <c r="D936" s="10" t="s">
        <v>300</v>
      </c>
      <c r="E936" s="11" t="str">
        <f>+HYPERLINK("http://trademark.i-assist.jp/data/china/image_1898th/78438898.pdf", "78438898")</f>
        <v>78438898</v>
      </c>
      <c r="F936" s="10" t="s">
        <v>2950</v>
      </c>
      <c r="G936" s="10" t="s">
        <v>2951</v>
      </c>
      <c r="H936" s="10" t="s">
        <v>2952</v>
      </c>
      <c r="I936" s="10" t="s">
        <v>193</v>
      </c>
    </row>
    <row r="937" spans="1:9" x14ac:dyDescent="0.15">
      <c r="A937" s="9">
        <v>936</v>
      </c>
      <c r="B937" s="10" t="s">
        <v>9</v>
      </c>
      <c r="C937" s="10" t="s">
        <v>299</v>
      </c>
      <c r="D937" s="10" t="s">
        <v>300</v>
      </c>
      <c r="E937" s="11" t="str">
        <f>+HYPERLINK("http://trademark.i-assist.jp/data/china/image_1898th/78439043.pdf", "78439043")</f>
        <v>78439043</v>
      </c>
      <c r="F937" s="10" t="s">
        <v>2953</v>
      </c>
      <c r="G937" s="10" t="s">
        <v>2954</v>
      </c>
      <c r="H937" s="10" t="s">
        <v>2955</v>
      </c>
      <c r="I937" s="10" t="s">
        <v>193</v>
      </c>
    </row>
    <row r="938" spans="1:9" x14ac:dyDescent="0.15">
      <c r="A938" s="9">
        <v>937</v>
      </c>
      <c r="B938" s="10" t="s">
        <v>9</v>
      </c>
      <c r="C938" s="10" t="s">
        <v>299</v>
      </c>
      <c r="D938" s="10" t="s">
        <v>300</v>
      </c>
      <c r="E938" s="11" t="str">
        <f>+HYPERLINK("http://trademark.i-assist.jp/data/china/image_1898th/78439228.pdf", "78439228")</f>
        <v>78439228</v>
      </c>
      <c r="F938" s="10" t="s">
        <v>2956</v>
      </c>
      <c r="G938" s="10" t="s">
        <v>197</v>
      </c>
      <c r="H938" s="10" t="s">
        <v>2957</v>
      </c>
      <c r="I938" s="10" t="s">
        <v>193</v>
      </c>
    </row>
    <row r="939" spans="1:9" x14ac:dyDescent="0.15">
      <c r="A939" s="9">
        <v>938</v>
      </c>
      <c r="B939" s="10" t="s">
        <v>9</v>
      </c>
      <c r="C939" s="10" t="s">
        <v>299</v>
      </c>
      <c r="D939" s="10" t="s">
        <v>300</v>
      </c>
      <c r="E939" s="11" t="str">
        <f>+HYPERLINK("http://trademark.i-assist.jp/data/china/image_1898th/78439536.pdf", "78439536")</f>
        <v>78439536</v>
      </c>
      <c r="F939" s="10" t="s">
        <v>2958</v>
      </c>
      <c r="G939" s="10" t="s">
        <v>2959</v>
      </c>
      <c r="H939" s="10" t="s">
        <v>2960</v>
      </c>
      <c r="I939" s="10" t="s">
        <v>193</v>
      </c>
    </row>
    <row r="940" spans="1:9" x14ac:dyDescent="0.15">
      <c r="A940" s="9">
        <v>939</v>
      </c>
      <c r="B940" s="10" t="s">
        <v>9</v>
      </c>
      <c r="C940" s="10" t="s">
        <v>299</v>
      </c>
      <c r="D940" s="10" t="s">
        <v>300</v>
      </c>
      <c r="E940" s="11" t="str">
        <f>+HYPERLINK("http://trademark.i-assist.jp/data/china/image_1898th/78439816.pdf", "78439816")</f>
        <v>78439816</v>
      </c>
      <c r="F940" s="10" t="s">
        <v>2961</v>
      </c>
      <c r="G940" s="10" t="s">
        <v>2899</v>
      </c>
      <c r="H940" s="10" t="s">
        <v>2962</v>
      </c>
      <c r="I940" s="10" t="s">
        <v>193</v>
      </c>
    </row>
    <row r="941" spans="1:9" x14ac:dyDescent="0.15">
      <c r="A941" s="9">
        <v>940</v>
      </c>
      <c r="B941" s="10" t="s">
        <v>9</v>
      </c>
      <c r="C941" s="10" t="s">
        <v>299</v>
      </c>
      <c r="D941" s="10" t="s">
        <v>300</v>
      </c>
      <c r="E941" s="11" t="str">
        <f>+HYPERLINK("http://trademark.i-assist.jp/data/china/image_1898th/78439864.pdf", "78439864")</f>
        <v>78439864</v>
      </c>
      <c r="F941" s="10" t="s">
        <v>2963</v>
      </c>
      <c r="G941" s="10" t="s">
        <v>2964</v>
      </c>
      <c r="H941" s="10" t="s">
        <v>2965</v>
      </c>
      <c r="I941" s="10" t="s">
        <v>193</v>
      </c>
    </row>
    <row r="942" spans="1:9" x14ac:dyDescent="0.15">
      <c r="A942" s="9">
        <v>941</v>
      </c>
      <c r="B942" s="10" t="s">
        <v>9</v>
      </c>
      <c r="C942" s="10" t="s">
        <v>299</v>
      </c>
      <c r="D942" s="10" t="s">
        <v>300</v>
      </c>
      <c r="E942" s="11" t="str">
        <f>+HYPERLINK("http://trademark.i-assist.jp/data/china/image_1898th/78439943.pdf", "78439943")</f>
        <v>78439943</v>
      </c>
      <c r="F942" s="10" t="s">
        <v>19</v>
      </c>
      <c r="G942" s="10" t="s">
        <v>2966</v>
      </c>
      <c r="H942" s="10" t="s">
        <v>2967</v>
      </c>
      <c r="I942" s="10" t="s">
        <v>193</v>
      </c>
    </row>
    <row r="943" spans="1:9" x14ac:dyDescent="0.15">
      <c r="A943" s="9">
        <v>942</v>
      </c>
      <c r="B943" s="10" t="s">
        <v>9</v>
      </c>
      <c r="C943" s="10" t="s">
        <v>299</v>
      </c>
      <c r="D943" s="10" t="s">
        <v>300</v>
      </c>
      <c r="E943" s="11" t="str">
        <f>+HYPERLINK("http://trademark.i-assist.jp/data/china/image_1898th/78440263.pdf", "78440263")</f>
        <v>78440263</v>
      </c>
      <c r="F943" s="10" t="s">
        <v>2968</v>
      </c>
      <c r="G943" s="10" t="s">
        <v>199</v>
      </c>
      <c r="H943" s="10" t="s">
        <v>2969</v>
      </c>
      <c r="I943" s="10" t="s">
        <v>193</v>
      </c>
    </row>
    <row r="944" spans="1:9" x14ac:dyDescent="0.15">
      <c r="A944" s="9">
        <v>943</v>
      </c>
      <c r="B944" s="10" t="s">
        <v>9</v>
      </c>
      <c r="C944" s="10" t="s">
        <v>299</v>
      </c>
      <c r="D944" s="10" t="s">
        <v>300</v>
      </c>
      <c r="E944" s="11" t="str">
        <f>+HYPERLINK("http://trademark.i-assist.jp/data/china/image_1898th/78441087.pdf", "78441087")</f>
        <v>78441087</v>
      </c>
      <c r="F944" s="10" t="s">
        <v>2970</v>
      </c>
      <c r="G944" s="10" t="s">
        <v>2971</v>
      </c>
      <c r="H944" s="10" t="s">
        <v>2972</v>
      </c>
      <c r="I944" s="10" t="s">
        <v>193</v>
      </c>
    </row>
    <row r="945" spans="1:9" x14ac:dyDescent="0.15">
      <c r="A945" s="9">
        <v>944</v>
      </c>
      <c r="B945" s="10" t="s">
        <v>9</v>
      </c>
      <c r="C945" s="10" t="s">
        <v>299</v>
      </c>
      <c r="D945" s="10" t="s">
        <v>300</v>
      </c>
      <c r="E945" s="11" t="str">
        <f>+HYPERLINK("http://trademark.i-assist.jp/data/china/image_1898th/78441585.pdf", "78441585")</f>
        <v>78441585</v>
      </c>
      <c r="F945" s="10" t="s">
        <v>2973</v>
      </c>
      <c r="G945" s="10" t="s">
        <v>209</v>
      </c>
      <c r="H945" s="10" t="s">
        <v>2974</v>
      </c>
      <c r="I945" s="10" t="s">
        <v>193</v>
      </c>
    </row>
    <row r="946" spans="1:9" x14ac:dyDescent="0.15">
      <c r="A946" s="9">
        <v>945</v>
      </c>
      <c r="B946" s="10" t="s">
        <v>9</v>
      </c>
      <c r="C946" s="10" t="s">
        <v>299</v>
      </c>
      <c r="D946" s="10" t="s">
        <v>300</v>
      </c>
      <c r="E946" s="11" t="str">
        <f>+HYPERLINK("http://trademark.i-assist.jp/data/china/image_1898th/78441744.pdf", "78441744")</f>
        <v>78441744</v>
      </c>
      <c r="F946" s="10" t="s">
        <v>2975</v>
      </c>
      <c r="G946" s="10" t="s">
        <v>2976</v>
      </c>
      <c r="H946" s="10" t="s">
        <v>2977</v>
      </c>
      <c r="I946" s="10" t="s">
        <v>193</v>
      </c>
    </row>
    <row r="947" spans="1:9" x14ac:dyDescent="0.15">
      <c r="A947" s="9">
        <v>946</v>
      </c>
      <c r="B947" s="10" t="s">
        <v>9</v>
      </c>
      <c r="C947" s="10" t="s">
        <v>299</v>
      </c>
      <c r="D947" s="10" t="s">
        <v>300</v>
      </c>
      <c r="E947" s="11" t="str">
        <f>+HYPERLINK("http://trademark.i-assist.jp/data/china/image_1898th/78441823.pdf", "78441823")</f>
        <v>78441823</v>
      </c>
      <c r="F947" s="10" t="s">
        <v>2978</v>
      </c>
      <c r="G947" s="10" t="s">
        <v>2937</v>
      </c>
      <c r="H947" s="10" t="s">
        <v>2979</v>
      </c>
      <c r="I947" s="10" t="s">
        <v>193</v>
      </c>
    </row>
    <row r="948" spans="1:9" x14ac:dyDescent="0.15">
      <c r="A948" s="9">
        <v>947</v>
      </c>
      <c r="B948" s="10" t="s">
        <v>9</v>
      </c>
      <c r="C948" s="10" t="s">
        <v>299</v>
      </c>
      <c r="D948" s="10" t="s">
        <v>300</v>
      </c>
      <c r="E948" s="11" t="str">
        <f>+HYPERLINK("http://trademark.i-assist.jp/data/china/image_1898th/78441845.pdf", "78441845")</f>
        <v>78441845</v>
      </c>
      <c r="F948" s="10" t="s">
        <v>2980</v>
      </c>
      <c r="G948" s="10" t="s">
        <v>2981</v>
      </c>
      <c r="H948" s="10" t="s">
        <v>2982</v>
      </c>
      <c r="I948" s="10" t="s">
        <v>193</v>
      </c>
    </row>
    <row r="949" spans="1:9" x14ac:dyDescent="0.15">
      <c r="A949" s="9">
        <v>948</v>
      </c>
      <c r="B949" s="10" t="s">
        <v>9</v>
      </c>
      <c r="C949" s="10" t="s">
        <v>299</v>
      </c>
      <c r="D949" s="10" t="s">
        <v>300</v>
      </c>
      <c r="E949" s="11" t="str">
        <f>+HYPERLINK("http://trademark.i-assist.jp/data/china/image_1898th/78442637.pdf", "78442637")</f>
        <v>78442637</v>
      </c>
      <c r="F949" s="10" t="s">
        <v>2983</v>
      </c>
      <c r="G949" s="10" t="s">
        <v>2984</v>
      </c>
      <c r="H949" s="10" t="s">
        <v>2985</v>
      </c>
      <c r="I949" s="10" t="s">
        <v>193</v>
      </c>
    </row>
    <row r="950" spans="1:9" x14ac:dyDescent="0.15">
      <c r="A950" s="9">
        <v>949</v>
      </c>
      <c r="B950" s="10" t="s">
        <v>9</v>
      </c>
      <c r="C950" s="10" t="s">
        <v>299</v>
      </c>
      <c r="D950" s="10" t="s">
        <v>300</v>
      </c>
      <c r="E950" s="11" t="str">
        <f>+HYPERLINK("http://trademark.i-assist.jp/data/china/image_1898th/78443356.pdf", "78443356")</f>
        <v>78443356</v>
      </c>
      <c r="F950" s="10" t="s">
        <v>2986</v>
      </c>
      <c r="G950" s="10" t="s">
        <v>2987</v>
      </c>
      <c r="H950" s="10" t="s">
        <v>2988</v>
      </c>
      <c r="I950" s="10" t="s">
        <v>193</v>
      </c>
    </row>
    <row r="951" spans="1:9" x14ac:dyDescent="0.15">
      <c r="A951" s="9">
        <v>950</v>
      </c>
      <c r="B951" s="10" t="s">
        <v>9</v>
      </c>
      <c r="C951" s="10" t="s">
        <v>299</v>
      </c>
      <c r="D951" s="10" t="s">
        <v>300</v>
      </c>
      <c r="E951" s="11" t="str">
        <f>+HYPERLINK("http://trademark.i-assist.jp/data/china/image_1898th/78443631.pdf", "78443631")</f>
        <v>78443631</v>
      </c>
      <c r="F951" s="10" t="s">
        <v>2989</v>
      </c>
      <c r="G951" s="10" t="s">
        <v>2990</v>
      </c>
      <c r="H951" s="10" t="s">
        <v>2991</v>
      </c>
      <c r="I951" s="10" t="s">
        <v>193</v>
      </c>
    </row>
    <row r="952" spans="1:9" x14ac:dyDescent="0.15">
      <c r="A952" s="9">
        <v>951</v>
      </c>
      <c r="B952" s="10" t="s">
        <v>9</v>
      </c>
      <c r="C952" s="10" t="s">
        <v>299</v>
      </c>
      <c r="D952" s="10" t="s">
        <v>300</v>
      </c>
      <c r="E952" s="11" t="str">
        <f>+HYPERLINK("http://trademark.i-assist.jp/data/china/image_1898th/78444149.pdf", "78444149")</f>
        <v>78444149</v>
      </c>
      <c r="F952" s="10" t="s">
        <v>2992</v>
      </c>
      <c r="G952" s="10" t="s">
        <v>2993</v>
      </c>
      <c r="H952" s="10" t="s">
        <v>2994</v>
      </c>
      <c r="I952" s="10" t="s">
        <v>193</v>
      </c>
    </row>
    <row r="953" spans="1:9" x14ac:dyDescent="0.15">
      <c r="A953" s="9">
        <v>952</v>
      </c>
      <c r="B953" s="10" t="s">
        <v>9</v>
      </c>
      <c r="C953" s="10" t="s">
        <v>299</v>
      </c>
      <c r="D953" s="10" t="s">
        <v>300</v>
      </c>
      <c r="E953" s="11" t="str">
        <f>+HYPERLINK("http://trademark.i-assist.jp/data/china/image_1898th/78444297.pdf", "78444297")</f>
        <v>78444297</v>
      </c>
      <c r="F953" s="10" t="s">
        <v>2995</v>
      </c>
      <c r="G953" s="10" t="s">
        <v>2996</v>
      </c>
      <c r="H953" s="10" t="s">
        <v>2997</v>
      </c>
      <c r="I953" s="10" t="s">
        <v>193</v>
      </c>
    </row>
    <row r="954" spans="1:9" x14ac:dyDescent="0.15">
      <c r="A954" s="9">
        <v>953</v>
      </c>
      <c r="B954" s="10" t="s">
        <v>9</v>
      </c>
      <c r="C954" s="10" t="s">
        <v>299</v>
      </c>
      <c r="D954" s="10" t="s">
        <v>300</v>
      </c>
      <c r="E954" s="11" t="str">
        <f>+HYPERLINK("http://trademark.i-assist.jp/data/china/image_1898th/78444450.pdf", "78444450")</f>
        <v>78444450</v>
      </c>
      <c r="F954" s="10" t="s">
        <v>2998</v>
      </c>
      <c r="G954" s="10" t="s">
        <v>2999</v>
      </c>
      <c r="H954" s="10" t="s">
        <v>3000</v>
      </c>
      <c r="I954" s="10" t="s">
        <v>193</v>
      </c>
    </row>
    <row r="955" spans="1:9" x14ac:dyDescent="0.15">
      <c r="A955" s="9">
        <v>954</v>
      </c>
      <c r="B955" s="10" t="s">
        <v>9</v>
      </c>
      <c r="C955" s="10" t="s">
        <v>299</v>
      </c>
      <c r="D955" s="10" t="s">
        <v>300</v>
      </c>
      <c r="E955" s="11" t="str">
        <f>+HYPERLINK("http://trademark.i-assist.jp/data/china/image_1898th/78444453.pdf", "78444453")</f>
        <v>78444453</v>
      </c>
      <c r="F955" s="10" t="s">
        <v>3001</v>
      </c>
      <c r="G955" s="10" t="s">
        <v>3002</v>
      </c>
      <c r="H955" s="10" t="s">
        <v>3003</v>
      </c>
      <c r="I955" s="10" t="s">
        <v>193</v>
      </c>
    </row>
    <row r="956" spans="1:9" x14ac:dyDescent="0.15">
      <c r="A956" s="9">
        <v>955</v>
      </c>
      <c r="B956" s="10" t="s">
        <v>9</v>
      </c>
      <c r="C956" s="10" t="s">
        <v>299</v>
      </c>
      <c r="D956" s="10" t="s">
        <v>300</v>
      </c>
      <c r="E956" s="11" t="str">
        <f>+HYPERLINK("http://trademark.i-assist.jp/data/china/image_1898th/78444658.pdf", "78444658")</f>
        <v>78444658</v>
      </c>
      <c r="F956" s="10" t="s">
        <v>3004</v>
      </c>
      <c r="G956" s="10" t="s">
        <v>3005</v>
      </c>
      <c r="H956" s="10" t="s">
        <v>3006</v>
      </c>
      <c r="I956" s="10" t="s">
        <v>193</v>
      </c>
    </row>
    <row r="957" spans="1:9" x14ac:dyDescent="0.15">
      <c r="A957" s="9">
        <v>956</v>
      </c>
      <c r="B957" s="10" t="s">
        <v>9</v>
      </c>
      <c r="C957" s="10" t="s">
        <v>299</v>
      </c>
      <c r="D957" s="10" t="s">
        <v>300</v>
      </c>
      <c r="E957" s="11" t="str">
        <f>+HYPERLINK("http://trademark.i-assist.jp/data/china/image_1898th/78444710.pdf", "78444710")</f>
        <v>78444710</v>
      </c>
      <c r="F957" s="10" t="s">
        <v>3007</v>
      </c>
      <c r="G957" s="10" t="s">
        <v>3008</v>
      </c>
      <c r="H957" s="10" t="s">
        <v>3009</v>
      </c>
      <c r="I957" s="10" t="s">
        <v>193</v>
      </c>
    </row>
    <row r="958" spans="1:9" x14ac:dyDescent="0.15">
      <c r="A958" s="9">
        <v>957</v>
      </c>
      <c r="B958" s="10" t="s">
        <v>9</v>
      </c>
      <c r="C958" s="10" t="s">
        <v>299</v>
      </c>
      <c r="D958" s="10" t="s">
        <v>300</v>
      </c>
      <c r="E958" s="11" t="str">
        <f>+HYPERLINK("http://trademark.i-assist.jp/data/china/image_1898th/78445075.pdf", "78445075")</f>
        <v>78445075</v>
      </c>
      <c r="F958" s="10" t="s">
        <v>3010</v>
      </c>
      <c r="G958" s="10" t="s">
        <v>3011</v>
      </c>
      <c r="H958" s="10" t="s">
        <v>3012</v>
      </c>
      <c r="I958" s="10" t="s">
        <v>193</v>
      </c>
    </row>
    <row r="959" spans="1:9" x14ac:dyDescent="0.15">
      <c r="A959" s="9">
        <v>958</v>
      </c>
      <c r="B959" s="10" t="s">
        <v>9</v>
      </c>
      <c r="C959" s="10" t="s">
        <v>299</v>
      </c>
      <c r="D959" s="10" t="s">
        <v>300</v>
      </c>
      <c r="E959" s="11" t="str">
        <f>+HYPERLINK("http://trademark.i-assist.jp/data/china/image_1898th/78445136.pdf", "78445136")</f>
        <v>78445136</v>
      </c>
      <c r="F959" s="10" t="s">
        <v>3013</v>
      </c>
      <c r="G959" s="10" t="s">
        <v>3014</v>
      </c>
      <c r="H959" s="10" t="s">
        <v>43</v>
      </c>
      <c r="I959" s="10" t="s">
        <v>193</v>
      </c>
    </row>
    <row r="960" spans="1:9" x14ac:dyDescent="0.15">
      <c r="A960" s="9">
        <v>959</v>
      </c>
      <c r="B960" s="10" t="s">
        <v>9</v>
      </c>
      <c r="C960" s="10" t="s">
        <v>299</v>
      </c>
      <c r="D960" s="10" t="s">
        <v>300</v>
      </c>
      <c r="E960" s="11" t="str">
        <f>+HYPERLINK("http://trademark.i-assist.jp/data/china/image_1898th/78445143.pdf", "78445143")</f>
        <v>78445143</v>
      </c>
      <c r="F960" s="10" t="s">
        <v>3015</v>
      </c>
      <c r="G960" s="10" t="s">
        <v>2937</v>
      </c>
      <c r="H960" s="10" t="s">
        <v>3016</v>
      </c>
      <c r="I960" s="10" t="s">
        <v>193</v>
      </c>
    </row>
    <row r="961" spans="1:9" x14ac:dyDescent="0.15">
      <c r="A961" s="9">
        <v>960</v>
      </c>
      <c r="B961" s="10" t="s">
        <v>9</v>
      </c>
      <c r="C961" s="10" t="s">
        <v>299</v>
      </c>
      <c r="D961" s="10" t="s">
        <v>300</v>
      </c>
      <c r="E961" s="11" t="str">
        <f>+HYPERLINK("http://trademark.i-assist.jp/data/china/image_1898th/78445237.pdf", "78445237")</f>
        <v>78445237</v>
      </c>
      <c r="F961" s="10" t="s">
        <v>3017</v>
      </c>
      <c r="G961" s="10" t="s">
        <v>3018</v>
      </c>
      <c r="H961" s="10" t="s">
        <v>3019</v>
      </c>
      <c r="I961" s="10" t="s">
        <v>154</v>
      </c>
    </row>
    <row r="962" spans="1:9" x14ac:dyDescent="0.15">
      <c r="A962" s="9">
        <v>961</v>
      </c>
      <c r="B962" s="10" t="s">
        <v>9</v>
      </c>
      <c r="C962" s="10" t="s">
        <v>299</v>
      </c>
      <c r="D962" s="10" t="s">
        <v>300</v>
      </c>
      <c r="E962" s="11" t="str">
        <f>+HYPERLINK("http://trademark.i-assist.jp/data/china/image_1898th/78445550.pdf", "78445550")</f>
        <v>78445550</v>
      </c>
      <c r="F962" s="10" t="s">
        <v>3020</v>
      </c>
      <c r="G962" s="10" t="s">
        <v>3021</v>
      </c>
      <c r="H962" s="10" t="s">
        <v>3022</v>
      </c>
      <c r="I962" s="10" t="s">
        <v>193</v>
      </c>
    </row>
    <row r="963" spans="1:9" x14ac:dyDescent="0.15">
      <c r="A963" s="9">
        <v>962</v>
      </c>
      <c r="B963" s="10" t="s">
        <v>9</v>
      </c>
      <c r="C963" s="10" t="s">
        <v>299</v>
      </c>
      <c r="D963" s="10" t="s">
        <v>300</v>
      </c>
      <c r="E963" s="11" t="str">
        <f>+HYPERLINK("http://trademark.i-assist.jp/data/china/image_1898th/78445647.pdf", "78445647")</f>
        <v>78445647</v>
      </c>
      <c r="F963" s="10" t="s">
        <v>3023</v>
      </c>
      <c r="G963" s="10" t="s">
        <v>3024</v>
      </c>
      <c r="H963" s="10" t="s">
        <v>3025</v>
      </c>
      <c r="I963" s="10" t="s">
        <v>193</v>
      </c>
    </row>
    <row r="964" spans="1:9" x14ac:dyDescent="0.15">
      <c r="A964" s="9">
        <v>963</v>
      </c>
      <c r="B964" s="10" t="s">
        <v>9</v>
      </c>
      <c r="C964" s="10" t="s">
        <v>299</v>
      </c>
      <c r="D964" s="10" t="s">
        <v>300</v>
      </c>
      <c r="E964" s="11" t="str">
        <f>+HYPERLINK("http://trademark.i-assist.jp/data/china/image_1898th/78445913.pdf", "78445913")</f>
        <v>78445913</v>
      </c>
      <c r="F964" s="10" t="s">
        <v>3026</v>
      </c>
      <c r="G964" s="10" t="s">
        <v>3027</v>
      </c>
      <c r="H964" s="10" t="s">
        <v>3028</v>
      </c>
      <c r="I964" s="10" t="s">
        <v>193</v>
      </c>
    </row>
    <row r="965" spans="1:9" x14ac:dyDescent="0.15">
      <c r="A965" s="9">
        <v>964</v>
      </c>
      <c r="B965" s="10" t="s">
        <v>9</v>
      </c>
      <c r="C965" s="10" t="s">
        <v>299</v>
      </c>
      <c r="D965" s="10" t="s">
        <v>300</v>
      </c>
      <c r="E965" s="11" t="str">
        <f>+HYPERLINK("http://trademark.i-assist.jp/data/china/image_1898th/78446002.pdf", "78446002")</f>
        <v>78446002</v>
      </c>
      <c r="F965" s="10" t="s">
        <v>3029</v>
      </c>
      <c r="G965" s="10" t="s">
        <v>152</v>
      </c>
      <c r="H965" s="10" t="s">
        <v>3030</v>
      </c>
      <c r="I965" s="10" t="s">
        <v>193</v>
      </c>
    </row>
    <row r="966" spans="1:9" x14ac:dyDescent="0.15">
      <c r="A966" s="9">
        <v>965</v>
      </c>
      <c r="B966" s="10" t="s">
        <v>9</v>
      </c>
      <c r="C966" s="10" t="s">
        <v>299</v>
      </c>
      <c r="D966" s="10" t="s">
        <v>300</v>
      </c>
      <c r="E966" s="11" t="str">
        <f>+HYPERLINK("http://trademark.i-assist.jp/data/china/image_1898th/78446012.pdf", "78446012")</f>
        <v>78446012</v>
      </c>
      <c r="F966" s="10" t="s">
        <v>3031</v>
      </c>
      <c r="G966" s="10" t="s">
        <v>209</v>
      </c>
      <c r="H966" s="10" t="s">
        <v>3032</v>
      </c>
      <c r="I966" s="10" t="s">
        <v>193</v>
      </c>
    </row>
    <row r="967" spans="1:9" x14ac:dyDescent="0.15">
      <c r="A967" s="9">
        <v>966</v>
      </c>
      <c r="B967" s="10" t="s">
        <v>9</v>
      </c>
      <c r="C967" s="10" t="s">
        <v>299</v>
      </c>
      <c r="D967" s="10" t="s">
        <v>300</v>
      </c>
      <c r="E967" s="11" t="str">
        <f>+HYPERLINK("http://trademark.i-assist.jp/data/china/image_1898th/78446065.pdf", "78446065")</f>
        <v>78446065</v>
      </c>
      <c r="F967" s="10" t="s">
        <v>3033</v>
      </c>
      <c r="G967" s="10" t="s">
        <v>3034</v>
      </c>
      <c r="H967" s="10" t="s">
        <v>3035</v>
      </c>
      <c r="I967" s="10" t="s">
        <v>193</v>
      </c>
    </row>
    <row r="968" spans="1:9" x14ac:dyDescent="0.15">
      <c r="A968" s="9">
        <v>967</v>
      </c>
      <c r="B968" s="10" t="s">
        <v>9</v>
      </c>
      <c r="C968" s="10" t="s">
        <v>299</v>
      </c>
      <c r="D968" s="10" t="s">
        <v>300</v>
      </c>
      <c r="E968" s="11" t="str">
        <f>+HYPERLINK("http://trademark.i-assist.jp/data/china/image_1898th/78446199.pdf", "78446199")</f>
        <v>78446199</v>
      </c>
      <c r="F968" s="10" t="s">
        <v>3036</v>
      </c>
      <c r="G968" s="10" t="s">
        <v>3037</v>
      </c>
      <c r="H968" s="10" t="s">
        <v>3038</v>
      </c>
      <c r="I968" s="10" t="s">
        <v>193</v>
      </c>
    </row>
    <row r="969" spans="1:9" x14ac:dyDescent="0.15">
      <c r="A969" s="9">
        <v>968</v>
      </c>
      <c r="B969" s="10" t="s">
        <v>9</v>
      </c>
      <c r="C969" s="10" t="s">
        <v>299</v>
      </c>
      <c r="D969" s="10" t="s">
        <v>300</v>
      </c>
      <c r="E969" s="11" t="str">
        <f>+HYPERLINK("http://trademark.i-assist.jp/data/china/image_1898th/78446218.pdf", "78446218")</f>
        <v>78446218</v>
      </c>
      <c r="F969" s="10" t="s">
        <v>3039</v>
      </c>
      <c r="G969" s="10" t="s">
        <v>3040</v>
      </c>
      <c r="H969" s="10" t="s">
        <v>3041</v>
      </c>
      <c r="I969" s="10" t="s">
        <v>193</v>
      </c>
    </row>
    <row r="970" spans="1:9" x14ac:dyDescent="0.15">
      <c r="A970" s="9">
        <v>969</v>
      </c>
      <c r="B970" s="10" t="s">
        <v>9</v>
      </c>
      <c r="C970" s="10" t="s">
        <v>299</v>
      </c>
      <c r="D970" s="10" t="s">
        <v>300</v>
      </c>
      <c r="E970" s="11" t="str">
        <f>+HYPERLINK("http://trademark.i-assist.jp/data/china/image_1898th/78446371.pdf", "78446371")</f>
        <v>78446371</v>
      </c>
      <c r="F970" s="10" t="s">
        <v>3042</v>
      </c>
      <c r="G970" s="10" t="s">
        <v>3043</v>
      </c>
      <c r="H970" s="10" t="s">
        <v>3044</v>
      </c>
      <c r="I970" s="10" t="s">
        <v>154</v>
      </c>
    </row>
    <row r="971" spans="1:9" x14ac:dyDescent="0.15">
      <c r="A971" s="9">
        <v>970</v>
      </c>
      <c r="B971" s="10" t="s">
        <v>9</v>
      </c>
      <c r="C971" s="10" t="s">
        <v>299</v>
      </c>
      <c r="D971" s="10" t="s">
        <v>300</v>
      </c>
      <c r="E971" s="11" t="str">
        <f>+HYPERLINK("http://trademark.i-assist.jp/data/china/image_1898th/78446494.pdf", "78446494")</f>
        <v>78446494</v>
      </c>
      <c r="F971" s="10" t="s">
        <v>3045</v>
      </c>
      <c r="G971" s="10" t="s">
        <v>158</v>
      </c>
      <c r="H971" s="10" t="s">
        <v>149</v>
      </c>
      <c r="I971" s="10" t="s">
        <v>193</v>
      </c>
    </row>
    <row r="972" spans="1:9" x14ac:dyDescent="0.15">
      <c r="A972" s="9">
        <v>971</v>
      </c>
      <c r="B972" s="10" t="s">
        <v>9</v>
      </c>
      <c r="C972" s="10" t="s">
        <v>299</v>
      </c>
      <c r="D972" s="10" t="s">
        <v>300</v>
      </c>
      <c r="E972" s="11" t="str">
        <f>+HYPERLINK("http://trademark.i-assist.jp/data/china/image_1898th/78446735.pdf", "78446735")</f>
        <v>78446735</v>
      </c>
      <c r="F972" s="10" t="s">
        <v>3046</v>
      </c>
      <c r="G972" s="10" t="s">
        <v>3047</v>
      </c>
      <c r="H972" s="10" t="s">
        <v>3048</v>
      </c>
      <c r="I972" s="10" t="s">
        <v>193</v>
      </c>
    </row>
    <row r="973" spans="1:9" x14ac:dyDescent="0.15">
      <c r="A973" s="9">
        <v>972</v>
      </c>
      <c r="B973" s="10" t="s">
        <v>9</v>
      </c>
      <c r="C973" s="10" t="s">
        <v>299</v>
      </c>
      <c r="D973" s="10" t="s">
        <v>300</v>
      </c>
      <c r="E973" s="11" t="str">
        <f>+HYPERLINK("http://trademark.i-assist.jp/data/china/image_1898th/78446801.pdf", "78446801")</f>
        <v>78446801</v>
      </c>
      <c r="F973" s="10" t="s">
        <v>3049</v>
      </c>
      <c r="G973" s="10" t="s">
        <v>203</v>
      </c>
      <c r="H973" s="10" t="s">
        <v>3050</v>
      </c>
      <c r="I973" s="10" t="s">
        <v>193</v>
      </c>
    </row>
    <row r="974" spans="1:9" x14ac:dyDescent="0.15">
      <c r="A974" s="9">
        <v>973</v>
      </c>
      <c r="B974" s="10" t="s">
        <v>9</v>
      </c>
      <c r="C974" s="10" t="s">
        <v>299</v>
      </c>
      <c r="D974" s="10" t="s">
        <v>300</v>
      </c>
      <c r="E974" s="11" t="str">
        <f>+HYPERLINK("http://trademark.i-assist.jp/data/china/image_1898th/78446804.pdf", "78446804")</f>
        <v>78446804</v>
      </c>
      <c r="F974" s="10" t="s">
        <v>3051</v>
      </c>
      <c r="G974" s="10" t="s">
        <v>3052</v>
      </c>
      <c r="H974" s="10" t="s">
        <v>3053</v>
      </c>
      <c r="I974" s="10" t="s">
        <v>193</v>
      </c>
    </row>
    <row r="975" spans="1:9" x14ac:dyDescent="0.15">
      <c r="A975" s="9">
        <v>974</v>
      </c>
      <c r="B975" s="10" t="s">
        <v>9</v>
      </c>
      <c r="C975" s="10" t="s">
        <v>299</v>
      </c>
      <c r="D975" s="10" t="s">
        <v>300</v>
      </c>
      <c r="E975" s="11" t="str">
        <f>+HYPERLINK("http://trademark.i-assist.jp/data/china/image_1898th/78447188.pdf", "78447188")</f>
        <v>78447188</v>
      </c>
      <c r="F975" s="10" t="s">
        <v>3054</v>
      </c>
      <c r="G975" s="10" t="s">
        <v>3055</v>
      </c>
      <c r="H975" s="10" t="s">
        <v>3056</v>
      </c>
      <c r="I975" s="10" t="s">
        <v>154</v>
      </c>
    </row>
    <row r="976" spans="1:9" x14ac:dyDescent="0.15">
      <c r="A976" s="9">
        <v>975</v>
      </c>
      <c r="B976" s="10" t="s">
        <v>9</v>
      </c>
      <c r="C976" s="10" t="s">
        <v>299</v>
      </c>
      <c r="D976" s="10" t="s">
        <v>300</v>
      </c>
      <c r="E976" s="11" t="str">
        <f>+HYPERLINK("http://trademark.i-assist.jp/data/china/image_1898th/78447280.pdf", "78447280")</f>
        <v>78447280</v>
      </c>
      <c r="F976" s="10" t="s">
        <v>3057</v>
      </c>
      <c r="G976" s="10" t="s">
        <v>3058</v>
      </c>
      <c r="H976" s="10" t="s">
        <v>3059</v>
      </c>
      <c r="I976" s="10" t="s">
        <v>193</v>
      </c>
    </row>
    <row r="977" spans="1:9" x14ac:dyDescent="0.15">
      <c r="A977" s="9">
        <v>976</v>
      </c>
      <c r="B977" s="10" t="s">
        <v>9</v>
      </c>
      <c r="C977" s="10" t="s">
        <v>299</v>
      </c>
      <c r="D977" s="10" t="s">
        <v>300</v>
      </c>
      <c r="E977" s="11" t="str">
        <f>+HYPERLINK("http://trademark.i-assist.jp/data/china/image_1898th/78447302.pdf", "78447302")</f>
        <v>78447302</v>
      </c>
      <c r="F977" s="10" t="s">
        <v>3060</v>
      </c>
      <c r="G977" s="10" t="s">
        <v>3061</v>
      </c>
      <c r="H977" s="10" t="s">
        <v>3062</v>
      </c>
      <c r="I977" s="10" t="s">
        <v>193</v>
      </c>
    </row>
    <row r="978" spans="1:9" x14ac:dyDescent="0.15">
      <c r="A978" s="9">
        <v>977</v>
      </c>
      <c r="B978" s="10" t="s">
        <v>9</v>
      </c>
      <c r="C978" s="10" t="s">
        <v>299</v>
      </c>
      <c r="D978" s="10" t="s">
        <v>300</v>
      </c>
      <c r="E978" s="11" t="str">
        <f>+HYPERLINK("http://trademark.i-assist.jp/data/china/image_1898th/78447553.pdf", "78447553")</f>
        <v>78447553</v>
      </c>
      <c r="F978" s="10" t="s">
        <v>3063</v>
      </c>
      <c r="G978" s="10" t="s">
        <v>3064</v>
      </c>
      <c r="H978" s="10" t="s">
        <v>3065</v>
      </c>
      <c r="I978" s="10" t="s">
        <v>193</v>
      </c>
    </row>
    <row r="979" spans="1:9" x14ac:dyDescent="0.15">
      <c r="A979" s="9">
        <v>978</v>
      </c>
      <c r="B979" s="10" t="s">
        <v>9</v>
      </c>
      <c r="C979" s="10" t="s">
        <v>299</v>
      </c>
      <c r="D979" s="10" t="s">
        <v>300</v>
      </c>
      <c r="E979" s="11" t="str">
        <f>+HYPERLINK("http://trademark.i-assist.jp/data/china/image_1898th/78447622.pdf", "78447622")</f>
        <v>78447622</v>
      </c>
      <c r="F979" s="10" t="s">
        <v>3066</v>
      </c>
      <c r="G979" s="10" t="s">
        <v>3067</v>
      </c>
      <c r="H979" s="10" t="s">
        <v>3068</v>
      </c>
      <c r="I979" s="10" t="s">
        <v>193</v>
      </c>
    </row>
    <row r="980" spans="1:9" x14ac:dyDescent="0.15">
      <c r="A980" s="9">
        <v>979</v>
      </c>
      <c r="B980" s="10" t="s">
        <v>9</v>
      </c>
      <c r="C980" s="10" t="s">
        <v>299</v>
      </c>
      <c r="D980" s="10" t="s">
        <v>300</v>
      </c>
      <c r="E980" s="11" t="str">
        <f>+HYPERLINK("http://trademark.i-assist.jp/data/china/image_1898th/78447913.pdf", "78447913")</f>
        <v>78447913</v>
      </c>
      <c r="F980" s="10" t="s">
        <v>3069</v>
      </c>
      <c r="G980" s="10" t="s">
        <v>3070</v>
      </c>
      <c r="H980" s="10" t="s">
        <v>3071</v>
      </c>
      <c r="I980" s="10" t="s">
        <v>193</v>
      </c>
    </row>
    <row r="981" spans="1:9" x14ac:dyDescent="0.15">
      <c r="A981" s="9">
        <v>980</v>
      </c>
      <c r="B981" s="10" t="s">
        <v>9</v>
      </c>
      <c r="C981" s="10" t="s">
        <v>299</v>
      </c>
      <c r="D981" s="10" t="s">
        <v>300</v>
      </c>
      <c r="E981" s="11" t="str">
        <f>+HYPERLINK("http://trademark.i-assist.jp/data/china/image_1898th/78448534.pdf", "78448534")</f>
        <v>78448534</v>
      </c>
      <c r="F981" s="10" t="s">
        <v>3072</v>
      </c>
      <c r="G981" s="10" t="s">
        <v>3073</v>
      </c>
      <c r="H981" s="10" t="s">
        <v>3074</v>
      </c>
      <c r="I981" s="10" t="s">
        <v>154</v>
      </c>
    </row>
    <row r="982" spans="1:9" x14ac:dyDescent="0.15">
      <c r="A982" s="9">
        <v>981</v>
      </c>
      <c r="B982" s="10" t="s">
        <v>9</v>
      </c>
      <c r="C982" s="10" t="s">
        <v>299</v>
      </c>
      <c r="D982" s="10" t="s">
        <v>300</v>
      </c>
      <c r="E982" s="11" t="str">
        <f>+HYPERLINK("http://trademark.i-assist.jp/data/china/image_1898th/78448705.pdf", "78448705")</f>
        <v>78448705</v>
      </c>
      <c r="F982" s="10" t="s">
        <v>3075</v>
      </c>
      <c r="G982" s="10" t="s">
        <v>3076</v>
      </c>
      <c r="H982" s="10" t="s">
        <v>3077</v>
      </c>
      <c r="I982" s="10" t="s">
        <v>154</v>
      </c>
    </row>
    <row r="983" spans="1:9" x14ac:dyDescent="0.15">
      <c r="A983" s="9">
        <v>982</v>
      </c>
      <c r="B983" s="10" t="s">
        <v>9</v>
      </c>
      <c r="C983" s="10" t="s">
        <v>299</v>
      </c>
      <c r="D983" s="10" t="s">
        <v>300</v>
      </c>
      <c r="E983" s="11" t="str">
        <f>+HYPERLINK("http://trademark.i-assist.jp/data/china/image_1898th/78448731.pdf", "78448731")</f>
        <v>78448731</v>
      </c>
      <c r="F983" s="10" t="s">
        <v>3078</v>
      </c>
      <c r="G983" s="10" t="s">
        <v>1194</v>
      </c>
      <c r="H983" s="10" t="s">
        <v>3079</v>
      </c>
      <c r="I983" s="10" t="s">
        <v>154</v>
      </c>
    </row>
    <row r="984" spans="1:9" x14ac:dyDescent="0.15">
      <c r="A984" s="9">
        <v>983</v>
      </c>
      <c r="B984" s="10" t="s">
        <v>9</v>
      </c>
      <c r="C984" s="10" t="s">
        <v>299</v>
      </c>
      <c r="D984" s="10" t="s">
        <v>300</v>
      </c>
      <c r="E984" s="11" t="str">
        <f>+HYPERLINK("http://trademark.i-assist.jp/data/china/image_1898th/78448847.pdf", "78448847")</f>
        <v>78448847</v>
      </c>
      <c r="F984" s="10" t="s">
        <v>3080</v>
      </c>
      <c r="G984" s="10" t="s">
        <v>1194</v>
      </c>
      <c r="H984" s="10" t="s">
        <v>3081</v>
      </c>
      <c r="I984" s="10" t="s">
        <v>154</v>
      </c>
    </row>
    <row r="985" spans="1:9" x14ac:dyDescent="0.15">
      <c r="A985" s="9">
        <v>984</v>
      </c>
      <c r="B985" s="10" t="s">
        <v>9</v>
      </c>
      <c r="C985" s="10" t="s">
        <v>299</v>
      </c>
      <c r="D985" s="10" t="s">
        <v>300</v>
      </c>
      <c r="E985" s="11" t="str">
        <f>+HYPERLINK("http://trademark.i-assist.jp/data/china/image_1898th/78449588.pdf", "78449588")</f>
        <v>78449588</v>
      </c>
      <c r="F985" s="10" t="s">
        <v>3082</v>
      </c>
      <c r="G985" s="10" t="s">
        <v>214</v>
      </c>
      <c r="H985" s="10" t="s">
        <v>3083</v>
      </c>
      <c r="I985" s="10" t="s">
        <v>154</v>
      </c>
    </row>
    <row r="986" spans="1:9" x14ac:dyDescent="0.15">
      <c r="A986" s="9">
        <v>985</v>
      </c>
      <c r="B986" s="10" t="s">
        <v>9</v>
      </c>
      <c r="C986" s="10" t="s">
        <v>299</v>
      </c>
      <c r="D986" s="10" t="s">
        <v>300</v>
      </c>
      <c r="E986" s="11" t="str">
        <f>+HYPERLINK("http://trademark.i-assist.jp/data/china/image_1898th/78449642.pdf", "78449642")</f>
        <v>78449642</v>
      </c>
      <c r="F986" s="10" t="s">
        <v>3084</v>
      </c>
      <c r="G986" s="10" t="s">
        <v>1194</v>
      </c>
      <c r="H986" s="10" t="s">
        <v>3085</v>
      </c>
      <c r="I986" s="10" t="s">
        <v>154</v>
      </c>
    </row>
    <row r="987" spans="1:9" x14ac:dyDescent="0.15">
      <c r="A987" s="9">
        <v>986</v>
      </c>
      <c r="B987" s="10" t="s">
        <v>9</v>
      </c>
      <c r="C987" s="10" t="s">
        <v>299</v>
      </c>
      <c r="D987" s="10" t="s">
        <v>300</v>
      </c>
      <c r="E987" s="11" t="str">
        <f>+HYPERLINK("http://trademark.i-assist.jp/data/china/image_1898th/78449672.pdf", "78449672")</f>
        <v>78449672</v>
      </c>
      <c r="F987" s="10" t="s">
        <v>3086</v>
      </c>
      <c r="G987" s="10" t="s">
        <v>1194</v>
      </c>
      <c r="H987" s="10" t="s">
        <v>3087</v>
      </c>
      <c r="I987" s="10" t="s">
        <v>154</v>
      </c>
    </row>
    <row r="988" spans="1:9" x14ac:dyDescent="0.15">
      <c r="A988" s="9">
        <v>987</v>
      </c>
      <c r="B988" s="10" t="s">
        <v>9</v>
      </c>
      <c r="C988" s="10" t="s">
        <v>299</v>
      </c>
      <c r="D988" s="10" t="s">
        <v>300</v>
      </c>
      <c r="E988" s="11" t="str">
        <f>+HYPERLINK("http://trademark.i-assist.jp/data/china/image_1898th/78449752.pdf", "78449752")</f>
        <v>78449752</v>
      </c>
      <c r="F988" s="10" t="s">
        <v>3088</v>
      </c>
      <c r="G988" s="10" t="s">
        <v>219</v>
      </c>
      <c r="H988" s="10" t="s">
        <v>3089</v>
      </c>
      <c r="I988" s="10" t="s">
        <v>154</v>
      </c>
    </row>
    <row r="989" spans="1:9" x14ac:dyDescent="0.15">
      <c r="A989" s="9">
        <v>988</v>
      </c>
      <c r="B989" s="10" t="s">
        <v>9</v>
      </c>
      <c r="C989" s="10" t="s">
        <v>299</v>
      </c>
      <c r="D989" s="10" t="s">
        <v>300</v>
      </c>
      <c r="E989" s="11" t="str">
        <f>+HYPERLINK("http://trademark.i-assist.jp/data/china/image_1898th/78449903.pdf", "78449903")</f>
        <v>78449903</v>
      </c>
      <c r="F989" s="10" t="s">
        <v>3090</v>
      </c>
      <c r="G989" s="10" t="s">
        <v>1208</v>
      </c>
      <c r="H989" s="10" t="s">
        <v>3091</v>
      </c>
      <c r="I989" s="10" t="s">
        <v>154</v>
      </c>
    </row>
    <row r="990" spans="1:9" x14ac:dyDescent="0.15">
      <c r="A990" s="9">
        <v>989</v>
      </c>
      <c r="B990" s="10" t="s">
        <v>9</v>
      </c>
      <c r="C990" s="10" t="s">
        <v>299</v>
      </c>
      <c r="D990" s="10" t="s">
        <v>300</v>
      </c>
      <c r="E990" s="11" t="str">
        <f>+HYPERLINK("http://trademark.i-assist.jp/data/china/image_1898th/78449907.pdf", "78449907")</f>
        <v>78449907</v>
      </c>
      <c r="F990" s="10" t="s">
        <v>19</v>
      </c>
      <c r="G990" s="10" t="s">
        <v>3092</v>
      </c>
      <c r="H990" s="10" t="s">
        <v>3093</v>
      </c>
      <c r="I990" s="10" t="s">
        <v>154</v>
      </c>
    </row>
    <row r="991" spans="1:9" x14ac:dyDescent="0.15">
      <c r="A991" s="9">
        <v>990</v>
      </c>
      <c r="B991" s="10" t="s">
        <v>9</v>
      </c>
      <c r="C991" s="10" t="s">
        <v>299</v>
      </c>
      <c r="D991" s="10" t="s">
        <v>300</v>
      </c>
      <c r="E991" s="11" t="str">
        <f>+HYPERLINK("http://trademark.i-assist.jp/data/china/image_1898th/78450266.pdf", "78450266")</f>
        <v>78450266</v>
      </c>
      <c r="F991" s="10" t="s">
        <v>3094</v>
      </c>
      <c r="G991" s="10" t="s">
        <v>3095</v>
      </c>
      <c r="H991" s="10" t="s">
        <v>3096</v>
      </c>
      <c r="I991" s="10" t="s">
        <v>154</v>
      </c>
    </row>
    <row r="992" spans="1:9" x14ac:dyDescent="0.15">
      <c r="A992" s="9">
        <v>991</v>
      </c>
      <c r="B992" s="10" t="s">
        <v>9</v>
      </c>
      <c r="C992" s="10" t="s">
        <v>299</v>
      </c>
      <c r="D992" s="10" t="s">
        <v>300</v>
      </c>
      <c r="E992" s="11" t="str">
        <f>+HYPERLINK("http://trademark.i-assist.jp/data/china/image_1898th/78450591.pdf", "78450591")</f>
        <v>78450591</v>
      </c>
      <c r="F992" s="10" t="s">
        <v>3097</v>
      </c>
      <c r="G992" s="10" t="s">
        <v>158</v>
      </c>
      <c r="H992" s="10" t="s">
        <v>149</v>
      </c>
      <c r="I992" s="10" t="s">
        <v>193</v>
      </c>
    </row>
    <row r="993" spans="1:9" x14ac:dyDescent="0.15">
      <c r="A993" s="9">
        <v>992</v>
      </c>
      <c r="B993" s="10" t="s">
        <v>9</v>
      </c>
      <c r="C993" s="10" t="s">
        <v>299</v>
      </c>
      <c r="D993" s="10" t="s">
        <v>300</v>
      </c>
      <c r="E993" s="11" t="str">
        <f>+HYPERLINK("http://trademark.i-assist.jp/data/china/image_1898th/78451432.pdf", "78451432")</f>
        <v>78451432</v>
      </c>
      <c r="F993" s="10" t="s">
        <v>3098</v>
      </c>
      <c r="G993" s="10" t="s">
        <v>3099</v>
      </c>
      <c r="H993" s="10" t="s">
        <v>3100</v>
      </c>
      <c r="I993" s="10" t="s">
        <v>193</v>
      </c>
    </row>
    <row r="994" spans="1:9" x14ac:dyDescent="0.15">
      <c r="A994" s="9">
        <v>993</v>
      </c>
      <c r="B994" s="10" t="s">
        <v>9</v>
      </c>
      <c r="C994" s="10" t="s">
        <v>299</v>
      </c>
      <c r="D994" s="10" t="s">
        <v>300</v>
      </c>
      <c r="E994" s="11" t="str">
        <f>+HYPERLINK("http://trademark.i-assist.jp/data/china/image_1898th/78451662.pdf", "78451662")</f>
        <v>78451662</v>
      </c>
      <c r="F994" s="10" t="s">
        <v>3101</v>
      </c>
      <c r="G994" s="10" t="s">
        <v>3102</v>
      </c>
      <c r="H994" s="10" t="s">
        <v>3103</v>
      </c>
      <c r="I994" s="10" t="s">
        <v>154</v>
      </c>
    </row>
    <row r="995" spans="1:9" x14ac:dyDescent="0.15">
      <c r="A995" s="9">
        <v>994</v>
      </c>
      <c r="B995" s="10" t="s">
        <v>9</v>
      </c>
      <c r="C995" s="10" t="s">
        <v>299</v>
      </c>
      <c r="D995" s="10" t="s">
        <v>300</v>
      </c>
      <c r="E995" s="11" t="str">
        <f>+HYPERLINK("http://trademark.i-assist.jp/data/china/image_1898th/78451818.pdf", "78451818")</f>
        <v>78451818</v>
      </c>
      <c r="F995" s="10" t="s">
        <v>3104</v>
      </c>
      <c r="G995" s="10" t="s">
        <v>161</v>
      </c>
      <c r="H995" s="10" t="s">
        <v>3105</v>
      </c>
      <c r="I995" s="10" t="s">
        <v>193</v>
      </c>
    </row>
    <row r="996" spans="1:9" x14ac:dyDescent="0.15">
      <c r="A996" s="9">
        <v>995</v>
      </c>
      <c r="B996" s="10" t="s">
        <v>9</v>
      </c>
      <c r="C996" s="10" t="s">
        <v>299</v>
      </c>
      <c r="D996" s="10" t="s">
        <v>300</v>
      </c>
      <c r="E996" s="11" t="str">
        <f>+HYPERLINK("http://trademark.i-assist.jp/data/china/image_1898th/78452015.pdf", "78452015")</f>
        <v>78452015</v>
      </c>
      <c r="F996" s="10" t="s">
        <v>3106</v>
      </c>
      <c r="G996" s="10" t="s">
        <v>3095</v>
      </c>
      <c r="H996" s="10" t="s">
        <v>3107</v>
      </c>
      <c r="I996" s="10" t="s">
        <v>154</v>
      </c>
    </row>
    <row r="997" spans="1:9" x14ac:dyDescent="0.15">
      <c r="A997" s="9">
        <v>996</v>
      </c>
      <c r="B997" s="10" t="s">
        <v>9</v>
      </c>
      <c r="C997" s="10" t="s">
        <v>299</v>
      </c>
      <c r="D997" s="10" t="s">
        <v>300</v>
      </c>
      <c r="E997" s="11" t="str">
        <f>+HYPERLINK("http://trademark.i-assist.jp/data/china/image_1898th/78452707.pdf", "78452707")</f>
        <v>78452707</v>
      </c>
      <c r="F997" s="10" t="s">
        <v>3108</v>
      </c>
      <c r="G997" s="10" t="s">
        <v>3109</v>
      </c>
      <c r="H997" s="10" t="s">
        <v>3110</v>
      </c>
      <c r="I997" s="10" t="s">
        <v>193</v>
      </c>
    </row>
    <row r="998" spans="1:9" x14ac:dyDescent="0.15">
      <c r="A998" s="9">
        <v>997</v>
      </c>
      <c r="B998" s="10" t="s">
        <v>9</v>
      </c>
      <c r="C998" s="10" t="s">
        <v>299</v>
      </c>
      <c r="D998" s="10" t="s">
        <v>300</v>
      </c>
      <c r="E998" s="11" t="str">
        <f>+HYPERLINK("http://trademark.i-assist.jp/data/china/image_1898th/78453120.pdf", "78453120")</f>
        <v>78453120</v>
      </c>
      <c r="F998" s="10" t="s">
        <v>3111</v>
      </c>
      <c r="G998" s="10" t="s">
        <v>1208</v>
      </c>
      <c r="H998" s="10" t="s">
        <v>3112</v>
      </c>
      <c r="I998" s="10" t="s">
        <v>154</v>
      </c>
    </row>
    <row r="999" spans="1:9" x14ac:dyDescent="0.15">
      <c r="A999" s="9">
        <v>998</v>
      </c>
      <c r="B999" s="10" t="s">
        <v>9</v>
      </c>
      <c r="C999" s="10" t="s">
        <v>299</v>
      </c>
      <c r="D999" s="10" t="s">
        <v>300</v>
      </c>
      <c r="E999" s="11" t="str">
        <f>+HYPERLINK("http://trademark.i-assist.jp/data/china/image_1898th/78453136.pdf", "78453136")</f>
        <v>78453136</v>
      </c>
      <c r="F999" s="10" t="s">
        <v>3113</v>
      </c>
      <c r="G999" s="10" t="s">
        <v>169</v>
      </c>
      <c r="H999" s="10" t="s">
        <v>3114</v>
      </c>
      <c r="I999" s="10" t="s">
        <v>154</v>
      </c>
    </row>
    <row r="1000" spans="1:9" x14ac:dyDescent="0.15">
      <c r="A1000" s="9">
        <v>999</v>
      </c>
      <c r="B1000" s="10" t="s">
        <v>9</v>
      </c>
      <c r="C1000" s="10" t="s">
        <v>299</v>
      </c>
      <c r="D1000" s="10" t="s">
        <v>300</v>
      </c>
      <c r="E1000" s="11" t="str">
        <f>+HYPERLINK("http://trademark.i-assist.jp/data/china/image_1898th/78453152.pdf", "78453152")</f>
        <v>78453152</v>
      </c>
      <c r="F1000" s="10" t="s">
        <v>3115</v>
      </c>
      <c r="G1000" s="10" t="s">
        <v>1208</v>
      </c>
      <c r="H1000" s="10" t="s">
        <v>3116</v>
      </c>
      <c r="I1000" s="10" t="s">
        <v>154</v>
      </c>
    </row>
    <row r="1001" spans="1:9" x14ac:dyDescent="0.15">
      <c r="A1001" s="9">
        <v>1000</v>
      </c>
      <c r="B1001" s="10" t="s">
        <v>9</v>
      </c>
      <c r="C1001" s="10" t="s">
        <v>299</v>
      </c>
      <c r="D1001" s="10" t="s">
        <v>300</v>
      </c>
      <c r="E1001" s="11" t="str">
        <f>+HYPERLINK("http://trademark.i-assist.jp/data/china/image_1898th/78453154.pdf", "78453154")</f>
        <v>78453154</v>
      </c>
      <c r="F1001" s="10" t="s">
        <v>3117</v>
      </c>
      <c r="G1001" s="10" t="s">
        <v>169</v>
      </c>
      <c r="H1001" s="10" t="s">
        <v>3118</v>
      </c>
      <c r="I1001" s="10" t="s">
        <v>154</v>
      </c>
    </row>
    <row r="1002" spans="1:9" x14ac:dyDescent="0.15">
      <c r="A1002" s="9">
        <v>1001</v>
      </c>
      <c r="B1002" s="10" t="s">
        <v>9</v>
      </c>
      <c r="C1002" s="10" t="s">
        <v>299</v>
      </c>
      <c r="D1002" s="10" t="s">
        <v>300</v>
      </c>
      <c r="E1002" s="11" t="str">
        <f>+HYPERLINK("http://trademark.i-assist.jp/data/china/image_1898th/78453472.pdf", "78453472")</f>
        <v>78453472</v>
      </c>
      <c r="F1002" s="10" t="s">
        <v>3119</v>
      </c>
      <c r="G1002" s="10" t="s">
        <v>212</v>
      </c>
      <c r="H1002" s="10" t="s">
        <v>3120</v>
      </c>
      <c r="I1002" s="10" t="s">
        <v>154</v>
      </c>
    </row>
    <row r="1003" spans="1:9" x14ac:dyDescent="0.15">
      <c r="A1003" s="9">
        <v>1002</v>
      </c>
      <c r="B1003" s="10" t="s">
        <v>9</v>
      </c>
      <c r="C1003" s="10" t="s">
        <v>299</v>
      </c>
      <c r="D1003" s="10" t="s">
        <v>300</v>
      </c>
      <c r="E1003" s="11" t="str">
        <f>+HYPERLINK("http://trademark.i-assist.jp/data/china/image_1898th/78453599.pdf", "78453599")</f>
        <v>78453599</v>
      </c>
      <c r="F1003" s="10" t="s">
        <v>3121</v>
      </c>
      <c r="G1003" s="10" t="s">
        <v>77</v>
      </c>
      <c r="H1003" s="10" t="s">
        <v>3122</v>
      </c>
      <c r="I1003" s="10" t="s">
        <v>154</v>
      </c>
    </row>
    <row r="1004" spans="1:9" x14ac:dyDescent="0.15">
      <c r="A1004" s="9">
        <v>1003</v>
      </c>
      <c r="B1004" s="10" t="s">
        <v>9</v>
      </c>
      <c r="C1004" s="10" t="s">
        <v>299</v>
      </c>
      <c r="D1004" s="10" t="s">
        <v>300</v>
      </c>
      <c r="E1004" s="11" t="str">
        <f>+HYPERLINK("http://trademark.i-assist.jp/data/china/image_1898th/78453877.pdf", "78453877")</f>
        <v>78453877</v>
      </c>
      <c r="F1004" s="10" t="s">
        <v>3123</v>
      </c>
      <c r="G1004" s="10" t="s">
        <v>3124</v>
      </c>
      <c r="H1004" s="10" t="s">
        <v>3125</v>
      </c>
      <c r="I1004" s="10" t="s">
        <v>154</v>
      </c>
    </row>
    <row r="1005" spans="1:9" x14ac:dyDescent="0.15">
      <c r="A1005" s="9">
        <v>1004</v>
      </c>
      <c r="B1005" s="10" t="s">
        <v>9</v>
      </c>
      <c r="C1005" s="10" t="s">
        <v>299</v>
      </c>
      <c r="D1005" s="10" t="s">
        <v>300</v>
      </c>
      <c r="E1005" s="11" t="str">
        <f>+HYPERLINK("http://trademark.i-assist.jp/data/china/image_1898th/78454344.pdf", "78454344")</f>
        <v>78454344</v>
      </c>
      <c r="F1005" s="10" t="s">
        <v>3126</v>
      </c>
      <c r="G1005" s="10" t="s">
        <v>77</v>
      </c>
      <c r="H1005" s="10" t="s">
        <v>3127</v>
      </c>
      <c r="I1005" s="10" t="s">
        <v>154</v>
      </c>
    </row>
    <row r="1006" spans="1:9" x14ac:dyDescent="0.15">
      <c r="A1006" s="9">
        <v>1005</v>
      </c>
      <c r="B1006" s="10" t="s">
        <v>9</v>
      </c>
      <c r="C1006" s="10" t="s">
        <v>299</v>
      </c>
      <c r="D1006" s="10" t="s">
        <v>300</v>
      </c>
      <c r="E1006" s="11" t="str">
        <f>+HYPERLINK("http://trademark.i-assist.jp/data/china/image_1898th/78454359.pdf", "78454359")</f>
        <v>78454359</v>
      </c>
      <c r="F1006" s="10" t="s">
        <v>3128</v>
      </c>
      <c r="G1006" s="10" t="s">
        <v>3129</v>
      </c>
      <c r="H1006" s="10" t="s">
        <v>3130</v>
      </c>
      <c r="I1006" s="10" t="s">
        <v>154</v>
      </c>
    </row>
    <row r="1007" spans="1:9" x14ac:dyDescent="0.15">
      <c r="A1007" s="9">
        <v>1006</v>
      </c>
      <c r="B1007" s="10" t="s">
        <v>9</v>
      </c>
      <c r="C1007" s="10" t="s">
        <v>299</v>
      </c>
      <c r="D1007" s="10" t="s">
        <v>300</v>
      </c>
      <c r="E1007" s="11" t="str">
        <f>+HYPERLINK("http://trademark.i-assist.jp/data/china/image_1898th/78454525.pdf", "78454525")</f>
        <v>78454525</v>
      </c>
      <c r="F1007" s="10" t="s">
        <v>3131</v>
      </c>
      <c r="G1007" s="10" t="s">
        <v>3132</v>
      </c>
      <c r="H1007" s="10" t="s">
        <v>3133</v>
      </c>
      <c r="I1007" s="10" t="s">
        <v>154</v>
      </c>
    </row>
    <row r="1008" spans="1:9" x14ac:dyDescent="0.15">
      <c r="A1008" s="9">
        <v>1007</v>
      </c>
      <c r="B1008" s="10" t="s">
        <v>9</v>
      </c>
      <c r="C1008" s="10" t="s">
        <v>299</v>
      </c>
      <c r="D1008" s="10" t="s">
        <v>300</v>
      </c>
      <c r="E1008" s="11" t="str">
        <f>+HYPERLINK("http://trademark.i-assist.jp/data/china/image_1898th/78455690.pdf", "78455690")</f>
        <v>78455690</v>
      </c>
      <c r="F1008" s="10" t="s">
        <v>3134</v>
      </c>
      <c r="G1008" s="10" t="s">
        <v>3135</v>
      </c>
      <c r="H1008" s="10" t="s">
        <v>3136</v>
      </c>
      <c r="I1008" s="10" t="s">
        <v>213</v>
      </c>
    </row>
    <row r="1009" spans="1:9" x14ac:dyDescent="0.15">
      <c r="A1009" s="9">
        <v>1008</v>
      </c>
      <c r="B1009" s="10" t="s">
        <v>9</v>
      </c>
      <c r="C1009" s="10" t="s">
        <v>299</v>
      </c>
      <c r="D1009" s="10" t="s">
        <v>300</v>
      </c>
      <c r="E1009" s="11" t="str">
        <f>+HYPERLINK("http://trademark.i-assist.jp/data/china/image_1898th/78455734.pdf", "78455734")</f>
        <v>78455734</v>
      </c>
      <c r="F1009" s="10" t="s">
        <v>3137</v>
      </c>
      <c r="G1009" s="10" t="s">
        <v>3138</v>
      </c>
      <c r="H1009" s="10" t="s">
        <v>3139</v>
      </c>
      <c r="I1009" s="10" t="s">
        <v>213</v>
      </c>
    </row>
    <row r="1010" spans="1:9" x14ac:dyDescent="0.15">
      <c r="A1010" s="9">
        <v>1009</v>
      </c>
      <c r="B1010" s="10" t="s">
        <v>9</v>
      </c>
      <c r="C1010" s="10" t="s">
        <v>299</v>
      </c>
      <c r="D1010" s="10" t="s">
        <v>300</v>
      </c>
      <c r="E1010" s="11" t="str">
        <f>+HYPERLINK("http://trademark.i-assist.jp/data/china/image_1898th/78455806.pdf", "78455806")</f>
        <v>78455806</v>
      </c>
      <c r="F1010" s="10" t="s">
        <v>3140</v>
      </c>
      <c r="G1010" s="10" t="s">
        <v>3138</v>
      </c>
      <c r="H1010" s="10" t="s">
        <v>3141</v>
      </c>
      <c r="I1010" s="10" t="s">
        <v>213</v>
      </c>
    </row>
    <row r="1011" spans="1:9" x14ac:dyDescent="0.15">
      <c r="A1011" s="9">
        <v>1010</v>
      </c>
      <c r="B1011" s="10" t="s">
        <v>9</v>
      </c>
      <c r="C1011" s="10" t="s">
        <v>299</v>
      </c>
      <c r="D1011" s="10" t="s">
        <v>300</v>
      </c>
      <c r="E1011" s="11" t="str">
        <f>+HYPERLINK("http://trademark.i-assist.jp/data/china/image_1898th/78456258.pdf", "78456258")</f>
        <v>78456258</v>
      </c>
      <c r="F1011" s="10" t="s">
        <v>3142</v>
      </c>
      <c r="G1011" s="10" t="s">
        <v>3143</v>
      </c>
      <c r="H1011" s="10" t="s">
        <v>3144</v>
      </c>
      <c r="I1011" s="10" t="s">
        <v>213</v>
      </c>
    </row>
    <row r="1012" spans="1:9" x14ac:dyDescent="0.15">
      <c r="A1012" s="9">
        <v>1011</v>
      </c>
      <c r="B1012" s="10" t="s">
        <v>9</v>
      </c>
      <c r="C1012" s="10" t="s">
        <v>299</v>
      </c>
      <c r="D1012" s="10" t="s">
        <v>300</v>
      </c>
      <c r="E1012" s="11" t="str">
        <f>+HYPERLINK("http://trademark.i-assist.jp/data/china/image_1898th/78456311.pdf", "78456311")</f>
        <v>78456311</v>
      </c>
      <c r="F1012" s="10" t="s">
        <v>3145</v>
      </c>
      <c r="G1012" s="10" t="s">
        <v>3146</v>
      </c>
      <c r="H1012" s="10" t="s">
        <v>3147</v>
      </c>
      <c r="I1012" s="10" t="s">
        <v>213</v>
      </c>
    </row>
    <row r="1013" spans="1:9" x14ac:dyDescent="0.15">
      <c r="A1013" s="9">
        <v>1012</v>
      </c>
      <c r="B1013" s="10" t="s">
        <v>9</v>
      </c>
      <c r="C1013" s="10" t="s">
        <v>299</v>
      </c>
      <c r="D1013" s="10" t="s">
        <v>300</v>
      </c>
      <c r="E1013" s="11" t="str">
        <f>+HYPERLINK("http://trademark.i-assist.jp/data/china/image_1898th/78457097.pdf", "78457097")</f>
        <v>78457097</v>
      </c>
      <c r="F1013" s="10" t="s">
        <v>3148</v>
      </c>
      <c r="G1013" s="10" t="s">
        <v>3149</v>
      </c>
      <c r="H1013" s="10" t="s">
        <v>3150</v>
      </c>
      <c r="I1013" s="10" t="s">
        <v>213</v>
      </c>
    </row>
    <row r="1014" spans="1:9" x14ac:dyDescent="0.15">
      <c r="A1014" s="9">
        <v>1013</v>
      </c>
      <c r="B1014" s="10" t="s">
        <v>9</v>
      </c>
      <c r="C1014" s="10" t="s">
        <v>299</v>
      </c>
      <c r="D1014" s="10" t="s">
        <v>300</v>
      </c>
      <c r="E1014" s="11" t="str">
        <f>+HYPERLINK("http://trademark.i-assist.jp/data/china/image_1898th/78457305.pdf", "78457305")</f>
        <v>78457305</v>
      </c>
      <c r="F1014" s="10" t="s">
        <v>3151</v>
      </c>
      <c r="G1014" s="10" t="s">
        <v>928</v>
      </c>
      <c r="H1014" s="10" t="s">
        <v>3152</v>
      </c>
      <c r="I1014" s="10" t="s">
        <v>213</v>
      </c>
    </row>
    <row r="1015" spans="1:9" x14ac:dyDescent="0.15">
      <c r="A1015" s="9">
        <v>1014</v>
      </c>
      <c r="B1015" s="10" t="s">
        <v>9</v>
      </c>
      <c r="C1015" s="10" t="s">
        <v>299</v>
      </c>
      <c r="D1015" s="10" t="s">
        <v>300</v>
      </c>
      <c r="E1015" s="11" t="str">
        <f>+HYPERLINK("http://trademark.i-assist.jp/data/china/image_1898th/78457539.pdf", "78457539")</f>
        <v>78457539</v>
      </c>
      <c r="F1015" s="10" t="s">
        <v>3153</v>
      </c>
      <c r="G1015" s="10" t="s">
        <v>210</v>
      </c>
      <c r="H1015" s="10" t="s">
        <v>3154</v>
      </c>
      <c r="I1015" s="10" t="s">
        <v>213</v>
      </c>
    </row>
    <row r="1016" spans="1:9" x14ac:dyDescent="0.15">
      <c r="A1016" s="9">
        <v>1015</v>
      </c>
      <c r="B1016" s="10" t="s">
        <v>9</v>
      </c>
      <c r="C1016" s="10" t="s">
        <v>299</v>
      </c>
      <c r="D1016" s="10" t="s">
        <v>300</v>
      </c>
      <c r="E1016" s="11" t="str">
        <f>+HYPERLINK("http://trademark.i-assist.jp/data/china/image_1898th/78457772.pdf", "78457772")</f>
        <v>78457772</v>
      </c>
      <c r="F1016" s="10" t="s">
        <v>3155</v>
      </c>
      <c r="G1016" s="10" t="s">
        <v>3156</v>
      </c>
      <c r="H1016" s="10" t="s">
        <v>3157</v>
      </c>
      <c r="I1016" s="10" t="s">
        <v>213</v>
      </c>
    </row>
    <row r="1017" spans="1:9" x14ac:dyDescent="0.15">
      <c r="A1017" s="9">
        <v>1016</v>
      </c>
      <c r="B1017" s="10" t="s">
        <v>9</v>
      </c>
      <c r="C1017" s="10" t="s">
        <v>299</v>
      </c>
      <c r="D1017" s="10" t="s">
        <v>300</v>
      </c>
      <c r="E1017" s="11" t="str">
        <f>+HYPERLINK("http://trademark.i-assist.jp/data/china/image_1898th/78457852.pdf", "78457852")</f>
        <v>78457852</v>
      </c>
      <c r="F1017" s="10" t="s">
        <v>3158</v>
      </c>
      <c r="G1017" s="10" t="s">
        <v>135</v>
      </c>
      <c r="H1017" s="10" t="s">
        <v>3159</v>
      </c>
      <c r="I1017" s="10" t="s">
        <v>213</v>
      </c>
    </row>
    <row r="1018" spans="1:9" x14ac:dyDescent="0.15">
      <c r="A1018" s="9">
        <v>1017</v>
      </c>
      <c r="B1018" s="10" t="s">
        <v>9</v>
      </c>
      <c r="C1018" s="10" t="s">
        <v>299</v>
      </c>
      <c r="D1018" s="10" t="s">
        <v>300</v>
      </c>
      <c r="E1018" s="11" t="str">
        <f>+HYPERLINK("http://trademark.i-assist.jp/data/china/image_1898th/78457936.pdf", "78457936")</f>
        <v>78457936</v>
      </c>
      <c r="F1018" s="10" t="s">
        <v>3160</v>
      </c>
      <c r="G1018" s="10" t="s">
        <v>3161</v>
      </c>
      <c r="H1018" s="10" t="s">
        <v>3162</v>
      </c>
      <c r="I1018" s="10" t="s">
        <v>213</v>
      </c>
    </row>
    <row r="1019" spans="1:9" x14ac:dyDescent="0.15">
      <c r="A1019" s="9">
        <v>1018</v>
      </c>
      <c r="B1019" s="10" t="s">
        <v>9</v>
      </c>
      <c r="C1019" s="10" t="s">
        <v>299</v>
      </c>
      <c r="D1019" s="10" t="s">
        <v>300</v>
      </c>
      <c r="E1019" s="11" t="str">
        <f>+HYPERLINK("http://trademark.i-assist.jp/data/china/image_1898th/78458813.pdf", "78458813")</f>
        <v>78458813</v>
      </c>
      <c r="F1019" s="10" t="s">
        <v>3163</v>
      </c>
      <c r="G1019" s="10" t="s">
        <v>3138</v>
      </c>
      <c r="H1019" s="10" t="s">
        <v>3164</v>
      </c>
      <c r="I1019" s="10" t="s">
        <v>213</v>
      </c>
    </row>
    <row r="1020" spans="1:9" x14ac:dyDescent="0.15">
      <c r="A1020" s="9">
        <v>1019</v>
      </c>
      <c r="B1020" s="10" t="s">
        <v>9</v>
      </c>
      <c r="C1020" s="10" t="s">
        <v>299</v>
      </c>
      <c r="D1020" s="10" t="s">
        <v>300</v>
      </c>
      <c r="E1020" s="11" t="str">
        <f>+HYPERLINK("http://trademark.i-assist.jp/data/china/image_1898th/78459055.pdf", "78459055")</f>
        <v>78459055</v>
      </c>
      <c r="F1020" s="10" t="s">
        <v>3165</v>
      </c>
      <c r="G1020" s="10" t="s">
        <v>3166</v>
      </c>
      <c r="H1020" s="10" t="s">
        <v>3167</v>
      </c>
      <c r="I1020" s="10" t="s">
        <v>213</v>
      </c>
    </row>
    <row r="1021" spans="1:9" x14ac:dyDescent="0.15">
      <c r="A1021" s="9">
        <v>1020</v>
      </c>
      <c r="B1021" s="10" t="s">
        <v>9</v>
      </c>
      <c r="C1021" s="10" t="s">
        <v>299</v>
      </c>
      <c r="D1021" s="10" t="s">
        <v>300</v>
      </c>
      <c r="E1021" s="11" t="str">
        <f>+HYPERLINK("http://trademark.i-assist.jp/data/china/image_1898th/78459785.pdf", "78459785")</f>
        <v>78459785</v>
      </c>
      <c r="F1021" s="10" t="s">
        <v>3168</v>
      </c>
      <c r="G1021" s="10" t="s">
        <v>3161</v>
      </c>
      <c r="H1021" s="10" t="s">
        <v>3169</v>
      </c>
      <c r="I1021" s="10" t="s">
        <v>213</v>
      </c>
    </row>
    <row r="1022" spans="1:9" x14ac:dyDescent="0.15">
      <c r="A1022" s="9">
        <v>1021</v>
      </c>
      <c r="B1022" s="10" t="s">
        <v>9</v>
      </c>
      <c r="C1022" s="10" t="s">
        <v>299</v>
      </c>
      <c r="D1022" s="10" t="s">
        <v>300</v>
      </c>
      <c r="E1022" s="11" t="str">
        <f>+HYPERLINK("http://trademark.i-assist.jp/data/china/image_1898th/78460015.pdf", "78460015")</f>
        <v>78460015</v>
      </c>
      <c r="F1022" s="10" t="s">
        <v>3170</v>
      </c>
      <c r="G1022" s="10" t="s">
        <v>3171</v>
      </c>
      <c r="H1022" s="10" t="s">
        <v>3172</v>
      </c>
      <c r="I1022" s="10" t="s">
        <v>213</v>
      </c>
    </row>
    <row r="1023" spans="1:9" x14ac:dyDescent="0.15">
      <c r="A1023" s="9">
        <v>1022</v>
      </c>
      <c r="B1023" s="10" t="s">
        <v>9</v>
      </c>
      <c r="C1023" s="10" t="s">
        <v>299</v>
      </c>
      <c r="D1023" s="10" t="s">
        <v>300</v>
      </c>
      <c r="E1023" s="11" t="str">
        <f>+HYPERLINK("http://trademark.i-assist.jp/data/china/image_1898th/78460021.pdf", "78460021")</f>
        <v>78460021</v>
      </c>
      <c r="F1023" s="10" t="s">
        <v>3173</v>
      </c>
      <c r="G1023" s="10" t="s">
        <v>3174</v>
      </c>
      <c r="H1023" s="10" t="s">
        <v>3175</v>
      </c>
      <c r="I1023" s="10" t="s">
        <v>213</v>
      </c>
    </row>
    <row r="1024" spans="1:9" x14ac:dyDescent="0.15">
      <c r="A1024" s="9">
        <v>1023</v>
      </c>
      <c r="B1024" s="10" t="s">
        <v>9</v>
      </c>
      <c r="C1024" s="10" t="s">
        <v>299</v>
      </c>
      <c r="D1024" s="10" t="s">
        <v>300</v>
      </c>
      <c r="E1024" s="11" t="str">
        <f>+HYPERLINK("http://trademark.i-assist.jp/data/china/image_1898th/78460243.pdf", "78460243")</f>
        <v>78460243</v>
      </c>
      <c r="F1024" s="10" t="s">
        <v>3176</v>
      </c>
      <c r="G1024" s="10" t="s">
        <v>3177</v>
      </c>
      <c r="H1024" s="10" t="s">
        <v>3178</v>
      </c>
      <c r="I1024" s="10" t="s">
        <v>213</v>
      </c>
    </row>
    <row r="1025" spans="1:9" x14ac:dyDescent="0.15">
      <c r="A1025" s="9">
        <v>1024</v>
      </c>
      <c r="B1025" s="10" t="s">
        <v>9</v>
      </c>
      <c r="C1025" s="10" t="s">
        <v>299</v>
      </c>
      <c r="D1025" s="10" t="s">
        <v>300</v>
      </c>
      <c r="E1025" s="11" t="str">
        <f>+HYPERLINK("http://trademark.i-assist.jp/data/china/image_1898th/78460588.pdf", "78460588")</f>
        <v>78460588</v>
      </c>
      <c r="F1025" s="10" t="s">
        <v>3179</v>
      </c>
      <c r="G1025" s="10" t="s">
        <v>928</v>
      </c>
      <c r="H1025" s="10" t="s">
        <v>3180</v>
      </c>
      <c r="I1025" s="10" t="s">
        <v>213</v>
      </c>
    </row>
    <row r="1026" spans="1:9" x14ac:dyDescent="0.15">
      <c r="A1026" s="9">
        <v>1025</v>
      </c>
      <c r="B1026" s="10" t="s">
        <v>9</v>
      </c>
      <c r="C1026" s="10" t="s">
        <v>299</v>
      </c>
      <c r="D1026" s="10" t="s">
        <v>300</v>
      </c>
      <c r="E1026" s="11" t="str">
        <f>+HYPERLINK("http://trademark.i-assist.jp/data/china/image_1898th/78460604.pdf", "78460604")</f>
        <v>78460604</v>
      </c>
      <c r="F1026" s="10" t="s">
        <v>3181</v>
      </c>
      <c r="G1026" s="10" t="s">
        <v>3138</v>
      </c>
      <c r="H1026" s="10" t="s">
        <v>3182</v>
      </c>
      <c r="I1026" s="10" t="s">
        <v>213</v>
      </c>
    </row>
    <row r="1027" spans="1:9" x14ac:dyDescent="0.15">
      <c r="A1027" s="9">
        <v>1026</v>
      </c>
      <c r="B1027" s="10" t="s">
        <v>9</v>
      </c>
      <c r="C1027" s="10" t="s">
        <v>299</v>
      </c>
      <c r="D1027" s="10" t="s">
        <v>300</v>
      </c>
      <c r="E1027" s="11" t="str">
        <f>+HYPERLINK("http://trademark.i-assist.jp/data/china/image_1898th/78460637.pdf", "78460637")</f>
        <v>78460637</v>
      </c>
      <c r="F1027" s="10" t="s">
        <v>3183</v>
      </c>
      <c r="G1027" s="10" t="s">
        <v>3184</v>
      </c>
      <c r="H1027" s="10" t="s">
        <v>3185</v>
      </c>
      <c r="I1027" s="10" t="s">
        <v>213</v>
      </c>
    </row>
    <row r="1028" spans="1:9" x14ac:dyDescent="0.15">
      <c r="A1028" s="9">
        <v>1027</v>
      </c>
      <c r="B1028" s="10" t="s">
        <v>9</v>
      </c>
      <c r="C1028" s="10" t="s">
        <v>299</v>
      </c>
      <c r="D1028" s="10" t="s">
        <v>300</v>
      </c>
      <c r="E1028" s="11" t="str">
        <f>+HYPERLINK("http://trademark.i-assist.jp/data/china/image_1898th/78460795.pdf", "78460795")</f>
        <v>78460795</v>
      </c>
      <c r="F1028" s="10" t="s">
        <v>3186</v>
      </c>
      <c r="G1028" s="10" t="s">
        <v>202</v>
      </c>
      <c r="H1028" s="10" t="s">
        <v>3187</v>
      </c>
      <c r="I1028" s="10" t="s">
        <v>213</v>
      </c>
    </row>
    <row r="1029" spans="1:9" x14ac:dyDescent="0.15">
      <c r="A1029" s="9">
        <v>1028</v>
      </c>
      <c r="B1029" s="10" t="s">
        <v>9</v>
      </c>
      <c r="C1029" s="10" t="s">
        <v>299</v>
      </c>
      <c r="D1029" s="10" t="s">
        <v>300</v>
      </c>
      <c r="E1029" s="11" t="str">
        <f>+HYPERLINK("http://trademark.i-assist.jp/data/china/image_1898th/78461008.pdf", "78461008")</f>
        <v>78461008</v>
      </c>
      <c r="F1029" s="10" t="s">
        <v>3188</v>
      </c>
      <c r="G1029" s="10" t="s">
        <v>3189</v>
      </c>
      <c r="H1029" s="10" t="s">
        <v>3190</v>
      </c>
      <c r="I1029" s="10" t="s">
        <v>213</v>
      </c>
    </row>
    <row r="1030" spans="1:9" x14ac:dyDescent="0.15">
      <c r="A1030" s="9">
        <v>1029</v>
      </c>
      <c r="B1030" s="10" t="s">
        <v>9</v>
      </c>
      <c r="C1030" s="10" t="s">
        <v>299</v>
      </c>
      <c r="D1030" s="10" t="s">
        <v>300</v>
      </c>
      <c r="E1030" s="11" t="str">
        <f>+HYPERLINK("http://trademark.i-assist.jp/data/china/image_1898th/78461204.pdf", "78461204")</f>
        <v>78461204</v>
      </c>
      <c r="F1030" s="10" t="s">
        <v>3191</v>
      </c>
      <c r="G1030" s="10" t="s">
        <v>3192</v>
      </c>
      <c r="H1030" s="10" t="s">
        <v>3193</v>
      </c>
      <c r="I1030" s="10" t="s">
        <v>213</v>
      </c>
    </row>
    <row r="1031" spans="1:9" x14ac:dyDescent="0.15">
      <c r="A1031" s="9">
        <v>1030</v>
      </c>
      <c r="B1031" s="10" t="s">
        <v>9</v>
      </c>
      <c r="C1031" s="10" t="s">
        <v>299</v>
      </c>
      <c r="D1031" s="10" t="s">
        <v>300</v>
      </c>
      <c r="E1031" s="11" t="str">
        <f>+HYPERLINK("http://trademark.i-assist.jp/data/china/image_1898th/78461237.pdf", "78461237")</f>
        <v>78461237</v>
      </c>
      <c r="F1031" s="10" t="s">
        <v>3194</v>
      </c>
      <c r="G1031" s="10" t="s">
        <v>928</v>
      </c>
      <c r="H1031" s="10" t="s">
        <v>3195</v>
      </c>
      <c r="I1031" s="10" t="s">
        <v>213</v>
      </c>
    </row>
    <row r="1032" spans="1:9" x14ac:dyDescent="0.15">
      <c r="A1032" s="9">
        <v>1031</v>
      </c>
      <c r="B1032" s="10" t="s">
        <v>9</v>
      </c>
      <c r="C1032" s="10" t="s">
        <v>299</v>
      </c>
      <c r="D1032" s="10" t="s">
        <v>300</v>
      </c>
      <c r="E1032" s="11" t="str">
        <f>+HYPERLINK("http://trademark.i-assist.jp/data/china/image_1898th/78461430.pdf", "78461430")</f>
        <v>78461430</v>
      </c>
      <c r="F1032" s="10" t="s">
        <v>3196</v>
      </c>
      <c r="G1032" s="10" t="s">
        <v>3197</v>
      </c>
      <c r="H1032" s="10" t="s">
        <v>3198</v>
      </c>
      <c r="I1032" s="10" t="s">
        <v>213</v>
      </c>
    </row>
    <row r="1033" spans="1:9" x14ac:dyDescent="0.15">
      <c r="A1033" s="9">
        <v>1032</v>
      </c>
      <c r="B1033" s="10" t="s">
        <v>9</v>
      </c>
      <c r="C1033" s="10" t="s">
        <v>299</v>
      </c>
      <c r="D1033" s="10" t="s">
        <v>300</v>
      </c>
      <c r="E1033" s="11" t="str">
        <f>+HYPERLINK("http://trademark.i-assist.jp/data/china/image_1898th/78461647.pdf", "78461647")</f>
        <v>78461647</v>
      </c>
      <c r="F1033" s="10" t="s">
        <v>3199</v>
      </c>
      <c r="G1033" s="10" t="s">
        <v>135</v>
      </c>
      <c r="H1033" s="10" t="s">
        <v>3200</v>
      </c>
      <c r="I1033" s="10" t="s">
        <v>213</v>
      </c>
    </row>
    <row r="1034" spans="1:9" x14ac:dyDescent="0.15">
      <c r="A1034" s="9">
        <v>1033</v>
      </c>
      <c r="B1034" s="10" t="s">
        <v>9</v>
      </c>
      <c r="C1034" s="10" t="s">
        <v>299</v>
      </c>
      <c r="D1034" s="10" t="s">
        <v>300</v>
      </c>
      <c r="E1034" s="11" t="str">
        <f>+HYPERLINK("http://trademark.i-assist.jp/data/china/image_1898th/78461972.pdf", "78461972")</f>
        <v>78461972</v>
      </c>
      <c r="F1034" s="10" t="s">
        <v>3201</v>
      </c>
      <c r="G1034" s="10" t="s">
        <v>3202</v>
      </c>
      <c r="H1034" s="10" t="s">
        <v>3203</v>
      </c>
      <c r="I1034" s="10" t="s">
        <v>213</v>
      </c>
    </row>
    <row r="1035" spans="1:9" x14ac:dyDescent="0.15">
      <c r="A1035" s="9">
        <v>1034</v>
      </c>
      <c r="B1035" s="10" t="s">
        <v>9</v>
      </c>
      <c r="C1035" s="10" t="s">
        <v>299</v>
      </c>
      <c r="D1035" s="10" t="s">
        <v>300</v>
      </c>
      <c r="E1035" s="11" t="str">
        <f>+HYPERLINK("http://trademark.i-assist.jp/data/china/image_1898th/78462127.pdf", "78462127")</f>
        <v>78462127</v>
      </c>
      <c r="F1035" s="10" t="s">
        <v>3204</v>
      </c>
      <c r="G1035" s="10" t="s">
        <v>3205</v>
      </c>
      <c r="H1035" s="10" t="s">
        <v>3206</v>
      </c>
      <c r="I1035" s="10" t="s">
        <v>213</v>
      </c>
    </row>
    <row r="1036" spans="1:9" x14ac:dyDescent="0.15">
      <c r="A1036" s="9">
        <v>1035</v>
      </c>
      <c r="B1036" s="10" t="s">
        <v>9</v>
      </c>
      <c r="C1036" s="10" t="s">
        <v>299</v>
      </c>
      <c r="D1036" s="10" t="s">
        <v>300</v>
      </c>
      <c r="E1036" s="11" t="str">
        <f>+HYPERLINK("http://trademark.i-assist.jp/data/china/image_1898th/78462263.pdf", "78462263")</f>
        <v>78462263</v>
      </c>
      <c r="F1036" s="10" t="s">
        <v>3207</v>
      </c>
      <c r="G1036" s="10" t="s">
        <v>1304</v>
      </c>
      <c r="H1036" s="10" t="s">
        <v>3208</v>
      </c>
      <c r="I1036" s="10" t="s">
        <v>213</v>
      </c>
    </row>
    <row r="1037" spans="1:9" x14ac:dyDescent="0.15">
      <c r="A1037" s="9">
        <v>1036</v>
      </c>
      <c r="B1037" s="10" t="s">
        <v>9</v>
      </c>
      <c r="C1037" s="10" t="s">
        <v>299</v>
      </c>
      <c r="D1037" s="10" t="s">
        <v>300</v>
      </c>
      <c r="E1037" s="11" t="str">
        <f>+HYPERLINK("http://trademark.i-assist.jp/data/china/image_1898th/78462273.pdf", "78462273")</f>
        <v>78462273</v>
      </c>
      <c r="F1037" s="10" t="s">
        <v>3209</v>
      </c>
      <c r="G1037" s="10" t="s">
        <v>3210</v>
      </c>
      <c r="H1037" s="10" t="s">
        <v>3211</v>
      </c>
      <c r="I1037" s="10" t="s">
        <v>213</v>
      </c>
    </row>
    <row r="1038" spans="1:9" x14ac:dyDescent="0.15">
      <c r="A1038" s="9">
        <v>1037</v>
      </c>
      <c r="B1038" s="10" t="s">
        <v>9</v>
      </c>
      <c r="C1038" s="10" t="s">
        <v>299</v>
      </c>
      <c r="D1038" s="10" t="s">
        <v>300</v>
      </c>
      <c r="E1038" s="11" t="str">
        <f>+HYPERLINK("http://trademark.i-assist.jp/data/china/image_1898th/78462808.pdf", "78462808")</f>
        <v>78462808</v>
      </c>
      <c r="F1038" s="10" t="s">
        <v>3212</v>
      </c>
      <c r="G1038" s="10" t="s">
        <v>3213</v>
      </c>
      <c r="H1038" s="10" t="s">
        <v>3214</v>
      </c>
      <c r="I1038" s="10" t="s">
        <v>213</v>
      </c>
    </row>
    <row r="1039" spans="1:9" x14ac:dyDescent="0.15">
      <c r="A1039" s="9">
        <v>1038</v>
      </c>
      <c r="B1039" s="10" t="s">
        <v>9</v>
      </c>
      <c r="C1039" s="10" t="s">
        <v>299</v>
      </c>
      <c r="D1039" s="10" t="s">
        <v>300</v>
      </c>
      <c r="E1039" s="11" t="str">
        <f>+HYPERLINK("http://trademark.i-assist.jp/data/china/image_1898th/78463659.pdf", "78463659")</f>
        <v>78463659</v>
      </c>
      <c r="F1039" s="10" t="s">
        <v>3215</v>
      </c>
      <c r="G1039" s="10" t="s">
        <v>3216</v>
      </c>
      <c r="H1039" s="10" t="s">
        <v>3217</v>
      </c>
      <c r="I1039" s="10" t="s">
        <v>213</v>
      </c>
    </row>
    <row r="1040" spans="1:9" x14ac:dyDescent="0.15">
      <c r="A1040" s="9">
        <v>1039</v>
      </c>
      <c r="B1040" s="10" t="s">
        <v>9</v>
      </c>
      <c r="C1040" s="10" t="s">
        <v>299</v>
      </c>
      <c r="D1040" s="10" t="s">
        <v>300</v>
      </c>
      <c r="E1040" s="11" t="str">
        <f>+HYPERLINK("http://trademark.i-assist.jp/data/china/image_1898th/78463720.pdf", "78463720")</f>
        <v>78463720</v>
      </c>
      <c r="F1040" s="10" t="s">
        <v>3218</v>
      </c>
      <c r="G1040" s="10" t="s">
        <v>3219</v>
      </c>
      <c r="H1040" s="10" t="s">
        <v>3220</v>
      </c>
      <c r="I1040" s="10" t="s">
        <v>213</v>
      </c>
    </row>
    <row r="1041" spans="1:9" x14ac:dyDescent="0.15">
      <c r="A1041" s="9">
        <v>1040</v>
      </c>
      <c r="B1041" s="10" t="s">
        <v>9</v>
      </c>
      <c r="C1041" s="10" t="s">
        <v>299</v>
      </c>
      <c r="D1041" s="10" t="s">
        <v>300</v>
      </c>
      <c r="E1041" s="11" t="str">
        <f>+HYPERLINK("http://trademark.i-assist.jp/data/china/image_1898th/78463830.pdf", "78463830")</f>
        <v>78463830</v>
      </c>
      <c r="F1041" s="10" t="s">
        <v>3221</v>
      </c>
      <c r="G1041" s="10" t="s">
        <v>3222</v>
      </c>
      <c r="H1041" s="10" t="s">
        <v>3223</v>
      </c>
      <c r="I1041" s="10" t="s">
        <v>213</v>
      </c>
    </row>
    <row r="1042" spans="1:9" x14ac:dyDescent="0.15">
      <c r="A1042" s="9">
        <v>1041</v>
      </c>
      <c r="B1042" s="10" t="s">
        <v>9</v>
      </c>
      <c r="C1042" s="10" t="s">
        <v>299</v>
      </c>
      <c r="D1042" s="10" t="s">
        <v>300</v>
      </c>
      <c r="E1042" s="11" t="str">
        <f>+HYPERLINK("http://trademark.i-assist.jp/data/china/image_1898th/78464353.pdf", "78464353")</f>
        <v>78464353</v>
      </c>
      <c r="F1042" s="10" t="s">
        <v>3224</v>
      </c>
      <c r="G1042" s="10" t="s">
        <v>3219</v>
      </c>
      <c r="H1042" s="10" t="s">
        <v>3225</v>
      </c>
      <c r="I1042" s="10" t="s">
        <v>213</v>
      </c>
    </row>
    <row r="1043" spans="1:9" x14ac:dyDescent="0.15">
      <c r="A1043" s="9">
        <v>1042</v>
      </c>
      <c r="B1043" s="10" t="s">
        <v>9</v>
      </c>
      <c r="C1043" s="10" t="s">
        <v>299</v>
      </c>
      <c r="D1043" s="10" t="s">
        <v>300</v>
      </c>
      <c r="E1043" s="11" t="str">
        <f>+HYPERLINK("http://trademark.i-assist.jp/data/china/image_1898th/78465108.pdf", "78465108")</f>
        <v>78465108</v>
      </c>
      <c r="F1043" s="10" t="s">
        <v>3226</v>
      </c>
      <c r="G1043" s="10" t="s">
        <v>3227</v>
      </c>
      <c r="H1043" s="10" t="s">
        <v>3228</v>
      </c>
      <c r="I1043" s="10" t="s">
        <v>213</v>
      </c>
    </row>
    <row r="1044" spans="1:9" x14ac:dyDescent="0.15">
      <c r="A1044" s="9">
        <v>1043</v>
      </c>
      <c r="B1044" s="10" t="s">
        <v>9</v>
      </c>
      <c r="C1044" s="10" t="s">
        <v>299</v>
      </c>
      <c r="D1044" s="10" t="s">
        <v>300</v>
      </c>
      <c r="E1044" s="11" t="str">
        <f>+HYPERLINK("http://trademark.i-assist.jp/data/china/image_1898th/78465407.pdf", "78465407")</f>
        <v>78465407</v>
      </c>
      <c r="F1044" s="10" t="s">
        <v>3229</v>
      </c>
      <c r="G1044" s="10" t="s">
        <v>1252</v>
      </c>
      <c r="H1044" s="10" t="s">
        <v>3230</v>
      </c>
      <c r="I1044" s="10" t="s">
        <v>213</v>
      </c>
    </row>
    <row r="1045" spans="1:9" x14ac:dyDescent="0.15">
      <c r="A1045" s="9">
        <v>1044</v>
      </c>
      <c r="B1045" s="10" t="s">
        <v>9</v>
      </c>
      <c r="C1045" s="10" t="s">
        <v>299</v>
      </c>
      <c r="D1045" s="10" t="s">
        <v>300</v>
      </c>
      <c r="E1045" s="11" t="str">
        <f>+HYPERLINK("http://trademark.i-assist.jp/data/china/image_1898th/78465939.pdf", "78465939")</f>
        <v>78465939</v>
      </c>
      <c r="F1045" s="10" t="s">
        <v>3231</v>
      </c>
      <c r="G1045" s="10" t="s">
        <v>3232</v>
      </c>
      <c r="H1045" s="10" t="s">
        <v>3233</v>
      </c>
      <c r="I1045" s="10" t="s">
        <v>213</v>
      </c>
    </row>
    <row r="1046" spans="1:9" x14ac:dyDescent="0.15">
      <c r="A1046" s="9">
        <v>1045</v>
      </c>
      <c r="B1046" s="10" t="s">
        <v>9</v>
      </c>
      <c r="C1046" s="10" t="s">
        <v>299</v>
      </c>
      <c r="D1046" s="10" t="s">
        <v>300</v>
      </c>
      <c r="E1046" s="11" t="str">
        <f>+HYPERLINK("http://trademark.i-assist.jp/data/china/image_1898th/78466238.pdf", "78466238")</f>
        <v>78466238</v>
      </c>
      <c r="F1046" s="10" t="s">
        <v>3234</v>
      </c>
      <c r="G1046" s="10" t="s">
        <v>3235</v>
      </c>
      <c r="H1046" s="10" t="s">
        <v>3236</v>
      </c>
      <c r="I1046" s="10" t="s">
        <v>213</v>
      </c>
    </row>
    <row r="1047" spans="1:9" x14ac:dyDescent="0.15">
      <c r="A1047" s="9">
        <v>1046</v>
      </c>
      <c r="B1047" s="10" t="s">
        <v>9</v>
      </c>
      <c r="C1047" s="10" t="s">
        <v>299</v>
      </c>
      <c r="D1047" s="10" t="s">
        <v>300</v>
      </c>
      <c r="E1047" s="11" t="str">
        <f>+HYPERLINK("http://trademark.i-assist.jp/data/china/image_1898th/78466358.pdf", "78466358")</f>
        <v>78466358</v>
      </c>
      <c r="F1047" s="10" t="s">
        <v>3237</v>
      </c>
      <c r="G1047" s="10" t="s">
        <v>3238</v>
      </c>
      <c r="H1047" s="10" t="s">
        <v>3239</v>
      </c>
      <c r="I1047" s="10" t="s">
        <v>213</v>
      </c>
    </row>
    <row r="1048" spans="1:9" x14ac:dyDescent="0.15">
      <c r="A1048" s="9">
        <v>1047</v>
      </c>
      <c r="B1048" s="10" t="s">
        <v>9</v>
      </c>
      <c r="C1048" s="10" t="s">
        <v>299</v>
      </c>
      <c r="D1048" s="10" t="s">
        <v>300</v>
      </c>
      <c r="E1048" s="11" t="str">
        <f>+HYPERLINK("http://trademark.i-assist.jp/data/china/image_1898th/78466466.pdf", "78466466")</f>
        <v>78466466</v>
      </c>
      <c r="F1048" s="10" t="s">
        <v>3240</v>
      </c>
      <c r="G1048" s="10" t="s">
        <v>3241</v>
      </c>
      <c r="H1048" s="10" t="s">
        <v>3242</v>
      </c>
      <c r="I1048" s="10" t="s">
        <v>213</v>
      </c>
    </row>
    <row r="1049" spans="1:9" x14ac:dyDescent="0.15">
      <c r="A1049" s="9">
        <v>1048</v>
      </c>
      <c r="B1049" s="10" t="s">
        <v>9</v>
      </c>
      <c r="C1049" s="10" t="s">
        <v>299</v>
      </c>
      <c r="D1049" s="10" t="s">
        <v>300</v>
      </c>
      <c r="E1049" s="11" t="str">
        <f>+HYPERLINK("http://trademark.i-assist.jp/data/china/image_1898th/78466661.pdf", "78466661")</f>
        <v>78466661</v>
      </c>
      <c r="F1049" s="10" t="s">
        <v>3243</v>
      </c>
      <c r="G1049" s="10" t="s">
        <v>210</v>
      </c>
      <c r="H1049" s="10" t="s">
        <v>3244</v>
      </c>
      <c r="I1049" s="10" t="s">
        <v>213</v>
      </c>
    </row>
    <row r="1050" spans="1:9" x14ac:dyDescent="0.15">
      <c r="A1050" s="9">
        <v>1049</v>
      </c>
      <c r="B1050" s="10" t="s">
        <v>9</v>
      </c>
      <c r="C1050" s="10" t="s">
        <v>299</v>
      </c>
      <c r="D1050" s="10" t="s">
        <v>300</v>
      </c>
      <c r="E1050" s="11" t="str">
        <f>+HYPERLINK("http://trademark.i-assist.jp/data/china/image_1898th/78466808.pdf", "78466808")</f>
        <v>78466808</v>
      </c>
      <c r="F1050" s="10" t="s">
        <v>3245</v>
      </c>
      <c r="G1050" s="10" t="s">
        <v>3246</v>
      </c>
      <c r="H1050" s="10" t="s">
        <v>3247</v>
      </c>
      <c r="I1050" s="10" t="s">
        <v>213</v>
      </c>
    </row>
    <row r="1051" spans="1:9" x14ac:dyDescent="0.15">
      <c r="A1051" s="9">
        <v>1050</v>
      </c>
      <c r="B1051" s="10" t="s">
        <v>9</v>
      </c>
      <c r="C1051" s="10" t="s">
        <v>299</v>
      </c>
      <c r="D1051" s="10" t="s">
        <v>300</v>
      </c>
      <c r="E1051" s="11" t="str">
        <f>+HYPERLINK("http://trademark.i-assist.jp/data/china/image_1898th/78466964.pdf", "78466964")</f>
        <v>78466964</v>
      </c>
      <c r="F1051" s="10" t="s">
        <v>3248</v>
      </c>
      <c r="G1051" s="10" t="s">
        <v>3249</v>
      </c>
      <c r="H1051" s="10" t="s">
        <v>3250</v>
      </c>
      <c r="I1051" s="10" t="s">
        <v>213</v>
      </c>
    </row>
    <row r="1052" spans="1:9" x14ac:dyDescent="0.15">
      <c r="A1052" s="9">
        <v>1051</v>
      </c>
      <c r="B1052" s="10" t="s">
        <v>9</v>
      </c>
      <c r="C1052" s="10" t="s">
        <v>299</v>
      </c>
      <c r="D1052" s="10" t="s">
        <v>300</v>
      </c>
      <c r="E1052" s="11" t="str">
        <f>+HYPERLINK("http://trademark.i-assist.jp/data/china/image_1898th/78467666.pdf", "78467666")</f>
        <v>78467666</v>
      </c>
      <c r="F1052" s="10" t="s">
        <v>19</v>
      </c>
      <c r="G1052" s="10" t="s">
        <v>3251</v>
      </c>
      <c r="H1052" s="10" t="s">
        <v>3252</v>
      </c>
      <c r="I1052" s="10" t="s">
        <v>213</v>
      </c>
    </row>
    <row r="1053" spans="1:9" x14ac:dyDescent="0.15">
      <c r="A1053" s="9">
        <v>1052</v>
      </c>
      <c r="B1053" s="10" t="s">
        <v>9</v>
      </c>
      <c r="C1053" s="10" t="s">
        <v>299</v>
      </c>
      <c r="D1053" s="10" t="s">
        <v>300</v>
      </c>
      <c r="E1053" s="11" t="str">
        <f>+HYPERLINK("http://trademark.i-assist.jp/data/china/image_1898th/78467810.pdf", "78467810")</f>
        <v>78467810</v>
      </c>
      <c r="F1053" s="10" t="s">
        <v>3253</v>
      </c>
      <c r="G1053" s="10" t="s">
        <v>3254</v>
      </c>
      <c r="H1053" s="10" t="s">
        <v>3255</v>
      </c>
      <c r="I1053" s="10" t="s">
        <v>213</v>
      </c>
    </row>
    <row r="1054" spans="1:9" x14ac:dyDescent="0.15">
      <c r="A1054" s="9">
        <v>1053</v>
      </c>
      <c r="B1054" s="10" t="s">
        <v>9</v>
      </c>
      <c r="C1054" s="10" t="s">
        <v>299</v>
      </c>
      <c r="D1054" s="10" t="s">
        <v>300</v>
      </c>
      <c r="E1054" s="11" t="str">
        <f>+HYPERLINK("http://trademark.i-assist.jp/data/china/image_1898th/78468037.pdf", "78468037")</f>
        <v>78468037</v>
      </c>
      <c r="F1054" s="10" t="s">
        <v>3256</v>
      </c>
      <c r="G1054" s="10" t="s">
        <v>3257</v>
      </c>
      <c r="H1054" s="10" t="s">
        <v>3258</v>
      </c>
      <c r="I1054" s="10" t="s">
        <v>213</v>
      </c>
    </row>
    <row r="1055" spans="1:9" x14ac:dyDescent="0.15">
      <c r="A1055" s="9">
        <v>1054</v>
      </c>
      <c r="B1055" s="10" t="s">
        <v>9</v>
      </c>
      <c r="C1055" s="10" t="s">
        <v>299</v>
      </c>
      <c r="D1055" s="10" t="s">
        <v>300</v>
      </c>
      <c r="E1055" s="11" t="str">
        <f>+HYPERLINK("http://trademark.i-assist.jp/data/china/image_1898th/78468431.pdf", "78468431")</f>
        <v>78468431</v>
      </c>
      <c r="F1055" s="10" t="s">
        <v>3259</v>
      </c>
      <c r="G1055" s="10" t="s">
        <v>3260</v>
      </c>
      <c r="H1055" s="10" t="s">
        <v>3261</v>
      </c>
      <c r="I1055" s="10" t="s">
        <v>213</v>
      </c>
    </row>
    <row r="1056" spans="1:9" x14ac:dyDescent="0.15">
      <c r="A1056" s="9">
        <v>1055</v>
      </c>
      <c r="B1056" s="10" t="s">
        <v>9</v>
      </c>
      <c r="C1056" s="10" t="s">
        <v>299</v>
      </c>
      <c r="D1056" s="10" t="s">
        <v>300</v>
      </c>
      <c r="E1056" s="11" t="str">
        <f>+HYPERLINK("http://trademark.i-assist.jp/data/china/image_1898th/78468475.pdf", "78468475")</f>
        <v>78468475</v>
      </c>
      <c r="F1056" s="10" t="s">
        <v>3262</v>
      </c>
      <c r="G1056" s="10" t="s">
        <v>3263</v>
      </c>
      <c r="H1056" s="10" t="s">
        <v>3264</v>
      </c>
      <c r="I1056" s="10" t="s">
        <v>213</v>
      </c>
    </row>
    <row r="1057" spans="1:9" x14ac:dyDescent="0.15">
      <c r="A1057" s="9">
        <v>1056</v>
      </c>
      <c r="B1057" s="10" t="s">
        <v>9</v>
      </c>
      <c r="C1057" s="10" t="s">
        <v>299</v>
      </c>
      <c r="D1057" s="10" t="s">
        <v>300</v>
      </c>
      <c r="E1057" s="11" t="str">
        <f>+HYPERLINK("http://trademark.i-assist.jp/data/china/image_1898th/78468680.pdf", "78468680")</f>
        <v>78468680</v>
      </c>
      <c r="F1057" s="10" t="s">
        <v>3265</v>
      </c>
      <c r="G1057" s="10" t="s">
        <v>1321</v>
      </c>
      <c r="H1057" s="10" t="s">
        <v>3266</v>
      </c>
      <c r="I1057" s="10" t="s">
        <v>213</v>
      </c>
    </row>
    <row r="1058" spans="1:9" x14ac:dyDescent="0.15">
      <c r="A1058" s="9">
        <v>1057</v>
      </c>
      <c r="B1058" s="10" t="s">
        <v>9</v>
      </c>
      <c r="C1058" s="10" t="s">
        <v>299</v>
      </c>
      <c r="D1058" s="10" t="s">
        <v>300</v>
      </c>
      <c r="E1058" s="11" t="str">
        <f>+HYPERLINK("http://trademark.i-assist.jp/data/china/image_1898th/78468796.pdf", "78468796")</f>
        <v>78468796</v>
      </c>
      <c r="F1058" s="10" t="s">
        <v>1309</v>
      </c>
      <c r="G1058" s="10" t="s">
        <v>1310</v>
      </c>
      <c r="H1058" s="10" t="s">
        <v>3267</v>
      </c>
      <c r="I1058" s="10" t="s">
        <v>213</v>
      </c>
    </row>
    <row r="1059" spans="1:9" x14ac:dyDescent="0.15">
      <c r="A1059" s="9">
        <v>1058</v>
      </c>
      <c r="B1059" s="10" t="s">
        <v>9</v>
      </c>
      <c r="C1059" s="10" t="s">
        <v>299</v>
      </c>
      <c r="D1059" s="10" t="s">
        <v>300</v>
      </c>
      <c r="E1059" s="11" t="str">
        <f>+HYPERLINK("http://trademark.i-assist.jp/data/china/image_1898th/78468849.pdf", "78468849")</f>
        <v>78468849</v>
      </c>
      <c r="F1059" s="10" t="s">
        <v>3268</v>
      </c>
      <c r="G1059" s="10" t="s">
        <v>3269</v>
      </c>
      <c r="H1059" s="10" t="s">
        <v>3270</v>
      </c>
      <c r="I1059" s="10" t="s">
        <v>213</v>
      </c>
    </row>
    <row r="1060" spans="1:9" x14ac:dyDescent="0.15">
      <c r="A1060" s="9">
        <v>1059</v>
      </c>
      <c r="B1060" s="10" t="s">
        <v>9</v>
      </c>
      <c r="C1060" s="10" t="s">
        <v>299</v>
      </c>
      <c r="D1060" s="10" t="s">
        <v>300</v>
      </c>
      <c r="E1060" s="11" t="str">
        <f>+HYPERLINK("http://trademark.i-assist.jp/data/china/image_1898th/78468881.pdf", "78468881")</f>
        <v>78468881</v>
      </c>
      <c r="F1060" s="10" t="s">
        <v>3271</v>
      </c>
      <c r="G1060" s="10" t="s">
        <v>3272</v>
      </c>
      <c r="H1060" s="10" t="s">
        <v>3273</v>
      </c>
      <c r="I1060" s="10" t="s">
        <v>213</v>
      </c>
    </row>
    <row r="1061" spans="1:9" x14ac:dyDescent="0.15">
      <c r="A1061" s="9">
        <v>1060</v>
      </c>
      <c r="B1061" s="10" t="s">
        <v>9</v>
      </c>
      <c r="C1061" s="10" t="s">
        <v>299</v>
      </c>
      <c r="D1061" s="10" t="s">
        <v>300</v>
      </c>
      <c r="E1061" s="11" t="str">
        <f>+HYPERLINK("http://trademark.i-assist.jp/data/china/image_1898th/78468894.pdf", "78468894")</f>
        <v>78468894</v>
      </c>
      <c r="F1061" s="10" t="s">
        <v>3274</v>
      </c>
      <c r="G1061" s="10" t="s">
        <v>223</v>
      </c>
      <c r="H1061" s="10" t="s">
        <v>3275</v>
      </c>
      <c r="I1061" s="10" t="s">
        <v>213</v>
      </c>
    </row>
    <row r="1062" spans="1:9" x14ac:dyDescent="0.15">
      <c r="A1062" s="9">
        <v>1061</v>
      </c>
      <c r="B1062" s="10" t="s">
        <v>9</v>
      </c>
      <c r="C1062" s="10" t="s">
        <v>299</v>
      </c>
      <c r="D1062" s="10" t="s">
        <v>300</v>
      </c>
      <c r="E1062" s="11" t="str">
        <f>+HYPERLINK("http://trademark.i-assist.jp/data/china/image_1898th/78468944.pdf", "78468944")</f>
        <v>78468944</v>
      </c>
      <c r="F1062" s="10" t="s">
        <v>3276</v>
      </c>
      <c r="G1062" s="10" t="s">
        <v>173</v>
      </c>
      <c r="H1062" s="10" t="s">
        <v>3277</v>
      </c>
      <c r="I1062" s="10" t="s">
        <v>213</v>
      </c>
    </row>
    <row r="1063" spans="1:9" x14ac:dyDescent="0.15">
      <c r="A1063" s="9">
        <v>1062</v>
      </c>
      <c r="B1063" s="10" t="s">
        <v>9</v>
      </c>
      <c r="C1063" s="10" t="s">
        <v>299</v>
      </c>
      <c r="D1063" s="10" t="s">
        <v>300</v>
      </c>
      <c r="E1063" s="11" t="str">
        <f>+HYPERLINK("http://trademark.i-assist.jp/data/china/image_1898th/78469050.pdf", "78469050")</f>
        <v>78469050</v>
      </c>
      <c r="F1063" s="10" t="s">
        <v>3278</v>
      </c>
      <c r="G1063" s="10" t="s">
        <v>3279</v>
      </c>
      <c r="H1063" s="10" t="s">
        <v>3280</v>
      </c>
      <c r="I1063" s="10" t="s">
        <v>213</v>
      </c>
    </row>
    <row r="1064" spans="1:9" x14ac:dyDescent="0.15">
      <c r="A1064" s="9">
        <v>1063</v>
      </c>
      <c r="B1064" s="10" t="s">
        <v>9</v>
      </c>
      <c r="C1064" s="10" t="s">
        <v>299</v>
      </c>
      <c r="D1064" s="10" t="s">
        <v>300</v>
      </c>
      <c r="E1064" s="11" t="str">
        <f>+HYPERLINK("http://trademark.i-assist.jp/data/china/image_1898th/78469123.pdf", "78469123")</f>
        <v>78469123</v>
      </c>
      <c r="F1064" s="10" t="s">
        <v>3281</v>
      </c>
      <c r="G1064" s="10" t="s">
        <v>3282</v>
      </c>
      <c r="H1064" s="10" t="s">
        <v>3283</v>
      </c>
      <c r="I1064" s="10" t="s">
        <v>213</v>
      </c>
    </row>
    <row r="1065" spans="1:9" x14ac:dyDescent="0.15">
      <c r="A1065" s="9">
        <v>1064</v>
      </c>
      <c r="B1065" s="10" t="s">
        <v>9</v>
      </c>
      <c r="C1065" s="10" t="s">
        <v>299</v>
      </c>
      <c r="D1065" s="10" t="s">
        <v>300</v>
      </c>
      <c r="E1065" s="11" t="str">
        <f>+HYPERLINK("http://trademark.i-assist.jp/data/china/image_1898th/78469284.pdf", "78469284")</f>
        <v>78469284</v>
      </c>
      <c r="F1065" s="10" t="s">
        <v>3284</v>
      </c>
      <c r="G1065" s="10" t="s">
        <v>3285</v>
      </c>
      <c r="H1065" s="10" t="s">
        <v>3286</v>
      </c>
      <c r="I1065" s="10" t="s">
        <v>213</v>
      </c>
    </row>
    <row r="1066" spans="1:9" x14ac:dyDescent="0.15">
      <c r="A1066" s="9">
        <v>1065</v>
      </c>
      <c r="B1066" s="10" t="s">
        <v>9</v>
      </c>
      <c r="C1066" s="10" t="s">
        <v>299</v>
      </c>
      <c r="D1066" s="10" t="s">
        <v>300</v>
      </c>
      <c r="E1066" s="11" t="str">
        <f>+HYPERLINK("http://trademark.i-assist.jp/data/china/image_1898th/78469365.pdf", "78469365")</f>
        <v>78469365</v>
      </c>
      <c r="F1066" s="10" t="s">
        <v>19</v>
      </c>
      <c r="G1066" s="10" t="s">
        <v>3287</v>
      </c>
      <c r="H1066" s="10" t="s">
        <v>3288</v>
      </c>
      <c r="I1066" s="10" t="s">
        <v>213</v>
      </c>
    </row>
    <row r="1067" spans="1:9" x14ac:dyDescent="0.15">
      <c r="A1067" s="9">
        <v>1066</v>
      </c>
      <c r="B1067" s="10" t="s">
        <v>9</v>
      </c>
      <c r="C1067" s="10" t="s">
        <v>299</v>
      </c>
      <c r="D1067" s="10" t="s">
        <v>300</v>
      </c>
      <c r="E1067" s="11" t="str">
        <f>+HYPERLINK("http://trademark.i-assist.jp/data/china/image_1898th/78469380.pdf", "78469380")</f>
        <v>78469380</v>
      </c>
      <c r="F1067" s="10" t="s">
        <v>3289</v>
      </c>
      <c r="G1067" s="10" t="s">
        <v>215</v>
      </c>
      <c r="H1067" s="10" t="s">
        <v>3290</v>
      </c>
      <c r="I1067" s="10" t="s">
        <v>213</v>
      </c>
    </row>
    <row r="1068" spans="1:9" x14ac:dyDescent="0.15">
      <c r="A1068" s="9">
        <v>1067</v>
      </c>
      <c r="B1068" s="10" t="s">
        <v>9</v>
      </c>
      <c r="C1068" s="10" t="s">
        <v>299</v>
      </c>
      <c r="D1068" s="10" t="s">
        <v>300</v>
      </c>
      <c r="E1068" s="11" t="str">
        <f>+HYPERLINK("http://trademark.i-assist.jp/data/china/image_1898th/78469733.pdf", "78469733")</f>
        <v>78469733</v>
      </c>
      <c r="F1068" s="10" t="s">
        <v>3291</v>
      </c>
      <c r="G1068" s="10" t="s">
        <v>928</v>
      </c>
      <c r="H1068" s="10" t="s">
        <v>3292</v>
      </c>
      <c r="I1068" s="10" t="s">
        <v>213</v>
      </c>
    </row>
    <row r="1069" spans="1:9" x14ac:dyDescent="0.15">
      <c r="A1069" s="9">
        <v>1068</v>
      </c>
      <c r="B1069" s="10" t="s">
        <v>9</v>
      </c>
      <c r="C1069" s="10" t="s">
        <v>299</v>
      </c>
      <c r="D1069" s="10" t="s">
        <v>300</v>
      </c>
      <c r="E1069" s="11" t="str">
        <f>+HYPERLINK("http://trademark.i-assist.jp/data/china/image_1898th/78469809.pdf", "78469809")</f>
        <v>78469809</v>
      </c>
      <c r="F1069" s="10" t="s">
        <v>3293</v>
      </c>
      <c r="G1069" s="10" t="s">
        <v>3294</v>
      </c>
      <c r="H1069" s="10" t="s">
        <v>3295</v>
      </c>
      <c r="I1069" s="10" t="s">
        <v>213</v>
      </c>
    </row>
    <row r="1070" spans="1:9" x14ac:dyDescent="0.15">
      <c r="A1070" s="9">
        <v>1069</v>
      </c>
      <c r="B1070" s="10" t="s">
        <v>9</v>
      </c>
      <c r="C1070" s="10" t="s">
        <v>299</v>
      </c>
      <c r="D1070" s="10" t="s">
        <v>300</v>
      </c>
      <c r="E1070" s="11" t="str">
        <f>+HYPERLINK("http://trademark.i-assist.jp/data/china/image_1898th/78470073.pdf", "78470073")</f>
        <v>78470073</v>
      </c>
      <c r="F1070" s="10" t="s">
        <v>3296</v>
      </c>
      <c r="G1070" s="10" t="s">
        <v>3297</v>
      </c>
      <c r="H1070" s="10" t="s">
        <v>3298</v>
      </c>
      <c r="I1070" s="10" t="s">
        <v>213</v>
      </c>
    </row>
    <row r="1071" spans="1:9" x14ac:dyDescent="0.15">
      <c r="A1071" s="9">
        <v>1070</v>
      </c>
      <c r="B1071" s="10" t="s">
        <v>9</v>
      </c>
      <c r="C1071" s="10" t="s">
        <v>299</v>
      </c>
      <c r="D1071" s="10" t="s">
        <v>300</v>
      </c>
      <c r="E1071" s="11" t="str">
        <f>+HYPERLINK("http://trademark.i-assist.jp/data/china/image_1898th/78470162.pdf", "78470162")</f>
        <v>78470162</v>
      </c>
      <c r="F1071" s="10" t="s">
        <v>3299</v>
      </c>
      <c r="G1071" s="10" t="s">
        <v>197</v>
      </c>
      <c r="H1071" s="10" t="s">
        <v>3300</v>
      </c>
      <c r="I1071" s="10" t="s">
        <v>213</v>
      </c>
    </row>
    <row r="1072" spans="1:9" x14ac:dyDescent="0.15">
      <c r="A1072" s="9">
        <v>1071</v>
      </c>
      <c r="B1072" s="10" t="s">
        <v>9</v>
      </c>
      <c r="C1072" s="10" t="s">
        <v>299</v>
      </c>
      <c r="D1072" s="10" t="s">
        <v>300</v>
      </c>
      <c r="E1072" s="11" t="str">
        <f>+HYPERLINK("http://trademark.i-assist.jp/data/china/image_1898th/78470726.pdf", "78470726")</f>
        <v>78470726</v>
      </c>
      <c r="F1072" s="10" t="s">
        <v>3301</v>
      </c>
      <c r="G1072" s="10" t="s">
        <v>671</v>
      </c>
      <c r="H1072" s="10" t="s">
        <v>3302</v>
      </c>
      <c r="I1072" s="10" t="s">
        <v>213</v>
      </c>
    </row>
    <row r="1073" spans="1:9" x14ac:dyDescent="0.15">
      <c r="A1073" s="9">
        <v>1072</v>
      </c>
      <c r="B1073" s="10" t="s">
        <v>9</v>
      </c>
      <c r="C1073" s="10" t="s">
        <v>299</v>
      </c>
      <c r="D1073" s="10" t="s">
        <v>300</v>
      </c>
      <c r="E1073" s="11" t="str">
        <f>+HYPERLINK("http://trademark.i-assist.jp/data/china/image_1898th/78470880.pdf", "78470880")</f>
        <v>78470880</v>
      </c>
      <c r="F1073" s="10" t="s">
        <v>3303</v>
      </c>
      <c r="G1073" s="10" t="s">
        <v>3138</v>
      </c>
      <c r="H1073" s="10" t="s">
        <v>3304</v>
      </c>
      <c r="I1073" s="10" t="s">
        <v>213</v>
      </c>
    </row>
    <row r="1074" spans="1:9" x14ac:dyDescent="0.15">
      <c r="A1074" s="9">
        <v>1073</v>
      </c>
      <c r="B1074" s="10" t="s">
        <v>9</v>
      </c>
      <c r="C1074" s="10" t="s">
        <v>299</v>
      </c>
      <c r="D1074" s="10" t="s">
        <v>300</v>
      </c>
      <c r="E1074" s="11" t="str">
        <f>+HYPERLINK("http://trademark.i-assist.jp/data/china/image_1898th/78471197.pdf", "78471197")</f>
        <v>78471197</v>
      </c>
      <c r="F1074" s="10" t="s">
        <v>3305</v>
      </c>
      <c r="G1074" s="10" t="s">
        <v>3138</v>
      </c>
      <c r="H1074" s="10" t="s">
        <v>3306</v>
      </c>
      <c r="I1074" s="10" t="s">
        <v>213</v>
      </c>
    </row>
    <row r="1075" spans="1:9" x14ac:dyDescent="0.15">
      <c r="A1075" s="9">
        <v>1074</v>
      </c>
      <c r="B1075" s="10" t="s">
        <v>9</v>
      </c>
      <c r="C1075" s="10" t="s">
        <v>299</v>
      </c>
      <c r="D1075" s="10" t="s">
        <v>300</v>
      </c>
      <c r="E1075" s="11" t="str">
        <f>+HYPERLINK("http://trademark.i-assist.jp/data/china/image_1898th/78472041.pdf", "78472041")</f>
        <v>78472041</v>
      </c>
      <c r="F1075" s="10" t="s">
        <v>3307</v>
      </c>
      <c r="G1075" s="10" t="s">
        <v>3308</v>
      </c>
      <c r="H1075" s="10" t="s">
        <v>3309</v>
      </c>
      <c r="I1075" s="10" t="s">
        <v>213</v>
      </c>
    </row>
    <row r="1076" spans="1:9" x14ac:dyDescent="0.15">
      <c r="A1076" s="9">
        <v>1075</v>
      </c>
      <c r="B1076" s="10" t="s">
        <v>9</v>
      </c>
      <c r="C1076" s="10" t="s">
        <v>299</v>
      </c>
      <c r="D1076" s="10" t="s">
        <v>300</v>
      </c>
      <c r="E1076" s="11" t="str">
        <f>+HYPERLINK("http://trademark.i-assist.jp/data/china/image_1898th/78472697.pdf", "78472697")</f>
        <v>78472697</v>
      </c>
      <c r="F1076" s="10" t="s">
        <v>3310</v>
      </c>
      <c r="G1076" s="10" t="s">
        <v>220</v>
      </c>
      <c r="H1076" s="10" t="s">
        <v>3311</v>
      </c>
      <c r="I1076" s="10" t="s">
        <v>213</v>
      </c>
    </row>
    <row r="1077" spans="1:9" x14ac:dyDescent="0.15">
      <c r="A1077" s="9">
        <v>1076</v>
      </c>
      <c r="B1077" s="10" t="s">
        <v>9</v>
      </c>
      <c r="C1077" s="10" t="s">
        <v>299</v>
      </c>
      <c r="D1077" s="10" t="s">
        <v>300</v>
      </c>
      <c r="E1077" s="11" t="str">
        <f>+HYPERLINK("http://trademark.i-assist.jp/data/china/image_1898th/78473135.pdf", "78473135")</f>
        <v>78473135</v>
      </c>
      <c r="F1077" s="10" t="s">
        <v>3312</v>
      </c>
      <c r="G1077" s="10" t="s">
        <v>3313</v>
      </c>
      <c r="H1077" s="10" t="s">
        <v>3314</v>
      </c>
      <c r="I1077" s="10" t="s">
        <v>213</v>
      </c>
    </row>
    <row r="1078" spans="1:9" x14ac:dyDescent="0.15">
      <c r="A1078" s="9">
        <v>1077</v>
      </c>
      <c r="B1078" s="10" t="s">
        <v>9</v>
      </c>
      <c r="C1078" s="10" t="s">
        <v>299</v>
      </c>
      <c r="D1078" s="10" t="s">
        <v>300</v>
      </c>
      <c r="E1078" s="11" t="str">
        <f>+HYPERLINK("http://trademark.i-assist.jp/data/china/image_1898th/78473499.pdf", "78473499")</f>
        <v>78473499</v>
      </c>
      <c r="F1078" s="10" t="s">
        <v>3315</v>
      </c>
      <c r="G1078" s="10" t="s">
        <v>3316</v>
      </c>
      <c r="H1078" s="10" t="s">
        <v>3317</v>
      </c>
      <c r="I1078" s="10" t="s">
        <v>213</v>
      </c>
    </row>
    <row r="1079" spans="1:9" x14ac:dyDescent="0.15">
      <c r="A1079" s="9">
        <v>1078</v>
      </c>
      <c r="B1079" s="10" t="s">
        <v>9</v>
      </c>
      <c r="C1079" s="10" t="s">
        <v>299</v>
      </c>
      <c r="D1079" s="10" t="s">
        <v>300</v>
      </c>
      <c r="E1079" s="11" t="str">
        <f>+HYPERLINK("http://trademark.i-assist.jp/data/china/image_1898th/78473791.pdf", "78473791")</f>
        <v>78473791</v>
      </c>
      <c r="F1079" s="10" t="s">
        <v>3318</v>
      </c>
      <c r="G1079" s="10" t="s">
        <v>210</v>
      </c>
      <c r="H1079" s="10" t="s">
        <v>3319</v>
      </c>
      <c r="I1079" s="10" t="s">
        <v>213</v>
      </c>
    </row>
    <row r="1080" spans="1:9" x14ac:dyDescent="0.15">
      <c r="A1080" s="9">
        <v>1079</v>
      </c>
      <c r="B1080" s="10" t="s">
        <v>9</v>
      </c>
      <c r="C1080" s="10" t="s">
        <v>299</v>
      </c>
      <c r="D1080" s="10" t="s">
        <v>300</v>
      </c>
      <c r="E1080" s="11" t="str">
        <f>+HYPERLINK("http://trademark.i-assist.jp/data/china/image_1898th/78474096.pdf", "78474096")</f>
        <v>78474096</v>
      </c>
      <c r="F1080" s="10" t="s">
        <v>3320</v>
      </c>
      <c r="G1080" s="10" t="s">
        <v>3219</v>
      </c>
      <c r="H1080" s="10" t="s">
        <v>3321</v>
      </c>
      <c r="I1080" s="10" t="s">
        <v>213</v>
      </c>
    </row>
    <row r="1081" spans="1:9" x14ac:dyDescent="0.15">
      <c r="A1081" s="9">
        <v>1080</v>
      </c>
      <c r="B1081" s="10" t="s">
        <v>9</v>
      </c>
      <c r="C1081" s="10" t="s">
        <v>299</v>
      </c>
      <c r="D1081" s="10" t="s">
        <v>300</v>
      </c>
      <c r="E1081" s="11" t="str">
        <f>+HYPERLINK("http://trademark.i-assist.jp/data/china/image_1898th/78474811.pdf", "78474811")</f>
        <v>78474811</v>
      </c>
      <c r="F1081" s="10" t="s">
        <v>3322</v>
      </c>
      <c r="G1081" s="10" t="s">
        <v>3323</v>
      </c>
      <c r="H1081" s="10" t="s">
        <v>3324</v>
      </c>
      <c r="I1081" s="10" t="s">
        <v>213</v>
      </c>
    </row>
    <row r="1082" spans="1:9" x14ac:dyDescent="0.15">
      <c r="A1082" s="9">
        <v>1081</v>
      </c>
      <c r="B1082" s="10" t="s">
        <v>9</v>
      </c>
      <c r="C1082" s="10" t="s">
        <v>299</v>
      </c>
      <c r="D1082" s="10" t="s">
        <v>300</v>
      </c>
      <c r="E1082" s="11" t="str">
        <f>+HYPERLINK("http://trademark.i-assist.jp/data/china/image_1898th/78474857.pdf", "78474857")</f>
        <v>78474857</v>
      </c>
      <c r="F1082" s="10" t="s">
        <v>3325</v>
      </c>
      <c r="G1082" s="10" t="s">
        <v>3326</v>
      </c>
      <c r="H1082" s="10" t="s">
        <v>3327</v>
      </c>
      <c r="I1082" s="10" t="s">
        <v>213</v>
      </c>
    </row>
    <row r="1083" spans="1:9" x14ac:dyDescent="0.15">
      <c r="A1083" s="9">
        <v>1082</v>
      </c>
      <c r="B1083" s="10" t="s">
        <v>9</v>
      </c>
      <c r="C1083" s="10" t="s">
        <v>299</v>
      </c>
      <c r="D1083" s="10" t="s">
        <v>300</v>
      </c>
      <c r="E1083" s="11" t="str">
        <f>+HYPERLINK("http://trademark.i-assist.jp/data/china/image_1898th/78474980.pdf", "78474980")</f>
        <v>78474980</v>
      </c>
      <c r="F1083" s="10" t="s">
        <v>3328</v>
      </c>
      <c r="G1083" s="10" t="s">
        <v>2349</v>
      </c>
      <c r="H1083" s="10" t="s">
        <v>3329</v>
      </c>
      <c r="I1083" s="10" t="s">
        <v>213</v>
      </c>
    </row>
    <row r="1084" spans="1:9" x14ac:dyDescent="0.15">
      <c r="A1084" s="9">
        <v>1083</v>
      </c>
      <c r="B1084" s="10" t="s">
        <v>9</v>
      </c>
      <c r="C1084" s="10" t="s">
        <v>299</v>
      </c>
      <c r="D1084" s="10" t="s">
        <v>300</v>
      </c>
      <c r="E1084" s="11" t="str">
        <f>+HYPERLINK("http://trademark.i-assist.jp/data/china/image_1898th/78475008.pdf", "78475008")</f>
        <v>78475008</v>
      </c>
      <c r="F1084" s="10" t="s">
        <v>19</v>
      </c>
      <c r="G1084" s="10" t="s">
        <v>1249</v>
      </c>
      <c r="H1084" s="10" t="s">
        <v>1250</v>
      </c>
      <c r="I1084" s="10" t="s">
        <v>213</v>
      </c>
    </row>
    <row r="1085" spans="1:9" x14ac:dyDescent="0.15">
      <c r="A1085" s="9">
        <v>1084</v>
      </c>
      <c r="B1085" s="10" t="s">
        <v>9</v>
      </c>
      <c r="C1085" s="10" t="s">
        <v>299</v>
      </c>
      <c r="D1085" s="10" t="s">
        <v>300</v>
      </c>
      <c r="E1085" s="11" t="str">
        <f>+HYPERLINK("http://trademark.i-assist.jp/data/china/image_1898th/78475814.pdf", "78475814")</f>
        <v>78475814</v>
      </c>
      <c r="F1085" s="10" t="s">
        <v>1251</v>
      </c>
      <c r="G1085" s="10" t="s">
        <v>1252</v>
      </c>
      <c r="H1085" s="10" t="s">
        <v>1253</v>
      </c>
      <c r="I1085" s="10" t="s">
        <v>213</v>
      </c>
    </row>
    <row r="1086" spans="1:9" x14ac:dyDescent="0.15">
      <c r="A1086" s="9">
        <v>1085</v>
      </c>
      <c r="B1086" s="10" t="s">
        <v>9</v>
      </c>
      <c r="C1086" s="10" t="s">
        <v>299</v>
      </c>
      <c r="D1086" s="10" t="s">
        <v>300</v>
      </c>
      <c r="E1086" s="11" t="str">
        <f>+HYPERLINK("http://trademark.i-assist.jp/data/china/image_1898th/78475918.pdf", "78475918")</f>
        <v>78475918</v>
      </c>
      <c r="F1086" s="10" t="s">
        <v>1254</v>
      </c>
      <c r="G1086" s="10" t="s">
        <v>1255</v>
      </c>
      <c r="H1086" s="10" t="s">
        <v>1256</v>
      </c>
      <c r="I1086" s="10" t="s">
        <v>213</v>
      </c>
    </row>
    <row r="1087" spans="1:9" x14ac:dyDescent="0.15">
      <c r="A1087" s="9">
        <v>1086</v>
      </c>
      <c r="B1087" s="10" t="s">
        <v>9</v>
      </c>
      <c r="C1087" s="10" t="s">
        <v>299</v>
      </c>
      <c r="D1087" s="10" t="s">
        <v>300</v>
      </c>
      <c r="E1087" s="11" t="str">
        <f>+HYPERLINK("http://trademark.i-assist.jp/data/china/image_1898th/78476272.pdf", "78476272")</f>
        <v>78476272</v>
      </c>
      <c r="F1087" s="10" t="s">
        <v>1257</v>
      </c>
      <c r="G1087" s="10" t="s">
        <v>1258</v>
      </c>
      <c r="H1087" s="10" t="s">
        <v>1259</v>
      </c>
      <c r="I1087" s="10" t="s">
        <v>213</v>
      </c>
    </row>
    <row r="1088" spans="1:9" x14ac:dyDescent="0.15">
      <c r="A1088" s="9">
        <v>1087</v>
      </c>
      <c r="B1088" s="10" t="s">
        <v>9</v>
      </c>
      <c r="C1088" s="10" t="s">
        <v>299</v>
      </c>
      <c r="D1088" s="10" t="s">
        <v>300</v>
      </c>
      <c r="E1088" s="11" t="str">
        <f>+HYPERLINK("http://trademark.i-assist.jp/data/china/image_1898th/78476499.pdf", "78476499")</f>
        <v>78476499</v>
      </c>
      <c r="F1088" s="10" t="s">
        <v>1260</v>
      </c>
      <c r="G1088" s="10" t="s">
        <v>1261</v>
      </c>
      <c r="H1088" s="10" t="s">
        <v>1262</v>
      </c>
      <c r="I1088" s="10" t="s">
        <v>213</v>
      </c>
    </row>
    <row r="1089" spans="1:9" x14ac:dyDescent="0.15">
      <c r="A1089" s="9">
        <v>1088</v>
      </c>
      <c r="B1089" s="10" t="s">
        <v>9</v>
      </c>
      <c r="C1089" s="10" t="s">
        <v>299</v>
      </c>
      <c r="D1089" s="10" t="s">
        <v>300</v>
      </c>
      <c r="E1089" s="11" t="str">
        <f>+HYPERLINK("http://trademark.i-assist.jp/data/china/image_1898th/78476749.pdf", "78476749")</f>
        <v>78476749</v>
      </c>
      <c r="F1089" s="10" t="s">
        <v>1263</v>
      </c>
      <c r="G1089" s="10" t="s">
        <v>1264</v>
      </c>
      <c r="H1089" s="10" t="s">
        <v>1265</v>
      </c>
      <c r="I1089" s="10" t="s">
        <v>213</v>
      </c>
    </row>
    <row r="1090" spans="1:9" x14ac:dyDescent="0.15">
      <c r="A1090" s="9">
        <v>1089</v>
      </c>
      <c r="B1090" s="10" t="s">
        <v>9</v>
      </c>
      <c r="C1090" s="10" t="s">
        <v>299</v>
      </c>
      <c r="D1090" s="10" t="s">
        <v>300</v>
      </c>
      <c r="E1090" s="11" t="str">
        <f>+HYPERLINK("http://trademark.i-assist.jp/data/china/image_1898th/78476801.pdf", "78476801")</f>
        <v>78476801</v>
      </c>
      <c r="F1090" s="10" t="s">
        <v>1266</v>
      </c>
      <c r="G1090" s="10" t="s">
        <v>1267</v>
      </c>
      <c r="H1090" s="10" t="s">
        <v>1268</v>
      </c>
      <c r="I1090" s="10" t="s">
        <v>213</v>
      </c>
    </row>
    <row r="1091" spans="1:9" x14ac:dyDescent="0.15">
      <c r="A1091" s="9">
        <v>1090</v>
      </c>
      <c r="B1091" s="10" t="s">
        <v>9</v>
      </c>
      <c r="C1091" s="10" t="s">
        <v>299</v>
      </c>
      <c r="D1091" s="10" t="s">
        <v>300</v>
      </c>
      <c r="E1091" s="11" t="str">
        <f>+HYPERLINK("http://trademark.i-assist.jp/data/china/image_1898th/78476892.pdf", "78476892")</f>
        <v>78476892</v>
      </c>
      <c r="F1091" s="10" t="s">
        <v>1269</v>
      </c>
      <c r="G1091" s="10" t="s">
        <v>214</v>
      </c>
      <c r="H1091" s="10" t="s">
        <v>1270</v>
      </c>
      <c r="I1091" s="10" t="s">
        <v>213</v>
      </c>
    </row>
    <row r="1092" spans="1:9" x14ac:dyDescent="0.15">
      <c r="A1092" s="9">
        <v>1091</v>
      </c>
      <c r="B1092" s="10" t="s">
        <v>9</v>
      </c>
      <c r="C1092" s="10" t="s">
        <v>299</v>
      </c>
      <c r="D1092" s="10" t="s">
        <v>300</v>
      </c>
      <c r="E1092" s="11" t="str">
        <f>+HYPERLINK("http://trademark.i-assist.jp/data/china/image_1898th/78477018.pdf", "78477018")</f>
        <v>78477018</v>
      </c>
      <c r="F1092" s="10" t="s">
        <v>1271</v>
      </c>
      <c r="G1092" s="10" t="s">
        <v>210</v>
      </c>
      <c r="H1092" s="10" t="s">
        <v>1272</v>
      </c>
      <c r="I1092" s="10" t="s">
        <v>213</v>
      </c>
    </row>
    <row r="1093" spans="1:9" x14ac:dyDescent="0.15">
      <c r="A1093" s="9">
        <v>1092</v>
      </c>
      <c r="B1093" s="10" t="s">
        <v>9</v>
      </c>
      <c r="C1093" s="10" t="s">
        <v>299</v>
      </c>
      <c r="D1093" s="10" t="s">
        <v>300</v>
      </c>
      <c r="E1093" s="11" t="str">
        <f>+HYPERLINK("http://trademark.i-assist.jp/data/china/image_1898th/78477128.pdf", "78477128")</f>
        <v>78477128</v>
      </c>
      <c r="F1093" s="10" t="s">
        <v>1273</v>
      </c>
      <c r="G1093" s="10" t="s">
        <v>276</v>
      </c>
      <c r="H1093" s="10" t="s">
        <v>1274</v>
      </c>
      <c r="I1093" s="10" t="s">
        <v>213</v>
      </c>
    </row>
    <row r="1094" spans="1:9" x14ac:dyDescent="0.15">
      <c r="A1094" s="9">
        <v>1093</v>
      </c>
      <c r="B1094" s="10" t="s">
        <v>9</v>
      </c>
      <c r="C1094" s="10" t="s">
        <v>299</v>
      </c>
      <c r="D1094" s="10" t="s">
        <v>300</v>
      </c>
      <c r="E1094" s="11" t="str">
        <f>+HYPERLINK("http://trademark.i-assist.jp/data/china/image_1898th/78477373.pdf", "78477373")</f>
        <v>78477373</v>
      </c>
      <c r="F1094" s="10" t="s">
        <v>1275</v>
      </c>
      <c r="G1094" s="10" t="s">
        <v>1062</v>
      </c>
      <c r="H1094" s="10" t="s">
        <v>1276</v>
      </c>
      <c r="I1094" s="10" t="s">
        <v>213</v>
      </c>
    </row>
    <row r="1095" spans="1:9" x14ac:dyDescent="0.15">
      <c r="A1095" s="9">
        <v>1094</v>
      </c>
      <c r="B1095" s="10" t="s">
        <v>9</v>
      </c>
      <c r="C1095" s="10" t="s">
        <v>299</v>
      </c>
      <c r="D1095" s="10" t="s">
        <v>300</v>
      </c>
      <c r="E1095" s="11" t="str">
        <f>+HYPERLINK("http://trademark.i-assist.jp/data/china/image_1898th/78477800.pdf", "78477800")</f>
        <v>78477800</v>
      </c>
      <c r="F1095" s="10" t="s">
        <v>1277</v>
      </c>
      <c r="G1095" s="10" t="s">
        <v>1278</v>
      </c>
      <c r="H1095" s="10" t="s">
        <v>1279</v>
      </c>
      <c r="I1095" s="10" t="s">
        <v>213</v>
      </c>
    </row>
    <row r="1096" spans="1:9" x14ac:dyDescent="0.15">
      <c r="A1096" s="9">
        <v>1095</v>
      </c>
      <c r="B1096" s="10" t="s">
        <v>9</v>
      </c>
      <c r="C1096" s="10" t="s">
        <v>299</v>
      </c>
      <c r="D1096" s="10" t="s">
        <v>300</v>
      </c>
      <c r="E1096" s="11" t="str">
        <f>+HYPERLINK("http://trademark.i-assist.jp/data/china/image_1898th/78477865.pdf", "78477865")</f>
        <v>78477865</v>
      </c>
      <c r="F1096" s="10" t="s">
        <v>1280</v>
      </c>
      <c r="G1096" s="10" t="s">
        <v>1281</v>
      </c>
      <c r="H1096" s="10" t="s">
        <v>1282</v>
      </c>
      <c r="I1096" s="10" t="s">
        <v>213</v>
      </c>
    </row>
    <row r="1097" spans="1:9" x14ac:dyDescent="0.15">
      <c r="A1097" s="9">
        <v>1096</v>
      </c>
      <c r="B1097" s="10" t="s">
        <v>9</v>
      </c>
      <c r="C1097" s="10" t="s">
        <v>299</v>
      </c>
      <c r="D1097" s="10" t="s">
        <v>300</v>
      </c>
      <c r="E1097" s="11" t="str">
        <f>+HYPERLINK("http://trademark.i-assist.jp/data/china/image_1898th/78477986.pdf", "78477986")</f>
        <v>78477986</v>
      </c>
      <c r="F1097" s="10" t="s">
        <v>1283</v>
      </c>
      <c r="G1097" s="10" t="s">
        <v>210</v>
      </c>
      <c r="H1097" s="10" t="s">
        <v>1284</v>
      </c>
      <c r="I1097" s="10" t="s">
        <v>213</v>
      </c>
    </row>
    <row r="1098" spans="1:9" x14ac:dyDescent="0.15">
      <c r="A1098" s="9">
        <v>1097</v>
      </c>
      <c r="B1098" s="10" t="s">
        <v>9</v>
      </c>
      <c r="C1098" s="10" t="s">
        <v>299</v>
      </c>
      <c r="D1098" s="10" t="s">
        <v>300</v>
      </c>
      <c r="E1098" s="11" t="str">
        <f>+HYPERLINK("http://trademark.i-assist.jp/data/china/image_1898th/78478057.pdf", "78478057")</f>
        <v>78478057</v>
      </c>
      <c r="F1098" s="10" t="s">
        <v>1285</v>
      </c>
      <c r="G1098" s="10" t="s">
        <v>190</v>
      </c>
      <c r="H1098" s="10" t="s">
        <v>1286</v>
      </c>
      <c r="I1098" s="10" t="s">
        <v>213</v>
      </c>
    </row>
    <row r="1099" spans="1:9" x14ac:dyDescent="0.15">
      <c r="A1099" s="9">
        <v>1098</v>
      </c>
      <c r="B1099" s="10" t="s">
        <v>9</v>
      </c>
      <c r="C1099" s="10" t="s">
        <v>299</v>
      </c>
      <c r="D1099" s="10" t="s">
        <v>300</v>
      </c>
      <c r="E1099" s="11" t="str">
        <f>+HYPERLINK("http://trademark.i-assist.jp/data/china/image_1898th/78478170.pdf", "78478170")</f>
        <v>78478170</v>
      </c>
      <c r="F1099" s="10" t="s">
        <v>1287</v>
      </c>
      <c r="G1099" s="10" t="s">
        <v>222</v>
      </c>
      <c r="H1099" s="10" t="s">
        <v>1288</v>
      </c>
      <c r="I1099" s="10" t="s">
        <v>213</v>
      </c>
    </row>
    <row r="1100" spans="1:9" x14ac:dyDescent="0.15">
      <c r="A1100" s="9">
        <v>1099</v>
      </c>
      <c r="B1100" s="10" t="s">
        <v>9</v>
      </c>
      <c r="C1100" s="10" t="s">
        <v>299</v>
      </c>
      <c r="D1100" s="10" t="s">
        <v>300</v>
      </c>
      <c r="E1100" s="11" t="str">
        <f>+HYPERLINK("http://trademark.i-assist.jp/data/china/image_1898th/78478389.pdf", "78478389")</f>
        <v>78478389</v>
      </c>
      <c r="F1100" s="10" t="s">
        <v>1289</v>
      </c>
      <c r="G1100" s="10" t="s">
        <v>1261</v>
      </c>
      <c r="H1100" s="10" t="s">
        <v>1290</v>
      </c>
      <c r="I1100" s="10" t="s">
        <v>213</v>
      </c>
    </row>
    <row r="1101" spans="1:9" x14ac:dyDescent="0.15">
      <c r="A1101" s="9">
        <v>1100</v>
      </c>
      <c r="B1101" s="10" t="s">
        <v>9</v>
      </c>
      <c r="C1101" s="10" t="s">
        <v>299</v>
      </c>
      <c r="D1101" s="10" t="s">
        <v>300</v>
      </c>
      <c r="E1101" s="11" t="str">
        <f>+HYPERLINK("http://trademark.i-assist.jp/data/china/image_1898th/78478401.pdf", "78478401")</f>
        <v>78478401</v>
      </c>
      <c r="F1101" s="10" t="s">
        <v>1291</v>
      </c>
      <c r="G1101" s="10" t="s">
        <v>1292</v>
      </c>
      <c r="H1101" s="10" t="s">
        <v>1293</v>
      </c>
      <c r="I1101" s="10" t="s">
        <v>213</v>
      </c>
    </row>
    <row r="1102" spans="1:9" x14ac:dyDescent="0.15">
      <c r="A1102" s="9">
        <v>1101</v>
      </c>
      <c r="B1102" s="10" t="s">
        <v>9</v>
      </c>
      <c r="C1102" s="10" t="s">
        <v>299</v>
      </c>
      <c r="D1102" s="10" t="s">
        <v>300</v>
      </c>
      <c r="E1102" s="11" t="str">
        <f>+HYPERLINK("http://trademark.i-assist.jp/data/china/image_1898th/78479092.pdf", "78479092")</f>
        <v>78479092</v>
      </c>
      <c r="F1102" s="10" t="s">
        <v>1294</v>
      </c>
      <c r="G1102" s="10" t="s">
        <v>1295</v>
      </c>
      <c r="H1102" s="10" t="s">
        <v>1296</v>
      </c>
      <c r="I1102" s="10" t="s">
        <v>213</v>
      </c>
    </row>
    <row r="1103" spans="1:9" x14ac:dyDescent="0.15">
      <c r="A1103" s="9">
        <v>1102</v>
      </c>
      <c r="B1103" s="10" t="s">
        <v>9</v>
      </c>
      <c r="C1103" s="10" t="s">
        <v>299</v>
      </c>
      <c r="D1103" s="10" t="s">
        <v>300</v>
      </c>
      <c r="E1103" s="11" t="str">
        <f>+HYPERLINK("http://trademark.i-assist.jp/data/china/image_1898th/78479110.pdf", "78479110")</f>
        <v>78479110</v>
      </c>
      <c r="F1103" s="10" t="s">
        <v>1297</v>
      </c>
      <c r="G1103" s="10" t="s">
        <v>1298</v>
      </c>
      <c r="H1103" s="10" t="s">
        <v>1299</v>
      </c>
      <c r="I1103" s="10" t="s">
        <v>213</v>
      </c>
    </row>
    <row r="1104" spans="1:9" x14ac:dyDescent="0.15">
      <c r="A1104" s="9">
        <v>1103</v>
      </c>
      <c r="B1104" s="10" t="s">
        <v>9</v>
      </c>
      <c r="C1104" s="10" t="s">
        <v>299</v>
      </c>
      <c r="D1104" s="10" t="s">
        <v>300</v>
      </c>
      <c r="E1104" s="11" t="str">
        <f>+HYPERLINK("http://trademark.i-assist.jp/data/china/image_1898th/78479395.pdf", "78479395")</f>
        <v>78479395</v>
      </c>
      <c r="F1104" s="10" t="s">
        <v>1300</v>
      </c>
      <c r="G1104" s="10" t="s">
        <v>1301</v>
      </c>
      <c r="H1104" s="10" t="s">
        <v>1302</v>
      </c>
      <c r="I1104" s="10" t="s">
        <v>213</v>
      </c>
    </row>
    <row r="1105" spans="1:9" x14ac:dyDescent="0.15">
      <c r="A1105" s="9">
        <v>1104</v>
      </c>
      <c r="B1105" s="10" t="s">
        <v>9</v>
      </c>
      <c r="C1105" s="10" t="s">
        <v>299</v>
      </c>
      <c r="D1105" s="10" t="s">
        <v>300</v>
      </c>
      <c r="E1105" s="11" t="str">
        <f>+HYPERLINK("http://trademark.i-assist.jp/data/china/image_1898th/78479593.pdf", "78479593")</f>
        <v>78479593</v>
      </c>
      <c r="F1105" s="10" t="s">
        <v>1303</v>
      </c>
      <c r="G1105" s="10" t="s">
        <v>1304</v>
      </c>
      <c r="H1105" s="10" t="s">
        <v>1305</v>
      </c>
      <c r="I1105" s="10" t="s">
        <v>213</v>
      </c>
    </row>
    <row r="1106" spans="1:9" x14ac:dyDescent="0.15">
      <c r="A1106" s="9">
        <v>1105</v>
      </c>
      <c r="B1106" s="10" t="s">
        <v>9</v>
      </c>
      <c r="C1106" s="10" t="s">
        <v>299</v>
      </c>
      <c r="D1106" s="10" t="s">
        <v>300</v>
      </c>
      <c r="E1106" s="11" t="str">
        <f>+HYPERLINK("http://trademark.i-assist.jp/data/china/image_1898th/78479608.pdf", "78479608")</f>
        <v>78479608</v>
      </c>
      <c r="F1106" s="10" t="s">
        <v>1306</v>
      </c>
      <c r="G1106" s="10" t="s">
        <v>1307</v>
      </c>
      <c r="H1106" s="10" t="s">
        <v>1308</v>
      </c>
      <c r="I1106" s="10" t="s">
        <v>213</v>
      </c>
    </row>
    <row r="1107" spans="1:9" x14ac:dyDescent="0.15">
      <c r="A1107" s="9">
        <v>1106</v>
      </c>
      <c r="B1107" s="10" t="s">
        <v>9</v>
      </c>
      <c r="C1107" s="10" t="s">
        <v>299</v>
      </c>
      <c r="D1107" s="10" t="s">
        <v>300</v>
      </c>
      <c r="E1107" s="11" t="str">
        <f>+HYPERLINK("http://trademark.i-assist.jp/data/china/image_1898th/78479689.pdf", "78479689")</f>
        <v>78479689</v>
      </c>
      <c r="F1107" s="10" t="s">
        <v>1309</v>
      </c>
      <c r="G1107" s="10" t="s">
        <v>1310</v>
      </c>
      <c r="H1107" s="10" t="s">
        <v>1311</v>
      </c>
      <c r="I1107" s="10" t="s">
        <v>213</v>
      </c>
    </row>
    <row r="1108" spans="1:9" x14ac:dyDescent="0.15">
      <c r="A1108" s="9">
        <v>1107</v>
      </c>
      <c r="B1108" s="10" t="s">
        <v>9</v>
      </c>
      <c r="C1108" s="10" t="s">
        <v>299</v>
      </c>
      <c r="D1108" s="10" t="s">
        <v>300</v>
      </c>
      <c r="E1108" s="11" t="str">
        <f>+HYPERLINK("http://trademark.i-assist.jp/data/china/image_1898th/78479818.pdf", "78479818")</f>
        <v>78479818</v>
      </c>
      <c r="F1108" s="10" t="s">
        <v>1312</v>
      </c>
      <c r="G1108" s="10" t="s">
        <v>1313</v>
      </c>
      <c r="H1108" s="10" t="s">
        <v>1314</v>
      </c>
      <c r="I1108" s="10" t="s">
        <v>213</v>
      </c>
    </row>
    <row r="1109" spans="1:9" x14ac:dyDescent="0.15">
      <c r="A1109" s="9">
        <v>1108</v>
      </c>
      <c r="B1109" s="10" t="s">
        <v>9</v>
      </c>
      <c r="C1109" s="10" t="s">
        <v>299</v>
      </c>
      <c r="D1109" s="10" t="s">
        <v>300</v>
      </c>
      <c r="E1109" s="11" t="str">
        <f>+HYPERLINK("http://trademark.i-assist.jp/data/china/image_1898th/78479843.pdf", "78479843")</f>
        <v>78479843</v>
      </c>
      <c r="F1109" s="10" t="s">
        <v>1315</v>
      </c>
      <c r="G1109" s="10" t="s">
        <v>1316</v>
      </c>
      <c r="H1109" s="10" t="s">
        <v>1317</v>
      </c>
      <c r="I1109" s="10" t="s">
        <v>213</v>
      </c>
    </row>
    <row r="1110" spans="1:9" x14ac:dyDescent="0.15">
      <c r="A1110" s="9">
        <v>1109</v>
      </c>
      <c r="B1110" s="10" t="s">
        <v>9</v>
      </c>
      <c r="C1110" s="10" t="s">
        <v>299</v>
      </c>
      <c r="D1110" s="10" t="s">
        <v>300</v>
      </c>
      <c r="E1110" s="11" t="str">
        <f>+HYPERLINK("http://trademark.i-assist.jp/data/china/image_1898th/78480172.pdf", "78480172")</f>
        <v>78480172</v>
      </c>
      <c r="F1110" s="10" t="s">
        <v>1318</v>
      </c>
      <c r="G1110" s="10" t="s">
        <v>221</v>
      </c>
      <c r="H1110" s="10" t="s">
        <v>1319</v>
      </c>
      <c r="I1110" s="10" t="s">
        <v>213</v>
      </c>
    </row>
    <row r="1111" spans="1:9" x14ac:dyDescent="0.15">
      <c r="A1111" s="9">
        <v>1110</v>
      </c>
      <c r="B1111" s="10" t="s">
        <v>9</v>
      </c>
      <c r="C1111" s="10" t="s">
        <v>299</v>
      </c>
      <c r="D1111" s="10" t="s">
        <v>300</v>
      </c>
      <c r="E1111" s="11" t="str">
        <f>+HYPERLINK("http://trademark.i-assist.jp/data/china/image_1898th/78480299.pdf", "78480299")</f>
        <v>78480299</v>
      </c>
      <c r="F1111" s="10" t="s">
        <v>1320</v>
      </c>
      <c r="G1111" s="10" t="s">
        <v>1321</v>
      </c>
      <c r="H1111" s="10" t="s">
        <v>1322</v>
      </c>
      <c r="I1111" s="10" t="s">
        <v>213</v>
      </c>
    </row>
    <row r="1112" spans="1:9" x14ac:dyDescent="0.15">
      <c r="A1112" s="9">
        <v>1111</v>
      </c>
      <c r="B1112" s="10" t="s">
        <v>9</v>
      </c>
      <c r="C1112" s="10" t="s">
        <v>299</v>
      </c>
      <c r="D1112" s="10" t="s">
        <v>300</v>
      </c>
      <c r="E1112" s="11" t="str">
        <f>+HYPERLINK("http://trademark.i-assist.jp/data/china/image_1898th/78480550.pdf", "78480550")</f>
        <v>78480550</v>
      </c>
      <c r="F1112" s="10" t="s">
        <v>1323</v>
      </c>
      <c r="G1112" s="10" t="s">
        <v>1324</v>
      </c>
      <c r="H1112" s="10" t="s">
        <v>1325</v>
      </c>
      <c r="I1112" s="10" t="s">
        <v>213</v>
      </c>
    </row>
    <row r="1113" spans="1:9" x14ac:dyDescent="0.15">
      <c r="A1113" s="9">
        <v>1112</v>
      </c>
      <c r="B1113" s="10" t="s">
        <v>9</v>
      </c>
      <c r="C1113" s="10" t="s">
        <v>299</v>
      </c>
      <c r="D1113" s="10" t="s">
        <v>300</v>
      </c>
      <c r="E1113" s="11" t="str">
        <f>+HYPERLINK("http://trademark.i-assist.jp/data/china/image_1898th/78480619.pdf", "78480619")</f>
        <v>78480619</v>
      </c>
      <c r="F1113" s="10" t="s">
        <v>1326</v>
      </c>
      <c r="G1113" s="10" t="s">
        <v>1327</v>
      </c>
      <c r="H1113" s="10" t="s">
        <v>1328</v>
      </c>
      <c r="I1113" s="10" t="s">
        <v>213</v>
      </c>
    </row>
    <row r="1114" spans="1:9" x14ac:dyDescent="0.15">
      <c r="A1114" s="9">
        <v>1113</v>
      </c>
      <c r="B1114" s="10" t="s">
        <v>9</v>
      </c>
      <c r="C1114" s="10" t="s">
        <v>299</v>
      </c>
      <c r="D1114" s="10" t="s">
        <v>300</v>
      </c>
      <c r="E1114" s="11" t="str">
        <f>+HYPERLINK("http://trademark.i-assist.jp/data/china/image_1898th/78480675.pdf", "78480675")</f>
        <v>78480675</v>
      </c>
      <c r="F1114" s="10" t="s">
        <v>3330</v>
      </c>
      <c r="G1114" s="10" t="s">
        <v>214</v>
      </c>
      <c r="H1114" s="10" t="s">
        <v>3331</v>
      </c>
      <c r="I1114" s="10" t="s">
        <v>213</v>
      </c>
    </row>
    <row r="1115" spans="1:9" x14ac:dyDescent="0.15">
      <c r="A1115" s="9">
        <v>1114</v>
      </c>
      <c r="B1115" s="10" t="s">
        <v>9</v>
      </c>
      <c r="C1115" s="10" t="s">
        <v>299</v>
      </c>
      <c r="D1115" s="10" t="s">
        <v>300</v>
      </c>
      <c r="E1115" s="11" t="str">
        <f>+HYPERLINK("http://trademark.i-assist.jp/data/china/image_1898th/78481022.pdf", "78481022")</f>
        <v>78481022</v>
      </c>
      <c r="F1115" s="10" t="s">
        <v>3332</v>
      </c>
      <c r="G1115" s="10" t="s">
        <v>3333</v>
      </c>
      <c r="H1115" s="10" t="s">
        <v>3334</v>
      </c>
      <c r="I1115" s="10" t="s">
        <v>213</v>
      </c>
    </row>
    <row r="1116" spans="1:9" x14ac:dyDescent="0.15">
      <c r="A1116" s="9">
        <v>1115</v>
      </c>
      <c r="B1116" s="10" t="s">
        <v>9</v>
      </c>
      <c r="C1116" s="10" t="s">
        <v>299</v>
      </c>
      <c r="D1116" s="10" t="s">
        <v>300</v>
      </c>
      <c r="E1116" s="11" t="str">
        <f>+HYPERLINK("http://trademark.i-assist.jp/data/china/image_1898th/78481169.pdf", "78481169")</f>
        <v>78481169</v>
      </c>
      <c r="F1116" s="10" t="s">
        <v>3335</v>
      </c>
      <c r="G1116" s="10" t="s">
        <v>3336</v>
      </c>
      <c r="H1116" s="10" t="s">
        <v>3337</v>
      </c>
      <c r="I1116" s="10" t="s">
        <v>213</v>
      </c>
    </row>
    <row r="1117" spans="1:9" x14ac:dyDescent="0.15">
      <c r="A1117" s="9">
        <v>1116</v>
      </c>
      <c r="B1117" s="10" t="s">
        <v>9</v>
      </c>
      <c r="C1117" s="10" t="s">
        <v>299</v>
      </c>
      <c r="D1117" s="10" t="s">
        <v>300</v>
      </c>
      <c r="E1117" s="11" t="str">
        <f>+HYPERLINK("http://trademark.i-assist.jp/data/china/image_1898th/78481508.pdf", "78481508")</f>
        <v>78481508</v>
      </c>
      <c r="F1117" s="10" t="s">
        <v>19</v>
      </c>
      <c r="G1117" s="10" t="s">
        <v>3338</v>
      </c>
      <c r="H1117" s="10" t="s">
        <v>3339</v>
      </c>
      <c r="I1117" s="10" t="s">
        <v>213</v>
      </c>
    </row>
    <row r="1118" spans="1:9" x14ac:dyDescent="0.15">
      <c r="A1118" s="9">
        <v>1117</v>
      </c>
      <c r="B1118" s="10" t="s">
        <v>9</v>
      </c>
      <c r="C1118" s="10" t="s">
        <v>299</v>
      </c>
      <c r="D1118" s="10" t="s">
        <v>300</v>
      </c>
      <c r="E1118" s="11" t="str">
        <f>+HYPERLINK("http://trademark.i-assist.jp/data/china/image_1898th/78481636.pdf", "78481636")</f>
        <v>78481636</v>
      </c>
      <c r="F1118" s="10" t="s">
        <v>3340</v>
      </c>
      <c r="G1118" s="10" t="s">
        <v>242</v>
      </c>
      <c r="H1118" s="10" t="s">
        <v>3341</v>
      </c>
      <c r="I1118" s="10" t="s">
        <v>213</v>
      </c>
    </row>
    <row r="1119" spans="1:9" x14ac:dyDescent="0.15">
      <c r="A1119" s="9">
        <v>1118</v>
      </c>
      <c r="B1119" s="10" t="s">
        <v>9</v>
      </c>
      <c r="C1119" s="10" t="s">
        <v>299</v>
      </c>
      <c r="D1119" s="10" t="s">
        <v>300</v>
      </c>
      <c r="E1119" s="11" t="str">
        <f>+HYPERLINK("http://trademark.i-assist.jp/data/china/image_1898th/78481714.pdf", "78481714")</f>
        <v>78481714</v>
      </c>
      <c r="F1119" s="10" t="s">
        <v>3342</v>
      </c>
      <c r="G1119" s="10" t="s">
        <v>3343</v>
      </c>
      <c r="H1119" s="10" t="s">
        <v>3344</v>
      </c>
      <c r="I1119" s="10" t="s">
        <v>213</v>
      </c>
    </row>
    <row r="1120" spans="1:9" x14ac:dyDescent="0.15">
      <c r="A1120" s="9">
        <v>1119</v>
      </c>
      <c r="B1120" s="10" t="s">
        <v>9</v>
      </c>
      <c r="C1120" s="10" t="s">
        <v>299</v>
      </c>
      <c r="D1120" s="10" t="s">
        <v>300</v>
      </c>
      <c r="E1120" s="11" t="str">
        <f>+HYPERLINK("http://trademark.i-assist.jp/data/china/image_1898th/78481756.pdf", "78481756")</f>
        <v>78481756</v>
      </c>
      <c r="F1120" s="10" t="s">
        <v>3345</v>
      </c>
      <c r="G1120" s="10" t="s">
        <v>221</v>
      </c>
      <c r="H1120" s="10" t="s">
        <v>3346</v>
      </c>
      <c r="I1120" s="10" t="s">
        <v>213</v>
      </c>
    </row>
    <row r="1121" spans="1:9" x14ac:dyDescent="0.15">
      <c r="A1121" s="9">
        <v>1120</v>
      </c>
      <c r="B1121" s="10" t="s">
        <v>9</v>
      </c>
      <c r="C1121" s="10" t="s">
        <v>299</v>
      </c>
      <c r="D1121" s="10" t="s">
        <v>300</v>
      </c>
      <c r="E1121" s="11" t="str">
        <f>+HYPERLINK("http://trademark.i-assist.jp/data/china/image_1898th/78482233.pdf", "78482233")</f>
        <v>78482233</v>
      </c>
      <c r="F1121" s="10" t="s">
        <v>1309</v>
      </c>
      <c r="G1121" s="10" t="s">
        <v>1310</v>
      </c>
      <c r="H1121" s="10" t="s">
        <v>3347</v>
      </c>
      <c r="I1121" s="10" t="s">
        <v>213</v>
      </c>
    </row>
    <row r="1122" spans="1:9" x14ac:dyDescent="0.15">
      <c r="A1122" s="9">
        <v>1121</v>
      </c>
      <c r="B1122" s="10" t="s">
        <v>9</v>
      </c>
      <c r="C1122" s="10" t="s">
        <v>299</v>
      </c>
      <c r="D1122" s="10" t="s">
        <v>300</v>
      </c>
      <c r="E1122" s="11" t="str">
        <f>+HYPERLINK("http://trademark.i-assist.jp/data/china/image_1898th/78482234.pdf", "78482234")</f>
        <v>78482234</v>
      </c>
      <c r="F1122" s="10" t="s">
        <v>3348</v>
      </c>
      <c r="G1122" s="10" t="s">
        <v>3349</v>
      </c>
      <c r="H1122" s="10" t="s">
        <v>3350</v>
      </c>
      <c r="I1122" s="10" t="s">
        <v>213</v>
      </c>
    </row>
    <row r="1123" spans="1:9" x14ac:dyDescent="0.15">
      <c r="A1123" s="9">
        <v>1122</v>
      </c>
      <c r="B1123" s="10" t="s">
        <v>9</v>
      </c>
      <c r="C1123" s="10" t="s">
        <v>299</v>
      </c>
      <c r="D1123" s="10" t="s">
        <v>300</v>
      </c>
      <c r="E1123" s="11" t="str">
        <f>+HYPERLINK("http://trademark.i-assist.jp/data/china/image_1898th/78482250.pdf", "78482250")</f>
        <v>78482250</v>
      </c>
      <c r="F1123" s="10" t="s">
        <v>3351</v>
      </c>
      <c r="G1123" s="10" t="s">
        <v>3352</v>
      </c>
      <c r="H1123" s="10" t="s">
        <v>3353</v>
      </c>
      <c r="I1123" s="10" t="s">
        <v>213</v>
      </c>
    </row>
    <row r="1124" spans="1:9" x14ac:dyDescent="0.15">
      <c r="A1124" s="9">
        <v>1123</v>
      </c>
      <c r="B1124" s="10" t="s">
        <v>9</v>
      </c>
      <c r="C1124" s="10" t="s">
        <v>299</v>
      </c>
      <c r="D1124" s="10" t="s">
        <v>300</v>
      </c>
      <c r="E1124" s="11" t="str">
        <f>+HYPERLINK("http://trademark.i-assist.jp/data/china/image_1898th/78482417.pdf", "78482417")</f>
        <v>78482417</v>
      </c>
      <c r="F1124" s="10" t="s">
        <v>3354</v>
      </c>
      <c r="G1124" s="10" t="s">
        <v>157</v>
      </c>
      <c r="H1124" s="10" t="s">
        <v>3355</v>
      </c>
      <c r="I1124" s="10" t="s">
        <v>213</v>
      </c>
    </row>
    <row r="1125" spans="1:9" x14ac:dyDescent="0.15">
      <c r="A1125" s="9">
        <v>1124</v>
      </c>
      <c r="B1125" s="10" t="s">
        <v>9</v>
      </c>
      <c r="C1125" s="10" t="s">
        <v>299</v>
      </c>
      <c r="D1125" s="10" t="s">
        <v>300</v>
      </c>
      <c r="E1125" s="11" t="str">
        <f>+HYPERLINK("http://trademark.i-assist.jp/data/china/image_1898th/78482430.pdf", "78482430")</f>
        <v>78482430</v>
      </c>
      <c r="F1125" s="10" t="s">
        <v>3356</v>
      </c>
      <c r="G1125" s="10" t="s">
        <v>3357</v>
      </c>
      <c r="H1125" s="10" t="s">
        <v>3358</v>
      </c>
      <c r="I1125" s="10" t="s">
        <v>213</v>
      </c>
    </row>
    <row r="1126" spans="1:9" x14ac:dyDescent="0.15">
      <c r="A1126" s="9">
        <v>1125</v>
      </c>
      <c r="B1126" s="10" t="s">
        <v>9</v>
      </c>
      <c r="C1126" s="10" t="s">
        <v>299</v>
      </c>
      <c r="D1126" s="10" t="s">
        <v>300</v>
      </c>
      <c r="E1126" s="11" t="str">
        <f>+HYPERLINK("http://trademark.i-assist.jp/data/china/image_1898th/78482662.pdf", "78482662")</f>
        <v>78482662</v>
      </c>
      <c r="F1126" s="10" t="s">
        <v>3359</v>
      </c>
      <c r="G1126" s="10" t="s">
        <v>3360</v>
      </c>
      <c r="H1126" s="10" t="s">
        <v>3361</v>
      </c>
      <c r="I1126" s="10" t="s">
        <v>213</v>
      </c>
    </row>
    <row r="1127" spans="1:9" x14ac:dyDescent="0.15">
      <c r="A1127" s="9">
        <v>1126</v>
      </c>
      <c r="B1127" s="10" t="s">
        <v>9</v>
      </c>
      <c r="C1127" s="10" t="s">
        <v>299</v>
      </c>
      <c r="D1127" s="10" t="s">
        <v>300</v>
      </c>
      <c r="E1127" s="11" t="str">
        <f>+HYPERLINK("http://trademark.i-assist.jp/data/china/image_1898th/78482676.pdf", "78482676")</f>
        <v>78482676</v>
      </c>
      <c r="F1127" s="10" t="s">
        <v>3362</v>
      </c>
      <c r="G1127" s="10" t="s">
        <v>928</v>
      </c>
      <c r="H1127" s="10" t="s">
        <v>3363</v>
      </c>
      <c r="I1127" s="10" t="s">
        <v>213</v>
      </c>
    </row>
    <row r="1128" spans="1:9" x14ac:dyDescent="0.15">
      <c r="A1128" s="9">
        <v>1127</v>
      </c>
      <c r="B1128" s="10" t="s">
        <v>9</v>
      </c>
      <c r="C1128" s="10" t="s">
        <v>299</v>
      </c>
      <c r="D1128" s="10" t="s">
        <v>300</v>
      </c>
      <c r="E1128" s="11" t="str">
        <f>+HYPERLINK("http://trademark.i-assist.jp/data/china/image_1898th/78482929.pdf", "78482929")</f>
        <v>78482929</v>
      </c>
      <c r="F1128" s="10" t="s">
        <v>3364</v>
      </c>
      <c r="G1128" s="10" t="s">
        <v>210</v>
      </c>
      <c r="H1128" s="10" t="s">
        <v>3365</v>
      </c>
      <c r="I1128" s="10" t="s">
        <v>213</v>
      </c>
    </row>
    <row r="1129" spans="1:9" x14ac:dyDescent="0.15">
      <c r="A1129" s="9">
        <v>1128</v>
      </c>
      <c r="B1129" s="10" t="s">
        <v>9</v>
      </c>
      <c r="C1129" s="10" t="s">
        <v>299</v>
      </c>
      <c r="D1129" s="10" t="s">
        <v>300</v>
      </c>
      <c r="E1129" s="11" t="str">
        <f>+HYPERLINK("http://trademark.i-assist.jp/data/china/image_1898th/78483512.pdf", "78483512")</f>
        <v>78483512</v>
      </c>
      <c r="F1129" s="10" t="s">
        <v>3366</v>
      </c>
      <c r="G1129" s="10" t="s">
        <v>3222</v>
      </c>
      <c r="H1129" s="10" t="s">
        <v>3223</v>
      </c>
      <c r="I1129" s="10" t="s">
        <v>213</v>
      </c>
    </row>
    <row r="1130" spans="1:9" x14ac:dyDescent="0.15">
      <c r="A1130" s="9">
        <v>1129</v>
      </c>
      <c r="B1130" s="10" t="s">
        <v>9</v>
      </c>
      <c r="C1130" s="10" t="s">
        <v>299</v>
      </c>
      <c r="D1130" s="10" t="s">
        <v>300</v>
      </c>
      <c r="E1130" s="11" t="str">
        <f>+HYPERLINK("http://trademark.i-assist.jp/data/china/image_1898th/78483629.pdf", "78483629")</f>
        <v>78483629</v>
      </c>
      <c r="F1130" s="10" t="s">
        <v>3367</v>
      </c>
      <c r="G1130" s="10" t="s">
        <v>1307</v>
      </c>
      <c r="H1130" s="10" t="s">
        <v>3368</v>
      </c>
      <c r="I1130" s="10" t="s">
        <v>213</v>
      </c>
    </row>
    <row r="1131" spans="1:9" x14ac:dyDescent="0.15">
      <c r="A1131" s="9">
        <v>1130</v>
      </c>
      <c r="B1131" s="10" t="s">
        <v>9</v>
      </c>
      <c r="C1131" s="10" t="s">
        <v>299</v>
      </c>
      <c r="D1131" s="10" t="s">
        <v>300</v>
      </c>
      <c r="E1131" s="11" t="str">
        <f>+HYPERLINK("http://trademark.i-assist.jp/data/china/image_1898th/78483728.pdf", "78483728")</f>
        <v>78483728</v>
      </c>
      <c r="F1131" s="10" t="s">
        <v>19</v>
      </c>
      <c r="G1131" s="10" t="s">
        <v>3369</v>
      </c>
      <c r="H1131" s="10" t="s">
        <v>3370</v>
      </c>
      <c r="I1131" s="10" t="s">
        <v>213</v>
      </c>
    </row>
    <row r="1132" spans="1:9" x14ac:dyDescent="0.15">
      <c r="A1132" s="9">
        <v>1131</v>
      </c>
      <c r="B1132" s="10" t="s">
        <v>9</v>
      </c>
      <c r="C1132" s="10" t="s">
        <v>299</v>
      </c>
      <c r="D1132" s="10" t="s">
        <v>300</v>
      </c>
      <c r="E1132" s="11" t="str">
        <f>+HYPERLINK("http://trademark.i-assist.jp/data/china/image_1898th/78483803.pdf", "78483803")</f>
        <v>78483803</v>
      </c>
      <c r="F1132" s="10" t="s">
        <v>3371</v>
      </c>
      <c r="G1132" s="10" t="s">
        <v>3205</v>
      </c>
      <c r="H1132" s="10" t="s">
        <v>3372</v>
      </c>
      <c r="I1132" s="10" t="s">
        <v>213</v>
      </c>
    </row>
    <row r="1133" spans="1:9" x14ac:dyDescent="0.15">
      <c r="A1133" s="9">
        <v>1132</v>
      </c>
      <c r="B1133" s="10" t="s">
        <v>9</v>
      </c>
      <c r="C1133" s="10" t="s">
        <v>299</v>
      </c>
      <c r="D1133" s="10" t="s">
        <v>300</v>
      </c>
      <c r="E1133" s="11" t="str">
        <f>+HYPERLINK("http://trademark.i-assist.jp/data/china/image_1898th/78483859.pdf", "78483859")</f>
        <v>78483859</v>
      </c>
      <c r="F1133" s="10" t="s">
        <v>3373</v>
      </c>
      <c r="G1133" s="10" t="s">
        <v>3374</v>
      </c>
      <c r="H1133" s="10" t="s">
        <v>3375</v>
      </c>
      <c r="I1133" s="10" t="s">
        <v>213</v>
      </c>
    </row>
    <row r="1134" spans="1:9" x14ac:dyDescent="0.15">
      <c r="A1134" s="9">
        <v>1133</v>
      </c>
      <c r="B1134" s="10" t="s">
        <v>9</v>
      </c>
      <c r="C1134" s="10" t="s">
        <v>299</v>
      </c>
      <c r="D1134" s="10" t="s">
        <v>300</v>
      </c>
      <c r="E1134" s="11" t="str">
        <f>+HYPERLINK("http://trademark.i-assist.jp/data/china/image_1898th/78484006.pdf", "78484006")</f>
        <v>78484006</v>
      </c>
      <c r="F1134" s="10" t="s">
        <v>3376</v>
      </c>
      <c r="G1134" s="10" t="s">
        <v>3377</v>
      </c>
      <c r="H1134" s="10" t="s">
        <v>3378</v>
      </c>
      <c r="I1134" s="10" t="s">
        <v>213</v>
      </c>
    </row>
    <row r="1135" spans="1:9" x14ac:dyDescent="0.15">
      <c r="A1135" s="9">
        <v>1134</v>
      </c>
      <c r="B1135" s="10" t="s">
        <v>9</v>
      </c>
      <c r="C1135" s="10" t="s">
        <v>299</v>
      </c>
      <c r="D1135" s="10" t="s">
        <v>300</v>
      </c>
      <c r="E1135" s="11" t="str">
        <f>+HYPERLINK("http://trademark.i-assist.jp/data/china/image_1898th/78484052.pdf", "78484052")</f>
        <v>78484052</v>
      </c>
      <c r="F1135" s="10" t="s">
        <v>3379</v>
      </c>
      <c r="G1135" s="10" t="s">
        <v>3380</v>
      </c>
      <c r="H1135" s="10" t="s">
        <v>3381</v>
      </c>
      <c r="I1135" s="10" t="s">
        <v>213</v>
      </c>
    </row>
    <row r="1136" spans="1:9" x14ac:dyDescent="0.15">
      <c r="A1136" s="9">
        <v>1135</v>
      </c>
      <c r="B1136" s="10" t="s">
        <v>9</v>
      </c>
      <c r="C1136" s="10" t="s">
        <v>299</v>
      </c>
      <c r="D1136" s="10" t="s">
        <v>300</v>
      </c>
      <c r="E1136" s="11" t="str">
        <f>+HYPERLINK("http://trademark.i-assist.jp/data/china/image_1898th/78484409.pdf", "78484409")</f>
        <v>78484409</v>
      </c>
      <c r="F1136" s="10" t="s">
        <v>3382</v>
      </c>
      <c r="G1136" s="10" t="s">
        <v>3383</v>
      </c>
      <c r="H1136" s="10" t="s">
        <v>3384</v>
      </c>
      <c r="I1136" s="10" t="s">
        <v>225</v>
      </c>
    </row>
    <row r="1137" spans="1:9" x14ac:dyDescent="0.15">
      <c r="A1137" s="9">
        <v>1136</v>
      </c>
      <c r="B1137" s="10" t="s">
        <v>9</v>
      </c>
      <c r="C1137" s="10" t="s">
        <v>299</v>
      </c>
      <c r="D1137" s="10" t="s">
        <v>300</v>
      </c>
      <c r="E1137" s="11" t="str">
        <f>+HYPERLINK("http://trademark.i-assist.jp/data/china/image_1898th/78485072.pdf", "78485072")</f>
        <v>78485072</v>
      </c>
      <c r="F1137" s="10" t="s">
        <v>3385</v>
      </c>
      <c r="G1137" s="10" t="s">
        <v>3386</v>
      </c>
      <c r="H1137" s="10" t="s">
        <v>3387</v>
      </c>
      <c r="I1137" s="10" t="s">
        <v>225</v>
      </c>
    </row>
    <row r="1138" spans="1:9" x14ac:dyDescent="0.15">
      <c r="A1138" s="9">
        <v>1137</v>
      </c>
      <c r="B1138" s="10" t="s">
        <v>9</v>
      </c>
      <c r="C1138" s="10" t="s">
        <v>299</v>
      </c>
      <c r="D1138" s="10" t="s">
        <v>300</v>
      </c>
      <c r="E1138" s="11" t="str">
        <f>+HYPERLINK("http://trademark.i-assist.jp/data/china/image_1898th/78485260.pdf", "78485260")</f>
        <v>78485260</v>
      </c>
      <c r="F1138" s="10" t="s">
        <v>3388</v>
      </c>
      <c r="G1138" s="10" t="s">
        <v>3389</v>
      </c>
      <c r="H1138" s="10" t="s">
        <v>3390</v>
      </c>
      <c r="I1138" s="10" t="s">
        <v>225</v>
      </c>
    </row>
    <row r="1139" spans="1:9" x14ac:dyDescent="0.15">
      <c r="A1139" s="9">
        <v>1138</v>
      </c>
      <c r="B1139" s="10" t="s">
        <v>9</v>
      </c>
      <c r="C1139" s="10" t="s">
        <v>299</v>
      </c>
      <c r="D1139" s="10" t="s">
        <v>300</v>
      </c>
      <c r="E1139" s="11" t="str">
        <f>+HYPERLINK("http://trademark.i-assist.jp/data/china/image_1898th/78485284.pdf", "78485284")</f>
        <v>78485284</v>
      </c>
      <c r="F1139" s="10" t="s">
        <v>3391</v>
      </c>
      <c r="G1139" s="10" t="s">
        <v>3392</v>
      </c>
      <c r="H1139" s="10" t="s">
        <v>3393</v>
      </c>
      <c r="I1139" s="10" t="s">
        <v>225</v>
      </c>
    </row>
    <row r="1140" spans="1:9" x14ac:dyDescent="0.15">
      <c r="A1140" s="9">
        <v>1139</v>
      </c>
      <c r="B1140" s="10" t="s">
        <v>9</v>
      </c>
      <c r="C1140" s="10" t="s">
        <v>299</v>
      </c>
      <c r="D1140" s="10" t="s">
        <v>300</v>
      </c>
      <c r="E1140" s="11" t="str">
        <f>+HYPERLINK("http://trademark.i-assist.jp/data/china/image_1898th/78485350.pdf", "78485350")</f>
        <v>78485350</v>
      </c>
      <c r="F1140" s="10" t="s">
        <v>3394</v>
      </c>
      <c r="G1140" s="10" t="s">
        <v>3395</v>
      </c>
      <c r="H1140" s="10" t="s">
        <v>3396</v>
      </c>
      <c r="I1140" s="10" t="s">
        <v>225</v>
      </c>
    </row>
    <row r="1141" spans="1:9" x14ac:dyDescent="0.15">
      <c r="A1141" s="9">
        <v>1140</v>
      </c>
      <c r="B1141" s="10" t="s">
        <v>9</v>
      </c>
      <c r="C1141" s="10" t="s">
        <v>299</v>
      </c>
      <c r="D1141" s="10" t="s">
        <v>300</v>
      </c>
      <c r="E1141" s="11" t="str">
        <f>+HYPERLINK("http://trademark.i-assist.jp/data/china/image_1898th/78485367.pdf", "78485367")</f>
        <v>78485367</v>
      </c>
      <c r="F1141" s="10" t="s">
        <v>3397</v>
      </c>
      <c r="G1141" s="10" t="s">
        <v>3398</v>
      </c>
      <c r="H1141" s="10" t="s">
        <v>3399</v>
      </c>
      <c r="I1141" s="10" t="s">
        <v>225</v>
      </c>
    </row>
    <row r="1142" spans="1:9" x14ac:dyDescent="0.15">
      <c r="A1142" s="9">
        <v>1141</v>
      </c>
      <c r="B1142" s="10" t="s">
        <v>9</v>
      </c>
      <c r="C1142" s="10" t="s">
        <v>299</v>
      </c>
      <c r="D1142" s="10" t="s">
        <v>300</v>
      </c>
      <c r="E1142" s="11" t="str">
        <f>+HYPERLINK("http://trademark.i-assist.jp/data/china/image_1898th/78485394.pdf", "78485394")</f>
        <v>78485394</v>
      </c>
      <c r="F1142" s="10" t="s">
        <v>3400</v>
      </c>
      <c r="G1142" s="10" t="s">
        <v>3401</v>
      </c>
      <c r="H1142" s="10" t="s">
        <v>3402</v>
      </c>
      <c r="I1142" s="10" t="s">
        <v>225</v>
      </c>
    </row>
    <row r="1143" spans="1:9" x14ac:dyDescent="0.15">
      <c r="A1143" s="9">
        <v>1142</v>
      </c>
      <c r="B1143" s="10" t="s">
        <v>9</v>
      </c>
      <c r="C1143" s="10" t="s">
        <v>299</v>
      </c>
      <c r="D1143" s="10" t="s">
        <v>300</v>
      </c>
      <c r="E1143" s="11" t="str">
        <f>+HYPERLINK("http://trademark.i-assist.jp/data/china/image_1898th/78485855.pdf", "78485855")</f>
        <v>78485855</v>
      </c>
      <c r="F1143" s="10" t="s">
        <v>3403</v>
      </c>
      <c r="G1143" s="10" t="s">
        <v>3404</v>
      </c>
      <c r="H1143" s="10" t="s">
        <v>3405</v>
      </c>
      <c r="I1143" s="10" t="s">
        <v>225</v>
      </c>
    </row>
    <row r="1144" spans="1:9" x14ac:dyDescent="0.15">
      <c r="A1144" s="9">
        <v>1143</v>
      </c>
      <c r="B1144" s="10" t="s">
        <v>9</v>
      </c>
      <c r="C1144" s="10" t="s">
        <v>299</v>
      </c>
      <c r="D1144" s="10" t="s">
        <v>300</v>
      </c>
      <c r="E1144" s="11" t="str">
        <f>+HYPERLINK("http://trademark.i-assist.jp/data/china/image_1898th/78485933.pdf", "78485933")</f>
        <v>78485933</v>
      </c>
      <c r="F1144" s="10" t="s">
        <v>19</v>
      </c>
      <c r="G1144" s="10" t="s">
        <v>3406</v>
      </c>
      <c r="H1144" s="10" t="s">
        <v>3407</v>
      </c>
      <c r="I1144" s="10" t="s">
        <v>225</v>
      </c>
    </row>
    <row r="1145" spans="1:9" x14ac:dyDescent="0.15">
      <c r="A1145" s="9">
        <v>1144</v>
      </c>
      <c r="B1145" s="10" t="s">
        <v>9</v>
      </c>
      <c r="C1145" s="10" t="s">
        <v>299</v>
      </c>
      <c r="D1145" s="10" t="s">
        <v>300</v>
      </c>
      <c r="E1145" s="11" t="str">
        <f>+HYPERLINK("http://trademark.i-assist.jp/data/china/image_1898th/78486302.pdf", "78486302")</f>
        <v>78486302</v>
      </c>
      <c r="F1145" s="10" t="s">
        <v>3408</v>
      </c>
      <c r="G1145" s="10" t="s">
        <v>3409</v>
      </c>
      <c r="H1145" s="10" t="s">
        <v>3410</v>
      </c>
      <c r="I1145" s="10" t="s">
        <v>225</v>
      </c>
    </row>
    <row r="1146" spans="1:9" x14ac:dyDescent="0.15">
      <c r="A1146" s="9">
        <v>1145</v>
      </c>
      <c r="B1146" s="10" t="s">
        <v>9</v>
      </c>
      <c r="C1146" s="10" t="s">
        <v>299</v>
      </c>
      <c r="D1146" s="10" t="s">
        <v>300</v>
      </c>
      <c r="E1146" s="11" t="str">
        <f>+HYPERLINK("http://trademark.i-assist.jp/data/china/image_1898th/78486396.pdf", "78486396")</f>
        <v>78486396</v>
      </c>
      <c r="F1146" s="10" t="s">
        <v>3411</v>
      </c>
      <c r="G1146" s="10" t="s">
        <v>3412</v>
      </c>
      <c r="H1146" s="10" t="s">
        <v>3413</v>
      </c>
      <c r="I1146" s="10" t="s">
        <v>225</v>
      </c>
    </row>
    <row r="1147" spans="1:9" x14ac:dyDescent="0.15">
      <c r="A1147" s="9">
        <v>1146</v>
      </c>
      <c r="B1147" s="10" t="s">
        <v>9</v>
      </c>
      <c r="C1147" s="10" t="s">
        <v>299</v>
      </c>
      <c r="D1147" s="10" t="s">
        <v>300</v>
      </c>
      <c r="E1147" s="11" t="str">
        <f>+HYPERLINK("http://trademark.i-assist.jp/data/china/image_1898th/78486671.pdf", "78486671")</f>
        <v>78486671</v>
      </c>
      <c r="F1147" s="10" t="s">
        <v>3414</v>
      </c>
      <c r="G1147" s="10" t="s">
        <v>3415</v>
      </c>
      <c r="H1147" s="10" t="s">
        <v>3416</v>
      </c>
      <c r="I1147" s="10" t="s">
        <v>225</v>
      </c>
    </row>
    <row r="1148" spans="1:9" x14ac:dyDescent="0.15">
      <c r="A1148" s="9">
        <v>1147</v>
      </c>
      <c r="B1148" s="10" t="s">
        <v>9</v>
      </c>
      <c r="C1148" s="10" t="s">
        <v>299</v>
      </c>
      <c r="D1148" s="10" t="s">
        <v>300</v>
      </c>
      <c r="E1148" s="11" t="str">
        <f>+HYPERLINK("http://trademark.i-assist.jp/data/china/image_1898th/78486751.pdf", "78486751")</f>
        <v>78486751</v>
      </c>
      <c r="F1148" s="10" t="s">
        <v>3417</v>
      </c>
      <c r="G1148" s="10" t="s">
        <v>3418</v>
      </c>
      <c r="H1148" s="10" t="s">
        <v>3419</v>
      </c>
      <c r="I1148" s="10" t="s">
        <v>225</v>
      </c>
    </row>
    <row r="1149" spans="1:9" x14ac:dyDescent="0.15">
      <c r="A1149" s="9">
        <v>1148</v>
      </c>
      <c r="B1149" s="10" t="s">
        <v>9</v>
      </c>
      <c r="C1149" s="10" t="s">
        <v>299</v>
      </c>
      <c r="D1149" s="10" t="s">
        <v>300</v>
      </c>
      <c r="E1149" s="11" t="str">
        <f>+HYPERLINK("http://trademark.i-assist.jp/data/china/image_1898th/78486754.pdf", "78486754")</f>
        <v>78486754</v>
      </c>
      <c r="F1149" s="10" t="s">
        <v>3420</v>
      </c>
      <c r="G1149" s="10" t="s">
        <v>246</v>
      </c>
      <c r="H1149" s="10" t="s">
        <v>3421</v>
      </c>
      <c r="I1149" s="10" t="s">
        <v>225</v>
      </c>
    </row>
    <row r="1150" spans="1:9" x14ac:dyDescent="0.15">
      <c r="A1150" s="9">
        <v>1149</v>
      </c>
      <c r="B1150" s="10" t="s">
        <v>9</v>
      </c>
      <c r="C1150" s="10" t="s">
        <v>299</v>
      </c>
      <c r="D1150" s="10" t="s">
        <v>300</v>
      </c>
      <c r="E1150" s="11" t="str">
        <f>+HYPERLINK("http://trademark.i-assist.jp/data/china/image_1898th/78487113.pdf", "78487113")</f>
        <v>78487113</v>
      </c>
      <c r="F1150" s="10" t="s">
        <v>3422</v>
      </c>
      <c r="G1150" s="10" t="s">
        <v>3423</v>
      </c>
      <c r="H1150" s="10" t="s">
        <v>3424</v>
      </c>
      <c r="I1150" s="10" t="s">
        <v>225</v>
      </c>
    </row>
    <row r="1151" spans="1:9" x14ac:dyDescent="0.15">
      <c r="A1151" s="9">
        <v>1150</v>
      </c>
      <c r="B1151" s="10" t="s">
        <v>9</v>
      </c>
      <c r="C1151" s="10" t="s">
        <v>299</v>
      </c>
      <c r="D1151" s="10" t="s">
        <v>300</v>
      </c>
      <c r="E1151" s="11" t="str">
        <f>+HYPERLINK("http://trademark.i-assist.jp/data/china/image_1898th/78487351.pdf", "78487351")</f>
        <v>78487351</v>
      </c>
      <c r="F1151" s="10" t="s">
        <v>3425</v>
      </c>
      <c r="G1151" s="10" t="s">
        <v>11</v>
      </c>
      <c r="H1151" s="10" t="s">
        <v>3426</v>
      </c>
      <c r="I1151" s="10" t="s">
        <v>225</v>
      </c>
    </row>
    <row r="1152" spans="1:9" x14ac:dyDescent="0.15">
      <c r="A1152" s="9">
        <v>1151</v>
      </c>
      <c r="B1152" s="10" t="s">
        <v>9</v>
      </c>
      <c r="C1152" s="10" t="s">
        <v>299</v>
      </c>
      <c r="D1152" s="10" t="s">
        <v>300</v>
      </c>
      <c r="E1152" s="11" t="str">
        <f>+HYPERLINK("http://trademark.i-assist.jp/data/china/image_1898th/78487663.pdf", "78487663")</f>
        <v>78487663</v>
      </c>
      <c r="F1152" s="10" t="s">
        <v>3427</v>
      </c>
      <c r="G1152" s="10" t="s">
        <v>3428</v>
      </c>
      <c r="H1152" s="10" t="s">
        <v>3429</v>
      </c>
      <c r="I1152" s="10" t="s">
        <v>225</v>
      </c>
    </row>
    <row r="1153" spans="1:9" x14ac:dyDescent="0.15">
      <c r="A1153" s="9">
        <v>1152</v>
      </c>
      <c r="B1153" s="10" t="s">
        <v>9</v>
      </c>
      <c r="C1153" s="10" t="s">
        <v>299</v>
      </c>
      <c r="D1153" s="10" t="s">
        <v>300</v>
      </c>
      <c r="E1153" s="11" t="str">
        <f>+HYPERLINK("http://trademark.i-assist.jp/data/china/image_1898th/78487762.pdf", "78487762")</f>
        <v>78487762</v>
      </c>
      <c r="F1153" s="10" t="s">
        <v>3430</v>
      </c>
      <c r="G1153" s="10" t="s">
        <v>3431</v>
      </c>
      <c r="H1153" s="10" t="s">
        <v>3432</v>
      </c>
      <c r="I1153" s="10" t="s">
        <v>225</v>
      </c>
    </row>
    <row r="1154" spans="1:9" x14ac:dyDescent="0.15">
      <c r="A1154" s="9">
        <v>1153</v>
      </c>
      <c r="B1154" s="10" t="s">
        <v>9</v>
      </c>
      <c r="C1154" s="10" t="s">
        <v>299</v>
      </c>
      <c r="D1154" s="10" t="s">
        <v>300</v>
      </c>
      <c r="E1154" s="11" t="str">
        <f>+HYPERLINK("http://trademark.i-assist.jp/data/china/image_1898th/78488085.pdf", "78488085")</f>
        <v>78488085</v>
      </c>
      <c r="F1154" s="10" t="s">
        <v>3433</v>
      </c>
      <c r="G1154" s="10" t="s">
        <v>3434</v>
      </c>
      <c r="H1154" s="10" t="s">
        <v>3435</v>
      </c>
      <c r="I1154" s="10" t="s">
        <v>225</v>
      </c>
    </row>
    <row r="1155" spans="1:9" x14ac:dyDescent="0.15">
      <c r="A1155" s="9">
        <v>1154</v>
      </c>
      <c r="B1155" s="10" t="s">
        <v>9</v>
      </c>
      <c r="C1155" s="10" t="s">
        <v>299</v>
      </c>
      <c r="D1155" s="10" t="s">
        <v>300</v>
      </c>
      <c r="E1155" s="11" t="str">
        <f>+HYPERLINK("http://trademark.i-assist.jp/data/china/image_1898th/78488111.pdf", "78488111")</f>
        <v>78488111</v>
      </c>
      <c r="F1155" s="10" t="s">
        <v>3436</v>
      </c>
      <c r="G1155" s="10" t="s">
        <v>3437</v>
      </c>
      <c r="H1155" s="10" t="s">
        <v>3438</v>
      </c>
      <c r="I1155" s="10" t="s">
        <v>225</v>
      </c>
    </row>
    <row r="1156" spans="1:9" x14ac:dyDescent="0.15">
      <c r="A1156" s="9">
        <v>1155</v>
      </c>
      <c r="B1156" s="10" t="s">
        <v>9</v>
      </c>
      <c r="C1156" s="10" t="s">
        <v>299</v>
      </c>
      <c r="D1156" s="10" t="s">
        <v>300</v>
      </c>
      <c r="E1156" s="11" t="str">
        <f>+HYPERLINK("http://trademark.i-assist.jp/data/china/image_1898th/78488347.pdf", "78488347")</f>
        <v>78488347</v>
      </c>
      <c r="F1156" s="10" t="s">
        <v>3439</v>
      </c>
      <c r="G1156" s="10" t="s">
        <v>245</v>
      </c>
      <c r="H1156" s="10" t="s">
        <v>3440</v>
      </c>
      <c r="I1156" s="10" t="s">
        <v>225</v>
      </c>
    </row>
    <row r="1157" spans="1:9" x14ac:dyDescent="0.15">
      <c r="A1157" s="9">
        <v>1156</v>
      </c>
      <c r="B1157" s="10" t="s">
        <v>9</v>
      </c>
      <c r="C1157" s="10" t="s">
        <v>299</v>
      </c>
      <c r="D1157" s="10" t="s">
        <v>300</v>
      </c>
      <c r="E1157" s="11" t="str">
        <f>+HYPERLINK("http://trademark.i-assist.jp/data/china/image_1898th/78488557.pdf", "78488557")</f>
        <v>78488557</v>
      </c>
      <c r="F1157" s="10" t="s">
        <v>3441</v>
      </c>
      <c r="G1157" s="10" t="s">
        <v>3442</v>
      </c>
      <c r="H1157" s="10" t="s">
        <v>3443</v>
      </c>
      <c r="I1157" s="10" t="s">
        <v>225</v>
      </c>
    </row>
    <row r="1158" spans="1:9" x14ac:dyDescent="0.15">
      <c r="A1158" s="9">
        <v>1157</v>
      </c>
      <c r="B1158" s="10" t="s">
        <v>9</v>
      </c>
      <c r="C1158" s="10" t="s">
        <v>299</v>
      </c>
      <c r="D1158" s="10" t="s">
        <v>300</v>
      </c>
      <c r="E1158" s="11" t="str">
        <f>+HYPERLINK("http://trademark.i-assist.jp/data/china/image_1898th/78488701.pdf", "78488701")</f>
        <v>78488701</v>
      </c>
      <c r="F1158" s="10" t="s">
        <v>3444</v>
      </c>
      <c r="G1158" s="10" t="s">
        <v>3445</v>
      </c>
      <c r="H1158" s="10" t="s">
        <v>3446</v>
      </c>
      <c r="I1158" s="10" t="s">
        <v>225</v>
      </c>
    </row>
    <row r="1159" spans="1:9" x14ac:dyDescent="0.15">
      <c r="A1159" s="9">
        <v>1158</v>
      </c>
      <c r="B1159" s="10" t="s">
        <v>9</v>
      </c>
      <c r="C1159" s="10" t="s">
        <v>299</v>
      </c>
      <c r="D1159" s="10" t="s">
        <v>300</v>
      </c>
      <c r="E1159" s="11" t="str">
        <f>+HYPERLINK("http://trademark.i-assist.jp/data/china/image_1898th/78489044.pdf", "78489044")</f>
        <v>78489044</v>
      </c>
      <c r="F1159" s="10" t="s">
        <v>3447</v>
      </c>
      <c r="G1159" s="10" t="s">
        <v>3448</v>
      </c>
      <c r="H1159" s="10" t="s">
        <v>3449</v>
      </c>
      <c r="I1159" s="10" t="s">
        <v>225</v>
      </c>
    </row>
    <row r="1160" spans="1:9" x14ac:dyDescent="0.15">
      <c r="A1160" s="9">
        <v>1159</v>
      </c>
      <c r="B1160" s="10" t="s">
        <v>9</v>
      </c>
      <c r="C1160" s="10" t="s">
        <v>299</v>
      </c>
      <c r="D1160" s="10" t="s">
        <v>300</v>
      </c>
      <c r="E1160" s="11" t="str">
        <f>+HYPERLINK("http://trademark.i-assist.jp/data/china/image_1898th/78489159.pdf", "78489159")</f>
        <v>78489159</v>
      </c>
      <c r="F1160" s="10" t="s">
        <v>3450</v>
      </c>
      <c r="G1160" s="10" t="s">
        <v>3451</v>
      </c>
      <c r="H1160" s="10" t="s">
        <v>3452</v>
      </c>
      <c r="I1160" s="10" t="s">
        <v>225</v>
      </c>
    </row>
    <row r="1161" spans="1:9" x14ac:dyDescent="0.15">
      <c r="A1161" s="9">
        <v>1160</v>
      </c>
      <c r="B1161" s="10" t="s">
        <v>9</v>
      </c>
      <c r="C1161" s="10" t="s">
        <v>299</v>
      </c>
      <c r="D1161" s="10" t="s">
        <v>300</v>
      </c>
      <c r="E1161" s="11" t="str">
        <f>+HYPERLINK("http://trademark.i-assist.jp/data/china/image_1898th/78489793.pdf", "78489793")</f>
        <v>78489793</v>
      </c>
      <c r="F1161" s="10" t="s">
        <v>3453</v>
      </c>
      <c r="G1161" s="10" t="s">
        <v>3454</v>
      </c>
      <c r="H1161" s="10" t="s">
        <v>3455</v>
      </c>
      <c r="I1161" s="10" t="s">
        <v>225</v>
      </c>
    </row>
    <row r="1162" spans="1:9" x14ac:dyDescent="0.15">
      <c r="A1162" s="9">
        <v>1161</v>
      </c>
      <c r="B1162" s="10" t="s">
        <v>9</v>
      </c>
      <c r="C1162" s="10" t="s">
        <v>299</v>
      </c>
      <c r="D1162" s="10" t="s">
        <v>300</v>
      </c>
      <c r="E1162" s="11" t="str">
        <f>+HYPERLINK("http://trademark.i-assist.jp/data/china/image_1898th/78490049.pdf", "78490049")</f>
        <v>78490049</v>
      </c>
      <c r="F1162" s="10" t="s">
        <v>3456</v>
      </c>
      <c r="G1162" s="10" t="s">
        <v>3457</v>
      </c>
      <c r="H1162" s="10" t="s">
        <v>3458</v>
      </c>
      <c r="I1162" s="10" t="s">
        <v>225</v>
      </c>
    </row>
    <row r="1163" spans="1:9" x14ac:dyDescent="0.15">
      <c r="A1163" s="9">
        <v>1162</v>
      </c>
      <c r="B1163" s="10" t="s">
        <v>9</v>
      </c>
      <c r="C1163" s="10" t="s">
        <v>299</v>
      </c>
      <c r="D1163" s="10" t="s">
        <v>300</v>
      </c>
      <c r="E1163" s="11" t="str">
        <f>+HYPERLINK("http://trademark.i-assist.jp/data/china/image_1898th/78490132.pdf", "78490132")</f>
        <v>78490132</v>
      </c>
      <c r="F1163" s="10" t="s">
        <v>3459</v>
      </c>
      <c r="G1163" s="10" t="s">
        <v>3460</v>
      </c>
      <c r="H1163" s="10" t="s">
        <v>3461</v>
      </c>
      <c r="I1163" s="10" t="s">
        <v>225</v>
      </c>
    </row>
    <row r="1164" spans="1:9" x14ac:dyDescent="0.15">
      <c r="A1164" s="9">
        <v>1163</v>
      </c>
      <c r="B1164" s="10" t="s">
        <v>9</v>
      </c>
      <c r="C1164" s="10" t="s">
        <v>299</v>
      </c>
      <c r="D1164" s="10" t="s">
        <v>300</v>
      </c>
      <c r="E1164" s="11" t="str">
        <f>+HYPERLINK("http://trademark.i-assist.jp/data/china/image_1898th/78490312.pdf", "78490312")</f>
        <v>78490312</v>
      </c>
      <c r="F1164" s="10" t="s">
        <v>3462</v>
      </c>
      <c r="G1164" s="10" t="s">
        <v>3463</v>
      </c>
      <c r="H1164" s="10" t="s">
        <v>3464</v>
      </c>
      <c r="I1164" s="10" t="s">
        <v>225</v>
      </c>
    </row>
    <row r="1165" spans="1:9" x14ac:dyDescent="0.15">
      <c r="A1165" s="9">
        <v>1164</v>
      </c>
      <c r="B1165" s="10" t="s">
        <v>9</v>
      </c>
      <c r="C1165" s="10" t="s">
        <v>299</v>
      </c>
      <c r="D1165" s="10" t="s">
        <v>300</v>
      </c>
      <c r="E1165" s="11" t="str">
        <f>+HYPERLINK("http://trademark.i-assist.jp/data/china/image_1898th/78490649.pdf", "78490649")</f>
        <v>78490649</v>
      </c>
      <c r="F1165" s="10" t="s">
        <v>3465</v>
      </c>
      <c r="G1165" s="10" t="s">
        <v>3466</v>
      </c>
      <c r="H1165" s="10" t="s">
        <v>3467</v>
      </c>
      <c r="I1165" s="10" t="s">
        <v>225</v>
      </c>
    </row>
    <row r="1166" spans="1:9" x14ac:dyDescent="0.15">
      <c r="A1166" s="9">
        <v>1165</v>
      </c>
      <c r="B1166" s="10" t="s">
        <v>9</v>
      </c>
      <c r="C1166" s="10" t="s">
        <v>299</v>
      </c>
      <c r="D1166" s="10" t="s">
        <v>300</v>
      </c>
      <c r="E1166" s="11" t="str">
        <f>+HYPERLINK("http://trademark.i-assist.jp/data/china/image_1898th/78490962.pdf", "78490962")</f>
        <v>78490962</v>
      </c>
      <c r="F1166" s="10" t="s">
        <v>3468</v>
      </c>
      <c r="G1166" s="10" t="s">
        <v>3469</v>
      </c>
      <c r="H1166" s="10" t="s">
        <v>3470</v>
      </c>
      <c r="I1166" s="10" t="s">
        <v>225</v>
      </c>
    </row>
    <row r="1167" spans="1:9" x14ac:dyDescent="0.15">
      <c r="A1167" s="9">
        <v>1166</v>
      </c>
      <c r="B1167" s="10" t="s">
        <v>9</v>
      </c>
      <c r="C1167" s="10" t="s">
        <v>299</v>
      </c>
      <c r="D1167" s="10" t="s">
        <v>300</v>
      </c>
      <c r="E1167" s="11" t="str">
        <f>+HYPERLINK("http://trademark.i-assist.jp/data/china/image_1898th/78491004.pdf", "78491004")</f>
        <v>78491004</v>
      </c>
      <c r="F1167" s="10" t="s">
        <v>3471</v>
      </c>
      <c r="G1167" s="10" t="s">
        <v>244</v>
      </c>
      <c r="H1167" s="10" t="s">
        <v>3472</v>
      </c>
      <c r="I1167" s="10" t="s">
        <v>225</v>
      </c>
    </row>
    <row r="1168" spans="1:9" x14ac:dyDescent="0.15">
      <c r="A1168" s="9">
        <v>1167</v>
      </c>
      <c r="B1168" s="10" t="s">
        <v>9</v>
      </c>
      <c r="C1168" s="10" t="s">
        <v>299</v>
      </c>
      <c r="D1168" s="10" t="s">
        <v>300</v>
      </c>
      <c r="E1168" s="11" t="str">
        <f>+HYPERLINK("http://trademark.i-assist.jp/data/china/image_1898th/78491348.pdf", "78491348")</f>
        <v>78491348</v>
      </c>
      <c r="F1168" s="10" t="s">
        <v>3473</v>
      </c>
      <c r="G1168" s="10" t="s">
        <v>3474</v>
      </c>
      <c r="H1168" s="10" t="s">
        <v>3475</v>
      </c>
      <c r="I1168" s="10" t="s">
        <v>225</v>
      </c>
    </row>
    <row r="1169" spans="1:9" x14ac:dyDescent="0.15">
      <c r="A1169" s="9">
        <v>1168</v>
      </c>
      <c r="B1169" s="10" t="s">
        <v>9</v>
      </c>
      <c r="C1169" s="10" t="s">
        <v>299</v>
      </c>
      <c r="D1169" s="10" t="s">
        <v>300</v>
      </c>
      <c r="E1169" s="11" t="str">
        <f>+HYPERLINK("http://trademark.i-assist.jp/data/china/image_1898th/78491420.pdf", "78491420")</f>
        <v>78491420</v>
      </c>
      <c r="F1169" s="10" t="s">
        <v>3476</v>
      </c>
      <c r="G1169" s="10" t="s">
        <v>3477</v>
      </c>
      <c r="H1169" s="10" t="s">
        <v>3478</v>
      </c>
      <c r="I1169" s="10" t="s">
        <v>225</v>
      </c>
    </row>
    <row r="1170" spans="1:9" x14ac:dyDescent="0.15">
      <c r="A1170" s="9">
        <v>1169</v>
      </c>
      <c r="B1170" s="10" t="s">
        <v>9</v>
      </c>
      <c r="C1170" s="10" t="s">
        <v>299</v>
      </c>
      <c r="D1170" s="10" t="s">
        <v>300</v>
      </c>
      <c r="E1170" s="11" t="str">
        <f>+HYPERLINK("http://trademark.i-assist.jp/data/china/image_1898th/78491441.pdf", "78491441")</f>
        <v>78491441</v>
      </c>
      <c r="F1170" s="10" t="s">
        <v>3479</v>
      </c>
      <c r="G1170" s="10" t="s">
        <v>3477</v>
      </c>
      <c r="H1170" s="10" t="s">
        <v>3480</v>
      </c>
      <c r="I1170" s="10" t="s">
        <v>225</v>
      </c>
    </row>
    <row r="1171" spans="1:9" x14ac:dyDescent="0.15">
      <c r="A1171" s="9">
        <v>1170</v>
      </c>
      <c r="B1171" s="10" t="s">
        <v>9</v>
      </c>
      <c r="C1171" s="10" t="s">
        <v>299</v>
      </c>
      <c r="D1171" s="10" t="s">
        <v>300</v>
      </c>
      <c r="E1171" s="11" t="str">
        <f>+HYPERLINK("http://trademark.i-assist.jp/data/china/image_1898th/78491486.pdf", "78491486")</f>
        <v>78491486</v>
      </c>
      <c r="F1171" s="10" t="s">
        <v>3481</v>
      </c>
      <c r="G1171" s="10" t="s">
        <v>3482</v>
      </c>
      <c r="H1171" s="10" t="s">
        <v>3483</v>
      </c>
      <c r="I1171" s="10" t="s">
        <v>225</v>
      </c>
    </row>
    <row r="1172" spans="1:9" x14ac:dyDescent="0.15">
      <c r="A1172" s="9">
        <v>1171</v>
      </c>
      <c r="B1172" s="10" t="s">
        <v>9</v>
      </c>
      <c r="C1172" s="10" t="s">
        <v>299</v>
      </c>
      <c r="D1172" s="10" t="s">
        <v>300</v>
      </c>
      <c r="E1172" s="11" t="str">
        <f>+HYPERLINK("http://trademark.i-assist.jp/data/china/image_1898th/78491798.pdf", "78491798")</f>
        <v>78491798</v>
      </c>
      <c r="F1172" s="10" t="s">
        <v>3484</v>
      </c>
      <c r="G1172" s="10" t="s">
        <v>103</v>
      </c>
      <c r="H1172" s="10" t="s">
        <v>3485</v>
      </c>
      <c r="I1172" s="10" t="s">
        <v>225</v>
      </c>
    </row>
    <row r="1173" spans="1:9" x14ac:dyDescent="0.15">
      <c r="A1173" s="9">
        <v>1172</v>
      </c>
      <c r="B1173" s="10" t="s">
        <v>9</v>
      </c>
      <c r="C1173" s="10" t="s">
        <v>299</v>
      </c>
      <c r="D1173" s="10" t="s">
        <v>300</v>
      </c>
      <c r="E1173" s="11" t="str">
        <f>+HYPERLINK("http://trademark.i-assist.jp/data/china/image_1898th/78491951.pdf", "78491951")</f>
        <v>78491951</v>
      </c>
      <c r="F1173" s="10" t="s">
        <v>3486</v>
      </c>
      <c r="G1173" s="10" t="s">
        <v>241</v>
      </c>
      <c r="H1173" s="10" t="s">
        <v>3487</v>
      </c>
      <c r="I1173" s="10" t="s">
        <v>225</v>
      </c>
    </row>
    <row r="1174" spans="1:9" x14ac:dyDescent="0.15">
      <c r="A1174" s="9">
        <v>1173</v>
      </c>
      <c r="B1174" s="10" t="s">
        <v>9</v>
      </c>
      <c r="C1174" s="10" t="s">
        <v>299</v>
      </c>
      <c r="D1174" s="10" t="s">
        <v>300</v>
      </c>
      <c r="E1174" s="11" t="str">
        <f>+HYPERLINK("http://trademark.i-assist.jp/data/china/image_1898th/78492270.pdf", "78492270")</f>
        <v>78492270</v>
      </c>
      <c r="F1174" s="10" t="s">
        <v>3488</v>
      </c>
      <c r="G1174" s="10" t="s">
        <v>211</v>
      </c>
      <c r="H1174" s="10" t="s">
        <v>3489</v>
      </c>
      <c r="I1174" s="10" t="s">
        <v>225</v>
      </c>
    </row>
    <row r="1175" spans="1:9" x14ac:dyDescent="0.15">
      <c r="A1175" s="9">
        <v>1174</v>
      </c>
      <c r="B1175" s="10" t="s">
        <v>9</v>
      </c>
      <c r="C1175" s="10" t="s">
        <v>299</v>
      </c>
      <c r="D1175" s="10" t="s">
        <v>300</v>
      </c>
      <c r="E1175" s="11" t="str">
        <f>+HYPERLINK("http://trademark.i-assist.jp/data/china/image_1898th/78492528.pdf", "78492528")</f>
        <v>78492528</v>
      </c>
      <c r="F1175" s="10" t="s">
        <v>3490</v>
      </c>
      <c r="G1175" s="10" t="s">
        <v>172</v>
      </c>
      <c r="H1175" s="10" t="s">
        <v>3491</v>
      </c>
      <c r="I1175" s="10" t="s">
        <v>225</v>
      </c>
    </row>
    <row r="1176" spans="1:9" x14ac:dyDescent="0.15">
      <c r="A1176" s="9">
        <v>1175</v>
      </c>
      <c r="B1176" s="10" t="s">
        <v>9</v>
      </c>
      <c r="C1176" s="10" t="s">
        <v>299</v>
      </c>
      <c r="D1176" s="10" t="s">
        <v>300</v>
      </c>
      <c r="E1176" s="11" t="str">
        <f>+HYPERLINK("http://trademark.i-assist.jp/data/china/image_1898th/78492542.pdf", "78492542")</f>
        <v>78492542</v>
      </c>
      <c r="F1176" s="10" t="s">
        <v>3492</v>
      </c>
      <c r="G1176" s="10" t="s">
        <v>3493</v>
      </c>
      <c r="H1176" s="10" t="s">
        <v>3494</v>
      </c>
      <c r="I1176" s="10" t="s">
        <v>225</v>
      </c>
    </row>
    <row r="1177" spans="1:9" x14ac:dyDescent="0.15">
      <c r="A1177" s="9">
        <v>1176</v>
      </c>
      <c r="B1177" s="10" t="s">
        <v>9</v>
      </c>
      <c r="C1177" s="10" t="s">
        <v>299</v>
      </c>
      <c r="D1177" s="10" t="s">
        <v>300</v>
      </c>
      <c r="E1177" s="11" t="str">
        <f>+HYPERLINK("http://trademark.i-assist.jp/data/china/image_1898th/78492665.pdf", "78492665")</f>
        <v>78492665</v>
      </c>
      <c r="F1177" s="10" t="s">
        <v>3495</v>
      </c>
      <c r="G1177" s="10" t="s">
        <v>3496</v>
      </c>
      <c r="H1177" s="10" t="s">
        <v>3497</v>
      </c>
      <c r="I1177" s="10" t="s">
        <v>225</v>
      </c>
    </row>
    <row r="1178" spans="1:9" x14ac:dyDescent="0.15">
      <c r="A1178" s="9">
        <v>1177</v>
      </c>
      <c r="B1178" s="10" t="s">
        <v>9</v>
      </c>
      <c r="C1178" s="10" t="s">
        <v>299</v>
      </c>
      <c r="D1178" s="10" t="s">
        <v>300</v>
      </c>
      <c r="E1178" s="11" t="str">
        <f>+HYPERLINK("http://trademark.i-assist.jp/data/china/image_1898th/78492812.pdf", "78492812")</f>
        <v>78492812</v>
      </c>
      <c r="F1178" s="10" t="s">
        <v>3498</v>
      </c>
      <c r="G1178" s="10" t="s">
        <v>3499</v>
      </c>
      <c r="H1178" s="10" t="s">
        <v>3500</v>
      </c>
      <c r="I1178" s="10" t="s">
        <v>225</v>
      </c>
    </row>
    <row r="1179" spans="1:9" x14ac:dyDescent="0.15">
      <c r="A1179" s="9">
        <v>1178</v>
      </c>
      <c r="B1179" s="10" t="s">
        <v>9</v>
      </c>
      <c r="C1179" s="10" t="s">
        <v>299</v>
      </c>
      <c r="D1179" s="10" t="s">
        <v>300</v>
      </c>
      <c r="E1179" s="11" t="str">
        <f>+HYPERLINK("http://trademark.i-assist.jp/data/china/image_1898th/78492949.pdf", "78492949")</f>
        <v>78492949</v>
      </c>
      <c r="F1179" s="10" t="s">
        <v>3501</v>
      </c>
      <c r="G1179" s="10" t="s">
        <v>3502</v>
      </c>
      <c r="H1179" s="10" t="s">
        <v>3503</v>
      </c>
      <c r="I1179" s="10" t="s">
        <v>225</v>
      </c>
    </row>
    <row r="1180" spans="1:9" x14ac:dyDescent="0.15">
      <c r="A1180" s="9">
        <v>1179</v>
      </c>
      <c r="B1180" s="10" t="s">
        <v>9</v>
      </c>
      <c r="C1180" s="10" t="s">
        <v>299</v>
      </c>
      <c r="D1180" s="10" t="s">
        <v>300</v>
      </c>
      <c r="E1180" s="11" t="str">
        <f>+HYPERLINK("http://trademark.i-assist.jp/data/china/image_1898th/78493055.pdf", "78493055")</f>
        <v>78493055</v>
      </c>
      <c r="F1180" s="10" t="s">
        <v>3504</v>
      </c>
      <c r="G1180" s="10" t="s">
        <v>3505</v>
      </c>
      <c r="H1180" s="10" t="s">
        <v>3506</v>
      </c>
      <c r="I1180" s="10" t="s">
        <v>225</v>
      </c>
    </row>
    <row r="1181" spans="1:9" x14ac:dyDescent="0.15">
      <c r="A1181" s="9">
        <v>1180</v>
      </c>
      <c r="B1181" s="10" t="s">
        <v>9</v>
      </c>
      <c r="C1181" s="10" t="s">
        <v>299</v>
      </c>
      <c r="D1181" s="10" t="s">
        <v>300</v>
      </c>
      <c r="E1181" s="11" t="str">
        <f>+HYPERLINK("http://trademark.i-assist.jp/data/china/image_1898th/78493598.pdf", "78493598")</f>
        <v>78493598</v>
      </c>
      <c r="F1181" s="10" t="s">
        <v>3507</v>
      </c>
      <c r="G1181" s="10" t="s">
        <v>3508</v>
      </c>
      <c r="H1181" s="10" t="s">
        <v>3509</v>
      </c>
      <c r="I1181" s="10" t="s">
        <v>225</v>
      </c>
    </row>
    <row r="1182" spans="1:9" x14ac:dyDescent="0.15">
      <c r="A1182" s="9">
        <v>1181</v>
      </c>
      <c r="B1182" s="10" t="s">
        <v>9</v>
      </c>
      <c r="C1182" s="10" t="s">
        <v>299</v>
      </c>
      <c r="D1182" s="10" t="s">
        <v>300</v>
      </c>
      <c r="E1182" s="11" t="str">
        <f>+HYPERLINK("http://trademark.i-assist.jp/data/china/image_1898th/78493671.pdf", "78493671")</f>
        <v>78493671</v>
      </c>
      <c r="F1182" s="10" t="s">
        <v>3510</v>
      </c>
      <c r="G1182" s="10" t="s">
        <v>228</v>
      </c>
      <c r="H1182" s="10" t="s">
        <v>3511</v>
      </c>
      <c r="I1182" s="10" t="s">
        <v>225</v>
      </c>
    </row>
    <row r="1183" spans="1:9" x14ac:dyDescent="0.15">
      <c r="A1183" s="9">
        <v>1182</v>
      </c>
      <c r="B1183" s="10" t="s">
        <v>9</v>
      </c>
      <c r="C1183" s="10" t="s">
        <v>299</v>
      </c>
      <c r="D1183" s="10" t="s">
        <v>300</v>
      </c>
      <c r="E1183" s="11" t="str">
        <f>+HYPERLINK("http://trademark.i-assist.jp/data/china/image_1898th/78493682.pdf", "78493682")</f>
        <v>78493682</v>
      </c>
      <c r="F1183" s="10" t="s">
        <v>3512</v>
      </c>
      <c r="G1183" s="10" t="s">
        <v>228</v>
      </c>
      <c r="H1183" s="10" t="s">
        <v>3513</v>
      </c>
      <c r="I1183" s="10" t="s">
        <v>225</v>
      </c>
    </row>
    <row r="1184" spans="1:9" x14ac:dyDescent="0.15">
      <c r="A1184" s="9">
        <v>1183</v>
      </c>
      <c r="B1184" s="10" t="s">
        <v>9</v>
      </c>
      <c r="C1184" s="10" t="s">
        <v>299</v>
      </c>
      <c r="D1184" s="10" t="s">
        <v>300</v>
      </c>
      <c r="E1184" s="11" t="str">
        <f>+HYPERLINK("http://trademark.i-assist.jp/data/china/image_1898th/78493690.pdf", "78493690")</f>
        <v>78493690</v>
      </c>
      <c r="F1184" s="10" t="s">
        <v>3514</v>
      </c>
      <c r="G1184" s="10" t="s">
        <v>3515</v>
      </c>
      <c r="H1184" s="10" t="s">
        <v>3516</v>
      </c>
      <c r="I1184" s="10" t="s">
        <v>225</v>
      </c>
    </row>
    <row r="1185" spans="1:9" x14ac:dyDescent="0.15">
      <c r="A1185" s="9">
        <v>1184</v>
      </c>
      <c r="B1185" s="10" t="s">
        <v>9</v>
      </c>
      <c r="C1185" s="10" t="s">
        <v>299</v>
      </c>
      <c r="D1185" s="10" t="s">
        <v>300</v>
      </c>
      <c r="E1185" s="11" t="str">
        <f>+HYPERLINK("http://trademark.i-assist.jp/data/china/image_1898th/78493766.pdf", "78493766")</f>
        <v>78493766</v>
      </c>
      <c r="F1185" s="10" t="s">
        <v>3517</v>
      </c>
      <c r="G1185" s="10" t="s">
        <v>3518</v>
      </c>
      <c r="H1185" s="10" t="s">
        <v>3519</v>
      </c>
      <c r="I1185" s="10" t="s">
        <v>225</v>
      </c>
    </row>
    <row r="1186" spans="1:9" x14ac:dyDescent="0.15">
      <c r="A1186" s="9">
        <v>1185</v>
      </c>
      <c r="B1186" s="10" t="s">
        <v>9</v>
      </c>
      <c r="C1186" s="10" t="s">
        <v>299</v>
      </c>
      <c r="D1186" s="10" t="s">
        <v>300</v>
      </c>
      <c r="E1186" s="11" t="str">
        <f>+HYPERLINK("http://trademark.i-assist.jp/data/china/image_1898th/78493836.pdf", "78493836")</f>
        <v>78493836</v>
      </c>
      <c r="F1186" s="10" t="s">
        <v>3520</v>
      </c>
      <c r="G1186" s="10" t="s">
        <v>3521</v>
      </c>
      <c r="H1186" s="10" t="s">
        <v>3522</v>
      </c>
      <c r="I1186" s="10" t="s">
        <v>225</v>
      </c>
    </row>
    <row r="1187" spans="1:9" x14ac:dyDescent="0.15">
      <c r="A1187" s="9">
        <v>1186</v>
      </c>
      <c r="B1187" s="10" t="s">
        <v>9</v>
      </c>
      <c r="C1187" s="10" t="s">
        <v>299</v>
      </c>
      <c r="D1187" s="10" t="s">
        <v>300</v>
      </c>
      <c r="E1187" s="11" t="str">
        <f>+HYPERLINK("http://trademark.i-assist.jp/data/china/image_1898th/78493856.pdf", "78493856")</f>
        <v>78493856</v>
      </c>
      <c r="F1187" s="10" t="s">
        <v>3523</v>
      </c>
      <c r="G1187" s="10" t="s">
        <v>3524</v>
      </c>
      <c r="H1187" s="10" t="s">
        <v>22</v>
      </c>
      <c r="I1187" s="10" t="s">
        <v>225</v>
      </c>
    </row>
    <row r="1188" spans="1:9" x14ac:dyDescent="0.15">
      <c r="A1188" s="9">
        <v>1187</v>
      </c>
      <c r="B1188" s="10" t="s">
        <v>9</v>
      </c>
      <c r="C1188" s="10" t="s">
        <v>299</v>
      </c>
      <c r="D1188" s="10" t="s">
        <v>300</v>
      </c>
      <c r="E1188" s="11" t="str">
        <f>+HYPERLINK("http://trademark.i-assist.jp/data/china/image_1898th/78493888.pdf", "78493888")</f>
        <v>78493888</v>
      </c>
      <c r="F1188" s="10" t="s">
        <v>3525</v>
      </c>
      <c r="G1188" s="10" t="s">
        <v>3526</v>
      </c>
      <c r="H1188" s="10" t="s">
        <v>3527</v>
      </c>
      <c r="I1188" s="10" t="s">
        <v>225</v>
      </c>
    </row>
    <row r="1189" spans="1:9" x14ac:dyDescent="0.15">
      <c r="A1189" s="9">
        <v>1188</v>
      </c>
      <c r="B1189" s="10" t="s">
        <v>9</v>
      </c>
      <c r="C1189" s="10" t="s">
        <v>299</v>
      </c>
      <c r="D1189" s="10" t="s">
        <v>300</v>
      </c>
      <c r="E1189" s="11" t="str">
        <f>+HYPERLINK("http://trademark.i-assist.jp/data/china/image_1898th/78494086.pdf", "78494086")</f>
        <v>78494086</v>
      </c>
      <c r="F1189" s="10" t="s">
        <v>3528</v>
      </c>
      <c r="G1189" s="10" t="s">
        <v>3529</v>
      </c>
      <c r="H1189" s="10" t="s">
        <v>3530</v>
      </c>
      <c r="I1189" s="10" t="s">
        <v>225</v>
      </c>
    </row>
    <row r="1190" spans="1:9" x14ac:dyDescent="0.15">
      <c r="A1190" s="9">
        <v>1189</v>
      </c>
      <c r="B1190" s="10" t="s">
        <v>9</v>
      </c>
      <c r="C1190" s="10" t="s">
        <v>299</v>
      </c>
      <c r="D1190" s="10" t="s">
        <v>300</v>
      </c>
      <c r="E1190" s="11" t="str">
        <f>+HYPERLINK("http://trademark.i-assist.jp/data/china/image_1898th/78494403.pdf", "78494403")</f>
        <v>78494403</v>
      </c>
      <c r="F1190" s="10" t="s">
        <v>3531</v>
      </c>
      <c r="G1190" s="10" t="s">
        <v>3532</v>
      </c>
      <c r="H1190" s="10" t="s">
        <v>3533</v>
      </c>
      <c r="I1190" s="10" t="s">
        <v>225</v>
      </c>
    </row>
    <row r="1191" spans="1:9" x14ac:dyDescent="0.15">
      <c r="A1191" s="9">
        <v>1190</v>
      </c>
      <c r="B1191" s="10" t="s">
        <v>9</v>
      </c>
      <c r="C1191" s="10" t="s">
        <v>299</v>
      </c>
      <c r="D1191" s="10" t="s">
        <v>300</v>
      </c>
      <c r="E1191" s="11" t="str">
        <f>+HYPERLINK("http://trademark.i-assist.jp/data/china/image_1898th/78494629.pdf", "78494629")</f>
        <v>78494629</v>
      </c>
      <c r="F1191" s="10" t="s">
        <v>3534</v>
      </c>
      <c r="G1191" s="10" t="s">
        <v>3535</v>
      </c>
      <c r="H1191" s="10" t="s">
        <v>3536</v>
      </c>
      <c r="I1191" s="10" t="s">
        <v>225</v>
      </c>
    </row>
    <row r="1192" spans="1:9" x14ac:dyDescent="0.15">
      <c r="A1192" s="9">
        <v>1191</v>
      </c>
      <c r="B1192" s="10" t="s">
        <v>9</v>
      </c>
      <c r="C1192" s="10" t="s">
        <v>299</v>
      </c>
      <c r="D1192" s="10" t="s">
        <v>300</v>
      </c>
      <c r="E1192" s="11" t="str">
        <f>+HYPERLINK("http://trademark.i-assist.jp/data/china/image_1898th/78495152.pdf", "78495152")</f>
        <v>78495152</v>
      </c>
      <c r="F1192" s="10" t="s">
        <v>3537</v>
      </c>
      <c r="G1192" s="10" t="s">
        <v>3538</v>
      </c>
      <c r="H1192" s="10" t="s">
        <v>3539</v>
      </c>
      <c r="I1192" s="10" t="s">
        <v>225</v>
      </c>
    </row>
    <row r="1193" spans="1:9" x14ac:dyDescent="0.15">
      <c r="A1193" s="9">
        <v>1192</v>
      </c>
      <c r="B1193" s="10" t="s">
        <v>9</v>
      </c>
      <c r="C1193" s="10" t="s">
        <v>299</v>
      </c>
      <c r="D1193" s="10" t="s">
        <v>300</v>
      </c>
      <c r="E1193" s="11" t="str">
        <f>+HYPERLINK("http://trademark.i-assist.jp/data/china/image_1898th/78495475.pdf", "78495475")</f>
        <v>78495475</v>
      </c>
      <c r="F1193" s="10" t="s">
        <v>3540</v>
      </c>
      <c r="G1193" s="10" t="s">
        <v>3541</v>
      </c>
      <c r="H1193" s="10" t="s">
        <v>3542</v>
      </c>
      <c r="I1193" s="10" t="s">
        <v>225</v>
      </c>
    </row>
    <row r="1194" spans="1:9" x14ac:dyDescent="0.15">
      <c r="A1194" s="9">
        <v>1193</v>
      </c>
      <c r="B1194" s="10" t="s">
        <v>9</v>
      </c>
      <c r="C1194" s="10" t="s">
        <v>299</v>
      </c>
      <c r="D1194" s="10" t="s">
        <v>300</v>
      </c>
      <c r="E1194" s="11" t="str">
        <f>+HYPERLINK("http://trademark.i-assist.jp/data/china/image_1898th/78495628.pdf", "78495628")</f>
        <v>78495628</v>
      </c>
      <c r="F1194" s="10" t="s">
        <v>3543</v>
      </c>
      <c r="G1194" s="10" t="s">
        <v>3544</v>
      </c>
      <c r="H1194" s="10" t="s">
        <v>3545</v>
      </c>
      <c r="I1194" s="10" t="s">
        <v>225</v>
      </c>
    </row>
    <row r="1195" spans="1:9" x14ac:dyDescent="0.15">
      <c r="A1195" s="9">
        <v>1194</v>
      </c>
      <c r="B1195" s="10" t="s">
        <v>9</v>
      </c>
      <c r="C1195" s="10" t="s">
        <v>299</v>
      </c>
      <c r="D1195" s="10" t="s">
        <v>300</v>
      </c>
      <c r="E1195" s="11" t="str">
        <f>+HYPERLINK("http://trademark.i-assist.jp/data/china/image_1898th/78495854.pdf", "78495854")</f>
        <v>78495854</v>
      </c>
      <c r="F1195" s="10" t="s">
        <v>3546</v>
      </c>
      <c r="G1195" s="10" t="s">
        <v>3547</v>
      </c>
      <c r="H1195" s="10" t="s">
        <v>3548</v>
      </c>
      <c r="I1195" s="10" t="s">
        <v>225</v>
      </c>
    </row>
    <row r="1196" spans="1:9" x14ac:dyDescent="0.15">
      <c r="A1196" s="9">
        <v>1195</v>
      </c>
      <c r="B1196" s="10" t="s">
        <v>9</v>
      </c>
      <c r="C1196" s="10" t="s">
        <v>299</v>
      </c>
      <c r="D1196" s="10" t="s">
        <v>300</v>
      </c>
      <c r="E1196" s="11" t="str">
        <f>+HYPERLINK("http://trademark.i-assist.jp/data/china/image_1898th/78496000.pdf", "78496000")</f>
        <v>78496000</v>
      </c>
      <c r="F1196" s="10" t="s">
        <v>3549</v>
      </c>
      <c r="G1196" s="10" t="s">
        <v>3550</v>
      </c>
      <c r="H1196" s="10" t="s">
        <v>3551</v>
      </c>
      <c r="I1196" s="10" t="s">
        <v>225</v>
      </c>
    </row>
    <row r="1197" spans="1:9" x14ac:dyDescent="0.15">
      <c r="A1197" s="9">
        <v>1196</v>
      </c>
      <c r="B1197" s="10" t="s">
        <v>9</v>
      </c>
      <c r="C1197" s="10" t="s">
        <v>299</v>
      </c>
      <c r="D1197" s="10" t="s">
        <v>300</v>
      </c>
      <c r="E1197" s="11" t="str">
        <f>+HYPERLINK("http://trademark.i-assist.jp/data/china/image_1898th/78496339.pdf", "78496339")</f>
        <v>78496339</v>
      </c>
      <c r="F1197" s="10" t="s">
        <v>3552</v>
      </c>
      <c r="G1197" s="10" t="s">
        <v>3553</v>
      </c>
      <c r="H1197" s="10" t="s">
        <v>3554</v>
      </c>
      <c r="I1197" s="10" t="s">
        <v>225</v>
      </c>
    </row>
    <row r="1198" spans="1:9" x14ac:dyDescent="0.15">
      <c r="A1198" s="9">
        <v>1197</v>
      </c>
      <c r="B1198" s="10" t="s">
        <v>9</v>
      </c>
      <c r="C1198" s="10" t="s">
        <v>299</v>
      </c>
      <c r="D1198" s="10" t="s">
        <v>300</v>
      </c>
      <c r="E1198" s="11" t="str">
        <f>+HYPERLINK("http://trademark.i-assist.jp/data/china/image_1898th/78496571.pdf", "78496571")</f>
        <v>78496571</v>
      </c>
      <c r="F1198" s="10" t="s">
        <v>3555</v>
      </c>
      <c r="G1198" s="10" t="s">
        <v>2223</v>
      </c>
      <c r="H1198" s="10" t="s">
        <v>3556</v>
      </c>
      <c r="I1198" s="10" t="s">
        <v>225</v>
      </c>
    </row>
    <row r="1199" spans="1:9" x14ac:dyDescent="0.15">
      <c r="A1199" s="9">
        <v>1198</v>
      </c>
      <c r="B1199" s="10" t="s">
        <v>9</v>
      </c>
      <c r="C1199" s="10" t="s">
        <v>299</v>
      </c>
      <c r="D1199" s="10" t="s">
        <v>300</v>
      </c>
      <c r="E1199" s="11" t="str">
        <f>+HYPERLINK("http://trademark.i-assist.jp/data/china/image_1898th/78496594.pdf", "78496594")</f>
        <v>78496594</v>
      </c>
      <c r="F1199" s="10" t="s">
        <v>3504</v>
      </c>
      <c r="G1199" s="10" t="s">
        <v>3505</v>
      </c>
      <c r="H1199" s="10" t="s">
        <v>3557</v>
      </c>
      <c r="I1199" s="10" t="s">
        <v>225</v>
      </c>
    </row>
    <row r="1200" spans="1:9" x14ac:dyDescent="0.15">
      <c r="A1200" s="9">
        <v>1199</v>
      </c>
      <c r="B1200" s="10" t="s">
        <v>9</v>
      </c>
      <c r="C1200" s="10" t="s">
        <v>299</v>
      </c>
      <c r="D1200" s="10" t="s">
        <v>300</v>
      </c>
      <c r="E1200" s="11" t="str">
        <f>+HYPERLINK("http://trademark.i-assist.jp/data/china/image_1898th/78496759.pdf", "78496759")</f>
        <v>78496759</v>
      </c>
      <c r="F1200" s="10" t="s">
        <v>3558</v>
      </c>
      <c r="G1200" s="10" t="s">
        <v>3559</v>
      </c>
      <c r="H1200" s="10" t="s">
        <v>3560</v>
      </c>
      <c r="I1200" s="10" t="s">
        <v>225</v>
      </c>
    </row>
    <row r="1201" spans="1:9" x14ac:dyDescent="0.15">
      <c r="A1201" s="9">
        <v>1200</v>
      </c>
      <c r="B1201" s="10" t="s">
        <v>9</v>
      </c>
      <c r="C1201" s="10" t="s">
        <v>299</v>
      </c>
      <c r="D1201" s="10" t="s">
        <v>300</v>
      </c>
      <c r="E1201" s="11" t="str">
        <f>+HYPERLINK("http://trademark.i-assist.jp/data/china/image_1898th/78496791.pdf", "78496791")</f>
        <v>78496791</v>
      </c>
      <c r="F1201" s="10" t="s">
        <v>3561</v>
      </c>
      <c r="G1201" s="10" t="s">
        <v>246</v>
      </c>
      <c r="H1201" s="10" t="s">
        <v>3562</v>
      </c>
      <c r="I1201" s="10" t="s">
        <v>225</v>
      </c>
    </row>
    <row r="1202" spans="1:9" x14ac:dyDescent="0.15">
      <c r="A1202" s="9">
        <v>1201</v>
      </c>
      <c r="B1202" s="10" t="s">
        <v>9</v>
      </c>
      <c r="C1202" s="10" t="s">
        <v>299</v>
      </c>
      <c r="D1202" s="10" t="s">
        <v>300</v>
      </c>
      <c r="E1202" s="11" t="str">
        <f>+HYPERLINK("http://trademark.i-assist.jp/data/china/image_1898th/78496809.pdf", "78496809")</f>
        <v>78496809</v>
      </c>
      <c r="F1202" s="10" t="s">
        <v>3563</v>
      </c>
      <c r="G1202" s="10" t="s">
        <v>3564</v>
      </c>
      <c r="H1202" s="10" t="s">
        <v>3565</v>
      </c>
      <c r="I1202" s="10" t="s">
        <v>225</v>
      </c>
    </row>
    <row r="1203" spans="1:9" x14ac:dyDescent="0.15">
      <c r="A1203" s="9">
        <v>1202</v>
      </c>
      <c r="B1203" s="10" t="s">
        <v>9</v>
      </c>
      <c r="C1203" s="10" t="s">
        <v>299</v>
      </c>
      <c r="D1203" s="10" t="s">
        <v>300</v>
      </c>
      <c r="E1203" s="11" t="str">
        <f>+HYPERLINK("http://trademark.i-assist.jp/data/china/image_1898th/78496946.pdf", "78496946")</f>
        <v>78496946</v>
      </c>
      <c r="F1203" s="10" t="s">
        <v>3566</v>
      </c>
      <c r="G1203" s="10" t="s">
        <v>3567</v>
      </c>
      <c r="H1203" s="10" t="s">
        <v>3568</v>
      </c>
      <c r="I1203" s="10" t="s">
        <v>225</v>
      </c>
    </row>
    <row r="1204" spans="1:9" x14ac:dyDescent="0.15">
      <c r="A1204" s="9">
        <v>1203</v>
      </c>
      <c r="B1204" s="10" t="s">
        <v>9</v>
      </c>
      <c r="C1204" s="10" t="s">
        <v>299</v>
      </c>
      <c r="D1204" s="10" t="s">
        <v>300</v>
      </c>
      <c r="E1204" s="11" t="str">
        <f>+HYPERLINK("http://trademark.i-assist.jp/data/china/image_1898th/78497291.pdf", "78497291")</f>
        <v>78497291</v>
      </c>
      <c r="F1204" s="10" t="s">
        <v>3569</v>
      </c>
      <c r="G1204" s="10" t="s">
        <v>3570</v>
      </c>
      <c r="H1204" s="10" t="s">
        <v>3571</v>
      </c>
      <c r="I1204" s="10" t="s">
        <v>225</v>
      </c>
    </row>
    <row r="1205" spans="1:9" x14ac:dyDescent="0.15">
      <c r="A1205" s="9">
        <v>1204</v>
      </c>
      <c r="B1205" s="10" t="s">
        <v>9</v>
      </c>
      <c r="C1205" s="10" t="s">
        <v>299</v>
      </c>
      <c r="D1205" s="10" t="s">
        <v>300</v>
      </c>
      <c r="E1205" s="11" t="str">
        <f>+HYPERLINK("http://trademark.i-assist.jp/data/china/image_1898th/78497477.pdf", "78497477")</f>
        <v>78497477</v>
      </c>
      <c r="F1205" s="10" t="s">
        <v>3572</v>
      </c>
      <c r="G1205" s="10" t="s">
        <v>3573</v>
      </c>
      <c r="H1205" s="10" t="s">
        <v>3574</v>
      </c>
      <c r="I1205" s="10" t="s">
        <v>225</v>
      </c>
    </row>
    <row r="1206" spans="1:9" x14ac:dyDescent="0.15">
      <c r="A1206" s="9">
        <v>1205</v>
      </c>
      <c r="B1206" s="10" t="s">
        <v>9</v>
      </c>
      <c r="C1206" s="10" t="s">
        <v>299</v>
      </c>
      <c r="D1206" s="10" t="s">
        <v>300</v>
      </c>
      <c r="E1206" s="11" t="str">
        <f>+HYPERLINK("http://trademark.i-assist.jp/data/china/image_1898th/78497703.pdf", "78497703")</f>
        <v>78497703</v>
      </c>
      <c r="F1206" s="10" t="s">
        <v>3575</v>
      </c>
      <c r="G1206" s="10" t="s">
        <v>243</v>
      </c>
      <c r="H1206" s="10" t="s">
        <v>3576</v>
      </c>
      <c r="I1206" s="10" t="s">
        <v>225</v>
      </c>
    </row>
    <row r="1207" spans="1:9" x14ac:dyDescent="0.15">
      <c r="A1207" s="9">
        <v>1206</v>
      </c>
      <c r="B1207" s="10" t="s">
        <v>9</v>
      </c>
      <c r="C1207" s="10" t="s">
        <v>299</v>
      </c>
      <c r="D1207" s="10" t="s">
        <v>300</v>
      </c>
      <c r="E1207" s="11" t="str">
        <f>+HYPERLINK("http://trademark.i-assist.jp/data/china/image_1898th/78497942.pdf", "78497942")</f>
        <v>78497942</v>
      </c>
      <c r="F1207" s="10" t="s">
        <v>3577</v>
      </c>
      <c r="G1207" s="10" t="s">
        <v>280</v>
      </c>
      <c r="H1207" s="10" t="s">
        <v>3578</v>
      </c>
      <c r="I1207" s="10" t="s">
        <v>225</v>
      </c>
    </row>
    <row r="1208" spans="1:9" x14ac:dyDescent="0.15">
      <c r="A1208" s="9">
        <v>1207</v>
      </c>
      <c r="B1208" s="10" t="s">
        <v>9</v>
      </c>
      <c r="C1208" s="10" t="s">
        <v>299</v>
      </c>
      <c r="D1208" s="10" t="s">
        <v>300</v>
      </c>
      <c r="E1208" s="11" t="str">
        <f>+HYPERLINK("http://trademark.i-assist.jp/data/china/image_1898th/78498026.pdf", "78498026")</f>
        <v>78498026</v>
      </c>
      <c r="F1208" s="10" t="s">
        <v>3579</v>
      </c>
      <c r="G1208" s="10" t="s">
        <v>3580</v>
      </c>
      <c r="H1208" s="10" t="s">
        <v>3581</v>
      </c>
      <c r="I1208" s="10" t="s">
        <v>225</v>
      </c>
    </row>
    <row r="1209" spans="1:9" x14ac:dyDescent="0.15">
      <c r="A1209" s="9">
        <v>1208</v>
      </c>
      <c r="B1209" s="10" t="s">
        <v>9</v>
      </c>
      <c r="C1209" s="10" t="s">
        <v>299</v>
      </c>
      <c r="D1209" s="10" t="s">
        <v>300</v>
      </c>
      <c r="E1209" s="11" t="str">
        <f>+HYPERLINK("http://trademark.i-assist.jp/data/china/image_1898th/78498294.pdf", "78498294")</f>
        <v>78498294</v>
      </c>
      <c r="F1209" s="10" t="s">
        <v>3582</v>
      </c>
      <c r="G1209" s="10" t="s">
        <v>3583</v>
      </c>
      <c r="H1209" s="10" t="s">
        <v>3584</v>
      </c>
      <c r="I1209" s="10" t="s">
        <v>225</v>
      </c>
    </row>
    <row r="1210" spans="1:9" x14ac:dyDescent="0.15">
      <c r="A1210" s="9">
        <v>1209</v>
      </c>
      <c r="B1210" s="10" t="s">
        <v>9</v>
      </c>
      <c r="C1210" s="10" t="s">
        <v>299</v>
      </c>
      <c r="D1210" s="10" t="s">
        <v>300</v>
      </c>
      <c r="E1210" s="11" t="str">
        <f>+HYPERLINK("http://trademark.i-assist.jp/data/china/image_1898th/78498662.pdf", "78498662")</f>
        <v>78498662</v>
      </c>
      <c r="F1210" s="10" t="s">
        <v>3585</v>
      </c>
      <c r="G1210" s="10" t="s">
        <v>238</v>
      </c>
      <c r="H1210" s="10" t="s">
        <v>3586</v>
      </c>
      <c r="I1210" s="10" t="s">
        <v>225</v>
      </c>
    </row>
    <row r="1211" spans="1:9" x14ac:dyDescent="0.15">
      <c r="A1211" s="9">
        <v>1210</v>
      </c>
      <c r="B1211" s="10" t="s">
        <v>9</v>
      </c>
      <c r="C1211" s="10" t="s">
        <v>299</v>
      </c>
      <c r="D1211" s="10" t="s">
        <v>300</v>
      </c>
      <c r="E1211" s="11" t="str">
        <f>+HYPERLINK("http://trademark.i-assist.jp/data/china/image_1898th/78498677.pdf", "78498677")</f>
        <v>78498677</v>
      </c>
      <c r="F1211" s="10" t="s">
        <v>19</v>
      </c>
      <c r="G1211" s="10" t="s">
        <v>3587</v>
      </c>
      <c r="H1211" s="10" t="s">
        <v>3588</v>
      </c>
      <c r="I1211" s="10" t="s">
        <v>225</v>
      </c>
    </row>
    <row r="1212" spans="1:9" x14ac:dyDescent="0.15">
      <c r="A1212" s="9">
        <v>1211</v>
      </c>
      <c r="B1212" s="10" t="s">
        <v>9</v>
      </c>
      <c r="C1212" s="10" t="s">
        <v>299</v>
      </c>
      <c r="D1212" s="10" t="s">
        <v>300</v>
      </c>
      <c r="E1212" s="11" t="str">
        <f>+HYPERLINK("http://trademark.i-assist.jp/data/china/image_1898th/78498718.pdf", "78498718")</f>
        <v>78498718</v>
      </c>
      <c r="F1212" s="10" t="s">
        <v>3589</v>
      </c>
      <c r="G1212" s="10" t="s">
        <v>3590</v>
      </c>
      <c r="H1212" s="10" t="s">
        <v>3591</v>
      </c>
      <c r="I1212" s="10" t="s">
        <v>225</v>
      </c>
    </row>
    <row r="1213" spans="1:9" x14ac:dyDescent="0.15">
      <c r="A1213" s="9">
        <v>1212</v>
      </c>
      <c r="B1213" s="10" t="s">
        <v>9</v>
      </c>
      <c r="C1213" s="10" t="s">
        <v>299</v>
      </c>
      <c r="D1213" s="10" t="s">
        <v>300</v>
      </c>
      <c r="E1213" s="11" t="str">
        <f>+HYPERLINK("http://trademark.i-assist.jp/data/china/image_1898th/78498850.pdf", "78498850")</f>
        <v>78498850</v>
      </c>
      <c r="F1213" s="10" t="s">
        <v>3592</v>
      </c>
      <c r="G1213" s="10" t="s">
        <v>3593</v>
      </c>
      <c r="H1213" s="10" t="s">
        <v>3594</v>
      </c>
      <c r="I1213" s="10" t="s">
        <v>225</v>
      </c>
    </row>
    <row r="1214" spans="1:9" x14ac:dyDescent="0.15">
      <c r="A1214" s="9">
        <v>1213</v>
      </c>
      <c r="B1214" s="10" t="s">
        <v>9</v>
      </c>
      <c r="C1214" s="10" t="s">
        <v>299</v>
      </c>
      <c r="D1214" s="10" t="s">
        <v>300</v>
      </c>
      <c r="E1214" s="11" t="str">
        <f>+HYPERLINK("http://trademark.i-assist.jp/data/china/image_1898th/78498972.pdf", "78498972")</f>
        <v>78498972</v>
      </c>
      <c r="F1214" s="10" t="s">
        <v>3595</v>
      </c>
      <c r="G1214" s="10" t="s">
        <v>3596</v>
      </c>
      <c r="H1214" s="10" t="s">
        <v>3597</v>
      </c>
      <c r="I1214" s="10" t="s">
        <v>225</v>
      </c>
    </row>
    <row r="1215" spans="1:9" x14ac:dyDescent="0.15">
      <c r="A1215" s="9">
        <v>1214</v>
      </c>
      <c r="B1215" s="10" t="s">
        <v>9</v>
      </c>
      <c r="C1215" s="10" t="s">
        <v>299</v>
      </c>
      <c r="D1215" s="10" t="s">
        <v>300</v>
      </c>
      <c r="E1215" s="11" t="str">
        <f>+HYPERLINK("http://trademark.i-assist.jp/data/china/image_1898th/78499167.pdf", "78499167")</f>
        <v>78499167</v>
      </c>
      <c r="F1215" s="10" t="s">
        <v>3598</v>
      </c>
      <c r="G1215" s="10" t="s">
        <v>134</v>
      </c>
      <c r="H1215" s="10" t="s">
        <v>3599</v>
      </c>
      <c r="I1215" s="10" t="s">
        <v>225</v>
      </c>
    </row>
    <row r="1216" spans="1:9" x14ac:dyDescent="0.15">
      <c r="A1216" s="9">
        <v>1215</v>
      </c>
      <c r="B1216" s="10" t="s">
        <v>9</v>
      </c>
      <c r="C1216" s="10" t="s">
        <v>299</v>
      </c>
      <c r="D1216" s="10" t="s">
        <v>300</v>
      </c>
      <c r="E1216" s="11" t="str">
        <f>+HYPERLINK("http://trademark.i-assist.jp/data/china/image_1898th/78499205.pdf", "78499205")</f>
        <v>78499205</v>
      </c>
      <c r="F1216" s="10" t="s">
        <v>3600</v>
      </c>
      <c r="G1216" s="10" t="s">
        <v>3601</v>
      </c>
      <c r="H1216" s="10" t="s">
        <v>3602</v>
      </c>
      <c r="I1216" s="10" t="s">
        <v>225</v>
      </c>
    </row>
    <row r="1217" spans="1:9" x14ac:dyDescent="0.15">
      <c r="A1217" s="9">
        <v>1216</v>
      </c>
      <c r="B1217" s="10" t="s">
        <v>9</v>
      </c>
      <c r="C1217" s="10" t="s">
        <v>299</v>
      </c>
      <c r="D1217" s="10" t="s">
        <v>300</v>
      </c>
      <c r="E1217" s="11" t="str">
        <f>+HYPERLINK("http://trademark.i-assist.jp/data/china/image_1898th/78499385.pdf", "78499385")</f>
        <v>78499385</v>
      </c>
      <c r="F1217" s="10" t="s">
        <v>3603</v>
      </c>
      <c r="G1217" s="10" t="s">
        <v>3604</v>
      </c>
      <c r="H1217" s="10" t="s">
        <v>3605</v>
      </c>
      <c r="I1217" s="10" t="s">
        <v>225</v>
      </c>
    </row>
    <row r="1218" spans="1:9" x14ac:dyDescent="0.15">
      <c r="A1218" s="9">
        <v>1217</v>
      </c>
      <c r="B1218" s="10" t="s">
        <v>9</v>
      </c>
      <c r="C1218" s="10" t="s">
        <v>299</v>
      </c>
      <c r="D1218" s="10" t="s">
        <v>300</v>
      </c>
      <c r="E1218" s="11" t="str">
        <f>+HYPERLINK("http://trademark.i-assist.jp/data/china/image_1898th/78499445.pdf", "78499445")</f>
        <v>78499445</v>
      </c>
      <c r="F1218" s="10" t="s">
        <v>3606</v>
      </c>
      <c r="G1218" s="10" t="s">
        <v>3544</v>
      </c>
      <c r="H1218" s="10" t="s">
        <v>3607</v>
      </c>
      <c r="I1218" s="10" t="s">
        <v>225</v>
      </c>
    </row>
    <row r="1219" spans="1:9" x14ac:dyDescent="0.15">
      <c r="A1219" s="9">
        <v>1218</v>
      </c>
      <c r="B1219" s="10" t="s">
        <v>9</v>
      </c>
      <c r="C1219" s="10" t="s">
        <v>299</v>
      </c>
      <c r="D1219" s="10" t="s">
        <v>300</v>
      </c>
      <c r="E1219" s="11" t="str">
        <f>+HYPERLINK("http://trademark.i-assist.jp/data/china/image_1898th/78499469.pdf", "78499469")</f>
        <v>78499469</v>
      </c>
      <c r="F1219" s="10" t="s">
        <v>3608</v>
      </c>
      <c r="G1219" s="10" t="s">
        <v>3609</v>
      </c>
      <c r="H1219" s="10" t="s">
        <v>3610</v>
      </c>
      <c r="I1219" s="10" t="s">
        <v>225</v>
      </c>
    </row>
    <row r="1220" spans="1:9" x14ac:dyDescent="0.15">
      <c r="A1220" s="9">
        <v>1219</v>
      </c>
      <c r="B1220" s="10" t="s">
        <v>9</v>
      </c>
      <c r="C1220" s="10" t="s">
        <v>299</v>
      </c>
      <c r="D1220" s="10" t="s">
        <v>300</v>
      </c>
      <c r="E1220" s="11" t="str">
        <f>+HYPERLINK("http://trademark.i-assist.jp/data/china/image_1898th/78499843.pdf", "78499843")</f>
        <v>78499843</v>
      </c>
      <c r="F1220" s="10" t="s">
        <v>3611</v>
      </c>
      <c r="G1220" s="10" t="s">
        <v>3612</v>
      </c>
      <c r="H1220" s="10" t="s">
        <v>3613</v>
      </c>
      <c r="I1220" s="10" t="s">
        <v>225</v>
      </c>
    </row>
    <row r="1221" spans="1:9" x14ac:dyDescent="0.15">
      <c r="A1221" s="9">
        <v>1220</v>
      </c>
      <c r="B1221" s="10" t="s">
        <v>9</v>
      </c>
      <c r="C1221" s="10" t="s">
        <v>299</v>
      </c>
      <c r="D1221" s="10" t="s">
        <v>300</v>
      </c>
      <c r="E1221" s="11" t="str">
        <f>+HYPERLINK("http://trademark.i-assist.jp/data/china/image_1898th/78500554.pdf", "78500554")</f>
        <v>78500554</v>
      </c>
      <c r="F1221" s="10" t="s">
        <v>3614</v>
      </c>
      <c r="G1221" s="10" t="s">
        <v>3615</v>
      </c>
      <c r="H1221" s="10" t="s">
        <v>3616</v>
      </c>
      <c r="I1221" s="10" t="s">
        <v>225</v>
      </c>
    </row>
    <row r="1222" spans="1:9" x14ac:dyDescent="0.15">
      <c r="A1222" s="9">
        <v>1221</v>
      </c>
      <c r="B1222" s="10" t="s">
        <v>9</v>
      </c>
      <c r="C1222" s="10" t="s">
        <v>299</v>
      </c>
      <c r="D1222" s="10" t="s">
        <v>300</v>
      </c>
      <c r="E1222" s="11" t="str">
        <f>+HYPERLINK("http://trademark.i-assist.jp/data/china/image_1898th/78500608.pdf", "78500608")</f>
        <v>78500608</v>
      </c>
      <c r="F1222" s="10" t="s">
        <v>3617</v>
      </c>
      <c r="G1222" s="10" t="s">
        <v>3618</v>
      </c>
      <c r="H1222" s="10" t="s">
        <v>3619</v>
      </c>
      <c r="I1222" s="10" t="s">
        <v>225</v>
      </c>
    </row>
    <row r="1223" spans="1:9" x14ac:dyDescent="0.15">
      <c r="A1223" s="9">
        <v>1222</v>
      </c>
      <c r="B1223" s="10" t="s">
        <v>9</v>
      </c>
      <c r="C1223" s="10" t="s">
        <v>299</v>
      </c>
      <c r="D1223" s="10" t="s">
        <v>300</v>
      </c>
      <c r="E1223" s="11" t="str">
        <f>+HYPERLINK("http://trademark.i-assist.jp/data/china/image_1898th/78500658.pdf", "78500658")</f>
        <v>78500658</v>
      </c>
      <c r="F1223" s="10" t="s">
        <v>3620</v>
      </c>
      <c r="G1223" s="10" t="s">
        <v>3621</v>
      </c>
      <c r="H1223" s="10" t="s">
        <v>3622</v>
      </c>
      <c r="I1223" s="10" t="s">
        <v>225</v>
      </c>
    </row>
    <row r="1224" spans="1:9" x14ac:dyDescent="0.15">
      <c r="A1224" s="9">
        <v>1223</v>
      </c>
      <c r="B1224" s="10" t="s">
        <v>9</v>
      </c>
      <c r="C1224" s="10" t="s">
        <v>299</v>
      </c>
      <c r="D1224" s="10" t="s">
        <v>300</v>
      </c>
      <c r="E1224" s="11" t="str">
        <f>+HYPERLINK("http://trademark.i-assist.jp/data/china/image_1898th/78500991.pdf", "78500991")</f>
        <v>78500991</v>
      </c>
      <c r="F1224" s="10" t="s">
        <v>3623</v>
      </c>
      <c r="G1224" s="10" t="s">
        <v>3624</v>
      </c>
      <c r="H1224" s="10" t="s">
        <v>3625</v>
      </c>
      <c r="I1224" s="10" t="s">
        <v>225</v>
      </c>
    </row>
    <row r="1225" spans="1:9" x14ac:dyDescent="0.15">
      <c r="A1225" s="9">
        <v>1224</v>
      </c>
      <c r="B1225" s="10" t="s">
        <v>9</v>
      </c>
      <c r="C1225" s="10" t="s">
        <v>299</v>
      </c>
      <c r="D1225" s="10" t="s">
        <v>300</v>
      </c>
      <c r="E1225" s="11" t="str">
        <f>+HYPERLINK("http://trademark.i-assist.jp/data/china/image_1898th/78501071.pdf", "78501071")</f>
        <v>78501071</v>
      </c>
      <c r="F1225" s="10" t="s">
        <v>3626</v>
      </c>
      <c r="G1225" s="10" t="s">
        <v>3627</v>
      </c>
      <c r="H1225" s="10" t="s">
        <v>3628</v>
      </c>
      <c r="I1225" s="10" t="s">
        <v>225</v>
      </c>
    </row>
    <row r="1226" spans="1:9" x14ac:dyDescent="0.15">
      <c r="A1226" s="9">
        <v>1225</v>
      </c>
      <c r="B1226" s="10" t="s">
        <v>9</v>
      </c>
      <c r="C1226" s="10" t="s">
        <v>299</v>
      </c>
      <c r="D1226" s="10" t="s">
        <v>300</v>
      </c>
      <c r="E1226" s="11" t="str">
        <f>+HYPERLINK("http://trademark.i-assist.jp/data/china/image_1898th/78501513.pdf", "78501513")</f>
        <v>78501513</v>
      </c>
      <c r="F1226" s="10" t="s">
        <v>3629</v>
      </c>
      <c r="G1226" s="10" t="s">
        <v>3630</v>
      </c>
      <c r="H1226" s="10" t="s">
        <v>3631</v>
      </c>
      <c r="I1226" s="10" t="s">
        <v>225</v>
      </c>
    </row>
    <row r="1227" spans="1:9" x14ac:dyDescent="0.15">
      <c r="A1227" s="9">
        <v>1226</v>
      </c>
      <c r="B1227" s="10" t="s">
        <v>9</v>
      </c>
      <c r="C1227" s="10" t="s">
        <v>299</v>
      </c>
      <c r="D1227" s="10" t="s">
        <v>300</v>
      </c>
      <c r="E1227" s="11" t="str">
        <f>+HYPERLINK("http://trademark.i-assist.jp/data/china/image_1898th/78501622.pdf", "78501622")</f>
        <v>78501622</v>
      </c>
      <c r="F1227" s="10" t="s">
        <v>3632</v>
      </c>
      <c r="G1227" s="10" t="s">
        <v>3633</v>
      </c>
      <c r="H1227" s="10" t="s">
        <v>3634</v>
      </c>
      <c r="I1227" s="10" t="s">
        <v>225</v>
      </c>
    </row>
    <row r="1228" spans="1:9" x14ac:dyDescent="0.15">
      <c r="A1228" s="9">
        <v>1227</v>
      </c>
      <c r="B1228" s="10" t="s">
        <v>9</v>
      </c>
      <c r="C1228" s="10" t="s">
        <v>299</v>
      </c>
      <c r="D1228" s="10" t="s">
        <v>300</v>
      </c>
      <c r="E1228" s="11" t="str">
        <f>+HYPERLINK("http://trademark.i-assist.jp/data/china/image_1898th/78501660.pdf", "78501660")</f>
        <v>78501660</v>
      </c>
      <c r="F1228" s="10" t="s">
        <v>3635</v>
      </c>
      <c r="G1228" s="10" t="s">
        <v>3636</v>
      </c>
      <c r="H1228" s="10" t="s">
        <v>3637</v>
      </c>
      <c r="I1228" s="10" t="s">
        <v>225</v>
      </c>
    </row>
    <row r="1229" spans="1:9" x14ac:dyDescent="0.15">
      <c r="A1229" s="9">
        <v>1228</v>
      </c>
      <c r="B1229" s="10" t="s">
        <v>9</v>
      </c>
      <c r="C1229" s="10" t="s">
        <v>299</v>
      </c>
      <c r="D1229" s="10" t="s">
        <v>300</v>
      </c>
      <c r="E1229" s="11" t="str">
        <f>+HYPERLINK("http://trademark.i-assist.jp/data/china/image_1898th/78501715.pdf", "78501715")</f>
        <v>78501715</v>
      </c>
      <c r="F1229" s="10" t="s">
        <v>3638</v>
      </c>
      <c r="G1229" s="10" t="s">
        <v>3550</v>
      </c>
      <c r="H1229" s="10" t="s">
        <v>3639</v>
      </c>
      <c r="I1229" s="10" t="s">
        <v>225</v>
      </c>
    </row>
    <row r="1230" spans="1:9" x14ac:dyDescent="0.15">
      <c r="A1230" s="9">
        <v>1229</v>
      </c>
      <c r="B1230" s="10" t="s">
        <v>9</v>
      </c>
      <c r="C1230" s="10" t="s">
        <v>299</v>
      </c>
      <c r="D1230" s="10" t="s">
        <v>300</v>
      </c>
      <c r="E1230" s="11" t="str">
        <f>+HYPERLINK("http://trademark.i-assist.jp/data/china/image_1898th/78501808.pdf", "78501808")</f>
        <v>78501808</v>
      </c>
      <c r="F1230" s="10" t="s">
        <v>3640</v>
      </c>
      <c r="G1230" s="10" t="s">
        <v>3641</v>
      </c>
      <c r="H1230" s="10" t="s">
        <v>3642</v>
      </c>
      <c r="I1230" s="10" t="s">
        <v>225</v>
      </c>
    </row>
    <row r="1231" spans="1:9" x14ac:dyDescent="0.15">
      <c r="A1231" s="9">
        <v>1230</v>
      </c>
      <c r="B1231" s="10" t="s">
        <v>9</v>
      </c>
      <c r="C1231" s="10" t="s">
        <v>299</v>
      </c>
      <c r="D1231" s="10" t="s">
        <v>300</v>
      </c>
      <c r="E1231" s="11" t="str">
        <f>+HYPERLINK("http://trademark.i-assist.jp/data/china/image_1898th/78501894.pdf", "78501894")</f>
        <v>78501894</v>
      </c>
      <c r="F1231" s="10" t="s">
        <v>3643</v>
      </c>
      <c r="G1231" s="10" t="s">
        <v>235</v>
      </c>
      <c r="H1231" s="10" t="s">
        <v>3644</v>
      </c>
      <c r="I1231" s="10" t="s">
        <v>225</v>
      </c>
    </row>
    <row r="1232" spans="1:9" x14ac:dyDescent="0.15">
      <c r="A1232" s="9">
        <v>1231</v>
      </c>
      <c r="B1232" s="10" t="s">
        <v>9</v>
      </c>
      <c r="C1232" s="10" t="s">
        <v>299</v>
      </c>
      <c r="D1232" s="10" t="s">
        <v>300</v>
      </c>
      <c r="E1232" s="11" t="str">
        <f>+HYPERLINK("http://trademark.i-assist.jp/data/china/image_1898th/78502012.pdf", "78502012")</f>
        <v>78502012</v>
      </c>
      <c r="F1232" s="10" t="s">
        <v>3645</v>
      </c>
      <c r="G1232" s="10" t="s">
        <v>3646</v>
      </c>
      <c r="H1232" s="10" t="s">
        <v>3647</v>
      </c>
      <c r="I1232" s="10" t="s">
        <v>225</v>
      </c>
    </row>
    <row r="1233" spans="1:9" x14ac:dyDescent="0.15">
      <c r="A1233" s="9">
        <v>1232</v>
      </c>
      <c r="B1233" s="10" t="s">
        <v>9</v>
      </c>
      <c r="C1233" s="10" t="s">
        <v>299</v>
      </c>
      <c r="D1233" s="10" t="s">
        <v>300</v>
      </c>
      <c r="E1233" s="11" t="str">
        <f>+HYPERLINK("http://trademark.i-assist.jp/data/china/image_1898th/78502065.pdf", "78502065")</f>
        <v>78502065</v>
      </c>
      <c r="F1233" s="10" t="s">
        <v>3648</v>
      </c>
      <c r="G1233" s="10" t="s">
        <v>3615</v>
      </c>
      <c r="H1233" s="10" t="s">
        <v>3649</v>
      </c>
      <c r="I1233" s="10" t="s">
        <v>225</v>
      </c>
    </row>
    <row r="1234" spans="1:9" x14ac:dyDescent="0.15">
      <c r="A1234" s="9">
        <v>1233</v>
      </c>
      <c r="B1234" s="10" t="s">
        <v>9</v>
      </c>
      <c r="C1234" s="10" t="s">
        <v>299</v>
      </c>
      <c r="D1234" s="10" t="s">
        <v>300</v>
      </c>
      <c r="E1234" s="11" t="str">
        <f>+HYPERLINK("http://trademark.i-assist.jp/data/china/image_1898th/78502099.pdf", "78502099")</f>
        <v>78502099</v>
      </c>
      <c r="F1234" s="10" t="s">
        <v>3650</v>
      </c>
      <c r="G1234" s="10" t="s">
        <v>3651</v>
      </c>
      <c r="H1234" s="10" t="s">
        <v>3652</v>
      </c>
      <c r="I1234" s="10" t="s">
        <v>225</v>
      </c>
    </row>
    <row r="1235" spans="1:9" x14ac:dyDescent="0.15">
      <c r="A1235" s="9">
        <v>1234</v>
      </c>
      <c r="B1235" s="10" t="s">
        <v>9</v>
      </c>
      <c r="C1235" s="10" t="s">
        <v>299</v>
      </c>
      <c r="D1235" s="10" t="s">
        <v>300</v>
      </c>
      <c r="E1235" s="11" t="str">
        <f>+HYPERLINK("http://trademark.i-assist.jp/data/china/image_1898th/78502289.pdf", "78502289")</f>
        <v>78502289</v>
      </c>
      <c r="F1235" s="10" t="s">
        <v>3653</v>
      </c>
      <c r="G1235" s="10" t="s">
        <v>3654</v>
      </c>
      <c r="H1235" s="10" t="s">
        <v>3655</v>
      </c>
      <c r="I1235" s="10" t="s">
        <v>225</v>
      </c>
    </row>
    <row r="1236" spans="1:9" x14ac:dyDescent="0.15">
      <c r="A1236" s="9">
        <v>1235</v>
      </c>
      <c r="B1236" s="10" t="s">
        <v>9</v>
      </c>
      <c r="C1236" s="10" t="s">
        <v>299</v>
      </c>
      <c r="D1236" s="10" t="s">
        <v>300</v>
      </c>
      <c r="E1236" s="11" t="str">
        <f>+HYPERLINK("http://trademark.i-assist.jp/data/china/image_1898th/78502392.pdf", "78502392")</f>
        <v>78502392</v>
      </c>
      <c r="F1236" s="10" t="s">
        <v>3656</v>
      </c>
      <c r="G1236" s="10" t="s">
        <v>3657</v>
      </c>
      <c r="H1236" s="10" t="s">
        <v>3658</v>
      </c>
      <c r="I1236" s="10" t="s">
        <v>225</v>
      </c>
    </row>
    <row r="1237" spans="1:9" x14ac:dyDescent="0.15">
      <c r="A1237" s="9">
        <v>1236</v>
      </c>
      <c r="B1237" s="10" t="s">
        <v>9</v>
      </c>
      <c r="C1237" s="10" t="s">
        <v>299</v>
      </c>
      <c r="D1237" s="10" t="s">
        <v>300</v>
      </c>
      <c r="E1237" s="11" t="str">
        <f>+HYPERLINK("http://trademark.i-assist.jp/data/china/image_1898th/78502591.pdf", "78502591")</f>
        <v>78502591</v>
      </c>
      <c r="F1237" s="10" t="s">
        <v>3659</v>
      </c>
      <c r="G1237" s="10" t="s">
        <v>3660</v>
      </c>
      <c r="H1237" s="10" t="s">
        <v>3661</v>
      </c>
      <c r="I1237" s="10" t="s">
        <v>225</v>
      </c>
    </row>
    <row r="1238" spans="1:9" x14ac:dyDescent="0.15">
      <c r="A1238" s="9">
        <v>1237</v>
      </c>
      <c r="B1238" s="10" t="s">
        <v>9</v>
      </c>
      <c r="C1238" s="10" t="s">
        <v>299</v>
      </c>
      <c r="D1238" s="10" t="s">
        <v>300</v>
      </c>
      <c r="E1238" s="11" t="str">
        <f>+HYPERLINK("http://trademark.i-assist.jp/data/china/image_1898th/78502914.pdf", "78502914")</f>
        <v>78502914</v>
      </c>
      <c r="F1238" s="10" t="s">
        <v>3662</v>
      </c>
      <c r="G1238" s="10" t="s">
        <v>3663</v>
      </c>
      <c r="H1238" s="10" t="s">
        <v>3664</v>
      </c>
      <c r="I1238" s="10" t="s">
        <v>225</v>
      </c>
    </row>
    <row r="1239" spans="1:9" x14ac:dyDescent="0.15">
      <c r="A1239" s="9">
        <v>1238</v>
      </c>
      <c r="B1239" s="10" t="s">
        <v>9</v>
      </c>
      <c r="C1239" s="10" t="s">
        <v>299</v>
      </c>
      <c r="D1239" s="10" t="s">
        <v>300</v>
      </c>
      <c r="E1239" s="11" t="str">
        <f>+HYPERLINK("http://trademark.i-assist.jp/data/china/image_1898th/78502986.pdf", "78502986")</f>
        <v>78502986</v>
      </c>
      <c r="F1239" s="10" t="s">
        <v>3665</v>
      </c>
      <c r="G1239" s="10" t="s">
        <v>3666</v>
      </c>
      <c r="H1239" s="10" t="s">
        <v>3667</v>
      </c>
      <c r="I1239" s="10" t="s">
        <v>225</v>
      </c>
    </row>
    <row r="1240" spans="1:9" x14ac:dyDescent="0.15">
      <c r="A1240" s="9">
        <v>1239</v>
      </c>
      <c r="B1240" s="10" t="s">
        <v>9</v>
      </c>
      <c r="C1240" s="10" t="s">
        <v>299</v>
      </c>
      <c r="D1240" s="10" t="s">
        <v>300</v>
      </c>
      <c r="E1240" s="11" t="str">
        <f>+HYPERLINK("http://trademark.i-assist.jp/data/china/image_1898th/78503014.pdf", "78503014")</f>
        <v>78503014</v>
      </c>
      <c r="F1240" s="10" t="s">
        <v>3668</v>
      </c>
      <c r="G1240" s="10" t="s">
        <v>3669</v>
      </c>
      <c r="H1240" s="10" t="s">
        <v>3670</v>
      </c>
      <c r="I1240" s="10" t="s">
        <v>225</v>
      </c>
    </row>
    <row r="1241" spans="1:9" x14ac:dyDescent="0.15">
      <c r="A1241" s="9">
        <v>1240</v>
      </c>
      <c r="B1241" s="10" t="s">
        <v>9</v>
      </c>
      <c r="C1241" s="10" t="s">
        <v>299</v>
      </c>
      <c r="D1241" s="10" t="s">
        <v>300</v>
      </c>
      <c r="E1241" s="11" t="str">
        <f>+HYPERLINK("http://trademark.i-assist.jp/data/china/image_1898th/78503360.pdf", "78503360")</f>
        <v>78503360</v>
      </c>
      <c r="F1241" s="10" t="s">
        <v>3671</v>
      </c>
      <c r="G1241" s="10" t="s">
        <v>3672</v>
      </c>
      <c r="H1241" s="10" t="s">
        <v>3673</v>
      </c>
      <c r="I1241" s="10" t="s">
        <v>225</v>
      </c>
    </row>
    <row r="1242" spans="1:9" x14ac:dyDescent="0.15">
      <c r="A1242" s="9">
        <v>1241</v>
      </c>
      <c r="B1242" s="10" t="s">
        <v>9</v>
      </c>
      <c r="C1242" s="10" t="s">
        <v>299</v>
      </c>
      <c r="D1242" s="10" t="s">
        <v>300</v>
      </c>
      <c r="E1242" s="11" t="str">
        <f>+HYPERLINK("http://trademark.i-assist.jp/data/china/image_1898th/78503493.pdf", "78503493")</f>
        <v>78503493</v>
      </c>
      <c r="F1242" s="10" t="s">
        <v>3674</v>
      </c>
      <c r="G1242" s="10" t="s">
        <v>3675</v>
      </c>
      <c r="H1242" s="10" t="s">
        <v>3676</v>
      </c>
      <c r="I1242" s="10" t="s">
        <v>225</v>
      </c>
    </row>
    <row r="1243" spans="1:9" x14ac:dyDescent="0.15">
      <c r="A1243" s="9">
        <v>1242</v>
      </c>
      <c r="B1243" s="10" t="s">
        <v>9</v>
      </c>
      <c r="C1243" s="10" t="s">
        <v>299</v>
      </c>
      <c r="D1243" s="10" t="s">
        <v>300</v>
      </c>
      <c r="E1243" s="11" t="str">
        <f>+HYPERLINK("http://trademark.i-assist.jp/data/china/image_1898th/78503560.pdf", "78503560")</f>
        <v>78503560</v>
      </c>
      <c r="F1243" s="10" t="s">
        <v>3677</v>
      </c>
      <c r="G1243" s="10" t="s">
        <v>3678</v>
      </c>
      <c r="H1243" s="10" t="s">
        <v>3679</v>
      </c>
      <c r="I1243" s="10" t="s">
        <v>225</v>
      </c>
    </row>
    <row r="1244" spans="1:9" x14ac:dyDescent="0.15">
      <c r="A1244" s="9">
        <v>1243</v>
      </c>
      <c r="B1244" s="10" t="s">
        <v>9</v>
      </c>
      <c r="C1244" s="10" t="s">
        <v>299</v>
      </c>
      <c r="D1244" s="10" t="s">
        <v>300</v>
      </c>
      <c r="E1244" s="11" t="str">
        <f>+HYPERLINK("http://trademark.i-assist.jp/data/china/image_1898th/78503651.pdf", "78503651")</f>
        <v>78503651</v>
      </c>
      <c r="F1244" s="10" t="s">
        <v>3680</v>
      </c>
      <c r="G1244" s="10" t="s">
        <v>253</v>
      </c>
      <c r="H1244" s="10" t="s">
        <v>3681</v>
      </c>
      <c r="I1244" s="10" t="s">
        <v>225</v>
      </c>
    </row>
    <row r="1245" spans="1:9" x14ac:dyDescent="0.15">
      <c r="A1245" s="9">
        <v>1244</v>
      </c>
      <c r="B1245" s="10" t="s">
        <v>9</v>
      </c>
      <c r="C1245" s="10" t="s">
        <v>299</v>
      </c>
      <c r="D1245" s="10" t="s">
        <v>300</v>
      </c>
      <c r="E1245" s="11" t="str">
        <f>+HYPERLINK("http://trademark.i-assist.jp/data/china/image_1898th/78504086.pdf", "78504086")</f>
        <v>78504086</v>
      </c>
      <c r="F1245" s="10" t="s">
        <v>3682</v>
      </c>
      <c r="G1245" s="10" t="s">
        <v>3683</v>
      </c>
      <c r="H1245" s="10" t="s">
        <v>3684</v>
      </c>
      <c r="I1245" s="10" t="s">
        <v>225</v>
      </c>
    </row>
    <row r="1246" spans="1:9" x14ac:dyDescent="0.15">
      <c r="A1246" s="9">
        <v>1245</v>
      </c>
      <c r="B1246" s="10" t="s">
        <v>9</v>
      </c>
      <c r="C1246" s="10" t="s">
        <v>299</v>
      </c>
      <c r="D1246" s="10" t="s">
        <v>300</v>
      </c>
      <c r="E1246" s="11" t="str">
        <f>+HYPERLINK("http://trademark.i-assist.jp/data/china/image_1898th/78504198.pdf", "78504198")</f>
        <v>78504198</v>
      </c>
      <c r="F1246" s="10" t="s">
        <v>3685</v>
      </c>
      <c r="G1246" s="10" t="s">
        <v>3686</v>
      </c>
      <c r="H1246" s="10" t="s">
        <v>3687</v>
      </c>
      <c r="I1246" s="10" t="s">
        <v>225</v>
      </c>
    </row>
    <row r="1247" spans="1:9" x14ac:dyDescent="0.15">
      <c r="A1247" s="9">
        <v>1246</v>
      </c>
      <c r="B1247" s="10" t="s">
        <v>9</v>
      </c>
      <c r="C1247" s="10" t="s">
        <v>299</v>
      </c>
      <c r="D1247" s="10" t="s">
        <v>300</v>
      </c>
      <c r="E1247" s="11" t="str">
        <f>+HYPERLINK("http://trademark.i-assist.jp/data/china/image_1898th/78504211.pdf", "78504211")</f>
        <v>78504211</v>
      </c>
      <c r="F1247" s="10" t="s">
        <v>3688</v>
      </c>
      <c r="G1247" s="10" t="s">
        <v>3689</v>
      </c>
      <c r="H1247" s="10" t="s">
        <v>3690</v>
      </c>
      <c r="I1247" s="10" t="s">
        <v>225</v>
      </c>
    </row>
    <row r="1248" spans="1:9" x14ac:dyDescent="0.15">
      <c r="A1248" s="9">
        <v>1247</v>
      </c>
      <c r="B1248" s="10" t="s">
        <v>9</v>
      </c>
      <c r="C1248" s="10" t="s">
        <v>299</v>
      </c>
      <c r="D1248" s="10" t="s">
        <v>300</v>
      </c>
      <c r="E1248" s="11" t="str">
        <f>+HYPERLINK("http://trademark.i-assist.jp/data/china/image_1898th/78504414.pdf", "78504414")</f>
        <v>78504414</v>
      </c>
      <c r="F1248" s="10" t="s">
        <v>3691</v>
      </c>
      <c r="G1248" s="10" t="s">
        <v>3692</v>
      </c>
      <c r="H1248" s="10" t="s">
        <v>3693</v>
      </c>
      <c r="I1248" s="10" t="s">
        <v>225</v>
      </c>
    </row>
    <row r="1249" spans="1:9" x14ac:dyDescent="0.15">
      <c r="A1249" s="9">
        <v>1248</v>
      </c>
      <c r="B1249" s="10" t="s">
        <v>9</v>
      </c>
      <c r="C1249" s="10" t="s">
        <v>299</v>
      </c>
      <c r="D1249" s="10" t="s">
        <v>300</v>
      </c>
      <c r="E1249" s="11" t="str">
        <f>+HYPERLINK("http://trademark.i-assist.jp/data/china/image_1898th/78504480.pdf", "78504480")</f>
        <v>78504480</v>
      </c>
      <c r="F1249" s="10" t="s">
        <v>3694</v>
      </c>
      <c r="G1249" s="10" t="s">
        <v>3383</v>
      </c>
      <c r="H1249" s="10" t="s">
        <v>3695</v>
      </c>
      <c r="I1249" s="10" t="s">
        <v>225</v>
      </c>
    </row>
    <row r="1250" spans="1:9" x14ac:dyDescent="0.15">
      <c r="A1250" s="9">
        <v>1249</v>
      </c>
      <c r="B1250" s="10" t="s">
        <v>9</v>
      </c>
      <c r="C1250" s="10" t="s">
        <v>299</v>
      </c>
      <c r="D1250" s="10" t="s">
        <v>300</v>
      </c>
      <c r="E1250" s="11" t="str">
        <f>+HYPERLINK("http://trademark.i-assist.jp/data/china/image_1898th/78504515.pdf", "78504515")</f>
        <v>78504515</v>
      </c>
      <c r="F1250" s="10" t="s">
        <v>3696</v>
      </c>
      <c r="G1250" s="10" t="s">
        <v>3383</v>
      </c>
      <c r="H1250" s="10" t="s">
        <v>3697</v>
      </c>
      <c r="I1250" s="10" t="s">
        <v>225</v>
      </c>
    </row>
    <row r="1251" spans="1:9" x14ac:dyDescent="0.15">
      <c r="A1251" s="9">
        <v>1250</v>
      </c>
      <c r="B1251" s="10" t="s">
        <v>9</v>
      </c>
      <c r="C1251" s="10" t="s">
        <v>299</v>
      </c>
      <c r="D1251" s="10" t="s">
        <v>300</v>
      </c>
      <c r="E1251" s="11" t="str">
        <f>+HYPERLINK("http://trademark.i-assist.jp/data/china/image_1898th/78504777.pdf", "78504777")</f>
        <v>78504777</v>
      </c>
      <c r="F1251" s="10" t="s">
        <v>3698</v>
      </c>
      <c r="G1251" s="10" t="s">
        <v>3624</v>
      </c>
      <c r="H1251" s="10" t="s">
        <v>3699</v>
      </c>
      <c r="I1251" s="10" t="s">
        <v>225</v>
      </c>
    </row>
    <row r="1252" spans="1:9" x14ac:dyDescent="0.15">
      <c r="A1252" s="9">
        <v>1251</v>
      </c>
      <c r="B1252" s="10" t="s">
        <v>9</v>
      </c>
      <c r="C1252" s="10" t="s">
        <v>299</v>
      </c>
      <c r="D1252" s="10" t="s">
        <v>300</v>
      </c>
      <c r="E1252" s="11" t="str">
        <f>+HYPERLINK("http://trademark.i-assist.jp/data/china/image_1898th/78505032.pdf", "78505032")</f>
        <v>78505032</v>
      </c>
      <c r="F1252" s="10" t="s">
        <v>3700</v>
      </c>
      <c r="G1252" s="10" t="s">
        <v>231</v>
      </c>
      <c r="H1252" s="10" t="s">
        <v>3701</v>
      </c>
      <c r="I1252" s="10" t="s">
        <v>225</v>
      </c>
    </row>
    <row r="1253" spans="1:9" x14ac:dyDescent="0.15">
      <c r="A1253" s="9">
        <v>1252</v>
      </c>
      <c r="B1253" s="10" t="s">
        <v>9</v>
      </c>
      <c r="C1253" s="10" t="s">
        <v>299</v>
      </c>
      <c r="D1253" s="10" t="s">
        <v>300</v>
      </c>
      <c r="E1253" s="11" t="str">
        <f>+HYPERLINK("http://trademark.i-assist.jp/data/china/image_1898th/78505074.pdf", "78505074")</f>
        <v>78505074</v>
      </c>
      <c r="F1253" s="10" t="s">
        <v>3702</v>
      </c>
      <c r="G1253" s="10" t="s">
        <v>3703</v>
      </c>
      <c r="H1253" s="10" t="s">
        <v>3704</v>
      </c>
      <c r="I1253" s="10" t="s">
        <v>225</v>
      </c>
    </row>
    <row r="1254" spans="1:9" x14ac:dyDescent="0.15">
      <c r="A1254" s="9">
        <v>1253</v>
      </c>
      <c r="B1254" s="10" t="s">
        <v>9</v>
      </c>
      <c r="C1254" s="10" t="s">
        <v>299</v>
      </c>
      <c r="D1254" s="10" t="s">
        <v>300</v>
      </c>
      <c r="E1254" s="11" t="str">
        <f>+HYPERLINK("http://trademark.i-assist.jp/data/china/image_1898th/78505106.pdf", "78505106")</f>
        <v>78505106</v>
      </c>
      <c r="F1254" s="10" t="s">
        <v>3705</v>
      </c>
      <c r="G1254" s="10" t="s">
        <v>3706</v>
      </c>
      <c r="H1254" s="10" t="s">
        <v>3707</v>
      </c>
      <c r="I1254" s="10" t="s">
        <v>225</v>
      </c>
    </row>
    <row r="1255" spans="1:9" x14ac:dyDescent="0.15">
      <c r="A1255" s="9">
        <v>1254</v>
      </c>
      <c r="B1255" s="10" t="s">
        <v>9</v>
      </c>
      <c r="C1255" s="10" t="s">
        <v>299</v>
      </c>
      <c r="D1255" s="10" t="s">
        <v>300</v>
      </c>
      <c r="E1255" s="11" t="str">
        <f>+HYPERLINK("http://trademark.i-assist.jp/data/china/image_1898th/78505607.pdf", "78505607")</f>
        <v>78505607</v>
      </c>
      <c r="F1255" s="10" t="s">
        <v>3708</v>
      </c>
      <c r="G1255" s="10" t="s">
        <v>3709</v>
      </c>
      <c r="H1255" s="10" t="s">
        <v>3710</v>
      </c>
      <c r="I1255" s="10" t="s">
        <v>225</v>
      </c>
    </row>
    <row r="1256" spans="1:9" x14ac:dyDescent="0.15">
      <c r="A1256" s="9">
        <v>1255</v>
      </c>
      <c r="B1256" s="10" t="s">
        <v>9</v>
      </c>
      <c r="C1256" s="10" t="s">
        <v>299</v>
      </c>
      <c r="D1256" s="10" t="s">
        <v>300</v>
      </c>
      <c r="E1256" s="11" t="str">
        <f>+HYPERLINK("http://trademark.i-assist.jp/data/china/image_1898th/78505951.pdf", "78505951")</f>
        <v>78505951</v>
      </c>
      <c r="F1256" s="10" t="s">
        <v>19</v>
      </c>
      <c r="G1256" s="10" t="s">
        <v>3711</v>
      </c>
      <c r="H1256" s="10" t="s">
        <v>3712</v>
      </c>
      <c r="I1256" s="10" t="s">
        <v>225</v>
      </c>
    </row>
    <row r="1257" spans="1:9" x14ac:dyDescent="0.15">
      <c r="A1257" s="9">
        <v>1256</v>
      </c>
      <c r="B1257" s="10" t="s">
        <v>9</v>
      </c>
      <c r="C1257" s="10" t="s">
        <v>299</v>
      </c>
      <c r="D1257" s="10" t="s">
        <v>300</v>
      </c>
      <c r="E1257" s="11" t="str">
        <f>+HYPERLINK("http://trademark.i-assist.jp/data/china/image_1898th/78506164.pdf", "78506164")</f>
        <v>78506164</v>
      </c>
      <c r="F1257" s="10" t="s">
        <v>3713</v>
      </c>
      <c r="G1257" s="10" t="s">
        <v>3714</v>
      </c>
      <c r="H1257" s="10" t="s">
        <v>3715</v>
      </c>
      <c r="I1257" s="10" t="s">
        <v>225</v>
      </c>
    </row>
    <row r="1258" spans="1:9" x14ac:dyDescent="0.15">
      <c r="A1258" s="9">
        <v>1257</v>
      </c>
      <c r="B1258" s="10" t="s">
        <v>9</v>
      </c>
      <c r="C1258" s="10" t="s">
        <v>299</v>
      </c>
      <c r="D1258" s="10" t="s">
        <v>300</v>
      </c>
      <c r="E1258" s="11" t="str">
        <f>+HYPERLINK("http://trademark.i-assist.jp/data/china/image_1898th/78506719.pdf", "78506719")</f>
        <v>78506719</v>
      </c>
      <c r="F1258" s="10" t="s">
        <v>3716</v>
      </c>
      <c r="G1258" s="10" t="s">
        <v>3550</v>
      </c>
      <c r="H1258" s="10" t="s">
        <v>3717</v>
      </c>
      <c r="I1258" s="10" t="s">
        <v>225</v>
      </c>
    </row>
    <row r="1259" spans="1:9" x14ac:dyDescent="0.15">
      <c r="A1259" s="9">
        <v>1258</v>
      </c>
      <c r="B1259" s="10" t="s">
        <v>9</v>
      </c>
      <c r="C1259" s="10" t="s">
        <v>299</v>
      </c>
      <c r="D1259" s="10" t="s">
        <v>300</v>
      </c>
      <c r="E1259" s="11" t="str">
        <f>+HYPERLINK("http://trademark.i-assist.jp/data/china/image_1898th/78506868.pdf", "78506868")</f>
        <v>78506868</v>
      </c>
      <c r="F1259" s="10" t="s">
        <v>3718</v>
      </c>
      <c r="G1259" s="10" t="s">
        <v>3719</v>
      </c>
      <c r="H1259" s="10" t="s">
        <v>3720</v>
      </c>
      <c r="I1259" s="10" t="s">
        <v>225</v>
      </c>
    </row>
    <row r="1260" spans="1:9" x14ac:dyDescent="0.15">
      <c r="A1260" s="9">
        <v>1259</v>
      </c>
      <c r="B1260" s="10" t="s">
        <v>9</v>
      </c>
      <c r="C1260" s="10" t="s">
        <v>299</v>
      </c>
      <c r="D1260" s="10" t="s">
        <v>300</v>
      </c>
      <c r="E1260" s="11" t="str">
        <f>+HYPERLINK("http://trademark.i-assist.jp/data/china/image_1898th/78507150.pdf", "78507150")</f>
        <v>78507150</v>
      </c>
      <c r="F1260" s="10" t="s">
        <v>3721</v>
      </c>
      <c r="G1260" s="10" t="s">
        <v>228</v>
      </c>
      <c r="H1260" s="10" t="s">
        <v>34</v>
      </c>
      <c r="I1260" s="10" t="s">
        <v>225</v>
      </c>
    </row>
    <row r="1261" spans="1:9" x14ac:dyDescent="0.15">
      <c r="A1261" s="9">
        <v>1260</v>
      </c>
      <c r="B1261" s="10" t="s">
        <v>9</v>
      </c>
      <c r="C1261" s="10" t="s">
        <v>299</v>
      </c>
      <c r="D1261" s="10" t="s">
        <v>300</v>
      </c>
      <c r="E1261" s="11" t="str">
        <f>+HYPERLINK("http://trademark.i-assist.jp/data/china/image_1898th/78507157.pdf", "78507157")</f>
        <v>78507157</v>
      </c>
      <c r="F1261" s="10" t="s">
        <v>3722</v>
      </c>
      <c r="G1261" s="10" t="s">
        <v>3404</v>
      </c>
      <c r="H1261" s="10" t="s">
        <v>3723</v>
      </c>
      <c r="I1261" s="10" t="s">
        <v>225</v>
      </c>
    </row>
    <row r="1262" spans="1:9" x14ac:dyDescent="0.15">
      <c r="A1262" s="9">
        <v>1261</v>
      </c>
      <c r="B1262" s="10" t="s">
        <v>9</v>
      </c>
      <c r="C1262" s="10" t="s">
        <v>299</v>
      </c>
      <c r="D1262" s="10" t="s">
        <v>300</v>
      </c>
      <c r="E1262" s="11" t="str">
        <f>+HYPERLINK("http://trademark.i-assist.jp/data/china/image_1898th/78507432.pdf", "78507432")</f>
        <v>78507432</v>
      </c>
      <c r="F1262" s="10" t="s">
        <v>3724</v>
      </c>
      <c r="G1262" s="10" t="s">
        <v>3725</v>
      </c>
      <c r="H1262" s="10" t="s">
        <v>3726</v>
      </c>
      <c r="I1262" s="10" t="s">
        <v>225</v>
      </c>
    </row>
    <row r="1263" spans="1:9" x14ac:dyDescent="0.15">
      <c r="A1263" s="9">
        <v>1262</v>
      </c>
      <c r="B1263" s="10" t="s">
        <v>9</v>
      </c>
      <c r="C1263" s="10" t="s">
        <v>299</v>
      </c>
      <c r="D1263" s="10" t="s">
        <v>300</v>
      </c>
      <c r="E1263" s="11" t="str">
        <f>+HYPERLINK("http://trademark.i-assist.jp/data/china/image_1898th/78507489.pdf", "78507489")</f>
        <v>78507489</v>
      </c>
      <c r="F1263" s="10" t="s">
        <v>3727</v>
      </c>
      <c r="G1263" s="10" t="s">
        <v>1033</v>
      </c>
      <c r="H1263" s="10" t="s">
        <v>3728</v>
      </c>
      <c r="I1263" s="10" t="s">
        <v>225</v>
      </c>
    </row>
    <row r="1264" spans="1:9" x14ac:dyDescent="0.15">
      <c r="A1264" s="9">
        <v>1263</v>
      </c>
      <c r="B1264" s="10" t="s">
        <v>9</v>
      </c>
      <c r="C1264" s="10" t="s">
        <v>299</v>
      </c>
      <c r="D1264" s="10" t="s">
        <v>300</v>
      </c>
      <c r="E1264" s="11" t="str">
        <f>+HYPERLINK("http://trademark.i-assist.jp/data/china/image_1898th/78507497.pdf", "78507497")</f>
        <v>78507497</v>
      </c>
      <c r="F1264" s="10" t="s">
        <v>3729</v>
      </c>
      <c r="G1264" s="10" t="s">
        <v>3524</v>
      </c>
      <c r="H1264" s="10" t="s">
        <v>22</v>
      </c>
      <c r="I1264" s="10" t="s">
        <v>225</v>
      </c>
    </row>
    <row r="1265" spans="1:9" x14ac:dyDescent="0.15">
      <c r="A1265" s="9">
        <v>1264</v>
      </c>
      <c r="B1265" s="10" t="s">
        <v>9</v>
      </c>
      <c r="C1265" s="10" t="s">
        <v>299</v>
      </c>
      <c r="D1265" s="10" t="s">
        <v>300</v>
      </c>
      <c r="E1265" s="11" t="str">
        <f>+HYPERLINK("http://trademark.i-assist.jp/data/china/image_1898th/78507518.pdf", "78507518")</f>
        <v>78507518</v>
      </c>
      <c r="F1265" s="10" t="s">
        <v>3730</v>
      </c>
      <c r="G1265" s="10" t="s">
        <v>3524</v>
      </c>
      <c r="H1265" s="10" t="s">
        <v>22</v>
      </c>
      <c r="I1265" s="10" t="s">
        <v>225</v>
      </c>
    </row>
    <row r="1266" spans="1:9" x14ac:dyDescent="0.15">
      <c r="A1266" s="9">
        <v>1265</v>
      </c>
      <c r="B1266" s="10" t="s">
        <v>9</v>
      </c>
      <c r="C1266" s="10" t="s">
        <v>299</v>
      </c>
      <c r="D1266" s="10" t="s">
        <v>300</v>
      </c>
      <c r="E1266" s="11" t="str">
        <f>+HYPERLINK("http://trademark.i-assist.jp/data/china/image_1898th/78507761.pdf", "78507761")</f>
        <v>78507761</v>
      </c>
      <c r="F1266" s="10" t="s">
        <v>3731</v>
      </c>
      <c r="G1266" s="10" t="s">
        <v>3732</v>
      </c>
      <c r="H1266" s="10" t="s">
        <v>3733</v>
      </c>
      <c r="I1266" s="10" t="s">
        <v>225</v>
      </c>
    </row>
    <row r="1267" spans="1:9" x14ac:dyDescent="0.15">
      <c r="A1267" s="9">
        <v>1266</v>
      </c>
      <c r="B1267" s="10" t="s">
        <v>9</v>
      </c>
      <c r="C1267" s="10" t="s">
        <v>299</v>
      </c>
      <c r="D1267" s="10" t="s">
        <v>300</v>
      </c>
      <c r="E1267" s="11" t="str">
        <f>+HYPERLINK("http://trademark.i-assist.jp/data/china/image_1898th/78508052.pdf", "78508052")</f>
        <v>78508052</v>
      </c>
      <c r="F1267" s="10" t="s">
        <v>3734</v>
      </c>
      <c r="G1267" s="10" t="s">
        <v>3735</v>
      </c>
      <c r="H1267" s="10" t="s">
        <v>3736</v>
      </c>
      <c r="I1267" s="10" t="s">
        <v>225</v>
      </c>
    </row>
    <row r="1268" spans="1:9" x14ac:dyDescent="0.15">
      <c r="A1268" s="9">
        <v>1267</v>
      </c>
      <c r="B1268" s="10" t="s">
        <v>9</v>
      </c>
      <c r="C1268" s="10" t="s">
        <v>299</v>
      </c>
      <c r="D1268" s="10" t="s">
        <v>300</v>
      </c>
      <c r="E1268" s="11" t="str">
        <f>+HYPERLINK("http://trademark.i-assist.jp/data/china/image_1898th/78508129.pdf", "78508129")</f>
        <v>78508129</v>
      </c>
      <c r="F1268" s="10" t="s">
        <v>3737</v>
      </c>
      <c r="G1268" s="10" t="s">
        <v>3738</v>
      </c>
      <c r="H1268" s="10" t="s">
        <v>3739</v>
      </c>
      <c r="I1268" s="10" t="s">
        <v>225</v>
      </c>
    </row>
    <row r="1269" spans="1:9" x14ac:dyDescent="0.15">
      <c r="A1269" s="9">
        <v>1268</v>
      </c>
      <c r="B1269" s="10" t="s">
        <v>9</v>
      </c>
      <c r="C1269" s="10" t="s">
        <v>299</v>
      </c>
      <c r="D1269" s="10" t="s">
        <v>300</v>
      </c>
      <c r="E1269" s="11" t="str">
        <f>+HYPERLINK("http://trademark.i-assist.jp/data/china/image_1898th/78508250.pdf", "78508250")</f>
        <v>78508250</v>
      </c>
      <c r="F1269" s="10" t="s">
        <v>19</v>
      </c>
      <c r="G1269" s="10" t="s">
        <v>147</v>
      </c>
      <c r="H1269" s="10" t="s">
        <v>3740</v>
      </c>
      <c r="I1269" s="10" t="s">
        <v>225</v>
      </c>
    </row>
    <row r="1270" spans="1:9" x14ac:dyDescent="0.15">
      <c r="A1270" s="9">
        <v>1269</v>
      </c>
      <c r="B1270" s="10" t="s">
        <v>9</v>
      </c>
      <c r="C1270" s="10" t="s">
        <v>299</v>
      </c>
      <c r="D1270" s="10" t="s">
        <v>300</v>
      </c>
      <c r="E1270" s="11" t="str">
        <f>+HYPERLINK("http://trademark.i-assist.jp/data/china/image_1898th/78508334.pdf", "78508334")</f>
        <v>78508334</v>
      </c>
      <c r="F1270" s="10" t="s">
        <v>3741</v>
      </c>
      <c r="G1270" s="10" t="s">
        <v>3742</v>
      </c>
      <c r="H1270" s="10" t="s">
        <v>3743</v>
      </c>
      <c r="I1270" s="10" t="s">
        <v>225</v>
      </c>
    </row>
    <row r="1271" spans="1:9" x14ac:dyDescent="0.15">
      <c r="A1271" s="9">
        <v>1270</v>
      </c>
      <c r="B1271" s="10" t="s">
        <v>9</v>
      </c>
      <c r="C1271" s="10" t="s">
        <v>299</v>
      </c>
      <c r="D1271" s="10" t="s">
        <v>300</v>
      </c>
      <c r="E1271" s="11" t="str">
        <f>+HYPERLINK("http://trademark.i-assist.jp/data/china/image_1898th/78508371.pdf", "78508371")</f>
        <v>78508371</v>
      </c>
      <c r="F1271" s="10" t="s">
        <v>3744</v>
      </c>
      <c r="G1271" s="10" t="s">
        <v>3745</v>
      </c>
      <c r="H1271" s="10" t="s">
        <v>3746</v>
      </c>
      <c r="I1271" s="10" t="s">
        <v>225</v>
      </c>
    </row>
    <row r="1272" spans="1:9" x14ac:dyDescent="0.15">
      <c r="A1272" s="9">
        <v>1271</v>
      </c>
      <c r="B1272" s="10" t="s">
        <v>9</v>
      </c>
      <c r="C1272" s="10" t="s">
        <v>299</v>
      </c>
      <c r="D1272" s="10" t="s">
        <v>300</v>
      </c>
      <c r="E1272" s="11" t="str">
        <f>+HYPERLINK("http://trademark.i-assist.jp/data/china/image_1898th/78508520.pdf", "78508520")</f>
        <v>78508520</v>
      </c>
      <c r="F1272" s="10" t="s">
        <v>3747</v>
      </c>
      <c r="G1272" s="10" t="s">
        <v>3678</v>
      </c>
      <c r="H1272" s="10" t="s">
        <v>3748</v>
      </c>
      <c r="I1272" s="10" t="s">
        <v>225</v>
      </c>
    </row>
    <row r="1273" spans="1:9" x14ac:dyDescent="0.15">
      <c r="A1273" s="9">
        <v>1272</v>
      </c>
      <c r="B1273" s="10" t="s">
        <v>9</v>
      </c>
      <c r="C1273" s="10" t="s">
        <v>299</v>
      </c>
      <c r="D1273" s="10" t="s">
        <v>300</v>
      </c>
      <c r="E1273" s="11" t="str">
        <f>+HYPERLINK("http://trademark.i-assist.jp/data/china/image_1898th/78508620.pdf", "78508620")</f>
        <v>78508620</v>
      </c>
      <c r="F1273" s="10" t="s">
        <v>3749</v>
      </c>
      <c r="G1273" s="10" t="s">
        <v>3750</v>
      </c>
      <c r="H1273" s="10" t="s">
        <v>3751</v>
      </c>
      <c r="I1273" s="10" t="s">
        <v>225</v>
      </c>
    </row>
    <row r="1274" spans="1:9" x14ac:dyDescent="0.15">
      <c r="A1274" s="9">
        <v>1273</v>
      </c>
      <c r="B1274" s="10" t="s">
        <v>9</v>
      </c>
      <c r="C1274" s="10" t="s">
        <v>299</v>
      </c>
      <c r="D1274" s="10" t="s">
        <v>300</v>
      </c>
      <c r="E1274" s="11" t="str">
        <f>+HYPERLINK("http://trademark.i-assist.jp/data/china/image_1898th/78508734.pdf", "78508734")</f>
        <v>78508734</v>
      </c>
      <c r="F1274" s="10" t="s">
        <v>3752</v>
      </c>
      <c r="G1274" s="10" t="s">
        <v>3753</v>
      </c>
      <c r="H1274" s="10" t="s">
        <v>3754</v>
      </c>
      <c r="I1274" s="10" t="s">
        <v>225</v>
      </c>
    </row>
    <row r="1275" spans="1:9" x14ac:dyDescent="0.15">
      <c r="A1275" s="9">
        <v>1274</v>
      </c>
      <c r="B1275" s="10" t="s">
        <v>9</v>
      </c>
      <c r="C1275" s="10" t="s">
        <v>299</v>
      </c>
      <c r="D1275" s="10" t="s">
        <v>300</v>
      </c>
      <c r="E1275" s="11" t="str">
        <f>+HYPERLINK("http://trademark.i-assist.jp/data/china/image_1898th/78508836.pdf", "78508836")</f>
        <v>78508836</v>
      </c>
      <c r="F1275" s="10" t="s">
        <v>3755</v>
      </c>
      <c r="G1275" s="10" t="s">
        <v>3756</v>
      </c>
      <c r="H1275" s="10" t="s">
        <v>3757</v>
      </c>
      <c r="I1275" s="10" t="s">
        <v>225</v>
      </c>
    </row>
    <row r="1276" spans="1:9" x14ac:dyDescent="0.15">
      <c r="A1276" s="9">
        <v>1275</v>
      </c>
      <c r="B1276" s="10" t="s">
        <v>9</v>
      </c>
      <c r="C1276" s="10" t="s">
        <v>299</v>
      </c>
      <c r="D1276" s="10" t="s">
        <v>300</v>
      </c>
      <c r="E1276" s="11" t="str">
        <f>+HYPERLINK("http://trademark.i-assist.jp/data/china/image_1898th/78509349.pdf", "78509349")</f>
        <v>78509349</v>
      </c>
      <c r="F1276" s="10" t="s">
        <v>3758</v>
      </c>
      <c r="G1276" s="10" t="s">
        <v>3437</v>
      </c>
      <c r="H1276" s="10" t="s">
        <v>3759</v>
      </c>
      <c r="I1276" s="10" t="s">
        <v>225</v>
      </c>
    </row>
    <row r="1277" spans="1:9" x14ac:dyDescent="0.15">
      <c r="A1277" s="9">
        <v>1276</v>
      </c>
      <c r="B1277" s="10" t="s">
        <v>9</v>
      </c>
      <c r="C1277" s="10" t="s">
        <v>299</v>
      </c>
      <c r="D1277" s="10" t="s">
        <v>300</v>
      </c>
      <c r="E1277" s="11" t="str">
        <f>+HYPERLINK("http://trademark.i-assist.jp/data/china/image_1898th/78509403.pdf", "78509403")</f>
        <v>78509403</v>
      </c>
      <c r="F1277" s="10" t="s">
        <v>3760</v>
      </c>
      <c r="G1277" s="10" t="s">
        <v>3580</v>
      </c>
      <c r="H1277" s="10" t="s">
        <v>3761</v>
      </c>
      <c r="I1277" s="10" t="s">
        <v>225</v>
      </c>
    </row>
    <row r="1278" spans="1:9" x14ac:dyDescent="0.15">
      <c r="A1278" s="9">
        <v>1277</v>
      </c>
      <c r="B1278" s="10" t="s">
        <v>9</v>
      </c>
      <c r="C1278" s="10" t="s">
        <v>299</v>
      </c>
      <c r="D1278" s="10" t="s">
        <v>300</v>
      </c>
      <c r="E1278" s="11" t="str">
        <f>+HYPERLINK("http://trademark.i-assist.jp/data/china/image_1898th/78509795.pdf", "78509795")</f>
        <v>78509795</v>
      </c>
      <c r="F1278" s="10" t="s">
        <v>19</v>
      </c>
      <c r="G1278" s="10" t="s">
        <v>3762</v>
      </c>
      <c r="H1278" s="10" t="s">
        <v>3763</v>
      </c>
      <c r="I1278" s="10" t="s">
        <v>225</v>
      </c>
    </row>
    <row r="1279" spans="1:9" x14ac:dyDescent="0.15">
      <c r="A1279" s="9">
        <v>1278</v>
      </c>
      <c r="B1279" s="10" t="s">
        <v>9</v>
      </c>
      <c r="C1279" s="10" t="s">
        <v>299</v>
      </c>
      <c r="D1279" s="10" t="s">
        <v>300</v>
      </c>
      <c r="E1279" s="11" t="str">
        <f>+HYPERLINK("http://trademark.i-assist.jp/data/china/image_1898th/78509928.pdf", "78509928")</f>
        <v>78509928</v>
      </c>
      <c r="F1279" s="10" t="s">
        <v>3764</v>
      </c>
      <c r="G1279" s="10" t="s">
        <v>3765</v>
      </c>
      <c r="H1279" s="10" t="s">
        <v>3766</v>
      </c>
      <c r="I1279" s="10" t="s">
        <v>225</v>
      </c>
    </row>
    <row r="1280" spans="1:9" x14ac:dyDescent="0.15">
      <c r="A1280" s="9">
        <v>1279</v>
      </c>
      <c r="B1280" s="10" t="s">
        <v>9</v>
      </c>
      <c r="C1280" s="10" t="s">
        <v>299</v>
      </c>
      <c r="D1280" s="10" t="s">
        <v>300</v>
      </c>
      <c r="E1280" s="11" t="str">
        <f>+HYPERLINK("http://trademark.i-assist.jp/data/china/image_1898th/78509943.pdf", "78509943")</f>
        <v>78509943</v>
      </c>
      <c r="F1280" s="10" t="s">
        <v>3767</v>
      </c>
      <c r="G1280" s="10" t="s">
        <v>3768</v>
      </c>
      <c r="H1280" s="10" t="s">
        <v>3769</v>
      </c>
      <c r="I1280" s="10" t="s">
        <v>225</v>
      </c>
    </row>
    <row r="1281" spans="1:9" x14ac:dyDescent="0.15">
      <c r="A1281" s="9">
        <v>1280</v>
      </c>
      <c r="B1281" s="10" t="s">
        <v>9</v>
      </c>
      <c r="C1281" s="10" t="s">
        <v>299</v>
      </c>
      <c r="D1281" s="10" t="s">
        <v>300</v>
      </c>
      <c r="E1281" s="11" t="str">
        <f>+HYPERLINK("http://trademark.i-assist.jp/data/china/image_1898th/78510392.pdf", "78510392")</f>
        <v>78510392</v>
      </c>
      <c r="F1281" s="10" t="s">
        <v>3770</v>
      </c>
      <c r="G1281" s="10" t="s">
        <v>244</v>
      </c>
      <c r="H1281" s="10" t="s">
        <v>3771</v>
      </c>
      <c r="I1281" s="10" t="s">
        <v>225</v>
      </c>
    </row>
    <row r="1282" spans="1:9" x14ac:dyDescent="0.15">
      <c r="A1282" s="9">
        <v>1281</v>
      </c>
      <c r="B1282" s="10" t="s">
        <v>9</v>
      </c>
      <c r="C1282" s="10" t="s">
        <v>299</v>
      </c>
      <c r="D1282" s="10" t="s">
        <v>300</v>
      </c>
      <c r="E1282" s="11" t="str">
        <f>+HYPERLINK("http://trademark.i-assist.jp/data/china/image_1898th/78510440.pdf", "78510440")</f>
        <v>78510440</v>
      </c>
      <c r="F1282" s="10" t="s">
        <v>3772</v>
      </c>
      <c r="G1282" s="10" t="s">
        <v>3773</v>
      </c>
      <c r="H1282" s="10" t="s">
        <v>3774</v>
      </c>
      <c r="I1282" s="10" t="s">
        <v>225</v>
      </c>
    </row>
    <row r="1283" spans="1:9" x14ac:dyDescent="0.15">
      <c r="A1283" s="9">
        <v>1282</v>
      </c>
      <c r="B1283" s="10" t="s">
        <v>9</v>
      </c>
      <c r="C1283" s="10" t="s">
        <v>299</v>
      </c>
      <c r="D1283" s="10" t="s">
        <v>300</v>
      </c>
      <c r="E1283" s="11" t="str">
        <f>+HYPERLINK("http://trademark.i-assist.jp/data/china/image_1898th/78510527.pdf", "78510527")</f>
        <v>78510527</v>
      </c>
      <c r="F1283" s="10" t="s">
        <v>19</v>
      </c>
      <c r="G1283" s="10" t="s">
        <v>3775</v>
      </c>
      <c r="H1283" s="10" t="s">
        <v>3776</v>
      </c>
      <c r="I1283" s="10" t="s">
        <v>225</v>
      </c>
    </row>
    <row r="1284" spans="1:9" x14ac:dyDescent="0.15">
      <c r="A1284" s="9">
        <v>1283</v>
      </c>
      <c r="B1284" s="10" t="s">
        <v>9</v>
      </c>
      <c r="C1284" s="10" t="s">
        <v>299</v>
      </c>
      <c r="D1284" s="10" t="s">
        <v>300</v>
      </c>
      <c r="E1284" s="11" t="str">
        <f>+HYPERLINK("http://trademark.i-assist.jp/data/china/image_1898th/78510590.pdf", "78510590")</f>
        <v>78510590</v>
      </c>
      <c r="F1284" s="10" t="s">
        <v>3777</v>
      </c>
      <c r="G1284" s="10" t="s">
        <v>3515</v>
      </c>
      <c r="H1284" s="10" t="s">
        <v>3778</v>
      </c>
      <c r="I1284" s="10" t="s">
        <v>225</v>
      </c>
    </row>
    <row r="1285" spans="1:9" x14ac:dyDescent="0.15">
      <c r="A1285" s="9">
        <v>1284</v>
      </c>
      <c r="B1285" s="10" t="s">
        <v>9</v>
      </c>
      <c r="C1285" s="10" t="s">
        <v>299</v>
      </c>
      <c r="D1285" s="10" t="s">
        <v>300</v>
      </c>
      <c r="E1285" s="11" t="str">
        <f>+HYPERLINK("http://trademark.i-assist.jp/data/china/image_1898th/78511540.pdf", "78511540")</f>
        <v>78511540</v>
      </c>
      <c r="F1285" s="10" t="s">
        <v>3779</v>
      </c>
      <c r="G1285" s="10" t="s">
        <v>230</v>
      </c>
      <c r="H1285" s="10" t="s">
        <v>3780</v>
      </c>
      <c r="I1285" s="10" t="s">
        <v>225</v>
      </c>
    </row>
    <row r="1286" spans="1:9" x14ac:dyDescent="0.15">
      <c r="A1286" s="9">
        <v>1285</v>
      </c>
      <c r="B1286" s="10" t="s">
        <v>9</v>
      </c>
      <c r="C1286" s="10" t="s">
        <v>299</v>
      </c>
      <c r="D1286" s="10" t="s">
        <v>300</v>
      </c>
      <c r="E1286" s="11" t="str">
        <f>+HYPERLINK("http://trademark.i-assist.jp/data/china/image_1898th/78511542.pdf", "78511542")</f>
        <v>78511542</v>
      </c>
      <c r="F1286" s="10" t="s">
        <v>3781</v>
      </c>
      <c r="G1286" s="10" t="s">
        <v>2563</v>
      </c>
      <c r="H1286" s="10" t="s">
        <v>3782</v>
      </c>
      <c r="I1286" s="10" t="s">
        <v>225</v>
      </c>
    </row>
    <row r="1287" spans="1:9" x14ac:dyDescent="0.15">
      <c r="A1287" s="9">
        <v>1286</v>
      </c>
      <c r="B1287" s="10" t="s">
        <v>9</v>
      </c>
      <c r="C1287" s="10" t="s">
        <v>299</v>
      </c>
      <c r="D1287" s="10" t="s">
        <v>300</v>
      </c>
      <c r="E1287" s="11" t="str">
        <f>+HYPERLINK("http://trademark.i-assist.jp/data/china/image_1898th/78512789.pdf", "78512789")</f>
        <v>78512789</v>
      </c>
      <c r="F1287" s="10" t="s">
        <v>3783</v>
      </c>
      <c r="G1287" s="10" t="s">
        <v>3784</v>
      </c>
      <c r="H1287" s="10" t="s">
        <v>3785</v>
      </c>
      <c r="I1287" s="10" t="s">
        <v>248</v>
      </c>
    </row>
    <row r="1288" spans="1:9" x14ac:dyDescent="0.15">
      <c r="A1288" s="9">
        <v>1287</v>
      </c>
      <c r="B1288" s="10" t="s">
        <v>9</v>
      </c>
      <c r="C1288" s="10" t="s">
        <v>299</v>
      </c>
      <c r="D1288" s="10" t="s">
        <v>300</v>
      </c>
      <c r="E1288" s="11" t="str">
        <f>+HYPERLINK("http://trademark.i-assist.jp/data/china/image_1898th/78512912.pdf", "78512912")</f>
        <v>78512912</v>
      </c>
      <c r="F1288" s="10" t="s">
        <v>19</v>
      </c>
      <c r="G1288" s="10" t="s">
        <v>3786</v>
      </c>
      <c r="H1288" s="10" t="s">
        <v>3787</v>
      </c>
      <c r="I1288" s="10" t="s">
        <v>248</v>
      </c>
    </row>
    <row r="1289" spans="1:9" x14ac:dyDescent="0.15">
      <c r="A1289" s="9">
        <v>1288</v>
      </c>
      <c r="B1289" s="10" t="s">
        <v>9</v>
      </c>
      <c r="C1289" s="10" t="s">
        <v>299</v>
      </c>
      <c r="D1289" s="10" t="s">
        <v>300</v>
      </c>
      <c r="E1289" s="11" t="str">
        <f>+HYPERLINK("http://trademark.i-assist.jp/data/china/image_1898th/78513203.pdf", "78513203")</f>
        <v>78513203</v>
      </c>
      <c r="F1289" s="10" t="s">
        <v>3788</v>
      </c>
      <c r="G1289" s="10" t="s">
        <v>216</v>
      </c>
      <c r="H1289" s="10" t="s">
        <v>3789</v>
      </c>
      <c r="I1289" s="10" t="s">
        <v>248</v>
      </c>
    </row>
    <row r="1290" spans="1:9" x14ac:dyDescent="0.15">
      <c r="A1290" s="9">
        <v>1289</v>
      </c>
      <c r="B1290" s="10" t="s">
        <v>9</v>
      </c>
      <c r="C1290" s="10" t="s">
        <v>299</v>
      </c>
      <c r="D1290" s="10" t="s">
        <v>300</v>
      </c>
      <c r="E1290" s="11" t="str">
        <f>+HYPERLINK("http://trademark.i-assist.jp/data/china/image_1898th/78513411.pdf", "78513411")</f>
        <v>78513411</v>
      </c>
      <c r="F1290" s="10" t="s">
        <v>3790</v>
      </c>
      <c r="G1290" s="10" t="s">
        <v>158</v>
      </c>
      <c r="H1290" s="10" t="s">
        <v>149</v>
      </c>
      <c r="I1290" s="10" t="s">
        <v>248</v>
      </c>
    </row>
    <row r="1291" spans="1:9" x14ac:dyDescent="0.15">
      <c r="A1291" s="9">
        <v>1290</v>
      </c>
      <c r="B1291" s="10" t="s">
        <v>9</v>
      </c>
      <c r="C1291" s="10" t="s">
        <v>299</v>
      </c>
      <c r="D1291" s="10" t="s">
        <v>300</v>
      </c>
      <c r="E1291" s="11" t="str">
        <f>+HYPERLINK("http://trademark.i-assist.jp/data/china/image_1898th/78513761.pdf", "78513761")</f>
        <v>78513761</v>
      </c>
      <c r="F1291" s="10" t="s">
        <v>3791</v>
      </c>
      <c r="G1291" s="10" t="s">
        <v>3792</v>
      </c>
      <c r="H1291" s="10" t="s">
        <v>3793</v>
      </c>
      <c r="I1291" s="10" t="s">
        <v>248</v>
      </c>
    </row>
    <row r="1292" spans="1:9" x14ac:dyDescent="0.15">
      <c r="A1292" s="9">
        <v>1291</v>
      </c>
      <c r="B1292" s="10" t="s">
        <v>9</v>
      </c>
      <c r="C1292" s="10" t="s">
        <v>299</v>
      </c>
      <c r="D1292" s="10" t="s">
        <v>300</v>
      </c>
      <c r="E1292" s="11" t="str">
        <f>+HYPERLINK("http://trademark.i-assist.jp/data/china/image_1898th/78513815.pdf", "78513815")</f>
        <v>78513815</v>
      </c>
      <c r="F1292" s="10" t="s">
        <v>3794</v>
      </c>
      <c r="G1292" s="10" t="s">
        <v>3795</v>
      </c>
      <c r="H1292" s="10" t="s">
        <v>3796</v>
      </c>
      <c r="I1292" s="10" t="s">
        <v>248</v>
      </c>
    </row>
    <row r="1293" spans="1:9" x14ac:dyDescent="0.15">
      <c r="A1293" s="9">
        <v>1292</v>
      </c>
      <c r="B1293" s="10" t="s">
        <v>9</v>
      </c>
      <c r="C1293" s="10" t="s">
        <v>299</v>
      </c>
      <c r="D1293" s="10" t="s">
        <v>300</v>
      </c>
      <c r="E1293" s="11" t="str">
        <f>+HYPERLINK("http://trademark.i-assist.jp/data/china/image_1898th/78514105.pdf", "78514105")</f>
        <v>78514105</v>
      </c>
      <c r="F1293" s="10" t="s">
        <v>3797</v>
      </c>
      <c r="G1293" s="10" t="s">
        <v>3798</v>
      </c>
      <c r="H1293" s="10" t="s">
        <v>3799</v>
      </c>
      <c r="I1293" s="10" t="s">
        <v>248</v>
      </c>
    </row>
    <row r="1294" spans="1:9" x14ac:dyDescent="0.15">
      <c r="A1294" s="9">
        <v>1293</v>
      </c>
      <c r="B1294" s="10" t="s">
        <v>9</v>
      </c>
      <c r="C1294" s="10" t="s">
        <v>299</v>
      </c>
      <c r="D1294" s="10" t="s">
        <v>300</v>
      </c>
      <c r="E1294" s="11" t="str">
        <f>+HYPERLINK("http://trademark.i-assist.jp/data/china/image_1898th/78514397.pdf", "78514397")</f>
        <v>78514397</v>
      </c>
      <c r="F1294" s="10" t="s">
        <v>3800</v>
      </c>
      <c r="G1294" s="10" t="s">
        <v>3801</v>
      </c>
      <c r="H1294" s="10" t="s">
        <v>3802</v>
      </c>
      <c r="I1294" s="10" t="s">
        <v>248</v>
      </c>
    </row>
    <row r="1295" spans="1:9" x14ac:dyDescent="0.15">
      <c r="A1295" s="9">
        <v>1294</v>
      </c>
      <c r="B1295" s="10" t="s">
        <v>9</v>
      </c>
      <c r="C1295" s="10" t="s">
        <v>299</v>
      </c>
      <c r="D1295" s="10" t="s">
        <v>300</v>
      </c>
      <c r="E1295" s="11" t="str">
        <f>+HYPERLINK("http://trademark.i-assist.jp/data/china/image_1898th/78514498.pdf", "78514498")</f>
        <v>78514498</v>
      </c>
      <c r="F1295" s="10" t="s">
        <v>3803</v>
      </c>
      <c r="G1295" s="10" t="s">
        <v>3804</v>
      </c>
      <c r="H1295" s="10" t="s">
        <v>3805</v>
      </c>
      <c r="I1295" s="10" t="s">
        <v>248</v>
      </c>
    </row>
    <row r="1296" spans="1:9" x14ac:dyDescent="0.15">
      <c r="A1296" s="9">
        <v>1295</v>
      </c>
      <c r="B1296" s="10" t="s">
        <v>9</v>
      </c>
      <c r="C1296" s="10" t="s">
        <v>299</v>
      </c>
      <c r="D1296" s="10" t="s">
        <v>300</v>
      </c>
      <c r="E1296" s="11" t="str">
        <f>+HYPERLINK("http://trademark.i-assist.jp/data/china/image_1898th/78514610.pdf", "78514610")</f>
        <v>78514610</v>
      </c>
      <c r="F1296" s="10" t="s">
        <v>3806</v>
      </c>
      <c r="G1296" s="10" t="s">
        <v>3807</v>
      </c>
      <c r="H1296" s="10" t="s">
        <v>3808</v>
      </c>
      <c r="I1296" s="10" t="s">
        <v>248</v>
      </c>
    </row>
    <row r="1297" spans="1:9" x14ac:dyDescent="0.15">
      <c r="A1297" s="9">
        <v>1296</v>
      </c>
      <c r="B1297" s="10" t="s">
        <v>9</v>
      </c>
      <c r="C1297" s="10" t="s">
        <v>299</v>
      </c>
      <c r="D1297" s="10" t="s">
        <v>300</v>
      </c>
      <c r="E1297" s="11" t="str">
        <f>+HYPERLINK("http://trademark.i-assist.jp/data/china/image_1898th/78514837.pdf", "78514837")</f>
        <v>78514837</v>
      </c>
      <c r="F1297" s="10" t="s">
        <v>3809</v>
      </c>
      <c r="G1297" s="10" t="s">
        <v>3810</v>
      </c>
      <c r="H1297" s="10" t="s">
        <v>3811</v>
      </c>
      <c r="I1297" s="10" t="s">
        <v>248</v>
      </c>
    </row>
    <row r="1298" spans="1:9" x14ac:dyDescent="0.15">
      <c r="A1298" s="9">
        <v>1297</v>
      </c>
      <c r="B1298" s="10" t="s">
        <v>9</v>
      </c>
      <c r="C1298" s="10" t="s">
        <v>299</v>
      </c>
      <c r="D1298" s="10" t="s">
        <v>300</v>
      </c>
      <c r="E1298" s="11" t="str">
        <f>+HYPERLINK("http://trademark.i-assist.jp/data/china/image_1898th/78514886.pdf", "78514886")</f>
        <v>78514886</v>
      </c>
      <c r="F1298" s="10" t="s">
        <v>3812</v>
      </c>
      <c r="G1298" s="10" t="s">
        <v>93</v>
      </c>
      <c r="H1298" s="10" t="s">
        <v>3813</v>
      </c>
      <c r="I1298" s="10" t="s">
        <v>248</v>
      </c>
    </row>
    <row r="1299" spans="1:9" x14ac:dyDescent="0.15">
      <c r="A1299" s="9">
        <v>1298</v>
      </c>
      <c r="B1299" s="10" t="s">
        <v>9</v>
      </c>
      <c r="C1299" s="10" t="s">
        <v>299</v>
      </c>
      <c r="D1299" s="10" t="s">
        <v>300</v>
      </c>
      <c r="E1299" s="11" t="str">
        <f>+HYPERLINK("http://trademark.i-assist.jp/data/china/image_1898th/78515458.pdf", "78515458")</f>
        <v>78515458</v>
      </c>
      <c r="F1299" s="10" t="s">
        <v>3814</v>
      </c>
      <c r="G1299" s="10" t="s">
        <v>3815</v>
      </c>
      <c r="H1299" s="10" t="s">
        <v>3816</v>
      </c>
      <c r="I1299" s="10" t="s">
        <v>248</v>
      </c>
    </row>
    <row r="1300" spans="1:9" x14ac:dyDescent="0.15">
      <c r="A1300" s="9">
        <v>1299</v>
      </c>
      <c r="B1300" s="10" t="s">
        <v>9</v>
      </c>
      <c r="C1300" s="10" t="s">
        <v>299</v>
      </c>
      <c r="D1300" s="10" t="s">
        <v>300</v>
      </c>
      <c r="E1300" s="11" t="str">
        <f>+HYPERLINK("http://trademark.i-assist.jp/data/china/image_1898th/78515559.pdf", "78515559")</f>
        <v>78515559</v>
      </c>
      <c r="F1300" s="10" t="s">
        <v>3817</v>
      </c>
      <c r="G1300" s="10" t="s">
        <v>256</v>
      </c>
      <c r="H1300" s="10" t="s">
        <v>3818</v>
      </c>
      <c r="I1300" s="10" t="s">
        <v>248</v>
      </c>
    </row>
    <row r="1301" spans="1:9" x14ac:dyDescent="0.15">
      <c r="A1301" s="9">
        <v>1300</v>
      </c>
      <c r="B1301" s="10" t="s">
        <v>9</v>
      </c>
      <c r="C1301" s="10" t="s">
        <v>299</v>
      </c>
      <c r="D1301" s="10" t="s">
        <v>300</v>
      </c>
      <c r="E1301" s="11" t="str">
        <f>+HYPERLINK("http://trademark.i-assist.jp/data/china/image_1898th/78515717.pdf", "78515717")</f>
        <v>78515717</v>
      </c>
      <c r="F1301" s="10" t="s">
        <v>3819</v>
      </c>
      <c r="G1301" s="10" t="s">
        <v>3820</v>
      </c>
      <c r="H1301" s="10" t="s">
        <v>3821</v>
      </c>
      <c r="I1301" s="10" t="s">
        <v>248</v>
      </c>
    </row>
    <row r="1302" spans="1:9" x14ac:dyDescent="0.15">
      <c r="A1302" s="9">
        <v>1301</v>
      </c>
      <c r="B1302" s="10" t="s">
        <v>9</v>
      </c>
      <c r="C1302" s="10" t="s">
        <v>299</v>
      </c>
      <c r="D1302" s="10" t="s">
        <v>300</v>
      </c>
      <c r="E1302" s="11" t="str">
        <f>+HYPERLINK("http://trademark.i-assist.jp/data/china/image_1898th/78515892.pdf", "78515892")</f>
        <v>78515892</v>
      </c>
      <c r="F1302" s="10" t="s">
        <v>3822</v>
      </c>
      <c r="G1302" s="10" t="s">
        <v>3823</v>
      </c>
      <c r="H1302" s="10" t="s">
        <v>3824</v>
      </c>
      <c r="I1302" s="10" t="s">
        <v>248</v>
      </c>
    </row>
    <row r="1303" spans="1:9" x14ac:dyDescent="0.15">
      <c r="A1303" s="9">
        <v>1302</v>
      </c>
      <c r="B1303" s="10" t="s">
        <v>9</v>
      </c>
      <c r="C1303" s="10" t="s">
        <v>299</v>
      </c>
      <c r="D1303" s="10" t="s">
        <v>300</v>
      </c>
      <c r="E1303" s="11" t="str">
        <f>+HYPERLINK("http://trademark.i-assist.jp/data/china/image_1898th/78515897.pdf", "78515897")</f>
        <v>78515897</v>
      </c>
      <c r="F1303" s="10" t="s">
        <v>3825</v>
      </c>
      <c r="G1303" s="10" t="s">
        <v>3826</v>
      </c>
      <c r="H1303" s="10" t="s">
        <v>3827</v>
      </c>
      <c r="I1303" s="10" t="s">
        <v>248</v>
      </c>
    </row>
    <row r="1304" spans="1:9" x14ac:dyDescent="0.15">
      <c r="A1304" s="9">
        <v>1303</v>
      </c>
      <c r="B1304" s="10" t="s">
        <v>9</v>
      </c>
      <c r="C1304" s="10" t="s">
        <v>299</v>
      </c>
      <c r="D1304" s="10" t="s">
        <v>300</v>
      </c>
      <c r="E1304" s="11" t="str">
        <f>+HYPERLINK("http://trademark.i-assist.jp/data/china/image_1898th/78516824.pdf", "78516824")</f>
        <v>78516824</v>
      </c>
      <c r="F1304" s="10" t="s">
        <v>3828</v>
      </c>
      <c r="G1304" s="10" t="s">
        <v>249</v>
      </c>
      <c r="H1304" s="10" t="s">
        <v>3829</v>
      </c>
      <c r="I1304" s="10" t="s">
        <v>248</v>
      </c>
    </row>
    <row r="1305" spans="1:9" x14ac:dyDescent="0.15">
      <c r="A1305" s="9">
        <v>1304</v>
      </c>
      <c r="B1305" s="10" t="s">
        <v>9</v>
      </c>
      <c r="C1305" s="10" t="s">
        <v>299</v>
      </c>
      <c r="D1305" s="10" t="s">
        <v>300</v>
      </c>
      <c r="E1305" s="11" t="str">
        <f>+HYPERLINK("http://trademark.i-assist.jp/data/china/image_1898th/78516886.pdf", "78516886")</f>
        <v>78516886</v>
      </c>
      <c r="F1305" s="10" t="s">
        <v>3830</v>
      </c>
      <c r="G1305" s="10" t="s">
        <v>3831</v>
      </c>
      <c r="H1305" s="10" t="s">
        <v>3832</v>
      </c>
      <c r="I1305" s="10" t="s">
        <v>248</v>
      </c>
    </row>
    <row r="1306" spans="1:9" x14ac:dyDescent="0.15">
      <c r="A1306" s="9">
        <v>1305</v>
      </c>
      <c r="B1306" s="10" t="s">
        <v>9</v>
      </c>
      <c r="C1306" s="10" t="s">
        <v>299</v>
      </c>
      <c r="D1306" s="10" t="s">
        <v>300</v>
      </c>
      <c r="E1306" s="11" t="str">
        <f>+HYPERLINK("http://trademark.i-assist.jp/data/china/image_1898th/78517192.pdf", "78517192")</f>
        <v>78517192</v>
      </c>
      <c r="F1306" s="10" t="s">
        <v>3833</v>
      </c>
      <c r="G1306" s="10" t="s">
        <v>3834</v>
      </c>
      <c r="H1306" s="10" t="s">
        <v>3835</v>
      </c>
      <c r="I1306" s="10" t="s">
        <v>248</v>
      </c>
    </row>
    <row r="1307" spans="1:9" x14ac:dyDescent="0.15">
      <c r="A1307" s="9">
        <v>1306</v>
      </c>
      <c r="B1307" s="10" t="s">
        <v>9</v>
      </c>
      <c r="C1307" s="10" t="s">
        <v>299</v>
      </c>
      <c r="D1307" s="10" t="s">
        <v>300</v>
      </c>
      <c r="E1307" s="11" t="str">
        <f>+HYPERLINK("http://trademark.i-assist.jp/data/china/image_1898th/78517268.pdf", "78517268")</f>
        <v>78517268</v>
      </c>
      <c r="F1307" s="10" t="s">
        <v>3836</v>
      </c>
      <c r="G1307" s="10" t="s">
        <v>3837</v>
      </c>
      <c r="H1307" s="10" t="s">
        <v>3838</v>
      </c>
      <c r="I1307" s="10" t="s">
        <v>248</v>
      </c>
    </row>
    <row r="1308" spans="1:9" x14ac:dyDescent="0.15">
      <c r="A1308" s="9">
        <v>1307</v>
      </c>
      <c r="B1308" s="10" t="s">
        <v>9</v>
      </c>
      <c r="C1308" s="10" t="s">
        <v>299</v>
      </c>
      <c r="D1308" s="10" t="s">
        <v>300</v>
      </c>
      <c r="E1308" s="11" t="str">
        <f>+HYPERLINK("http://trademark.i-assist.jp/data/china/image_1898th/78517281.pdf", "78517281")</f>
        <v>78517281</v>
      </c>
      <c r="F1308" s="10" t="s">
        <v>3839</v>
      </c>
      <c r="G1308" s="10" t="s">
        <v>3837</v>
      </c>
      <c r="H1308" s="10" t="s">
        <v>3840</v>
      </c>
      <c r="I1308" s="10" t="s">
        <v>248</v>
      </c>
    </row>
    <row r="1309" spans="1:9" x14ac:dyDescent="0.15">
      <c r="A1309" s="9">
        <v>1308</v>
      </c>
      <c r="B1309" s="10" t="s">
        <v>9</v>
      </c>
      <c r="C1309" s="10" t="s">
        <v>299</v>
      </c>
      <c r="D1309" s="10" t="s">
        <v>300</v>
      </c>
      <c r="E1309" s="11" t="str">
        <f>+HYPERLINK("http://trademark.i-assist.jp/data/china/image_1898th/78517369.pdf", "78517369")</f>
        <v>78517369</v>
      </c>
      <c r="F1309" s="10" t="s">
        <v>3841</v>
      </c>
      <c r="G1309" s="10" t="s">
        <v>3842</v>
      </c>
      <c r="H1309" s="10" t="s">
        <v>3843</v>
      </c>
      <c r="I1309" s="10" t="s">
        <v>248</v>
      </c>
    </row>
    <row r="1310" spans="1:9" x14ac:dyDescent="0.15">
      <c r="A1310" s="9">
        <v>1309</v>
      </c>
      <c r="B1310" s="10" t="s">
        <v>9</v>
      </c>
      <c r="C1310" s="10" t="s">
        <v>299</v>
      </c>
      <c r="D1310" s="10" t="s">
        <v>300</v>
      </c>
      <c r="E1310" s="11" t="str">
        <f>+HYPERLINK("http://trademark.i-assist.jp/data/china/image_1898th/78517412.pdf", "78517412")</f>
        <v>78517412</v>
      </c>
      <c r="F1310" s="10" t="s">
        <v>3844</v>
      </c>
      <c r="G1310" s="10" t="s">
        <v>3845</v>
      </c>
      <c r="H1310" s="10" t="s">
        <v>3846</v>
      </c>
      <c r="I1310" s="10" t="s">
        <v>248</v>
      </c>
    </row>
    <row r="1311" spans="1:9" x14ac:dyDescent="0.15">
      <c r="A1311" s="9">
        <v>1310</v>
      </c>
      <c r="B1311" s="10" t="s">
        <v>9</v>
      </c>
      <c r="C1311" s="10" t="s">
        <v>299</v>
      </c>
      <c r="D1311" s="10" t="s">
        <v>300</v>
      </c>
      <c r="E1311" s="11" t="str">
        <f>+HYPERLINK("http://trademark.i-assist.jp/data/china/image_1898th/78517531.pdf", "78517531")</f>
        <v>78517531</v>
      </c>
      <c r="F1311" s="10" t="s">
        <v>3847</v>
      </c>
      <c r="G1311" s="10" t="s">
        <v>3848</v>
      </c>
      <c r="H1311" s="10" t="s">
        <v>3849</v>
      </c>
      <c r="I1311" s="10" t="s">
        <v>248</v>
      </c>
    </row>
    <row r="1312" spans="1:9" x14ac:dyDescent="0.15">
      <c r="A1312" s="9">
        <v>1311</v>
      </c>
      <c r="B1312" s="10" t="s">
        <v>9</v>
      </c>
      <c r="C1312" s="10" t="s">
        <v>299</v>
      </c>
      <c r="D1312" s="10" t="s">
        <v>300</v>
      </c>
      <c r="E1312" s="11" t="str">
        <f>+HYPERLINK("http://trademark.i-assist.jp/data/china/image_1898th/78517867.pdf", "78517867")</f>
        <v>78517867</v>
      </c>
      <c r="F1312" s="10" t="s">
        <v>3850</v>
      </c>
      <c r="G1312" s="10" t="s">
        <v>254</v>
      </c>
      <c r="H1312" s="10" t="s">
        <v>3851</v>
      </c>
      <c r="I1312" s="10" t="s">
        <v>248</v>
      </c>
    </row>
    <row r="1313" spans="1:9" x14ac:dyDescent="0.15">
      <c r="A1313" s="9">
        <v>1312</v>
      </c>
      <c r="B1313" s="10" t="s">
        <v>9</v>
      </c>
      <c r="C1313" s="10" t="s">
        <v>299</v>
      </c>
      <c r="D1313" s="10" t="s">
        <v>300</v>
      </c>
      <c r="E1313" s="11" t="str">
        <f>+HYPERLINK("http://trademark.i-assist.jp/data/china/image_1898th/78518371.pdf", "78518371")</f>
        <v>78518371</v>
      </c>
      <c r="F1313" s="10" t="s">
        <v>19</v>
      </c>
      <c r="G1313" s="10" t="s">
        <v>3852</v>
      </c>
      <c r="H1313" s="10" t="s">
        <v>3853</v>
      </c>
      <c r="I1313" s="10" t="s">
        <v>248</v>
      </c>
    </row>
    <row r="1314" spans="1:9" x14ac:dyDescent="0.15">
      <c r="A1314" s="9">
        <v>1313</v>
      </c>
      <c r="B1314" s="10" t="s">
        <v>9</v>
      </c>
      <c r="C1314" s="10" t="s">
        <v>299</v>
      </c>
      <c r="D1314" s="10" t="s">
        <v>300</v>
      </c>
      <c r="E1314" s="11" t="str">
        <f>+HYPERLINK("http://trademark.i-assist.jp/data/china/image_1898th/78518623.pdf", "78518623")</f>
        <v>78518623</v>
      </c>
      <c r="F1314" s="10" t="s">
        <v>3854</v>
      </c>
      <c r="G1314" s="10" t="s">
        <v>3842</v>
      </c>
      <c r="H1314" s="10" t="s">
        <v>3855</v>
      </c>
      <c r="I1314" s="10" t="s">
        <v>248</v>
      </c>
    </row>
    <row r="1315" spans="1:9" x14ac:dyDescent="0.15">
      <c r="A1315" s="9">
        <v>1314</v>
      </c>
      <c r="B1315" s="10" t="s">
        <v>9</v>
      </c>
      <c r="C1315" s="10" t="s">
        <v>299</v>
      </c>
      <c r="D1315" s="10" t="s">
        <v>300</v>
      </c>
      <c r="E1315" s="11" t="str">
        <f>+HYPERLINK("http://trademark.i-assist.jp/data/china/image_1898th/78518679.pdf", "78518679")</f>
        <v>78518679</v>
      </c>
      <c r="F1315" s="10" t="s">
        <v>3856</v>
      </c>
      <c r="G1315" s="10" t="s">
        <v>262</v>
      </c>
      <c r="H1315" s="10" t="s">
        <v>3857</v>
      </c>
      <c r="I1315" s="10" t="s">
        <v>248</v>
      </c>
    </row>
    <row r="1316" spans="1:9" x14ac:dyDescent="0.15">
      <c r="A1316" s="9">
        <v>1315</v>
      </c>
      <c r="B1316" s="10" t="s">
        <v>9</v>
      </c>
      <c r="C1316" s="10" t="s">
        <v>299</v>
      </c>
      <c r="D1316" s="10" t="s">
        <v>300</v>
      </c>
      <c r="E1316" s="11" t="str">
        <f>+HYPERLINK("http://trademark.i-assist.jp/data/china/image_1898th/78518763.pdf", "78518763")</f>
        <v>78518763</v>
      </c>
      <c r="F1316" s="10" t="s">
        <v>3858</v>
      </c>
      <c r="G1316" s="10" t="s">
        <v>249</v>
      </c>
      <c r="H1316" s="10" t="s">
        <v>3859</v>
      </c>
      <c r="I1316" s="10" t="s">
        <v>248</v>
      </c>
    </row>
    <row r="1317" spans="1:9" x14ac:dyDescent="0.15">
      <c r="A1317" s="9">
        <v>1316</v>
      </c>
      <c r="B1317" s="10" t="s">
        <v>9</v>
      </c>
      <c r="C1317" s="10" t="s">
        <v>299</v>
      </c>
      <c r="D1317" s="10" t="s">
        <v>300</v>
      </c>
      <c r="E1317" s="11" t="str">
        <f>+HYPERLINK("http://trademark.i-assist.jp/data/china/image_1898th/78518862.pdf", "78518862")</f>
        <v>78518862</v>
      </c>
      <c r="F1317" s="10" t="s">
        <v>3860</v>
      </c>
      <c r="G1317" s="10" t="s">
        <v>3823</v>
      </c>
      <c r="H1317" s="10" t="s">
        <v>3861</v>
      </c>
      <c r="I1317" s="10" t="s">
        <v>248</v>
      </c>
    </row>
    <row r="1318" spans="1:9" x14ac:dyDescent="0.15">
      <c r="A1318" s="9">
        <v>1317</v>
      </c>
      <c r="B1318" s="10" t="s">
        <v>9</v>
      </c>
      <c r="C1318" s="10" t="s">
        <v>299</v>
      </c>
      <c r="D1318" s="10" t="s">
        <v>300</v>
      </c>
      <c r="E1318" s="11" t="str">
        <f>+HYPERLINK("http://trademark.i-assist.jp/data/china/image_1898th/78518988.pdf", "78518988")</f>
        <v>78518988</v>
      </c>
      <c r="F1318" s="10" t="s">
        <v>3862</v>
      </c>
      <c r="G1318" s="10" t="s">
        <v>3863</v>
      </c>
      <c r="H1318" s="10" t="s">
        <v>3864</v>
      </c>
      <c r="I1318" s="10" t="s">
        <v>248</v>
      </c>
    </row>
    <row r="1319" spans="1:9" x14ac:dyDescent="0.15">
      <c r="A1319" s="9">
        <v>1318</v>
      </c>
      <c r="B1319" s="10" t="s">
        <v>9</v>
      </c>
      <c r="C1319" s="10" t="s">
        <v>299</v>
      </c>
      <c r="D1319" s="10" t="s">
        <v>300</v>
      </c>
      <c r="E1319" s="11" t="str">
        <f>+HYPERLINK("http://trademark.i-assist.jp/data/china/image_1898th/78519100.pdf", "78519100")</f>
        <v>78519100</v>
      </c>
      <c r="F1319" s="10" t="s">
        <v>3865</v>
      </c>
      <c r="G1319" s="10" t="s">
        <v>3866</v>
      </c>
      <c r="H1319" s="10" t="s">
        <v>3867</v>
      </c>
      <c r="I1319" s="10" t="s">
        <v>248</v>
      </c>
    </row>
    <row r="1320" spans="1:9" x14ac:dyDescent="0.15">
      <c r="A1320" s="9">
        <v>1319</v>
      </c>
      <c r="B1320" s="10" t="s">
        <v>9</v>
      </c>
      <c r="C1320" s="10" t="s">
        <v>299</v>
      </c>
      <c r="D1320" s="10" t="s">
        <v>300</v>
      </c>
      <c r="E1320" s="11" t="str">
        <f>+HYPERLINK("http://trademark.i-assist.jp/data/china/image_1898th/78519817.pdf", "78519817")</f>
        <v>78519817</v>
      </c>
      <c r="F1320" s="10" t="s">
        <v>3868</v>
      </c>
      <c r="G1320" s="10" t="s">
        <v>155</v>
      </c>
      <c r="H1320" s="10" t="s">
        <v>3869</v>
      </c>
      <c r="I1320" s="10" t="s">
        <v>248</v>
      </c>
    </row>
    <row r="1321" spans="1:9" x14ac:dyDescent="0.15">
      <c r="A1321" s="9">
        <v>1320</v>
      </c>
      <c r="B1321" s="10" t="s">
        <v>9</v>
      </c>
      <c r="C1321" s="10" t="s">
        <v>299</v>
      </c>
      <c r="D1321" s="10" t="s">
        <v>300</v>
      </c>
      <c r="E1321" s="11" t="str">
        <f>+HYPERLINK("http://trademark.i-assist.jp/data/china/image_1898th/78519825.pdf", "78519825")</f>
        <v>78519825</v>
      </c>
      <c r="F1321" s="10" t="s">
        <v>3870</v>
      </c>
      <c r="G1321" s="10" t="s">
        <v>3871</v>
      </c>
      <c r="H1321" s="10" t="s">
        <v>148</v>
      </c>
      <c r="I1321" s="10" t="s">
        <v>248</v>
      </c>
    </row>
    <row r="1322" spans="1:9" x14ac:dyDescent="0.15">
      <c r="A1322" s="9">
        <v>1321</v>
      </c>
      <c r="B1322" s="10" t="s">
        <v>9</v>
      </c>
      <c r="C1322" s="10" t="s">
        <v>299</v>
      </c>
      <c r="D1322" s="10" t="s">
        <v>300</v>
      </c>
      <c r="E1322" s="11" t="str">
        <f>+HYPERLINK("http://trademark.i-assist.jp/data/china/image_1898th/78519832.pdf", "78519832")</f>
        <v>78519832</v>
      </c>
      <c r="F1322" s="10" t="s">
        <v>3872</v>
      </c>
      <c r="G1322" s="10" t="s">
        <v>3871</v>
      </c>
      <c r="H1322" s="10" t="s">
        <v>148</v>
      </c>
      <c r="I1322" s="10" t="s">
        <v>248</v>
      </c>
    </row>
    <row r="1323" spans="1:9" x14ac:dyDescent="0.15">
      <c r="A1323" s="9">
        <v>1322</v>
      </c>
      <c r="B1323" s="10" t="s">
        <v>9</v>
      </c>
      <c r="C1323" s="10" t="s">
        <v>299</v>
      </c>
      <c r="D1323" s="10" t="s">
        <v>300</v>
      </c>
      <c r="E1323" s="11" t="str">
        <f>+HYPERLINK("http://trademark.i-assist.jp/data/china/image_1898th/78519883.pdf", "78519883")</f>
        <v>78519883</v>
      </c>
      <c r="F1323" s="10" t="s">
        <v>3873</v>
      </c>
      <c r="G1323" s="10" t="s">
        <v>3874</v>
      </c>
      <c r="H1323" s="10" t="s">
        <v>3875</v>
      </c>
      <c r="I1323" s="10" t="s">
        <v>248</v>
      </c>
    </row>
    <row r="1324" spans="1:9" x14ac:dyDescent="0.15">
      <c r="A1324" s="9">
        <v>1323</v>
      </c>
      <c r="B1324" s="10" t="s">
        <v>9</v>
      </c>
      <c r="C1324" s="10" t="s">
        <v>299</v>
      </c>
      <c r="D1324" s="10" t="s">
        <v>300</v>
      </c>
      <c r="E1324" s="11" t="str">
        <f>+HYPERLINK("http://trademark.i-assist.jp/data/china/image_1898th/78520012.pdf", "78520012")</f>
        <v>78520012</v>
      </c>
      <c r="F1324" s="10" t="s">
        <v>3876</v>
      </c>
      <c r="G1324" s="10" t="s">
        <v>3877</v>
      </c>
      <c r="H1324" s="10" t="s">
        <v>3878</v>
      </c>
      <c r="I1324" s="10" t="s">
        <v>248</v>
      </c>
    </row>
    <row r="1325" spans="1:9" x14ac:dyDescent="0.15">
      <c r="A1325" s="9">
        <v>1324</v>
      </c>
      <c r="B1325" s="10" t="s">
        <v>9</v>
      </c>
      <c r="C1325" s="10" t="s">
        <v>299</v>
      </c>
      <c r="D1325" s="10" t="s">
        <v>300</v>
      </c>
      <c r="E1325" s="11" t="str">
        <f>+HYPERLINK("http://trademark.i-assist.jp/data/china/image_1898th/78520015.pdf", "78520015")</f>
        <v>78520015</v>
      </c>
      <c r="F1325" s="10" t="s">
        <v>3879</v>
      </c>
      <c r="G1325" s="10" t="s">
        <v>3880</v>
      </c>
      <c r="H1325" s="10" t="s">
        <v>3881</v>
      </c>
      <c r="I1325" s="10" t="s">
        <v>248</v>
      </c>
    </row>
    <row r="1326" spans="1:9" x14ac:dyDescent="0.15">
      <c r="A1326" s="9">
        <v>1325</v>
      </c>
      <c r="B1326" s="10" t="s">
        <v>9</v>
      </c>
      <c r="C1326" s="10" t="s">
        <v>299</v>
      </c>
      <c r="D1326" s="10" t="s">
        <v>300</v>
      </c>
      <c r="E1326" s="11" t="str">
        <f>+HYPERLINK("http://trademark.i-assist.jp/data/china/image_1898th/78520163.pdf", "78520163")</f>
        <v>78520163</v>
      </c>
      <c r="F1326" s="10" t="s">
        <v>3882</v>
      </c>
      <c r="G1326" s="10" t="s">
        <v>3883</v>
      </c>
      <c r="H1326" s="10" t="s">
        <v>3884</v>
      </c>
      <c r="I1326" s="10" t="s">
        <v>248</v>
      </c>
    </row>
    <row r="1327" spans="1:9" x14ac:dyDescent="0.15">
      <c r="A1327" s="9">
        <v>1326</v>
      </c>
      <c r="B1327" s="10" t="s">
        <v>9</v>
      </c>
      <c r="C1327" s="10" t="s">
        <v>299</v>
      </c>
      <c r="D1327" s="10" t="s">
        <v>300</v>
      </c>
      <c r="E1327" s="11" t="str">
        <f>+HYPERLINK("http://trademark.i-assist.jp/data/china/image_1898th/78520308.pdf", "78520308")</f>
        <v>78520308</v>
      </c>
      <c r="F1327" s="10" t="s">
        <v>3885</v>
      </c>
      <c r="G1327" s="10" t="s">
        <v>158</v>
      </c>
      <c r="H1327" s="10" t="s">
        <v>149</v>
      </c>
      <c r="I1327" s="10" t="s">
        <v>248</v>
      </c>
    </row>
    <row r="1328" spans="1:9" x14ac:dyDescent="0.15">
      <c r="A1328" s="9">
        <v>1327</v>
      </c>
      <c r="B1328" s="10" t="s">
        <v>9</v>
      </c>
      <c r="C1328" s="10" t="s">
        <v>299</v>
      </c>
      <c r="D1328" s="10" t="s">
        <v>300</v>
      </c>
      <c r="E1328" s="11" t="str">
        <f>+HYPERLINK("http://trademark.i-assist.jp/data/china/image_1898th/78520423.pdf", "78520423")</f>
        <v>78520423</v>
      </c>
      <c r="F1328" s="10" t="s">
        <v>3886</v>
      </c>
      <c r="G1328" s="10" t="s">
        <v>262</v>
      </c>
      <c r="H1328" s="10" t="s">
        <v>3887</v>
      </c>
      <c r="I1328" s="10" t="s">
        <v>248</v>
      </c>
    </row>
    <row r="1329" spans="1:9" x14ac:dyDescent="0.15">
      <c r="A1329" s="9">
        <v>1328</v>
      </c>
      <c r="B1329" s="10" t="s">
        <v>9</v>
      </c>
      <c r="C1329" s="10" t="s">
        <v>299</v>
      </c>
      <c r="D1329" s="10" t="s">
        <v>300</v>
      </c>
      <c r="E1329" s="11" t="str">
        <f>+HYPERLINK("http://trademark.i-assist.jp/data/china/image_1898th/78520519.pdf", "78520519")</f>
        <v>78520519</v>
      </c>
      <c r="F1329" s="10" t="s">
        <v>3888</v>
      </c>
      <c r="G1329" s="10" t="s">
        <v>3889</v>
      </c>
      <c r="H1329" s="10" t="s">
        <v>3890</v>
      </c>
      <c r="I1329" s="10" t="s">
        <v>248</v>
      </c>
    </row>
    <row r="1330" spans="1:9" x14ac:dyDescent="0.15">
      <c r="A1330" s="9">
        <v>1329</v>
      </c>
      <c r="B1330" s="10" t="s">
        <v>9</v>
      </c>
      <c r="C1330" s="10" t="s">
        <v>299</v>
      </c>
      <c r="D1330" s="10" t="s">
        <v>300</v>
      </c>
      <c r="E1330" s="11" t="str">
        <f>+HYPERLINK("http://trademark.i-assist.jp/data/china/image_1898th/78520766.pdf", "78520766")</f>
        <v>78520766</v>
      </c>
      <c r="F1330" s="10" t="s">
        <v>3891</v>
      </c>
      <c r="G1330" s="10" t="s">
        <v>3892</v>
      </c>
      <c r="H1330" s="10" t="s">
        <v>3893</v>
      </c>
      <c r="I1330" s="10" t="s">
        <v>248</v>
      </c>
    </row>
    <row r="1331" spans="1:9" x14ac:dyDescent="0.15">
      <c r="A1331" s="9">
        <v>1330</v>
      </c>
      <c r="B1331" s="10" t="s">
        <v>9</v>
      </c>
      <c r="C1331" s="10" t="s">
        <v>299</v>
      </c>
      <c r="D1331" s="10" t="s">
        <v>300</v>
      </c>
      <c r="E1331" s="11" t="str">
        <f>+HYPERLINK("http://trademark.i-assist.jp/data/china/image_1898th/78520991.pdf", "78520991")</f>
        <v>78520991</v>
      </c>
      <c r="F1331" s="10" t="s">
        <v>3894</v>
      </c>
      <c r="G1331" s="10" t="s">
        <v>3895</v>
      </c>
      <c r="H1331" s="10" t="s">
        <v>3896</v>
      </c>
      <c r="I1331" s="10" t="s">
        <v>248</v>
      </c>
    </row>
    <row r="1332" spans="1:9" x14ac:dyDescent="0.15">
      <c r="A1332" s="9">
        <v>1331</v>
      </c>
      <c r="B1332" s="10" t="s">
        <v>9</v>
      </c>
      <c r="C1332" s="10" t="s">
        <v>299</v>
      </c>
      <c r="D1332" s="10" t="s">
        <v>300</v>
      </c>
      <c r="E1332" s="11" t="str">
        <f>+HYPERLINK("http://trademark.i-assist.jp/data/china/image_1898th/78521236.pdf", "78521236")</f>
        <v>78521236</v>
      </c>
      <c r="F1332" s="10" t="s">
        <v>3897</v>
      </c>
      <c r="G1332" s="10" t="s">
        <v>262</v>
      </c>
      <c r="H1332" s="10" t="s">
        <v>3898</v>
      </c>
      <c r="I1332" s="10" t="s">
        <v>248</v>
      </c>
    </row>
    <row r="1333" spans="1:9" x14ac:dyDescent="0.15">
      <c r="A1333" s="9">
        <v>1332</v>
      </c>
      <c r="B1333" s="10" t="s">
        <v>9</v>
      </c>
      <c r="C1333" s="10" t="s">
        <v>299</v>
      </c>
      <c r="D1333" s="10" t="s">
        <v>300</v>
      </c>
      <c r="E1333" s="11" t="str">
        <f>+HYPERLINK("http://trademark.i-assist.jp/data/china/image_1898th/78521265.pdf", "78521265")</f>
        <v>78521265</v>
      </c>
      <c r="F1333" s="10" t="s">
        <v>3899</v>
      </c>
      <c r="G1333" s="10" t="s">
        <v>3900</v>
      </c>
      <c r="H1333" s="10" t="s">
        <v>3901</v>
      </c>
      <c r="I1333" s="10" t="s">
        <v>248</v>
      </c>
    </row>
    <row r="1334" spans="1:9" x14ac:dyDescent="0.15">
      <c r="A1334" s="9">
        <v>1333</v>
      </c>
      <c r="B1334" s="10" t="s">
        <v>9</v>
      </c>
      <c r="C1334" s="10" t="s">
        <v>299</v>
      </c>
      <c r="D1334" s="10" t="s">
        <v>300</v>
      </c>
      <c r="E1334" s="11" t="str">
        <f>+HYPERLINK("http://trademark.i-assist.jp/data/china/image_1898th/78521300.pdf", "78521300")</f>
        <v>78521300</v>
      </c>
      <c r="F1334" s="10" t="s">
        <v>3902</v>
      </c>
      <c r="G1334" s="10" t="s">
        <v>3903</v>
      </c>
      <c r="H1334" s="10" t="s">
        <v>3904</v>
      </c>
      <c r="I1334" s="10" t="s">
        <v>248</v>
      </c>
    </row>
    <row r="1335" spans="1:9" x14ac:dyDescent="0.15">
      <c r="A1335" s="9">
        <v>1334</v>
      </c>
      <c r="B1335" s="10" t="s">
        <v>9</v>
      </c>
      <c r="C1335" s="10" t="s">
        <v>299</v>
      </c>
      <c r="D1335" s="10" t="s">
        <v>300</v>
      </c>
      <c r="E1335" s="11" t="str">
        <f>+HYPERLINK("http://trademark.i-assist.jp/data/china/image_1898th/78521387.pdf", "78521387")</f>
        <v>78521387</v>
      </c>
      <c r="F1335" s="10" t="s">
        <v>3905</v>
      </c>
      <c r="G1335" s="10" t="s">
        <v>3906</v>
      </c>
      <c r="H1335" s="10" t="s">
        <v>3907</v>
      </c>
      <c r="I1335" s="10" t="s">
        <v>248</v>
      </c>
    </row>
    <row r="1336" spans="1:9" x14ac:dyDescent="0.15">
      <c r="A1336" s="9">
        <v>1335</v>
      </c>
      <c r="B1336" s="10" t="s">
        <v>9</v>
      </c>
      <c r="C1336" s="10" t="s">
        <v>299</v>
      </c>
      <c r="D1336" s="10" t="s">
        <v>300</v>
      </c>
      <c r="E1336" s="11" t="str">
        <f>+HYPERLINK("http://trademark.i-assist.jp/data/china/image_1898th/78521432.pdf", "78521432")</f>
        <v>78521432</v>
      </c>
      <c r="F1336" s="10" t="s">
        <v>3908</v>
      </c>
      <c r="G1336" s="10" t="s">
        <v>249</v>
      </c>
      <c r="H1336" s="10" t="s">
        <v>3909</v>
      </c>
      <c r="I1336" s="10" t="s">
        <v>248</v>
      </c>
    </row>
    <row r="1337" spans="1:9" x14ac:dyDescent="0.15">
      <c r="A1337" s="9">
        <v>1336</v>
      </c>
      <c r="B1337" s="10" t="s">
        <v>9</v>
      </c>
      <c r="C1337" s="10" t="s">
        <v>299</v>
      </c>
      <c r="D1337" s="10" t="s">
        <v>300</v>
      </c>
      <c r="E1337" s="11" t="str">
        <f>+HYPERLINK("http://trademark.i-assist.jp/data/china/image_1898th/78521538.pdf", "78521538")</f>
        <v>78521538</v>
      </c>
      <c r="F1337" s="10" t="s">
        <v>3910</v>
      </c>
      <c r="G1337" s="10" t="s">
        <v>249</v>
      </c>
      <c r="H1337" s="10" t="s">
        <v>3911</v>
      </c>
      <c r="I1337" s="10" t="s">
        <v>248</v>
      </c>
    </row>
    <row r="1338" spans="1:9" x14ac:dyDescent="0.15">
      <c r="A1338" s="9">
        <v>1337</v>
      </c>
      <c r="B1338" s="10" t="s">
        <v>9</v>
      </c>
      <c r="C1338" s="10" t="s">
        <v>299</v>
      </c>
      <c r="D1338" s="10" t="s">
        <v>300</v>
      </c>
      <c r="E1338" s="11" t="str">
        <f>+HYPERLINK("http://trademark.i-assist.jp/data/china/image_1898th/78521557.pdf", "78521557")</f>
        <v>78521557</v>
      </c>
      <c r="F1338" s="10" t="s">
        <v>3912</v>
      </c>
      <c r="G1338" s="10" t="s">
        <v>249</v>
      </c>
      <c r="H1338" s="10" t="s">
        <v>3913</v>
      </c>
      <c r="I1338" s="10" t="s">
        <v>248</v>
      </c>
    </row>
    <row r="1339" spans="1:9" x14ac:dyDescent="0.15">
      <c r="A1339" s="9">
        <v>1338</v>
      </c>
      <c r="B1339" s="10" t="s">
        <v>9</v>
      </c>
      <c r="C1339" s="10" t="s">
        <v>299</v>
      </c>
      <c r="D1339" s="10" t="s">
        <v>300</v>
      </c>
      <c r="E1339" s="11" t="str">
        <f>+HYPERLINK("http://trademark.i-assist.jp/data/china/image_1898th/78522202.pdf", "78522202")</f>
        <v>78522202</v>
      </c>
      <c r="F1339" s="10" t="s">
        <v>3914</v>
      </c>
      <c r="G1339" s="10" t="s">
        <v>3915</v>
      </c>
      <c r="H1339" s="10" t="s">
        <v>3916</v>
      </c>
      <c r="I1339" s="10" t="s">
        <v>248</v>
      </c>
    </row>
    <row r="1340" spans="1:9" x14ac:dyDescent="0.15">
      <c r="A1340" s="9">
        <v>1339</v>
      </c>
      <c r="B1340" s="10" t="s">
        <v>9</v>
      </c>
      <c r="C1340" s="10" t="s">
        <v>299</v>
      </c>
      <c r="D1340" s="10" t="s">
        <v>300</v>
      </c>
      <c r="E1340" s="11" t="str">
        <f>+HYPERLINK("http://trademark.i-assist.jp/data/china/image_1898th/78522527.pdf", "78522527")</f>
        <v>78522527</v>
      </c>
      <c r="F1340" s="10" t="s">
        <v>3917</v>
      </c>
      <c r="G1340" s="10" t="s">
        <v>3918</v>
      </c>
      <c r="H1340" s="10" t="s">
        <v>3919</v>
      </c>
      <c r="I1340" s="10" t="s">
        <v>248</v>
      </c>
    </row>
    <row r="1341" spans="1:9" x14ac:dyDescent="0.15">
      <c r="A1341" s="9">
        <v>1340</v>
      </c>
      <c r="B1341" s="10" t="s">
        <v>9</v>
      </c>
      <c r="C1341" s="10" t="s">
        <v>299</v>
      </c>
      <c r="D1341" s="10" t="s">
        <v>300</v>
      </c>
      <c r="E1341" s="11" t="str">
        <f>+HYPERLINK("http://trademark.i-assist.jp/data/china/image_1898th/78522730.pdf", "78522730")</f>
        <v>78522730</v>
      </c>
      <c r="F1341" s="10" t="s">
        <v>3920</v>
      </c>
      <c r="G1341" s="10" t="s">
        <v>3921</v>
      </c>
      <c r="H1341" s="10" t="s">
        <v>3922</v>
      </c>
      <c r="I1341" s="10" t="s">
        <v>248</v>
      </c>
    </row>
    <row r="1342" spans="1:9" x14ac:dyDescent="0.15">
      <c r="A1342" s="9">
        <v>1341</v>
      </c>
      <c r="B1342" s="10" t="s">
        <v>9</v>
      </c>
      <c r="C1342" s="10" t="s">
        <v>299</v>
      </c>
      <c r="D1342" s="10" t="s">
        <v>300</v>
      </c>
      <c r="E1342" s="11" t="str">
        <f>+HYPERLINK("http://trademark.i-assist.jp/data/china/image_1898th/78522821.pdf", "78522821")</f>
        <v>78522821</v>
      </c>
      <c r="F1342" s="10" t="s">
        <v>3923</v>
      </c>
      <c r="G1342" s="10" t="s">
        <v>3924</v>
      </c>
      <c r="H1342" s="10" t="s">
        <v>3925</v>
      </c>
      <c r="I1342" s="10" t="s">
        <v>248</v>
      </c>
    </row>
    <row r="1343" spans="1:9" x14ac:dyDescent="0.15">
      <c r="A1343" s="9">
        <v>1342</v>
      </c>
      <c r="B1343" s="10" t="s">
        <v>9</v>
      </c>
      <c r="C1343" s="10" t="s">
        <v>299</v>
      </c>
      <c r="D1343" s="10" t="s">
        <v>300</v>
      </c>
      <c r="E1343" s="11" t="str">
        <f>+HYPERLINK("http://trademark.i-assist.jp/data/china/image_1898th/78522897.pdf", "78522897")</f>
        <v>78522897</v>
      </c>
      <c r="F1343" s="10" t="s">
        <v>3926</v>
      </c>
      <c r="G1343" s="10" t="s">
        <v>3927</v>
      </c>
      <c r="H1343" s="10" t="s">
        <v>3928</v>
      </c>
      <c r="I1343" s="10" t="s">
        <v>248</v>
      </c>
    </row>
    <row r="1344" spans="1:9" x14ac:dyDescent="0.15">
      <c r="A1344" s="9">
        <v>1343</v>
      </c>
      <c r="B1344" s="10" t="s">
        <v>9</v>
      </c>
      <c r="C1344" s="10" t="s">
        <v>299</v>
      </c>
      <c r="D1344" s="10" t="s">
        <v>300</v>
      </c>
      <c r="E1344" s="11" t="str">
        <f>+HYPERLINK("http://trademark.i-assist.jp/data/china/image_1898th/78522908.pdf", "78522908")</f>
        <v>78522908</v>
      </c>
      <c r="F1344" s="10" t="s">
        <v>3929</v>
      </c>
      <c r="G1344" s="10" t="s">
        <v>3930</v>
      </c>
      <c r="H1344" s="10" t="s">
        <v>3931</v>
      </c>
      <c r="I1344" s="10" t="s">
        <v>248</v>
      </c>
    </row>
    <row r="1345" spans="1:9" x14ac:dyDescent="0.15">
      <c r="A1345" s="9">
        <v>1344</v>
      </c>
      <c r="B1345" s="10" t="s">
        <v>9</v>
      </c>
      <c r="C1345" s="10" t="s">
        <v>299</v>
      </c>
      <c r="D1345" s="10" t="s">
        <v>300</v>
      </c>
      <c r="E1345" s="11" t="str">
        <f>+HYPERLINK("http://trademark.i-assist.jp/data/china/image_1898th/78523111.pdf", "78523111")</f>
        <v>78523111</v>
      </c>
      <c r="F1345" s="10" t="s">
        <v>3932</v>
      </c>
      <c r="G1345" s="10" t="s">
        <v>3933</v>
      </c>
      <c r="H1345" s="10" t="s">
        <v>3934</v>
      </c>
      <c r="I1345" s="10" t="s">
        <v>248</v>
      </c>
    </row>
    <row r="1346" spans="1:9" x14ac:dyDescent="0.15">
      <c r="A1346" s="9">
        <v>1345</v>
      </c>
      <c r="B1346" s="10" t="s">
        <v>9</v>
      </c>
      <c r="C1346" s="10" t="s">
        <v>299</v>
      </c>
      <c r="D1346" s="10" t="s">
        <v>300</v>
      </c>
      <c r="E1346" s="11" t="str">
        <f>+HYPERLINK("http://trademark.i-assist.jp/data/china/image_1898th/78523180.pdf", "78523180")</f>
        <v>78523180</v>
      </c>
      <c r="F1346" s="10" t="s">
        <v>3935</v>
      </c>
      <c r="G1346" s="10" t="s">
        <v>249</v>
      </c>
      <c r="H1346" s="10" t="s">
        <v>3936</v>
      </c>
      <c r="I1346" s="10" t="s">
        <v>248</v>
      </c>
    </row>
    <row r="1347" spans="1:9" x14ac:dyDescent="0.15">
      <c r="A1347" s="9">
        <v>1346</v>
      </c>
      <c r="B1347" s="10" t="s">
        <v>9</v>
      </c>
      <c r="C1347" s="10" t="s">
        <v>299</v>
      </c>
      <c r="D1347" s="10" t="s">
        <v>300</v>
      </c>
      <c r="E1347" s="11" t="str">
        <f>+HYPERLINK("http://trademark.i-assist.jp/data/china/image_1898th/78523492.pdf", "78523492")</f>
        <v>78523492</v>
      </c>
      <c r="F1347" s="10" t="s">
        <v>3937</v>
      </c>
      <c r="G1347" s="10" t="s">
        <v>3834</v>
      </c>
      <c r="H1347" s="10" t="s">
        <v>3938</v>
      </c>
      <c r="I1347" s="10" t="s">
        <v>248</v>
      </c>
    </row>
    <row r="1348" spans="1:9" x14ac:dyDescent="0.15">
      <c r="A1348" s="9">
        <v>1347</v>
      </c>
      <c r="B1348" s="10" t="s">
        <v>9</v>
      </c>
      <c r="C1348" s="10" t="s">
        <v>299</v>
      </c>
      <c r="D1348" s="10" t="s">
        <v>300</v>
      </c>
      <c r="E1348" s="11" t="str">
        <f>+HYPERLINK("http://trademark.i-assist.jp/data/china/image_1898th/78523530.pdf", "78523530")</f>
        <v>78523530</v>
      </c>
      <c r="F1348" s="10" t="s">
        <v>3939</v>
      </c>
      <c r="G1348" s="10" t="s">
        <v>3940</v>
      </c>
      <c r="H1348" s="10" t="s">
        <v>3941</v>
      </c>
      <c r="I1348" s="10" t="s">
        <v>248</v>
      </c>
    </row>
    <row r="1349" spans="1:9" x14ac:dyDescent="0.15">
      <c r="A1349" s="9">
        <v>1348</v>
      </c>
      <c r="B1349" s="10" t="s">
        <v>9</v>
      </c>
      <c r="C1349" s="10" t="s">
        <v>299</v>
      </c>
      <c r="D1349" s="10" t="s">
        <v>300</v>
      </c>
      <c r="E1349" s="11" t="str">
        <f>+HYPERLINK("http://trademark.i-assist.jp/data/china/image_1898th/78523565.pdf", "78523565")</f>
        <v>78523565</v>
      </c>
      <c r="F1349" s="10" t="s">
        <v>3942</v>
      </c>
      <c r="G1349" s="10" t="s">
        <v>3943</v>
      </c>
      <c r="H1349" s="10" t="s">
        <v>3944</v>
      </c>
      <c r="I1349" s="10" t="s">
        <v>248</v>
      </c>
    </row>
    <row r="1350" spans="1:9" x14ac:dyDescent="0.15">
      <c r="A1350" s="9">
        <v>1349</v>
      </c>
      <c r="B1350" s="10" t="s">
        <v>9</v>
      </c>
      <c r="C1350" s="10" t="s">
        <v>299</v>
      </c>
      <c r="D1350" s="10" t="s">
        <v>300</v>
      </c>
      <c r="E1350" s="11" t="str">
        <f>+HYPERLINK("http://trademark.i-assist.jp/data/china/image_1898th/78523677.pdf", "78523677")</f>
        <v>78523677</v>
      </c>
      <c r="F1350" s="10" t="s">
        <v>3945</v>
      </c>
      <c r="G1350" s="10" t="s">
        <v>93</v>
      </c>
      <c r="H1350" s="10" t="s">
        <v>3946</v>
      </c>
      <c r="I1350" s="10" t="s">
        <v>248</v>
      </c>
    </row>
    <row r="1351" spans="1:9" x14ac:dyDescent="0.15">
      <c r="A1351" s="9">
        <v>1350</v>
      </c>
      <c r="B1351" s="10" t="s">
        <v>9</v>
      </c>
      <c r="C1351" s="10" t="s">
        <v>299</v>
      </c>
      <c r="D1351" s="10" t="s">
        <v>300</v>
      </c>
      <c r="E1351" s="11" t="str">
        <f>+HYPERLINK("http://trademark.i-assist.jp/data/china/image_1898th/78523754.pdf", "78523754")</f>
        <v>78523754</v>
      </c>
      <c r="F1351" s="10" t="s">
        <v>3947</v>
      </c>
      <c r="G1351" s="10" t="s">
        <v>262</v>
      </c>
      <c r="H1351" s="10" t="s">
        <v>3948</v>
      </c>
      <c r="I1351" s="10" t="s">
        <v>248</v>
      </c>
    </row>
    <row r="1352" spans="1:9" x14ac:dyDescent="0.15">
      <c r="A1352" s="9">
        <v>1351</v>
      </c>
      <c r="B1352" s="10" t="s">
        <v>9</v>
      </c>
      <c r="C1352" s="10" t="s">
        <v>299</v>
      </c>
      <c r="D1352" s="10" t="s">
        <v>300</v>
      </c>
      <c r="E1352" s="11" t="str">
        <f>+HYPERLINK("http://trademark.i-assist.jp/data/china/image_1898th/78523876.pdf", "78523876")</f>
        <v>78523876</v>
      </c>
      <c r="F1352" s="10" t="s">
        <v>3949</v>
      </c>
      <c r="G1352" s="10" t="s">
        <v>3950</v>
      </c>
      <c r="H1352" s="10" t="s">
        <v>3951</v>
      </c>
      <c r="I1352" s="10" t="s">
        <v>248</v>
      </c>
    </row>
    <row r="1353" spans="1:9" x14ac:dyDescent="0.15">
      <c r="A1353" s="9">
        <v>1352</v>
      </c>
      <c r="B1353" s="10" t="s">
        <v>9</v>
      </c>
      <c r="C1353" s="10" t="s">
        <v>299</v>
      </c>
      <c r="D1353" s="10" t="s">
        <v>300</v>
      </c>
      <c r="E1353" s="11" t="str">
        <f>+HYPERLINK("http://trademark.i-assist.jp/data/china/image_1898th/78524057.pdf", "78524057")</f>
        <v>78524057</v>
      </c>
      <c r="F1353" s="10" t="s">
        <v>3952</v>
      </c>
      <c r="G1353" s="10" t="s">
        <v>3953</v>
      </c>
      <c r="H1353" s="10" t="s">
        <v>3954</v>
      </c>
      <c r="I1353" s="10" t="s">
        <v>248</v>
      </c>
    </row>
    <row r="1354" spans="1:9" x14ac:dyDescent="0.15">
      <c r="A1354" s="9">
        <v>1353</v>
      </c>
      <c r="B1354" s="10" t="s">
        <v>9</v>
      </c>
      <c r="C1354" s="10" t="s">
        <v>299</v>
      </c>
      <c r="D1354" s="10" t="s">
        <v>300</v>
      </c>
      <c r="E1354" s="11" t="str">
        <f>+HYPERLINK("http://trademark.i-assist.jp/data/china/image_1898th/78524103.pdf", "78524103")</f>
        <v>78524103</v>
      </c>
      <c r="F1354" s="10" t="s">
        <v>3955</v>
      </c>
      <c r="G1354" s="10" t="s">
        <v>3956</v>
      </c>
      <c r="H1354" s="10" t="s">
        <v>3957</v>
      </c>
      <c r="I1354" s="10" t="s">
        <v>248</v>
      </c>
    </row>
    <row r="1355" spans="1:9" x14ac:dyDescent="0.15">
      <c r="A1355" s="9">
        <v>1354</v>
      </c>
      <c r="B1355" s="10" t="s">
        <v>9</v>
      </c>
      <c r="C1355" s="10" t="s">
        <v>299</v>
      </c>
      <c r="D1355" s="10" t="s">
        <v>300</v>
      </c>
      <c r="E1355" s="11" t="str">
        <f>+HYPERLINK("http://trademark.i-assist.jp/data/china/image_1898th/78524396.pdf", "78524396")</f>
        <v>78524396</v>
      </c>
      <c r="F1355" s="10" t="s">
        <v>3958</v>
      </c>
      <c r="G1355" s="10" t="s">
        <v>3959</v>
      </c>
      <c r="H1355" s="10" t="s">
        <v>3960</v>
      </c>
      <c r="I1355" s="10" t="s">
        <v>248</v>
      </c>
    </row>
    <row r="1356" spans="1:9" x14ac:dyDescent="0.15">
      <c r="A1356" s="9">
        <v>1355</v>
      </c>
      <c r="B1356" s="10" t="s">
        <v>9</v>
      </c>
      <c r="C1356" s="10" t="s">
        <v>299</v>
      </c>
      <c r="D1356" s="10" t="s">
        <v>300</v>
      </c>
      <c r="E1356" s="11" t="str">
        <f>+HYPERLINK("http://trademark.i-assist.jp/data/china/image_1898th/78524415.pdf", "78524415")</f>
        <v>78524415</v>
      </c>
      <c r="F1356" s="10" t="s">
        <v>3961</v>
      </c>
      <c r="G1356" s="10" t="s">
        <v>3962</v>
      </c>
      <c r="H1356" s="10" t="s">
        <v>3963</v>
      </c>
      <c r="I1356" s="10" t="s">
        <v>248</v>
      </c>
    </row>
    <row r="1357" spans="1:9" x14ac:dyDescent="0.15">
      <c r="A1357" s="9">
        <v>1356</v>
      </c>
      <c r="B1357" s="10" t="s">
        <v>9</v>
      </c>
      <c r="C1357" s="10" t="s">
        <v>299</v>
      </c>
      <c r="D1357" s="10" t="s">
        <v>300</v>
      </c>
      <c r="E1357" s="11" t="str">
        <f>+HYPERLINK("http://trademark.i-assist.jp/data/china/image_1898th/78524418.pdf", "78524418")</f>
        <v>78524418</v>
      </c>
      <c r="F1357" s="10" t="s">
        <v>3964</v>
      </c>
      <c r="G1357" s="10" t="s">
        <v>3965</v>
      </c>
      <c r="H1357" s="10" t="s">
        <v>3966</v>
      </c>
      <c r="I1357" s="10" t="s">
        <v>248</v>
      </c>
    </row>
    <row r="1358" spans="1:9" x14ac:dyDescent="0.15">
      <c r="A1358" s="9">
        <v>1357</v>
      </c>
      <c r="B1358" s="10" t="s">
        <v>9</v>
      </c>
      <c r="C1358" s="10" t="s">
        <v>299</v>
      </c>
      <c r="D1358" s="10" t="s">
        <v>300</v>
      </c>
      <c r="E1358" s="11" t="str">
        <f>+HYPERLINK("http://trademark.i-assist.jp/data/china/image_1898th/78524701.pdf", "78524701")</f>
        <v>78524701</v>
      </c>
      <c r="F1358" s="10" t="s">
        <v>3967</v>
      </c>
      <c r="G1358" s="10" t="s">
        <v>3968</v>
      </c>
      <c r="H1358" s="10" t="s">
        <v>3969</v>
      </c>
      <c r="I1358" s="10" t="s">
        <v>248</v>
      </c>
    </row>
    <row r="1359" spans="1:9" x14ac:dyDescent="0.15">
      <c r="A1359" s="9">
        <v>1358</v>
      </c>
      <c r="B1359" s="10" t="s">
        <v>9</v>
      </c>
      <c r="C1359" s="10" t="s">
        <v>299</v>
      </c>
      <c r="D1359" s="10" t="s">
        <v>300</v>
      </c>
      <c r="E1359" s="11" t="str">
        <f>+HYPERLINK("http://trademark.i-assist.jp/data/china/image_1898th/78524997.pdf", "78524997")</f>
        <v>78524997</v>
      </c>
      <c r="F1359" s="10" t="s">
        <v>3970</v>
      </c>
      <c r="G1359" s="10" t="s">
        <v>3971</v>
      </c>
      <c r="H1359" s="10" t="s">
        <v>3972</v>
      </c>
      <c r="I1359" s="10" t="s">
        <v>248</v>
      </c>
    </row>
    <row r="1360" spans="1:9" x14ac:dyDescent="0.15">
      <c r="A1360" s="9">
        <v>1359</v>
      </c>
      <c r="B1360" s="10" t="s">
        <v>9</v>
      </c>
      <c r="C1360" s="10" t="s">
        <v>299</v>
      </c>
      <c r="D1360" s="10" t="s">
        <v>300</v>
      </c>
      <c r="E1360" s="11" t="str">
        <f>+HYPERLINK("http://trademark.i-assist.jp/data/china/image_1898th/78525207.pdf", "78525207")</f>
        <v>78525207</v>
      </c>
      <c r="F1360" s="10" t="s">
        <v>3973</v>
      </c>
      <c r="G1360" s="10" t="s">
        <v>3974</v>
      </c>
      <c r="H1360" s="10" t="s">
        <v>3975</v>
      </c>
      <c r="I1360" s="10" t="s">
        <v>248</v>
      </c>
    </row>
    <row r="1361" spans="1:9" x14ac:dyDescent="0.15">
      <c r="A1361" s="9">
        <v>1360</v>
      </c>
      <c r="B1361" s="10" t="s">
        <v>9</v>
      </c>
      <c r="C1361" s="10" t="s">
        <v>299</v>
      </c>
      <c r="D1361" s="10" t="s">
        <v>300</v>
      </c>
      <c r="E1361" s="11" t="str">
        <f>+HYPERLINK("http://trademark.i-assist.jp/data/china/image_1898th/78525380.pdf", "78525380")</f>
        <v>78525380</v>
      </c>
      <c r="F1361" s="10" t="s">
        <v>3976</v>
      </c>
      <c r="G1361" s="10" t="s">
        <v>3977</v>
      </c>
      <c r="H1361" s="10" t="s">
        <v>3978</v>
      </c>
      <c r="I1361" s="10" t="s">
        <v>248</v>
      </c>
    </row>
    <row r="1362" spans="1:9" x14ac:dyDescent="0.15">
      <c r="A1362" s="9">
        <v>1361</v>
      </c>
      <c r="B1362" s="10" t="s">
        <v>9</v>
      </c>
      <c r="C1362" s="10" t="s">
        <v>299</v>
      </c>
      <c r="D1362" s="10" t="s">
        <v>300</v>
      </c>
      <c r="E1362" s="11" t="str">
        <f>+HYPERLINK("http://trademark.i-assist.jp/data/china/image_1898th/78525462.pdf", "78525462")</f>
        <v>78525462</v>
      </c>
      <c r="F1362" s="10" t="s">
        <v>3979</v>
      </c>
      <c r="G1362" s="10" t="s">
        <v>3980</v>
      </c>
      <c r="H1362" s="10" t="s">
        <v>3981</v>
      </c>
      <c r="I1362" s="10" t="s">
        <v>248</v>
      </c>
    </row>
    <row r="1363" spans="1:9" x14ac:dyDescent="0.15">
      <c r="A1363" s="9">
        <v>1362</v>
      </c>
      <c r="B1363" s="10" t="s">
        <v>9</v>
      </c>
      <c r="C1363" s="10" t="s">
        <v>299</v>
      </c>
      <c r="D1363" s="10" t="s">
        <v>300</v>
      </c>
      <c r="E1363" s="11" t="str">
        <f>+HYPERLINK("http://trademark.i-assist.jp/data/china/image_1898th/78525705.pdf", "78525705")</f>
        <v>78525705</v>
      </c>
      <c r="F1363" s="10" t="s">
        <v>3982</v>
      </c>
      <c r="G1363" s="10" t="s">
        <v>3874</v>
      </c>
      <c r="H1363" s="10" t="s">
        <v>3983</v>
      </c>
      <c r="I1363" s="10" t="s">
        <v>248</v>
      </c>
    </row>
    <row r="1364" spans="1:9" x14ac:dyDescent="0.15">
      <c r="A1364" s="9">
        <v>1363</v>
      </c>
      <c r="B1364" s="10" t="s">
        <v>9</v>
      </c>
      <c r="C1364" s="10" t="s">
        <v>299</v>
      </c>
      <c r="D1364" s="10" t="s">
        <v>300</v>
      </c>
      <c r="E1364" s="11" t="str">
        <f>+HYPERLINK("http://trademark.i-assist.jp/data/china/image_1898th/78526012.pdf", "78526012")</f>
        <v>78526012</v>
      </c>
      <c r="F1364" s="10" t="s">
        <v>3984</v>
      </c>
      <c r="G1364" s="10" t="s">
        <v>3985</v>
      </c>
      <c r="H1364" s="10" t="s">
        <v>3986</v>
      </c>
      <c r="I1364" s="10" t="s">
        <v>248</v>
      </c>
    </row>
    <row r="1365" spans="1:9" x14ac:dyDescent="0.15">
      <c r="A1365" s="9">
        <v>1364</v>
      </c>
      <c r="B1365" s="10" t="s">
        <v>9</v>
      </c>
      <c r="C1365" s="10" t="s">
        <v>299</v>
      </c>
      <c r="D1365" s="10" t="s">
        <v>300</v>
      </c>
      <c r="E1365" s="11" t="str">
        <f>+HYPERLINK("http://trademark.i-assist.jp/data/china/image_1898th/78526061.pdf", "78526061")</f>
        <v>78526061</v>
      </c>
      <c r="F1365" s="10" t="s">
        <v>3987</v>
      </c>
      <c r="G1365" s="10" t="s">
        <v>3988</v>
      </c>
      <c r="H1365" s="10" t="s">
        <v>3989</v>
      </c>
      <c r="I1365" s="10" t="s">
        <v>248</v>
      </c>
    </row>
    <row r="1366" spans="1:9" x14ac:dyDescent="0.15">
      <c r="A1366" s="9">
        <v>1365</v>
      </c>
      <c r="B1366" s="10" t="s">
        <v>9</v>
      </c>
      <c r="C1366" s="10" t="s">
        <v>299</v>
      </c>
      <c r="D1366" s="10" t="s">
        <v>300</v>
      </c>
      <c r="E1366" s="11" t="str">
        <f>+HYPERLINK("http://trademark.i-assist.jp/data/china/image_1898th/78526117.pdf", "78526117")</f>
        <v>78526117</v>
      </c>
      <c r="F1366" s="10" t="s">
        <v>3990</v>
      </c>
      <c r="G1366" s="10" t="s">
        <v>3991</v>
      </c>
      <c r="H1366" s="10" t="s">
        <v>3992</v>
      </c>
      <c r="I1366" s="10" t="s">
        <v>248</v>
      </c>
    </row>
    <row r="1367" spans="1:9" x14ac:dyDescent="0.15">
      <c r="A1367" s="9">
        <v>1366</v>
      </c>
      <c r="B1367" s="10" t="s">
        <v>9</v>
      </c>
      <c r="C1367" s="10" t="s">
        <v>299</v>
      </c>
      <c r="D1367" s="10" t="s">
        <v>300</v>
      </c>
      <c r="E1367" s="11" t="str">
        <f>+HYPERLINK("http://trademark.i-assist.jp/data/china/image_1898th/78526174.pdf", "78526174")</f>
        <v>78526174</v>
      </c>
      <c r="F1367" s="10" t="s">
        <v>3993</v>
      </c>
      <c r="G1367" s="10" t="s">
        <v>249</v>
      </c>
      <c r="H1367" s="10" t="s">
        <v>3994</v>
      </c>
      <c r="I1367" s="10" t="s">
        <v>248</v>
      </c>
    </row>
    <row r="1368" spans="1:9" x14ac:dyDescent="0.15">
      <c r="A1368" s="9">
        <v>1367</v>
      </c>
      <c r="B1368" s="10" t="s">
        <v>9</v>
      </c>
      <c r="C1368" s="10" t="s">
        <v>299</v>
      </c>
      <c r="D1368" s="10" t="s">
        <v>300</v>
      </c>
      <c r="E1368" s="11" t="str">
        <f>+HYPERLINK("http://trademark.i-assist.jp/data/china/image_1898th/78526179.pdf", "78526179")</f>
        <v>78526179</v>
      </c>
      <c r="F1368" s="10" t="s">
        <v>3995</v>
      </c>
      <c r="G1368" s="10" t="s">
        <v>3996</v>
      </c>
      <c r="H1368" s="10" t="s">
        <v>3997</v>
      </c>
      <c r="I1368" s="10" t="s">
        <v>248</v>
      </c>
    </row>
    <row r="1369" spans="1:9" x14ac:dyDescent="0.15">
      <c r="A1369" s="9">
        <v>1368</v>
      </c>
      <c r="B1369" s="10" t="s">
        <v>9</v>
      </c>
      <c r="C1369" s="10" t="s">
        <v>299</v>
      </c>
      <c r="D1369" s="10" t="s">
        <v>300</v>
      </c>
      <c r="E1369" s="11" t="str">
        <f>+HYPERLINK("http://trademark.i-assist.jp/data/china/image_1898th/78526466.pdf", "78526466")</f>
        <v>78526466</v>
      </c>
      <c r="F1369" s="10" t="s">
        <v>3998</v>
      </c>
      <c r="G1369" s="10" t="s">
        <v>3999</v>
      </c>
      <c r="H1369" s="10" t="s">
        <v>4000</v>
      </c>
      <c r="I1369" s="10" t="s">
        <v>248</v>
      </c>
    </row>
    <row r="1370" spans="1:9" x14ac:dyDescent="0.15">
      <c r="A1370" s="9">
        <v>1369</v>
      </c>
      <c r="B1370" s="10" t="s">
        <v>9</v>
      </c>
      <c r="C1370" s="10" t="s">
        <v>299</v>
      </c>
      <c r="D1370" s="10" t="s">
        <v>300</v>
      </c>
      <c r="E1370" s="11" t="str">
        <f>+HYPERLINK("http://trademark.i-assist.jp/data/china/image_1898th/78526488.pdf", "78526488")</f>
        <v>78526488</v>
      </c>
      <c r="F1370" s="10" t="s">
        <v>4001</v>
      </c>
      <c r="G1370" s="10" t="s">
        <v>4002</v>
      </c>
      <c r="H1370" s="10" t="s">
        <v>4003</v>
      </c>
      <c r="I1370" s="10" t="s">
        <v>248</v>
      </c>
    </row>
    <row r="1371" spans="1:9" x14ac:dyDescent="0.15">
      <c r="A1371" s="9">
        <v>1370</v>
      </c>
      <c r="B1371" s="10" t="s">
        <v>9</v>
      </c>
      <c r="C1371" s="10" t="s">
        <v>299</v>
      </c>
      <c r="D1371" s="10" t="s">
        <v>300</v>
      </c>
      <c r="E1371" s="11" t="str">
        <f>+HYPERLINK("http://trademark.i-assist.jp/data/china/image_1898th/78526796.pdf", "78526796")</f>
        <v>78526796</v>
      </c>
      <c r="F1371" s="10" t="s">
        <v>4004</v>
      </c>
      <c r="G1371" s="10" t="s">
        <v>4005</v>
      </c>
      <c r="H1371" s="10" t="s">
        <v>4006</v>
      </c>
      <c r="I1371" s="10" t="s">
        <v>248</v>
      </c>
    </row>
    <row r="1372" spans="1:9" x14ac:dyDescent="0.15">
      <c r="A1372" s="9">
        <v>1371</v>
      </c>
      <c r="B1372" s="10" t="s">
        <v>9</v>
      </c>
      <c r="C1372" s="10" t="s">
        <v>299</v>
      </c>
      <c r="D1372" s="10" t="s">
        <v>300</v>
      </c>
      <c r="E1372" s="11" t="str">
        <f>+HYPERLINK("http://trademark.i-assist.jp/data/china/image_1898th/78526930.pdf", "78526930")</f>
        <v>78526930</v>
      </c>
      <c r="F1372" s="10" t="s">
        <v>4007</v>
      </c>
      <c r="G1372" s="10" t="s">
        <v>249</v>
      </c>
      <c r="H1372" s="10" t="s">
        <v>4008</v>
      </c>
      <c r="I1372" s="10" t="s">
        <v>248</v>
      </c>
    </row>
    <row r="1373" spans="1:9" x14ac:dyDescent="0.15">
      <c r="A1373" s="9">
        <v>1372</v>
      </c>
      <c r="B1373" s="10" t="s">
        <v>9</v>
      </c>
      <c r="C1373" s="10" t="s">
        <v>299</v>
      </c>
      <c r="D1373" s="10" t="s">
        <v>300</v>
      </c>
      <c r="E1373" s="11" t="str">
        <f>+HYPERLINK("http://trademark.i-assist.jp/data/china/image_1898th/78527080.pdf", "78527080")</f>
        <v>78527080</v>
      </c>
      <c r="F1373" s="10" t="s">
        <v>4009</v>
      </c>
      <c r="G1373" s="10" t="s">
        <v>4010</v>
      </c>
      <c r="H1373" s="10" t="s">
        <v>4011</v>
      </c>
      <c r="I1373" s="10" t="s">
        <v>248</v>
      </c>
    </row>
    <row r="1374" spans="1:9" x14ac:dyDescent="0.15">
      <c r="A1374" s="9">
        <v>1373</v>
      </c>
      <c r="B1374" s="10" t="s">
        <v>9</v>
      </c>
      <c r="C1374" s="10" t="s">
        <v>299</v>
      </c>
      <c r="D1374" s="10" t="s">
        <v>300</v>
      </c>
      <c r="E1374" s="11" t="str">
        <f>+HYPERLINK("http://trademark.i-assist.jp/data/china/image_1898th/78527143.pdf", "78527143")</f>
        <v>78527143</v>
      </c>
      <c r="F1374" s="10" t="s">
        <v>4012</v>
      </c>
      <c r="G1374" s="10" t="s">
        <v>4013</v>
      </c>
      <c r="H1374" s="10" t="s">
        <v>4014</v>
      </c>
      <c r="I1374" s="10" t="s">
        <v>248</v>
      </c>
    </row>
    <row r="1375" spans="1:9" x14ac:dyDescent="0.15">
      <c r="A1375" s="9">
        <v>1374</v>
      </c>
      <c r="B1375" s="10" t="s">
        <v>9</v>
      </c>
      <c r="C1375" s="10" t="s">
        <v>299</v>
      </c>
      <c r="D1375" s="10" t="s">
        <v>300</v>
      </c>
      <c r="E1375" s="11" t="str">
        <f>+HYPERLINK("http://trademark.i-assist.jp/data/china/image_1898th/78527220.pdf", "78527220")</f>
        <v>78527220</v>
      </c>
      <c r="F1375" s="10" t="s">
        <v>19</v>
      </c>
      <c r="G1375" s="10" t="s">
        <v>4015</v>
      </c>
      <c r="H1375" s="10" t="s">
        <v>4016</v>
      </c>
      <c r="I1375" s="10" t="s">
        <v>248</v>
      </c>
    </row>
    <row r="1376" spans="1:9" x14ac:dyDescent="0.15">
      <c r="A1376" s="9">
        <v>1375</v>
      </c>
      <c r="B1376" s="10" t="s">
        <v>9</v>
      </c>
      <c r="C1376" s="10" t="s">
        <v>299</v>
      </c>
      <c r="D1376" s="10" t="s">
        <v>300</v>
      </c>
      <c r="E1376" s="11" t="str">
        <f>+HYPERLINK("http://trademark.i-assist.jp/data/china/image_1898th/78527246.pdf", "78527246")</f>
        <v>78527246</v>
      </c>
      <c r="F1376" s="10" t="s">
        <v>4017</v>
      </c>
      <c r="G1376" s="10" t="s">
        <v>249</v>
      </c>
      <c r="H1376" s="10" t="s">
        <v>4018</v>
      </c>
      <c r="I1376" s="10" t="s">
        <v>248</v>
      </c>
    </row>
    <row r="1377" spans="1:9" x14ac:dyDescent="0.15">
      <c r="A1377" s="9">
        <v>1376</v>
      </c>
      <c r="B1377" s="10" t="s">
        <v>9</v>
      </c>
      <c r="C1377" s="10" t="s">
        <v>299</v>
      </c>
      <c r="D1377" s="10" t="s">
        <v>300</v>
      </c>
      <c r="E1377" s="11" t="str">
        <f>+HYPERLINK("http://trademark.i-assist.jp/data/china/image_1898th/78527284.pdf", "78527284")</f>
        <v>78527284</v>
      </c>
      <c r="F1377" s="10" t="s">
        <v>4019</v>
      </c>
      <c r="G1377" s="10" t="s">
        <v>4020</v>
      </c>
      <c r="H1377" s="10" t="s">
        <v>4021</v>
      </c>
      <c r="I1377" s="10" t="s">
        <v>248</v>
      </c>
    </row>
    <row r="1378" spans="1:9" x14ac:dyDescent="0.15">
      <c r="A1378" s="9">
        <v>1377</v>
      </c>
      <c r="B1378" s="10" t="s">
        <v>9</v>
      </c>
      <c r="C1378" s="10" t="s">
        <v>299</v>
      </c>
      <c r="D1378" s="10" t="s">
        <v>300</v>
      </c>
      <c r="E1378" s="11" t="str">
        <f>+HYPERLINK("http://trademark.i-assist.jp/data/china/image_1898th/78527506.pdf", "78527506")</f>
        <v>78527506</v>
      </c>
      <c r="F1378" s="10" t="s">
        <v>4022</v>
      </c>
      <c r="G1378" s="10" t="s">
        <v>4023</v>
      </c>
      <c r="H1378" s="10" t="s">
        <v>4024</v>
      </c>
      <c r="I1378" s="10" t="s">
        <v>248</v>
      </c>
    </row>
    <row r="1379" spans="1:9" x14ac:dyDescent="0.15">
      <c r="A1379" s="9">
        <v>1378</v>
      </c>
      <c r="B1379" s="10" t="s">
        <v>9</v>
      </c>
      <c r="C1379" s="10" t="s">
        <v>299</v>
      </c>
      <c r="D1379" s="10" t="s">
        <v>300</v>
      </c>
      <c r="E1379" s="11" t="str">
        <f>+HYPERLINK("http://trademark.i-assist.jp/data/china/image_1898th/78527688.pdf", "78527688")</f>
        <v>78527688</v>
      </c>
      <c r="F1379" s="10" t="s">
        <v>4025</v>
      </c>
      <c r="G1379" s="10" t="s">
        <v>4026</v>
      </c>
      <c r="H1379" s="10" t="s">
        <v>4027</v>
      </c>
      <c r="I1379" s="10" t="s">
        <v>248</v>
      </c>
    </row>
    <row r="1380" spans="1:9" x14ac:dyDescent="0.15">
      <c r="A1380" s="9">
        <v>1379</v>
      </c>
      <c r="B1380" s="10" t="s">
        <v>9</v>
      </c>
      <c r="C1380" s="10" t="s">
        <v>299</v>
      </c>
      <c r="D1380" s="10" t="s">
        <v>300</v>
      </c>
      <c r="E1380" s="11" t="str">
        <f>+HYPERLINK("http://trademark.i-assist.jp/data/china/image_1898th/78527763.pdf", "78527763")</f>
        <v>78527763</v>
      </c>
      <c r="F1380" s="10" t="s">
        <v>4028</v>
      </c>
      <c r="G1380" s="10" t="s">
        <v>4029</v>
      </c>
      <c r="H1380" s="10" t="s">
        <v>4030</v>
      </c>
      <c r="I1380" s="10" t="s">
        <v>248</v>
      </c>
    </row>
    <row r="1381" spans="1:9" x14ac:dyDescent="0.15">
      <c r="A1381" s="9">
        <v>1380</v>
      </c>
      <c r="B1381" s="10" t="s">
        <v>9</v>
      </c>
      <c r="C1381" s="10" t="s">
        <v>299</v>
      </c>
      <c r="D1381" s="10" t="s">
        <v>300</v>
      </c>
      <c r="E1381" s="11" t="str">
        <f>+HYPERLINK("http://trademark.i-assist.jp/data/china/image_1898th/78527775.pdf", "78527775")</f>
        <v>78527775</v>
      </c>
      <c r="F1381" s="10" t="s">
        <v>4031</v>
      </c>
      <c r="G1381" s="10" t="s">
        <v>4032</v>
      </c>
      <c r="H1381" s="10" t="s">
        <v>4033</v>
      </c>
      <c r="I1381" s="10" t="s">
        <v>248</v>
      </c>
    </row>
    <row r="1382" spans="1:9" x14ac:dyDescent="0.15">
      <c r="A1382" s="9">
        <v>1381</v>
      </c>
      <c r="B1382" s="10" t="s">
        <v>9</v>
      </c>
      <c r="C1382" s="10" t="s">
        <v>299</v>
      </c>
      <c r="D1382" s="10" t="s">
        <v>300</v>
      </c>
      <c r="E1382" s="11" t="str">
        <f>+HYPERLINK("http://trademark.i-assist.jp/data/china/image_1898th/78527864.pdf", "78527864")</f>
        <v>78527864</v>
      </c>
      <c r="F1382" s="10" t="s">
        <v>4034</v>
      </c>
      <c r="G1382" s="10" t="s">
        <v>4035</v>
      </c>
      <c r="H1382" s="10" t="s">
        <v>4036</v>
      </c>
      <c r="I1382" s="10" t="s">
        <v>248</v>
      </c>
    </row>
    <row r="1383" spans="1:9" x14ac:dyDescent="0.15">
      <c r="A1383" s="9">
        <v>1382</v>
      </c>
      <c r="B1383" s="10" t="s">
        <v>9</v>
      </c>
      <c r="C1383" s="10" t="s">
        <v>299</v>
      </c>
      <c r="D1383" s="10" t="s">
        <v>300</v>
      </c>
      <c r="E1383" s="11" t="str">
        <f>+HYPERLINK("http://trademark.i-assist.jp/data/china/image_1898th/78528228.pdf", "78528228")</f>
        <v>78528228</v>
      </c>
      <c r="F1383" s="10" t="s">
        <v>4037</v>
      </c>
      <c r="G1383" s="10" t="s">
        <v>4038</v>
      </c>
      <c r="H1383" s="10" t="s">
        <v>4039</v>
      </c>
      <c r="I1383" s="10" t="s">
        <v>248</v>
      </c>
    </row>
    <row r="1384" spans="1:9" x14ac:dyDescent="0.15">
      <c r="A1384" s="9">
        <v>1383</v>
      </c>
      <c r="B1384" s="10" t="s">
        <v>9</v>
      </c>
      <c r="C1384" s="10" t="s">
        <v>299</v>
      </c>
      <c r="D1384" s="10" t="s">
        <v>300</v>
      </c>
      <c r="E1384" s="11" t="str">
        <f>+HYPERLINK("http://trademark.i-assist.jp/data/china/image_1898th/78528511.pdf", "78528511")</f>
        <v>78528511</v>
      </c>
      <c r="F1384" s="10" t="s">
        <v>4040</v>
      </c>
      <c r="G1384" s="10" t="s">
        <v>4041</v>
      </c>
      <c r="H1384" s="10" t="s">
        <v>4042</v>
      </c>
      <c r="I1384" s="10" t="s">
        <v>248</v>
      </c>
    </row>
    <row r="1385" spans="1:9" x14ac:dyDescent="0.15">
      <c r="A1385" s="9">
        <v>1384</v>
      </c>
      <c r="B1385" s="10" t="s">
        <v>9</v>
      </c>
      <c r="C1385" s="10" t="s">
        <v>299</v>
      </c>
      <c r="D1385" s="10" t="s">
        <v>300</v>
      </c>
      <c r="E1385" s="11" t="str">
        <f>+HYPERLINK("http://trademark.i-assist.jp/data/china/image_1898th/78528664.pdf", "78528664")</f>
        <v>78528664</v>
      </c>
      <c r="F1385" s="10" t="s">
        <v>4043</v>
      </c>
      <c r="G1385" s="10" t="s">
        <v>3842</v>
      </c>
      <c r="H1385" s="10" t="s">
        <v>4044</v>
      </c>
      <c r="I1385" s="10" t="s">
        <v>248</v>
      </c>
    </row>
    <row r="1386" spans="1:9" x14ac:dyDescent="0.15">
      <c r="A1386" s="9">
        <v>1385</v>
      </c>
      <c r="B1386" s="10" t="s">
        <v>9</v>
      </c>
      <c r="C1386" s="10" t="s">
        <v>299</v>
      </c>
      <c r="D1386" s="10" t="s">
        <v>300</v>
      </c>
      <c r="E1386" s="11" t="str">
        <f>+HYPERLINK("http://trademark.i-assist.jp/data/china/image_1898th/78528690.pdf", "78528690")</f>
        <v>78528690</v>
      </c>
      <c r="F1386" s="10" t="s">
        <v>19</v>
      </c>
      <c r="G1386" s="10" t="s">
        <v>4045</v>
      </c>
      <c r="H1386" s="10" t="s">
        <v>4046</v>
      </c>
      <c r="I1386" s="10" t="s">
        <v>248</v>
      </c>
    </row>
    <row r="1387" spans="1:9" x14ac:dyDescent="0.15">
      <c r="A1387" s="9">
        <v>1386</v>
      </c>
      <c r="B1387" s="10" t="s">
        <v>9</v>
      </c>
      <c r="C1387" s="10" t="s">
        <v>299</v>
      </c>
      <c r="D1387" s="10" t="s">
        <v>300</v>
      </c>
      <c r="E1387" s="11" t="str">
        <f>+HYPERLINK("http://trademark.i-assist.jp/data/china/image_1898th/78529066.pdf", "78529066")</f>
        <v>78529066</v>
      </c>
      <c r="F1387" s="10" t="s">
        <v>4047</v>
      </c>
      <c r="G1387" s="10" t="s">
        <v>250</v>
      </c>
      <c r="H1387" s="10" t="s">
        <v>4048</v>
      </c>
      <c r="I1387" s="10" t="s">
        <v>248</v>
      </c>
    </row>
    <row r="1388" spans="1:9" x14ac:dyDescent="0.15">
      <c r="A1388" s="9">
        <v>1387</v>
      </c>
      <c r="B1388" s="10" t="s">
        <v>9</v>
      </c>
      <c r="C1388" s="10" t="s">
        <v>299</v>
      </c>
      <c r="D1388" s="10" t="s">
        <v>300</v>
      </c>
      <c r="E1388" s="11" t="str">
        <f>+HYPERLINK("http://trademark.i-assist.jp/data/china/image_1898th/78529112.pdf", "78529112")</f>
        <v>78529112</v>
      </c>
      <c r="F1388" s="10" t="s">
        <v>4049</v>
      </c>
      <c r="G1388" s="10" t="s">
        <v>4050</v>
      </c>
      <c r="H1388" s="10" t="s">
        <v>4051</v>
      </c>
      <c r="I1388" s="10" t="s">
        <v>248</v>
      </c>
    </row>
    <row r="1389" spans="1:9" x14ac:dyDescent="0.15">
      <c r="A1389" s="9">
        <v>1388</v>
      </c>
      <c r="B1389" s="10" t="s">
        <v>9</v>
      </c>
      <c r="C1389" s="10" t="s">
        <v>299</v>
      </c>
      <c r="D1389" s="10" t="s">
        <v>300</v>
      </c>
      <c r="E1389" s="11" t="str">
        <f>+HYPERLINK("http://trademark.i-assist.jp/data/china/image_1898th/78529653.pdf", "78529653")</f>
        <v>78529653</v>
      </c>
      <c r="F1389" s="10" t="s">
        <v>4052</v>
      </c>
      <c r="G1389" s="10" t="s">
        <v>249</v>
      </c>
      <c r="H1389" s="10" t="s">
        <v>4053</v>
      </c>
      <c r="I1389" s="10" t="s">
        <v>248</v>
      </c>
    </row>
    <row r="1390" spans="1:9" x14ac:dyDescent="0.15">
      <c r="A1390" s="9">
        <v>1389</v>
      </c>
      <c r="B1390" s="10" t="s">
        <v>9</v>
      </c>
      <c r="C1390" s="10" t="s">
        <v>299</v>
      </c>
      <c r="D1390" s="10" t="s">
        <v>300</v>
      </c>
      <c r="E1390" s="11" t="str">
        <f>+HYPERLINK("http://trademark.i-assist.jp/data/china/image_1898th/78529795.pdf", "78529795")</f>
        <v>78529795</v>
      </c>
      <c r="F1390" s="10" t="s">
        <v>3800</v>
      </c>
      <c r="G1390" s="10" t="s">
        <v>3801</v>
      </c>
      <c r="H1390" s="10" t="s">
        <v>4054</v>
      </c>
      <c r="I1390" s="10" t="s">
        <v>248</v>
      </c>
    </row>
    <row r="1391" spans="1:9" x14ac:dyDescent="0.15">
      <c r="A1391" s="9">
        <v>1390</v>
      </c>
      <c r="B1391" s="10" t="s">
        <v>9</v>
      </c>
      <c r="C1391" s="10" t="s">
        <v>299</v>
      </c>
      <c r="D1391" s="10" t="s">
        <v>300</v>
      </c>
      <c r="E1391" s="11" t="str">
        <f>+HYPERLINK("http://trademark.i-assist.jp/data/china/image_1898th/78529829.pdf", "78529829")</f>
        <v>78529829</v>
      </c>
      <c r="F1391" s="10" t="s">
        <v>4055</v>
      </c>
      <c r="G1391" s="10" t="s">
        <v>4056</v>
      </c>
      <c r="H1391" s="10" t="s">
        <v>4057</v>
      </c>
      <c r="I1391" s="10" t="s">
        <v>248</v>
      </c>
    </row>
    <row r="1392" spans="1:9" x14ac:dyDescent="0.15">
      <c r="A1392" s="9">
        <v>1391</v>
      </c>
      <c r="B1392" s="10" t="s">
        <v>9</v>
      </c>
      <c r="C1392" s="10" t="s">
        <v>299</v>
      </c>
      <c r="D1392" s="10" t="s">
        <v>300</v>
      </c>
      <c r="E1392" s="11" t="str">
        <f>+HYPERLINK("http://trademark.i-assist.jp/data/china/image_1898th/78529906.pdf", "78529906")</f>
        <v>78529906</v>
      </c>
      <c r="F1392" s="10" t="s">
        <v>4058</v>
      </c>
      <c r="G1392" s="10" t="s">
        <v>4059</v>
      </c>
      <c r="H1392" s="10" t="s">
        <v>4060</v>
      </c>
      <c r="I1392" s="10" t="s">
        <v>248</v>
      </c>
    </row>
    <row r="1393" spans="1:9" x14ac:dyDescent="0.15">
      <c r="A1393" s="9">
        <v>1392</v>
      </c>
      <c r="B1393" s="10" t="s">
        <v>9</v>
      </c>
      <c r="C1393" s="10" t="s">
        <v>299</v>
      </c>
      <c r="D1393" s="10" t="s">
        <v>300</v>
      </c>
      <c r="E1393" s="11" t="str">
        <f>+HYPERLINK("http://trademark.i-assist.jp/data/china/image_1898th/78530060.pdf", "78530060")</f>
        <v>78530060</v>
      </c>
      <c r="F1393" s="10" t="s">
        <v>4061</v>
      </c>
      <c r="G1393" s="10" t="s">
        <v>4062</v>
      </c>
      <c r="H1393" s="10" t="s">
        <v>34</v>
      </c>
      <c r="I1393" s="10" t="s">
        <v>248</v>
      </c>
    </row>
    <row r="1394" spans="1:9" x14ac:dyDescent="0.15">
      <c r="A1394" s="9">
        <v>1393</v>
      </c>
      <c r="B1394" s="10" t="s">
        <v>9</v>
      </c>
      <c r="C1394" s="10" t="s">
        <v>299</v>
      </c>
      <c r="D1394" s="10" t="s">
        <v>300</v>
      </c>
      <c r="E1394" s="11" t="str">
        <f>+HYPERLINK("http://trademark.i-assist.jp/data/china/image_1898th/78530092.pdf", "78530092")</f>
        <v>78530092</v>
      </c>
      <c r="F1394" s="10" t="s">
        <v>4063</v>
      </c>
      <c r="G1394" s="10" t="s">
        <v>4064</v>
      </c>
      <c r="H1394" s="10" t="s">
        <v>4065</v>
      </c>
      <c r="I1394" s="10" t="s">
        <v>248</v>
      </c>
    </row>
    <row r="1395" spans="1:9" x14ac:dyDescent="0.15">
      <c r="A1395" s="9">
        <v>1394</v>
      </c>
      <c r="B1395" s="10" t="s">
        <v>9</v>
      </c>
      <c r="C1395" s="10" t="s">
        <v>299</v>
      </c>
      <c r="D1395" s="10" t="s">
        <v>300</v>
      </c>
      <c r="E1395" s="11" t="str">
        <f>+HYPERLINK("http://trademark.i-assist.jp/data/china/image_1898th/78530238.pdf", "78530238")</f>
        <v>78530238</v>
      </c>
      <c r="F1395" s="10" t="s">
        <v>4066</v>
      </c>
      <c r="G1395" s="10" t="s">
        <v>4067</v>
      </c>
      <c r="H1395" s="10" t="s">
        <v>4068</v>
      </c>
      <c r="I1395" s="10" t="s">
        <v>248</v>
      </c>
    </row>
    <row r="1396" spans="1:9" x14ac:dyDescent="0.15">
      <c r="A1396" s="9">
        <v>1395</v>
      </c>
      <c r="B1396" s="10" t="s">
        <v>9</v>
      </c>
      <c r="C1396" s="10" t="s">
        <v>299</v>
      </c>
      <c r="D1396" s="10" t="s">
        <v>300</v>
      </c>
      <c r="E1396" s="11" t="str">
        <f>+HYPERLINK("http://trademark.i-assist.jp/data/china/image_1898th/78530793.pdf", "78530793")</f>
        <v>78530793</v>
      </c>
      <c r="F1396" s="10" t="s">
        <v>4069</v>
      </c>
      <c r="G1396" s="10" t="s">
        <v>4070</v>
      </c>
      <c r="H1396" s="10" t="s">
        <v>4071</v>
      </c>
      <c r="I1396" s="10" t="s">
        <v>248</v>
      </c>
    </row>
    <row r="1397" spans="1:9" x14ac:dyDescent="0.15">
      <c r="A1397" s="9">
        <v>1396</v>
      </c>
      <c r="B1397" s="10" t="s">
        <v>9</v>
      </c>
      <c r="C1397" s="10" t="s">
        <v>299</v>
      </c>
      <c r="D1397" s="10" t="s">
        <v>300</v>
      </c>
      <c r="E1397" s="11" t="str">
        <f>+HYPERLINK("http://trademark.i-assist.jp/data/china/image_1898th/78530812.pdf", "78530812")</f>
        <v>78530812</v>
      </c>
      <c r="F1397" s="10" t="s">
        <v>4072</v>
      </c>
      <c r="G1397" s="10" t="s">
        <v>4073</v>
      </c>
      <c r="H1397" s="10" t="s">
        <v>4074</v>
      </c>
      <c r="I1397" s="10" t="s">
        <v>248</v>
      </c>
    </row>
    <row r="1398" spans="1:9" x14ac:dyDescent="0.15">
      <c r="A1398" s="9">
        <v>1397</v>
      </c>
      <c r="B1398" s="10" t="s">
        <v>9</v>
      </c>
      <c r="C1398" s="10" t="s">
        <v>299</v>
      </c>
      <c r="D1398" s="10" t="s">
        <v>300</v>
      </c>
      <c r="E1398" s="11" t="str">
        <f>+HYPERLINK("http://trademark.i-assist.jp/data/china/image_1898th/78530879.pdf", "78530879")</f>
        <v>78530879</v>
      </c>
      <c r="F1398" s="10" t="s">
        <v>4075</v>
      </c>
      <c r="G1398" s="10" t="s">
        <v>4076</v>
      </c>
      <c r="H1398" s="10" t="s">
        <v>4077</v>
      </c>
      <c r="I1398" s="10" t="s">
        <v>248</v>
      </c>
    </row>
    <row r="1399" spans="1:9" x14ac:dyDescent="0.15">
      <c r="A1399" s="9">
        <v>1398</v>
      </c>
      <c r="B1399" s="10" t="s">
        <v>9</v>
      </c>
      <c r="C1399" s="10" t="s">
        <v>299</v>
      </c>
      <c r="D1399" s="10" t="s">
        <v>300</v>
      </c>
      <c r="E1399" s="11" t="str">
        <f>+HYPERLINK("http://trademark.i-assist.jp/data/china/image_1898th/78530892.pdf", "78530892")</f>
        <v>78530892</v>
      </c>
      <c r="F1399" s="10" t="s">
        <v>4078</v>
      </c>
      <c r="G1399" s="10" t="s">
        <v>3903</v>
      </c>
      <c r="H1399" s="10" t="s">
        <v>4079</v>
      </c>
      <c r="I1399" s="10" t="s">
        <v>248</v>
      </c>
    </row>
    <row r="1400" spans="1:9" x14ac:dyDescent="0.15">
      <c r="A1400" s="9">
        <v>1399</v>
      </c>
      <c r="B1400" s="10" t="s">
        <v>9</v>
      </c>
      <c r="C1400" s="10" t="s">
        <v>299</v>
      </c>
      <c r="D1400" s="10" t="s">
        <v>300</v>
      </c>
      <c r="E1400" s="11" t="str">
        <f>+HYPERLINK("http://trademark.i-assist.jp/data/china/image_1898th/78531174.pdf", "78531174")</f>
        <v>78531174</v>
      </c>
      <c r="F1400" s="10" t="s">
        <v>4080</v>
      </c>
      <c r="G1400" s="10" t="s">
        <v>3871</v>
      </c>
      <c r="H1400" s="10" t="s">
        <v>148</v>
      </c>
      <c r="I1400" s="10" t="s">
        <v>248</v>
      </c>
    </row>
    <row r="1401" spans="1:9" x14ac:dyDescent="0.15">
      <c r="A1401" s="9">
        <v>1400</v>
      </c>
      <c r="B1401" s="10" t="s">
        <v>9</v>
      </c>
      <c r="C1401" s="10" t="s">
        <v>299</v>
      </c>
      <c r="D1401" s="10" t="s">
        <v>300</v>
      </c>
      <c r="E1401" s="11" t="str">
        <f>+HYPERLINK("http://trademark.i-assist.jp/data/china/image_1898th/78531542.pdf", "78531542")</f>
        <v>78531542</v>
      </c>
      <c r="F1401" s="10" t="s">
        <v>19</v>
      </c>
      <c r="G1401" s="10" t="s">
        <v>4081</v>
      </c>
      <c r="H1401" s="10" t="s">
        <v>4082</v>
      </c>
      <c r="I1401" s="10" t="s">
        <v>248</v>
      </c>
    </row>
    <row r="1402" spans="1:9" x14ac:dyDescent="0.15">
      <c r="A1402" s="9">
        <v>1401</v>
      </c>
      <c r="B1402" s="10" t="s">
        <v>9</v>
      </c>
      <c r="C1402" s="10" t="s">
        <v>299</v>
      </c>
      <c r="D1402" s="10" t="s">
        <v>300</v>
      </c>
      <c r="E1402" s="11" t="str">
        <f>+HYPERLINK("http://trademark.i-assist.jp/data/china/image_1898th/78531556.pdf", "78531556")</f>
        <v>78531556</v>
      </c>
      <c r="F1402" s="10" t="s">
        <v>4083</v>
      </c>
      <c r="G1402" s="10" t="s">
        <v>4084</v>
      </c>
      <c r="H1402" s="10" t="s">
        <v>4085</v>
      </c>
      <c r="I1402" s="10" t="s">
        <v>248</v>
      </c>
    </row>
    <row r="1403" spans="1:9" x14ac:dyDescent="0.15">
      <c r="A1403" s="9">
        <v>1402</v>
      </c>
      <c r="B1403" s="10" t="s">
        <v>9</v>
      </c>
      <c r="C1403" s="10" t="s">
        <v>299</v>
      </c>
      <c r="D1403" s="10" t="s">
        <v>300</v>
      </c>
      <c r="E1403" s="11" t="str">
        <f>+HYPERLINK("http://trademark.i-assist.jp/data/china/image_1898th/78531853.pdf", "78531853")</f>
        <v>78531853</v>
      </c>
      <c r="F1403" s="10" t="s">
        <v>4086</v>
      </c>
      <c r="G1403" s="10" t="s">
        <v>4087</v>
      </c>
      <c r="H1403" s="10" t="s">
        <v>4088</v>
      </c>
      <c r="I1403" s="10" t="s">
        <v>248</v>
      </c>
    </row>
    <row r="1404" spans="1:9" x14ac:dyDescent="0.15">
      <c r="A1404" s="9">
        <v>1403</v>
      </c>
      <c r="B1404" s="10" t="s">
        <v>9</v>
      </c>
      <c r="C1404" s="10" t="s">
        <v>299</v>
      </c>
      <c r="D1404" s="10" t="s">
        <v>300</v>
      </c>
      <c r="E1404" s="11" t="str">
        <f>+HYPERLINK("http://trademark.i-assist.jp/data/china/image_1898th/78531934.pdf", "78531934")</f>
        <v>78531934</v>
      </c>
      <c r="F1404" s="10" t="s">
        <v>4089</v>
      </c>
      <c r="G1404" s="10" t="s">
        <v>4090</v>
      </c>
      <c r="H1404" s="10" t="s">
        <v>4091</v>
      </c>
      <c r="I1404" s="10" t="s">
        <v>248</v>
      </c>
    </row>
    <row r="1405" spans="1:9" x14ac:dyDescent="0.15">
      <c r="A1405" s="9">
        <v>1404</v>
      </c>
      <c r="B1405" s="10" t="s">
        <v>9</v>
      </c>
      <c r="C1405" s="10" t="s">
        <v>299</v>
      </c>
      <c r="D1405" s="10" t="s">
        <v>300</v>
      </c>
      <c r="E1405" s="11" t="str">
        <f>+HYPERLINK("http://trademark.i-assist.jp/data/china/image_1898th/78531972.pdf", "78531972")</f>
        <v>78531972</v>
      </c>
      <c r="F1405" s="10" t="s">
        <v>4092</v>
      </c>
      <c r="G1405" s="10" t="s">
        <v>4093</v>
      </c>
      <c r="H1405" s="10" t="s">
        <v>4094</v>
      </c>
      <c r="I1405" s="10" t="s">
        <v>248</v>
      </c>
    </row>
    <row r="1406" spans="1:9" x14ac:dyDescent="0.15">
      <c r="A1406" s="9">
        <v>1405</v>
      </c>
      <c r="B1406" s="10" t="s">
        <v>9</v>
      </c>
      <c r="C1406" s="10" t="s">
        <v>299</v>
      </c>
      <c r="D1406" s="10" t="s">
        <v>300</v>
      </c>
      <c r="E1406" s="11" t="str">
        <f>+HYPERLINK("http://trademark.i-assist.jp/data/china/image_1898th/78532086.pdf", "78532086")</f>
        <v>78532086</v>
      </c>
      <c r="F1406" s="10" t="s">
        <v>19</v>
      </c>
      <c r="G1406" s="10" t="s">
        <v>4095</v>
      </c>
      <c r="H1406" s="10" t="s">
        <v>22</v>
      </c>
      <c r="I1406" s="10" t="s">
        <v>248</v>
      </c>
    </row>
    <row r="1407" spans="1:9" x14ac:dyDescent="0.15">
      <c r="A1407" s="9">
        <v>1406</v>
      </c>
      <c r="B1407" s="10" t="s">
        <v>9</v>
      </c>
      <c r="C1407" s="10" t="s">
        <v>299</v>
      </c>
      <c r="D1407" s="10" t="s">
        <v>300</v>
      </c>
      <c r="E1407" s="11" t="str">
        <f>+HYPERLINK("http://trademark.i-assist.jp/data/china/image_1898th/78532240.pdf", "78532240")</f>
        <v>78532240</v>
      </c>
      <c r="F1407" s="10" t="s">
        <v>4096</v>
      </c>
      <c r="G1407" s="10" t="s">
        <v>249</v>
      </c>
      <c r="H1407" s="10" t="s">
        <v>4097</v>
      </c>
      <c r="I1407" s="10" t="s">
        <v>248</v>
      </c>
    </row>
    <row r="1408" spans="1:9" x14ac:dyDescent="0.15">
      <c r="A1408" s="9">
        <v>1407</v>
      </c>
      <c r="B1408" s="10" t="s">
        <v>9</v>
      </c>
      <c r="C1408" s="10" t="s">
        <v>299</v>
      </c>
      <c r="D1408" s="10" t="s">
        <v>300</v>
      </c>
      <c r="E1408" s="11" t="str">
        <f>+HYPERLINK("http://trademark.i-assist.jp/data/china/image_1898th/78532249.pdf", "78532249")</f>
        <v>78532249</v>
      </c>
      <c r="F1408" s="10" t="s">
        <v>4098</v>
      </c>
      <c r="G1408" s="10" t="s">
        <v>4099</v>
      </c>
      <c r="H1408" s="10" t="s">
        <v>4100</v>
      </c>
      <c r="I1408" s="10" t="s">
        <v>248</v>
      </c>
    </row>
    <row r="1409" spans="1:9" x14ac:dyDescent="0.15">
      <c r="A1409" s="9">
        <v>1408</v>
      </c>
      <c r="B1409" s="10" t="s">
        <v>9</v>
      </c>
      <c r="C1409" s="10" t="s">
        <v>299</v>
      </c>
      <c r="D1409" s="10" t="s">
        <v>300</v>
      </c>
      <c r="E1409" s="11" t="str">
        <f>+HYPERLINK("http://trademark.i-assist.jp/data/china/image_1898th/78532290.pdf", "78532290")</f>
        <v>78532290</v>
      </c>
      <c r="F1409" s="10" t="s">
        <v>4101</v>
      </c>
      <c r="G1409" s="10" t="s">
        <v>4102</v>
      </c>
      <c r="H1409" s="10" t="s">
        <v>4103</v>
      </c>
      <c r="I1409" s="10" t="s">
        <v>248</v>
      </c>
    </row>
    <row r="1410" spans="1:9" x14ac:dyDescent="0.15">
      <c r="A1410" s="9">
        <v>1409</v>
      </c>
      <c r="B1410" s="10" t="s">
        <v>9</v>
      </c>
      <c r="C1410" s="10" t="s">
        <v>299</v>
      </c>
      <c r="D1410" s="10" t="s">
        <v>300</v>
      </c>
      <c r="E1410" s="11" t="str">
        <f>+HYPERLINK("http://trademark.i-assist.jp/data/china/image_1898th/78532407.pdf", "78532407")</f>
        <v>78532407</v>
      </c>
      <c r="F1410" s="10" t="s">
        <v>4104</v>
      </c>
      <c r="G1410" s="10" t="s">
        <v>4081</v>
      </c>
      <c r="H1410" s="10" t="s">
        <v>4105</v>
      </c>
      <c r="I1410" s="10" t="s">
        <v>248</v>
      </c>
    </row>
    <row r="1411" spans="1:9" x14ac:dyDescent="0.15">
      <c r="A1411" s="9">
        <v>1410</v>
      </c>
      <c r="B1411" s="10" t="s">
        <v>9</v>
      </c>
      <c r="C1411" s="10" t="s">
        <v>299</v>
      </c>
      <c r="D1411" s="10" t="s">
        <v>300</v>
      </c>
      <c r="E1411" s="11" t="str">
        <f>+HYPERLINK("http://trademark.i-assist.jp/data/china/image_1898th/78532634.pdf", "78532634")</f>
        <v>78532634</v>
      </c>
      <c r="F1411" s="10" t="s">
        <v>4106</v>
      </c>
      <c r="G1411" s="10" t="s">
        <v>4107</v>
      </c>
      <c r="H1411" s="10" t="s">
        <v>4108</v>
      </c>
      <c r="I1411" s="10" t="s">
        <v>248</v>
      </c>
    </row>
    <row r="1412" spans="1:9" x14ac:dyDescent="0.15">
      <c r="A1412" s="9">
        <v>1411</v>
      </c>
      <c r="B1412" s="10" t="s">
        <v>9</v>
      </c>
      <c r="C1412" s="10" t="s">
        <v>299</v>
      </c>
      <c r="D1412" s="10" t="s">
        <v>300</v>
      </c>
      <c r="E1412" s="11" t="str">
        <f>+HYPERLINK("http://trademark.i-assist.jp/data/china/image_1898th/78532644.pdf", "78532644")</f>
        <v>78532644</v>
      </c>
      <c r="F1412" s="10" t="s">
        <v>4109</v>
      </c>
      <c r="G1412" s="10" t="s">
        <v>4110</v>
      </c>
      <c r="H1412" s="10" t="s">
        <v>4111</v>
      </c>
      <c r="I1412" s="10" t="s">
        <v>248</v>
      </c>
    </row>
    <row r="1413" spans="1:9" x14ac:dyDescent="0.15">
      <c r="A1413" s="9">
        <v>1412</v>
      </c>
      <c r="B1413" s="10" t="s">
        <v>9</v>
      </c>
      <c r="C1413" s="10" t="s">
        <v>299</v>
      </c>
      <c r="D1413" s="10" t="s">
        <v>300</v>
      </c>
      <c r="E1413" s="11" t="str">
        <f>+HYPERLINK("http://trademark.i-assist.jp/data/china/image_1898th/78532663.pdf", "78532663")</f>
        <v>78532663</v>
      </c>
      <c r="F1413" s="10" t="s">
        <v>4112</v>
      </c>
      <c r="G1413" s="10" t="s">
        <v>249</v>
      </c>
      <c r="H1413" s="10" t="s">
        <v>4113</v>
      </c>
      <c r="I1413" s="10" t="s">
        <v>248</v>
      </c>
    </row>
    <row r="1414" spans="1:9" x14ac:dyDescent="0.15">
      <c r="A1414" s="9">
        <v>1413</v>
      </c>
      <c r="B1414" s="10" t="s">
        <v>9</v>
      </c>
      <c r="C1414" s="10" t="s">
        <v>299</v>
      </c>
      <c r="D1414" s="10" t="s">
        <v>300</v>
      </c>
      <c r="E1414" s="11" t="str">
        <f>+HYPERLINK("http://trademark.i-assist.jp/data/china/image_1898th/78532956.pdf", "78532956")</f>
        <v>78532956</v>
      </c>
      <c r="F1414" s="10" t="s">
        <v>4114</v>
      </c>
      <c r="G1414" s="10" t="s">
        <v>4115</v>
      </c>
      <c r="H1414" s="10" t="s">
        <v>4116</v>
      </c>
      <c r="I1414" s="10" t="s">
        <v>248</v>
      </c>
    </row>
    <row r="1415" spans="1:9" x14ac:dyDescent="0.15">
      <c r="A1415" s="9">
        <v>1414</v>
      </c>
      <c r="B1415" s="10" t="s">
        <v>9</v>
      </c>
      <c r="C1415" s="10" t="s">
        <v>299</v>
      </c>
      <c r="D1415" s="10" t="s">
        <v>300</v>
      </c>
      <c r="E1415" s="11" t="str">
        <f>+HYPERLINK("http://trademark.i-assist.jp/data/china/image_1898th/78533880.pdf", "78533880")</f>
        <v>78533880</v>
      </c>
      <c r="F1415" s="10" t="s">
        <v>4117</v>
      </c>
      <c r="G1415" s="10" t="s">
        <v>158</v>
      </c>
      <c r="H1415" s="10" t="s">
        <v>149</v>
      </c>
      <c r="I1415" s="10" t="s">
        <v>248</v>
      </c>
    </row>
    <row r="1416" spans="1:9" x14ac:dyDescent="0.15">
      <c r="A1416" s="9">
        <v>1415</v>
      </c>
      <c r="B1416" s="10" t="s">
        <v>9</v>
      </c>
      <c r="C1416" s="10" t="s">
        <v>299</v>
      </c>
      <c r="D1416" s="10" t="s">
        <v>300</v>
      </c>
      <c r="E1416" s="11" t="str">
        <f>+HYPERLINK("http://trademark.i-assist.jp/data/china/image_1898th/78533943.pdf", "78533943")</f>
        <v>78533943</v>
      </c>
      <c r="F1416" s="10" t="s">
        <v>4118</v>
      </c>
      <c r="G1416" s="10" t="s">
        <v>4035</v>
      </c>
      <c r="H1416" s="10" t="s">
        <v>4119</v>
      </c>
      <c r="I1416" s="10" t="s">
        <v>248</v>
      </c>
    </row>
    <row r="1417" spans="1:9" x14ac:dyDescent="0.15">
      <c r="A1417" s="9">
        <v>1416</v>
      </c>
      <c r="B1417" s="10" t="s">
        <v>9</v>
      </c>
      <c r="C1417" s="10" t="s">
        <v>299</v>
      </c>
      <c r="D1417" s="10" t="s">
        <v>300</v>
      </c>
      <c r="E1417" s="11" t="str">
        <f>+HYPERLINK("http://trademark.i-assist.jp/data/china/image_1898th/78534235.pdf", "78534235")</f>
        <v>78534235</v>
      </c>
      <c r="F1417" s="10" t="s">
        <v>4120</v>
      </c>
      <c r="G1417" s="10" t="s">
        <v>257</v>
      </c>
      <c r="H1417" s="10" t="s">
        <v>4121</v>
      </c>
      <c r="I1417" s="10" t="s">
        <v>248</v>
      </c>
    </row>
    <row r="1418" spans="1:9" x14ac:dyDescent="0.15">
      <c r="A1418" s="9">
        <v>1417</v>
      </c>
      <c r="B1418" s="10" t="s">
        <v>9</v>
      </c>
      <c r="C1418" s="10" t="s">
        <v>299</v>
      </c>
      <c r="D1418" s="10" t="s">
        <v>300</v>
      </c>
      <c r="E1418" s="11" t="str">
        <f>+HYPERLINK("http://trademark.i-assist.jp/data/china/image_1898th/78534265.pdf", "78534265")</f>
        <v>78534265</v>
      </c>
      <c r="F1418" s="10" t="s">
        <v>4120</v>
      </c>
      <c r="G1418" s="10" t="s">
        <v>257</v>
      </c>
      <c r="H1418" s="10" t="s">
        <v>4122</v>
      </c>
      <c r="I1418" s="10" t="s">
        <v>248</v>
      </c>
    </row>
    <row r="1419" spans="1:9" x14ac:dyDescent="0.15">
      <c r="A1419" s="9">
        <v>1418</v>
      </c>
      <c r="B1419" s="10" t="s">
        <v>9</v>
      </c>
      <c r="C1419" s="10" t="s">
        <v>299</v>
      </c>
      <c r="D1419" s="10" t="s">
        <v>300</v>
      </c>
      <c r="E1419" s="11" t="str">
        <f>+HYPERLINK("http://trademark.i-assist.jp/data/china/image_1898th/78534302.pdf", "78534302")</f>
        <v>78534302</v>
      </c>
      <c r="F1419" s="10" t="s">
        <v>4123</v>
      </c>
      <c r="G1419" s="10" t="s">
        <v>249</v>
      </c>
      <c r="H1419" s="10" t="s">
        <v>4124</v>
      </c>
      <c r="I1419" s="10" t="s">
        <v>248</v>
      </c>
    </row>
    <row r="1420" spans="1:9" x14ac:dyDescent="0.15">
      <c r="A1420" s="9">
        <v>1419</v>
      </c>
      <c r="B1420" s="10" t="s">
        <v>9</v>
      </c>
      <c r="C1420" s="10" t="s">
        <v>299</v>
      </c>
      <c r="D1420" s="10" t="s">
        <v>300</v>
      </c>
      <c r="E1420" s="11" t="str">
        <f>+HYPERLINK("http://trademark.i-assist.jp/data/china/image_1898th/78534329.pdf", "78534329")</f>
        <v>78534329</v>
      </c>
      <c r="F1420" s="10" t="s">
        <v>4125</v>
      </c>
      <c r="G1420" s="10" t="s">
        <v>1666</v>
      </c>
      <c r="H1420" s="10" t="s">
        <v>4126</v>
      </c>
      <c r="I1420" s="10" t="s">
        <v>248</v>
      </c>
    </row>
    <row r="1421" spans="1:9" x14ac:dyDescent="0.15">
      <c r="A1421" s="9">
        <v>1420</v>
      </c>
      <c r="B1421" s="10" t="s">
        <v>9</v>
      </c>
      <c r="C1421" s="10" t="s">
        <v>299</v>
      </c>
      <c r="D1421" s="10" t="s">
        <v>300</v>
      </c>
      <c r="E1421" s="11" t="str">
        <f>+HYPERLINK("http://trademark.i-assist.jp/data/china/image_1898th/78534498.pdf", "78534498")</f>
        <v>78534498</v>
      </c>
      <c r="F1421" s="10" t="s">
        <v>4127</v>
      </c>
      <c r="G1421" s="10" t="s">
        <v>4128</v>
      </c>
      <c r="H1421" s="10" t="s">
        <v>4129</v>
      </c>
      <c r="I1421" s="10" t="s">
        <v>248</v>
      </c>
    </row>
    <row r="1422" spans="1:9" x14ac:dyDescent="0.15">
      <c r="A1422" s="9">
        <v>1421</v>
      </c>
      <c r="B1422" s="10" t="s">
        <v>9</v>
      </c>
      <c r="C1422" s="10" t="s">
        <v>299</v>
      </c>
      <c r="D1422" s="10" t="s">
        <v>300</v>
      </c>
      <c r="E1422" s="11" t="str">
        <f>+HYPERLINK("http://trademark.i-assist.jp/data/china/image_1898th/78534600.pdf", "78534600")</f>
        <v>78534600</v>
      </c>
      <c r="F1422" s="10" t="s">
        <v>2880</v>
      </c>
      <c r="G1422" s="10" t="s">
        <v>155</v>
      </c>
      <c r="H1422" s="10" t="s">
        <v>4130</v>
      </c>
      <c r="I1422" s="10" t="s">
        <v>248</v>
      </c>
    </row>
    <row r="1423" spans="1:9" x14ac:dyDescent="0.15">
      <c r="A1423" s="9">
        <v>1422</v>
      </c>
      <c r="B1423" s="10" t="s">
        <v>9</v>
      </c>
      <c r="C1423" s="10" t="s">
        <v>299</v>
      </c>
      <c r="D1423" s="10" t="s">
        <v>300</v>
      </c>
      <c r="E1423" s="11" t="str">
        <f>+HYPERLINK("http://trademark.i-assist.jp/data/china/image_1898th/78534712.pdf", "78534712")</f>
        <v>78534712</v>
      </c>
      <c r="F1423" s="10" t="s">
        <v>4131</v>
      </c>
      <c r="G1423" s="10" t="s">
        <v>4132</v>
      </c>
      <c r="H1423" s="10" t="s">
        <v>4133</v>
      </c>
      <c r="I1423" s="10" t="s">
        <v>248</v>
      </c>
    </row>
    <row r="1424" spans="1:9" x14ac:dyDescent="0.15">
      <c r="A1424" s="9">
        <v>1423</v>
      </c>
      <c r="B1424" s="10" t="s">
        <v>9</v>
      </c>
      <c r="C1424" s="10" t="s">
        <v>299</v>
      </c>
      <c r="D1424" s="10" t="s">
        <v>300</v>
      </c>
      <c r="E1424" s="11" t="str">
        <f>+HYPERLINK("http://trademark.i-assist.jp/data/china/image_1898th/78534834.pdf", "78534834")</f>
        <v>78534834</v>
      </c>
      <c r="F1424" s="10" t="s">
        <v>4134</v>
      </c>
      <c r="G1424" s="10" t="s">
        <v>251</v>
      </c>
      <c r="H1424" s="10" t="s">
        <v>4135</v>
      </c>
      <c r="I1424" s="10" t="s">
        <v>248</v>
      </c>
    </row>
    <row r="1425" spans="1:9" x14ac:dyDescent="0.15">
      <c r="A1425" s="9">
        <v>1424</v>
      </c>
      <c r="B1425" s="10" t="s">
        <v>9</v>
      </c>
      <c r="C1425" s="10" t="s">
        <v>299</v>
      </c>
      <c r="D1425" s="10" t="s">
        <v>300</v>
      </c>
      <c r="E1425" s="11" t="str">
        <f>+HYPERLINK("http://trademark.i-assist.jp/data/china/image_1898th/78535652.pdf", "78535652")</f>
        <v>78535652</v>
      </c>
      <c r="F1425" s="10" t="s">
        <v>4136</v>
      </c>
      <c r="G1425" s="10" t="s">
        <v>4137</v>
      </c>
      <c r="H1425" s="10" t="s">
        <v>4138</v>
      </c>
      <c r="I1425" s="10" t="s">
        <v>248</v>
      </c>
    </row>
    <row r="1426" spans="1:9" x14ac:dyDescent="0.15">
      <c r="A1426" s="9">
        <v>1425</v>
      </c>
      <c r="B1426" s="10" t="s">
        <v>9</v>
      </c>
      <c r="C1426" s="10" t="s">
        <v>299</v>
      </c>
      <c r="D1426" s="10" t="s">
        <v>300</v>
      </c>
      <c r="E1426" s="11" t="str">
        <f>+HYPERLINK("http://trademark.i-assist.jp/data/china/image_1898th/78535730.pdf", "78535730")</f>
        <v>78535730</v>
      </c>
      <c r="F1426" s="10" t="s">
        <v>4139</v>
      </c>
      <c r="G1426" s="10" t="s">
        <v>4140</v>
      </c>
      <c r="H1426" s="10" t="s">
        <v>4141</v>
      </c>
      <c r="I1426" s="10" t="s">
        <v>248</v>
      </c>
    </row>
    <row r="1427" spans="1:9" x14ac:dyDescent="0.15">
      <c r="A1427" s="9">
        <v>1426</v>
      </c>
      <c r="B1427" s="10" t="s">
        <v>9</v>
      </c>
      <c r="C1427" s="10" t="s">
        <v>299</v>
      </c>
      <c r="D1427" s="10" t="s">
        <v>300</v>
      </c>
      <c r="E1427" s="11" t="str">
        <f>+HYPERLINK("http://trademark.i-assist.jp/data/china/image_1898th/78535933.pdf", "78535933")</f>
        <v>78535933</v>
      </c>
      <c r="F1427" s="10" t="s">
        <v>4142</v>
      </c>
      <c r="G1427" s="10" t="s">
        <v>4038</v>
      </c>
      <c r="H1427" s="10" t="s">
        <v>4143</v>
      </c>
      <c r="I1427" s="10" t="s">
        <v>248</v>
      </c>
    </row>
    <row r="1428" spans="1:9" x14ac:dyDescent="0.15">
      <c r="A1428" s="9">
        <v>1427</v>
      </c>
      <c r="B1428" s="10" t="s">
        <v>9</v>
      </c>
      <c r="C1428" s="10" t="s">
        <v>299</v>
      </c>
      <c r="D1428" s="10" t="s">
        <v>300</v>
      </c>
      <c r="E1428" s="11" t="str">
        <f>+HYPERLINK("http://trademark.i-assist.jp/data/china/image_1898th/78536032.pdf", "78536032")</f>
        <v>78536032</v>
      </c>
      <c r="F1428" s="10" t="s">
        <v>4144</v>
      </c>
      <c r="G1428" s="10" t="s">
        <v>4145</v>
      </c>
      <c r="H1428" s="10" t="s">
        <v>4146</v>
      </c>
      <c r="I1428" s="10" t="s">
        <v>248</v>
      </c>
    </row>
    <row r="1429" spans="1:9" x14ac:dyDescent="0.15">
      <c r="A1429" s="9">
        <v>1428</v>
      </c>
      <c r="B1429" s="10" t="s">
        <v>9</v>
      </c>
      <c r="C1429" s="10" t="s">
        <v>299</v>
      </c>
      <c r="D1429" s="10" t="s">
        <v>300</v>
      </c>
      <c r="E1429" s="11" t="str">
        <f>+HYPERLINK("http://trademark.i-assist.jp/data/china/image_1898th/78536161.pdf", "78536161")</f>
        <v>78536161</v>
      </c>
      <c r="F1429" s="10" t="s">
        <v>4147</v>
      </c>
      <c r="G1429" s="10" t="s">
        <v>249</v>
      </c>
      <c r="H1429" s="10" t="s">
        <v>34</v>
      </c>
      <c r="I1429" s="10" t="s">
        <v>248</v>
      </c>
    </row>
    <row r="1430" spans="1:9" x14ac:dyDescent="0.15">
      <c r="A1430" s="9">
        <v>1429</v>
      </c>
      <c r="B1430" s="10" t="s">
        <v>9</v>
      </c>
      <c r="C1430" s="10" t="s">
        <v>299</v>
      </c>
      <c r="D1430" s="10" t="s">
        <v>300</v>
      </c>
      <c r="E1430" s="11" t="str">
        <f>+HYPERLINK("http://trademark.i-assist.jp/data/china/image_1898th/78536170.pdf", "78536170")</f>
        <v>78536170</v>
      </c>
      <c r="F1430" s="10" t="s">
        <v>4148</v>
      </c>
      <c r="G1430" s="10" t="s">
        <v>249</v>
      </c>
      <c r="H1430" s="10" t="s">
        <v>4149</v>
      </c>
      <c r="I1430" s="10" t="s">
        <v>248</v>
      </c>
    </row>
    <row r="1431" spans="1:9" x14ac:dyDescent="0.15">
      <c r="A1431" s="9">
        <v>1430</v>
      </c>
      <c r="B1431" s="10" t="s">
        <v>9</v>
      </c>
      <c r="C1431" s="10" t="s">
        <v>299</v>
      </c>
      <c r="D1431" s="10" t="s">
        <v>300</v>
      </c>
      <c r="E1431" s="11" t="str">
        <f>+HYPERLINK("http://trademark.i-assist.jp/data/china/image_1898th/78536742.pdf", "78536742")</f>
        <v>78536742</v>
      </c>
      <c r="F1431" s="10" t="s">
        <v>4150</v>
      </c>
      <c r="G1431" s="10" t="s">
        <v>249</v>
      </c>
      <c r="H1431" s="10" t="s">
        <v>4151</v>
      </c>
      <c r="I1431" s="10" t="s">
        <v>248</v>
      </c>
    </row>
    <row r="1432" spans="1:9" x14ac:dyDescent="0.15">
      <c r="A1432" s="9">
        <v>1431</v>
      </c>
      <c r="B1432" s="10" t="s">
        <v>9</v>
      </c>
      <c r="C1432" s="10" t="s">
        <v>299</v>
      </c>
      <c r="D1432" s="10" t="s">
        <v>300</v>
      </c>
      <c r="E1432" s="11" t="str">
        <f>+HYPERLINK("http://trademark.i-assist.jp/data/china/image_1898th/78536828.pdf", "78536828")</f>
        <v>78536828</v>
      </c>
      <c r="F1432" s="10" t="s">
        <v>4152</v>
      </c>
      <c r="G1432" s="10" t="s">
        <v>4153</v>
      </c>
      <c r="H1432" s="10" t="s">
        <v>4154</v>
      </c>
      <c r="I1432" s="10" t="s">
        <v>259</v>
      </c>
    </row>
    <row r="1433" spans="1:9" x14ac:dyDescent="0.15">
      <c r="A1433" s="9">
        <v>1432</v>
      </c>
      <c r="B1433" s="10" t="s">
        <v>9</v>
      </c>
      <c r="C1433" s="10" t="s">
        <v>299</v>
      </c>
      <c r="D1433" s="10" t="s">
        <v>300</v>
      </c>
      <c r="E1433" s="11" t="str">
        <f>+HYPERLINK("http://trademark.i-assist.jp/data/china/image_1898th/78536972.pdf", "78536972")</f>
        <v>78536972</v>
      </c>
      <c r="F1433" s="10" t="s">
        <v>4155</v>
      </c>
      <c r="G1433" s="10" t="s">
        <v>172</v>
      </c>
      <c r="H1433" s="10" t="s">
        <v>4156</v>
      </c>
      <c r="I1433" s="10" t="s">
        <v>259</v>
      </c>
    </row>
    <row r="1434" spans="1:9" x14ac:dyDescent="0.15">
      <c r="A1434" s="9">
        <v>1433</v>
      </c>
      <c r="B1434" s="10" t="s">
        <v>9</v>
      </c>
      <c r="C1434" s="10" t="s">
        <v>299</v>
      </c>
      <c r="D1434" s="10" t="s">
        <v>300</v>
      </c>
      <c r="E1434" s="11" t="str">
        <f>+HYPERLINK("http://trademark.i-assist.jp/data/china/image_1898th/78537059.pdf", "78537059")</f>
        <v>78537059</v>
      </c>
      <c r="F1434" s="10" t="s">
        <v>4157</v>
      </c>
      <c r="G1434" s="10" t="s">
        <v>4158</v>
      </c>
      <c r="H1434" s="10" t="s">
        <v>4159</v>
      </c>
      <c r="I1434" s="10" t="s">
        <v>259</v>
      </c>
    </row>
    <row r="1435" spans="1:9" x14ac:dyDescent="0.15">
      <c r="A1435" s="9">
        <v>1434</v>
      </c>
      <c r="B1435" s="10" t="s">
        <v>9</v>
      </c>
      <c r="C1435" s="10" t="s">
        <v>299</v>
      </c>
      <c r="D1435" s="10" t="s">
        <v>300</v>
      </c>
      <c r="E1435" s="11" t="str">
        <f>+HYPERLINK("http://trademark.i-assist.jp/data/china/image_1898th/78537144.pdf", "78537144")</f>
        <v>78537144</v>
      </c>
      <c r="F1435" s="10" t="s">
        <v>4160</v>
      </c>
      <c r="G1435" s="10" t="s">
        <v>4161</v>
      </c>
      <c r="H1435" s="10" t="s">
        <v>4162</v>
      </c>
      <c r="I1435" s="10" t="s">
        <v>259</v>
      </c>
    </row>
    <row r="1436" spans="1:9" x14ac:dyDescent="0.15">
      <c r="A1436" s="9">
        <v>1435</v>
      </c>
      <c r="B1436" s="10" t="s">
        <v>9</v>
      </c>
      <c r="C1436" s="10" t="s">
        <v>299</v>
      </c>
      <c r="D1436" s="10" t="s">
        <v>300</v>
      </c>
      <c r="E1436" s="11" t="str">
        <f>+HYPERLINK("http://trademark.i-assist.jp/data/china/image_1898th/78537190.pdf", "78537190")</f>
        <v>78537190</v>
      </c>
      <c r="F1436" s="10" t="s">
        <v>4163</v>
      </c>
      <c r="G1436" s="10" t="s">
        <v>4164</v>
      </c>
      <c r="H1436" s="10" t="s">
        <v>4165</v>
      </c>
      <c r="I1436" s="10" t="s">
        <v>259</v>
      </c>
    </row>
    <row r="1437" spans="1:9" x14ac:dyDescent="0.15">
      <c r="A1437" s="9">
        <v>1436</v>
      </c>
      <c r="B1437" s="10" t="s">
        <v>9</v>
      </c>
      <c r="C1437" s="10" t="s">
        <v>299</v>
      </c>
      <c r="D1437" s="10" t="s">
        <v>300</v>
      </c>
      <c r="E1437" s="11" t="str">
        <f>+HYPERLINK("http://trademark.i-assist.jp/data/china/image_1898th/78537215.pdf", "78537215")</f>
        <v>78537215</v>
      </c>
      <c r="F1437" s="10" t="s">
        <v>4166</v>
      </c>
      <c r="G1437" s="10" t="s">
        <v>271</v>
      </c>
      <c r="H1437" s="10" t="s">
        <v>4167</v>
      </c>
      <c r="I1437" s="10" t="s">
        <v>259</v>
      </c>
    </row>
    <row r="1438" spans="1:9" x14ac:dyDescent="0.15">
      <c r="A1438" s="9">
        <v>1437</v>
      </c>
      <c r="B1438" s="10" t="s">
        <v>9</v>
      </c>
      <c r="C1438" s="10" t="s">
        <v>299</v>
      </c>
      <c r="D1438" s="10" t="s">
        <v>300</v>
      </c>
      <c r="E1438" s="11" t="str">
        <f>+HYPERLINK("http://trademark.i-assist.jp/data/china/image_1898th/78537490.pdf", "78537490")</f>
        <v>78537490</v>
      </c>
      <c r="F1438" s="10" t="s">
        <v>4168</v>
      </c>
      <c r="G1438" s="10" t="s">
        <v>4169</v>
      </c>
      <c r="H1438" s="10" t="s">
        <v>4170</v>
      </c>
      <c r="I1438" s="10" t="s">
        <v>259</v>
      </c>
    </row>
    <row r="1439" spans="1:9" x14ac:dyDescent="0.15">
      <c r="A1439" s="9">
        <v>1438</v>
      </c>
      <c r="B1439" s="10" t="s">
        <v>9</v>
      </c>
      <c r="C1439" s="10" t="s">
        <v>299</v>
      </c>
      <c r="D1439" s="10" t="s">
        <v>300</v>
      </c>
      <c r="E1439" s="11" t="str">
        <f>+HYPERLINK("http://trademark.i-assist.jp/data/china/image_1898th/78537528.pdf", "78537528")</f>
        <v>78537528</v>
      </c>
      <c r="F1439" s="10" t="s">
        <v>4171</v>
      </c>
      <c r="G1439" s="10" t="s">
        <v>4172</v>
      </c>
      <c r="H1439" s="10" t="s">
        <v>4173</v>
      </c>
      <c r="I1439" s="10" t="s">
        <v>259</v>
      </c>
    </row>
    <row r="1440" spans="1:9" x14ac:dyDescent="0.15">
      <c r="A1440" s="9">
        <v>1439</v>
      </c>
      <c r="B1440" s="10" t="s">
        <v>9</v>
      </c>
      <c r="C1440" s="10" t="s">
        <v>299</v>
      </c>
      <c r="D1440" s="10" t="s">
        <v>300</v>
      </c>
      <c r="E1440" s="11" t="str">
        <f>+HYPERLINK("http://trademark.i-assist.jp/data/china/image_1898th/78537790.pdf", "78537790")</f>
        <v>78537790</v>
      </c>
      <c r="F1440" s="10" t="s">
        <v>4174</v>
      </c>
      <c r="G1440" s="10" t="s">
        <v>1330</v>
      </c>
      <c r="H1440" s="10" t="s">
        <v>4175</v>
      </c>
      <c r="I1440" s="10" t="s">
        <v>259</v>
      </c>
    </row>
    <row r="1441" spans="1:9" x14ac:dyDescent="0.15">
      <c r="A1441" s="9">
        <v>1440</v>
      </c>
      <c r="B1441" s="10" t="s">
        <v>9</v>
      </c>
      <c r="C1441" s="10" t="s">
        <v>299</v>
      </c>
      <c r="D1441" s="10" t="s">
        <v>300</v>
      </c>
      <c r="E1441" s="11" t="str">
        <f>+HYPERLINK("http://trademark.i-assist.jp/data/china/image_1898th/78537798.pdf", "78537798")</f>
        <v>78537798</v>
      </c>
      <c r="F1441" s="10" t="s">
        <v>4176</v>
      </c>
      <c r="G1441" s="10" t="s">
        <v>4177</v>
      </c>
      <c r="H1441" s="10" t="s">
        <v>4178</v>
      </c>
      <c r="I1441" s="10" t="s">
        <v>259</v>
      </c>
    </row>
    <row r="1442" spans="1:9" x14ac:dyDescent="0.15">
      <c r="A1442" s="9">
        <v>1441</v>
      </c>
      <c r="B1442" s="10" t="s">
        <v>9</v>
      </c>
      <c r="C1442" s="10" t="s">
        <v>299</v>
      </c>
      <c r="D1442" s="10" t="s">
        <v>300</v>
      </c>
      <c r="E1442" s="11" t="str">
        <f>+HYPERLINK("http://trademark.i-assist.jp/data/china/image_1898th/78537948.pdf", "78537948")</f>
        <v>78537948</v>
      </c>
      <c r="F1442" s="10" t="s">
        <v>4179</v>
      </c>
      <c r="G1442" s="10" t="s">
        <v>4180</v>
      </c>
      <c r="H1442" s="10" t="s">
        <v>4181</v>
      </c>
      <c r="I1442" s="10" t="s">
        <v>259</v>
      </c>
    </row>
    <row r="1443" spans="1:9" x14ac:dyDescent="0.15">
      <c r="A1443" s="9">
        <v>1442</v>
      </c>
      <c r="B1443" s="10" t="s">
        <v>9</v>
      </c>
      <c r="C1443" s="10" t="s">
        <v>299</v>
      </c>
      <c r="D1443" s="10" t="s">
        <v>300</v>
      </c>
      <c r="E1443" s="11" t="str">
        <f>+HYPERLINK("http://trademark.i-assist.jp/data/china/image_1898th/78538091.pdf", "78538091")</f>
        <v>78538091</v>
      </c>
      <c r="F1443" s="10" t="s">
        <v>4182</v>
      </c>
      <c r="G1443" s="10" t="s">
        <v>4183</v>
      </c>
      <c r="H1443" s="10" t="s">
        <v>4184</v>
      </c>
      <c r="I1443" s="10" t="s">
        <v>259</v>
      </c>
    </row>
    <row r="1444" spans="1:9" x14ac:dyDescent="0.15">
      <c r="A1444" s="9">
        <v>1443</v>
      </c>
      <c r="B1444" s="10" t="s">
        <v>9</v>
      </c>
      <c r="C1444" s="10" t="s">
        <v>299</v>
      </c>
      <c r="D1444" s="10" t="s">
        <v>300</v>
      </c>
      <c r="E1444" s="11" t="str">
        <f>+HYPERLINK("http://trademark.i-assist.jp/data/china/image_1898th/78538281.pdf", "78538281")</f>
        <v>78538281</v>
      </c>
      <c r="F1444" s="10" t="s">
        <v>4185</v>
      </c>
      <c r="G1444" s="10" t="s">
        <v>4186</v>
      </c>
      <c r="H1444" s="10" t="s">
        <v>4187</v>
      </c>
      <c r="I1444" s="10" t="s">
        <v>259</v>
      </c>
    </row>
    <row r="1445" spans="1:9" x14ac:dyDescent="0.15">
      <c r="A1445" s="9">
        <v>1444</v>
      </c>
      <c r="B1445" s="10" t="s">
        <v>9</v>
      </c>
      <c r="C1445" s="10" t="s">
        <v>299</v>
      </c>
      <c r="D1445" s="10" t="s">
        <v>300</v>
      </c>
      <c r="E1445" s="11" t="str">
        <f>+HYPERLINK("http://trademark.i-assist.jp/data/china/image_1898th/78538954.pdf", "78538954")</f>
        <v>78538954</v>
      </c>
      <c r="F1445" s="10" t="s">
        <v>4188</v>
      </c>
      <c r="G1445" s="10" t="s">
        <v>1103</v>
      </c>
      <c r="H1445" s="10" t="s">
        <v>4189</v>
      </c>
      <c r="I1445" s="10" t="s">
        <v>259</v>
      </c>
    </row>
    <row r="1446" spans="1:9" x14ac:dyDescent="0.15">
      <c r="A1446" s="9">
        <v>1445</v>
      </c>
      <c r="B1446" s="10" t="s">
        <v>9</v>
      </c>
      <c r="C1446" s="10" t="s">
        <v>299</v>
      </c>
      <c r="D1446" s="10" t="s">
        <v>300</v>
      </c>
      <c r="E1446" s="11" t="str">
        <f>+HYPERLINK("http://trademark.i-assist.jp/data/china/image_1898th/78539013.pdf", "78539013")</f>
        <v>78539013</v>
      </c>
      <c r="F1446" s="10" t="s">
        <v>4190</v>
      </c>
      <c r="G1446" s="10" t="s">
        <v>4191</v>
      </c>
      <c r="H1446" s="10" t="s">
        <v>43</v>
      </c>
      <c r="I1446" s="10" t="s">
        <v>259</v>
      </c>
    </row>
    <row r="1447" spans="1:9" x14ac:dyDescent="0.15">
      <c r="A1447" s="9">
        <v>1446</v>
      </c>
      <c r="B1447" s="10" t="s">
        <v>9</v>
      </c>
      <c r="C1447" s="10" t="s">
        <v>299</v>
      </c>
      <c r="D1447" s="10" t="s">
        <v>300</v>
      </c>
      <c r="E1447" s="11" t="str">
        <f>+HYPERLINK("http://trademark.i-assist.jp/data/china/image_1898th/78539045.pdf", "78539045")</f>
        <v>78539045</v>
      </c>
      <c r="F1447" s="10" t="s">
        <v>4192</v>
      </c>
      <c r="G1447" s="10" t="s">
        <v>1330</v>
      </c>
      <c r="H1447" s="10" t="s">
        <v>4193</v>
      </c>
      <c r="I1447" s="10" t="s">
        <v>259</v>
      </c>
    </row>
    <row r="1448" spans="1:9" x14ac:dyDescent="0.15">
      <c r="A1448" s="9">
        <v>1447</v>
      </c>
      <c r="B1448" s="10" t="s">
        <v>9</v>
      </c>
      <c r="C1448" s="10" t="s">
        <v>299</v>
      </c>
      <c r="D1448" s="10" t="s">
        <v>300</v>
      </c>
      <c r="E1448" s="11" t="str">
        <f>+HYPERLINK("http://trademark.i-assist.jp/data/china/image_1898th/78539311.pdf", "78539311")</f>
        <v>78539311</v>
      </c>
      <c r="F1448" s="10" t="s">
        <v>4194</v>
      </c>
      <c r="G1448" s="10" t="s">
        <v>4169</v>
      </c>
      <c r="H1448" s="10" t="s">
        <v>4195</v>
      </c>
      <c r="I1448" s="10" t="s">
        <v>259</v>
      </c>
    </row>
    <row r="1449" spans="1:9" x14ac:dyDescent="0.15">
      <c r="A1449" s="9">
        <v>1448</v>
      </c>
      <c r="B1449" s="10" t="s">
        <v>9</v>
      </c>
      <c r="C1449" s="10" t="s">
        <v>299</v>
      </c>
      <c r="D1449" s="10" t="s">
        <v>300</v>
      </c>
      <c r="E1449" s="11" t="str">
        <f>+HYPERLINK("http://trademark.i-assist.jp/data/china/image_1898th/78539316.pdf", "78539316")</f>
        <v>78539316</v>
      </c>
      <c r="F1449" s="10" t="s">
        <v>4196</v>
      </c>
      <c r="G1449" s="10" t="s">
        <v>4169</v>
      </c>
      <c r="H1449" s="10" t="s">
        <v>4197</v>
      </c>
      <c r="I1449" s="10" t="s">
        <v>259</v>
      </c>
    </row>
    <row r="1450" spans="1:9" x14ac:dyDescent="0.15">
      <c r="A1450" s="9">
        <v>1449</v>
      </c>
      <c r="B1450" s="10" t="s">
        <v>9</v>
      </c>
      <c r="C1450" s="10" t="s">
        <v>299</v>
      </c>
      <c r="D1450" s="10" t="s">
        <v>300</v>
      </c>
      <c r="E1450" s="11" t="str">
        <f>+HYPERLINK("http://trademark.i-assist.jp/data/china/image_1898th/78539658.pdf", "78539658")</f>
        <v>78539658</v>
      </c>
      <c r="F1450" s="10" t="s">
        <v>4198</v>
      </c>
      <c r="G1450" s="10" t="s">
        <v>1330</v>
      </c>
      <c r="H1450" s="10" t="s">
        <v>4199</v>
      </c>
      <c r="I1450" s="10" t="s">
        <v>259</v>
      </c>
    </row>
    <row r="1451" spans="1:9" x14ac:dyDescent="0.15">
      <c r="A1451" s="9">
        <v>1450</v>
      </c>
      <c r="B1451" s="10" t="s">
        <v>9</v>
      </c>
      <c r="C1451" s="10" t="s">
        <v>299</v>
      </c>
      <c r="D1451" s="10" t="s">
        <v>300</v>
      </c>
      <c r="E1451" s="11" t="str">
        <f>+HYPERLINK("http://trademark.i-assist.jp/data/china/image_1898th/78539661.pdf", "78539661")</f>
        <v>78539661</v>
      </c>
      <c r="F1451" s="10" t="s">
        <v>4200</v>
      </c>
      <c r="G1451" s="10" t="s">
        <v>1330</v>
      </c>
      <c r="H1451" s="10" t="s">
        <v>4201</v>
      </c>
      <c r="I1451" s="10" t="s">
        <v>259</v>
      </c>
    </row>
    <row r="1452" spans="1:9" x14ac:dyDescent="0.15">
      <c r="A1452" s="9">
        <v>1451</v>
      </c>
      <c r="B1452" s="10" t="s">
        <v>9</v>
      </c>
      <c r="C1452" s="10" t="s">
        <v>299</v>
      </c>
      <c r="D1452" s="10" t="s">
        <v>300</v>
      </c>
      <c r="E1452" s="11" t="str">
        <f>+HYPERLINK("http://trademark.i-assist.jp/data/china/image_1898th/78540115.pdf", "78540115")</f>
        <v>78540115</v>
      </c>
      <c r="F1452" s="10" t="s">
        <v>4202</v>
      </c>
      <c r="G1452" s="10" t="s">
        <v>4203</v>
      </c>
      <c r="H1452" s="10" t="s">
        <v>4204</v>
      </c>
      <c r="I1452" s="10" t="s">
        <v>259</v>
      </c>
    </row>
    <row r="1453" spans="1:9" x14ac:dyDescent="0.15">
      <c r="A1453" s="9">
        <v>1452</v>
      </c>
      <c r="B1453" s="10" t="s">
        <v>9</v>
      </c>
      <c r="C1453" s="10" t="s">
        <v>299</v>
      </c>
      <c r="D1453" s="10" t="s">
        <v>300</v>
      </c>
      <c r="E1453" s="11" t="str">
        <f>+HYPERLINK("http://trademark.i-assist.jp/data/china/image_1898th/78540182.pdf", "78540182")</f>
        <v>78540182</v>
      </c>
      <c r="F1453" s="10" t="s">
        <v>4205</v>
      </c>
      <c r="G1453" s="10" t="s">
        <v>4206</v>
      </c>
      <c r="H1453" s="10" t="s">
        <v>4207</v>
      </c>
      <c r="I1453" s="10" t="s">
        <v>259</v>
      </c>
    </row>
    <row r="1454" spans="1:9" x14ac:dyDescent="0.15">
      <c r="A1454" s="9">
        <v>1453</v>
      </c>
      <c r="B1454" s="10" t="s">
        <v>9</v>
      </c>
      <c r="C1454" s="10" t="s">
        <v>299</v>
      </c>
      <c r="D1454" s="10" t="s">
        <v>300</v>
      </c>
      <c r="E1454" s="11" t="str">
        <f>+HYPERLINK("http://trademark.i-assist.jp/data/china/image_1898th/78540294.pdf", "78540294")</f>
        <v>78540294</v>
      </c>
      <c r="F1454" s="10" t="s">
        <v>4208</v>
      </c>
      <c r="G1454" s="10" t="s">
        <v>4209</v>
      </c>
      <c r="H1454" s="10" t="s">
        <v>4210</v>
      </c>
      <c r="I1454" s="10" t="s">
        <v>259</v>
      </c>
    </row>
    <row r="1455" spans="1:9" x14ac:dyDescent="0.15">
      <c r="A1455" s="9">
        <v>1454</v>
      </c>
      <c r="B1455" s="10" t="s">
        <v>9</v>
      </c>
      <c r="C1455" s="10" t="s">
        <v>299</v>
      </c>
      <c r="D1455" s="10" t="s">
        <v>300</v>
      </c>
      <c r="E1455" s="11" t="str">
        <f>+HYPERLINK("http://trademark.i-assist.jp/data/china/image_1898th/78540406.pdf", "78540406")</f>
        <v>78540406</v>
      </c>
      <c r="F1455" s="10" t="s">
        <v>1329</v>
      </c>
      <c r="G1455" s="10" t="s">
        <v>1330</v>
      </c>
      <c r="H1455" s="10" t="s">
        <v>1331</v>
      </c>
      <c r="I1455" s="10" t="s">
        <v>259</v>
      </c>
    </row>
    <row r="1456" spans="1:9" x14ac:dyDescent="0.15">
      <c r="A1456" s="9">
        <v>1455</v>
      </c>
      <c r="B1456" s="10" t="s">
        <v>9</v>
      </c>
      <c r="C1456" s="10" t="s">
        <v>299</v>
      </c>
      <c r="D1456" s="10" t="s">
        <v>300</v>
      </c>
      <c r="E1456" s="11" t="str">
        <f>+HYPERLINK("http://trademark.i-assist.jp/data/china/image_1898th/78540762.pdf", "78540762")</f>
        <v>78540762</v>
      </c>
      <c r="F1456" s="10" t="s">
        <v>1332</v>
      </c>
      <c r="G1456" s="10" t="s">
        <v>1333</v>
      </c>
      <c r="H1456" s="10" t="s">
        <v>1334</v>
      </c>
      <c r="I1456" s="10" t="s">
        <v>261</v>
      </c>
    </row>
    <row r="1457" spans="1:9" x14ac:dyDescent="0.15">
      <c r="A1457" s="9">
        <v>1456</v>
      </c>
      <c r="B1457" s="10" t="s">
        <v>9</v>
      </c>
      <c r="C1457" s="10" t="s">
        <v>299</v>
      </c>
      <c r="D1457" s="10" t="s">
        <v>300</v>
      </c>
      <c r="E1457" s="11" t="str">
        <f>+HYPERLINK("http://trademark.i-assist.jp/data/china/image_1898th/78540866.pdf", "78540866")</f>
        <v>78540866</v>
      </c>
      <c r="F1457" s="10" t="s">
        <v>1335</v>
      </c>
      <c r="G1457" s="10" t="s">
        <v>1336</v>
      </c>
      <c r="H1457" s="10" t="s">
        <v>1337</v>
      </c>
      <c r="I1457" s="10" t="s">
        <v>261</v>
      </c>
    </row>
    <row r="1458" spans="1:9" x14ac:dyDescent="0.15">
      <c r="A1458" s="9">
        <v>1457</v>
      </c>
      <c r="B1458" s="10" t="s">
        <v>9</v>
      </c>
      <c r="C1458" s="10" t="s">
        <v>299</v>
      </c>
      <c r="D1458" s="10" t="s">
        <v>300</v>
      </c>
      <c r="E1458" s="11" t="str">
        <f>+HYPERLINK("http://trademark.i-assist.jp/data/china/image_1898th/78540901.pdf", "78540901")</f>
        <v>78540901</v>
      </c>
      <c r="F1458" s="10" t="s">
        <v>1338</v>
      </c>
      <c r="G1458" s="10" t="s">
        <v>1339</v>
      </c>
      <c r="H1458" s="10" t="s">
        <v>1340</v>
      </c>
      <c r="I1458" s="10" t="s">
        <v>261</v>
      </c>
    </row>
    <row r="1459" spans="1:9" x14ac:dyDescent="0.15">
      <c r="A1459" s="9">
        <v>1458</v>
      </c>
      <c r="B1459" s="10" t="s">
        <v>9</v>
      </c>
      <c r="C1459" s="10" t="s">
        <v>299</v>
      </c>
      <c r="D1459" s="10" t="s">
        <v>300</v>
      </c>
      <c r="E1459" s="11" t="str">
        <f>+HYPERLINK("http://trademark.i-assist.jp/data/china/image_1898th/78541029.pdf", "78541029")</f>
        <v>78541029</v>
      </c>
      <c r="F1459" s="10" t="s">
        <v>1341</v>
      </c>
      <c r="G1459" s="10" t="s">
        <v>1342</v>
      </c>
      <c r="H1459" s="10" t="s">
        <v>1343</v>
      </c>
      <c r="I1459" s="10" t="s">
        <v>261</v>
      </c>
    </row>
    <row r="1460" spans="1:9" x14ac:dyDescent="0.15">
      <c r="A1460" s="9">
        <v>1459</v>
      </c>
      <c r="B1460" s="10" t="s">
        <v>9</v>
      </c>
      <c r="C1460" s="10" t="s">
        <v>299</v>
      </c>
      <c r="D1460" s="10" t="s">
        <v>300</v>
      </c>
      <c r="E1460" s="11" t="str">
        <f>+HYPERLINK("http://trademark.i-assist.jp/data/china/image_1898th/78541232.pdf", "78541232")</f>
        <v>78541232</v>
      </c>
      <c r="F1460" s="10" t="s">
        <v>1344</v>
      </c>
      <c r="G1460" s="10" t="s">
        <v>1345</v>
      </c>
      <c r="H1460" s="10" t="s">
        <v>1346</v>
      </c>
      <c r="I1460" s="10" t="s">
        <v>261</v>
      </c>
    </row>
    <row r="1461" spans="1:9" x14ac:dyDescent="0.15">
      <c r="A1461" s="9">
        <v>1460</v>
      </c>
      <c r="B1461" s="10" t="s">
        <v>9</v>
      </c>
      <c r="C1461" s="10" t="s">
        <v>299</v>
      </c>
      <c r="D1461" s="10" t="s">
        <v>300</v>
      </c>
      <c r="E1461" s="11" t="str">
        <f>+HYPERLINK("http://trademark.i-assist.jp/data/china/image_1898th/78541424.pdf", "78541424")</f>
        <v>78541424</v>
      </c>
      <c r="F1461" s="10" t="s">
        <v>1347</v>
      </c>
      <c r="G1461" s="10" t="s">
        <v>1348</v>
      </c>
      <c r="H1461" s="10" t="s">
        <v>1349</v>
      </c>
      <c r="I1461" s="10" t="s">
        <v>261</v>
      </c>
    </row>
    <row r="1462" spans="1:9" x14ac:dyDescent="0.15">
      <c r="A1462" s="9">
        <v>1461</v>
      </c>
      <c r="B1462" s="10" t="s">
        <v>9</v>
      </c>
      <c r="C1462" s="10" t="s">
        <v>299</v>
      </c>
      <c r="D1462" s="10" t="s">
        <v>300</v>
      </c>
      <c r="E1462" s="11" t="str">
        <f>+HYPERLINK("http://trademark.i-assist.jp/data/china/image_1898th/78541603.pdf", "78541603")</f>
        <v>78541603</v>
      </c>
      <c r="F1462" s="10" t="s">
        <v>1350</v>
      </c>
      <c r="G1462" s="10" t="s">
        <v>100</v>
      </c>
      <c r="H1462" s="10" t="s">
        <v>1351</v>
      </c>
      <c r="I1462" s="10" t="s">
        <v>261</v>
      </c>
    </row>
    <row r="1463" spans="1:9" x14ac:dyDescent="0.15">
      <c r="A1463" s="9">
        <v>1462</v>
      </c>
      <c r="B1463" s="10" t="s">
        <v>9</v>
      </c>
      <c r="C1463" s="10" t="s">
        <v>299</v>
      </c>
      <c r="D1463" s="10" t="s">
        <v>300</v>
      </c>
      <c r="E1463" s="11" t="str">
        <f>+HYPERLINK("http://trademark.i-assist.jp/data/china/image_1898th/78541729.pdf", "78541729")</f>
        <v>78541729</v>
      </c>
      <c r="F1463" s="10" t="s">
        <v>1352</v>
      </c>
      <c r="G1463" s="10" t="s">
        <v>1353</v>
      </c>
      <c r="H1463" s="10" t="s">
        <v>1354</v>
      </c>
      <c r="I1463" s="10" t="s">
        <v>261</v>
      </c>
    </row>
    <row r="1464" spans="1:9" x14ac:dyDescent="0.15">
      <c r="A1464" s="9">
        <v>1463</v>
      </c>
      <c r="B1464" s="10" t="s">
        <v>9</v>
      </c>
      <c r="C1464" s="10" t="s">
        <v>299</v>
      </c>
      <c r="D1464" s="10" t="s">
        <v>300</v>
      </c>
      <c r="E1464" s="11" t="str">
        <f>+HYPERLINK("http://trademark.i-assist.jp/data/china/image_1898th/78542066.pdf", "78542066")</f>
        <v>78542066</v>
      </c>
      <c r="F1464" s="10" t="s">
        <v>1355</v>
      </c>
      <c r="G1464" s="10" t="s">
        <v>1356</v>
      </c>
      <c r="H1464" s="10" t="s">
        <v>34</v>
      </c>
      <c r="I1464" s="10" t="s">
        <v>261</v>
      </c>
    </row>
    <row r="1465" spans="1:9" x14ac:dyDescent="0.15">
      <c r="A1465" s="9">
        <v>1464</v>
      </c>
      <c r="B1465" s="10" t="s">
        <v>9</v>
      </c>
      <c r="C1465" s="10" t="s">
        <v>299</v>
      </c>
      <c r="D1465" s="10" t="s">
        <v>300</v>
      </c>
      <c r="E1465" s="11" t="str">
        <f>+HYPERLINK("http://trademark.i-assist.jp/data/china/image_1898th/78542165.pdf", "78542165")</f>
        <v>78542165</v>
      </c>
      <c r="F1465" s="10" t="s">
        <v>1357</v>
      </c>
      <c r="G1465" s="10" t="s">
        <v>1358</v>
      </c>
      <c r="H1465" s="10" t="s">
        <v>1359</v>
      </c>
      <c r="I1465" s="10" t="s">
        <v>261</v>
      </c>
    </row>
    <row r="1466" spans="1:9" x14ac:dyDescent="0.15">
      <c r="A1466" s="9">
        <v>1465</v>
      </c>
      <c r="B1466" s="10" t="s">
        <v>9</v>
      </c>
      <c r="C1466" s="10" t="s">
        <v>299</v>
      </c>
      <c r="D1466" s="10" t="s">
        <v>300</v>
      </c>
      <c r="E1466" s="11" t="str">
        <f>+HYPERLINK("http://trademark.i-assist.jp/data/china/image_1898th/78542206.pdf", "78542206")</f>
        <v>78542206</v>
      </c>
      <c r="F1466" s="10" t="s">
        <v>1360</v>
      </c>
      <c r="G1466" s="10" t="s">
        <v>1361</v>
      </c>
      <c r="H1466" s="10" t="s">
        <v>1362</v>
      </c>
      <c r="I1466" s="10" t="s">
        <v>261</v>
      </c>
    </row>
    <row r="1467" spans="1:9" x14ac:dyDescent="0.15">
      <c r="A1467" s="9">
        <v>1466</v>
      </c>
      <c r="B1467" s="10" t="s">
        <v>9</v>
      </c>
      <c r="C1467" s="10" t="s">
        <v>299</v>
      </c>
      <c r="D1467" s="10" t="s">
        <v>300</v>
      </c>
      <c r="E1467" s="11" t="str">
        <f>+HYPERLINK("http://trademark.i-assist.jp/data/china/image_1898th/78542651.pdf", "78542651")</f>
        <v>78542651</v>
      </c>
      <c r="F1467" s="10" t="s">
        <v>1363</v>
      </c>
      <c r="G1467" s="10" t="s">
        <v>1364</v>
      </c>
      <c r="H1467" s="10" t="s">
        <v>1365</v>
      </c>
      <c r="I1467" s="10" t="s">
        <v>261</v>
      </c>
    </row>
    <row r="1468" spans="1:9" x14ac:dyDescent="0.15">
      <c r="A1468" s="9">
        <v>1467</v>
      </c>
      <c r="B1468" s="10" t="s">
        <v>9</v>
      </c>
      <c r="C1468" s="10" t="s">
        <v>299</v>
      </c>
      <c r="D1468" s="10" t="s">
        <v>300</v>
      </c>
      <c r="E1468" s="11" t="str">
        <f>+HYPERLINK("http://trademark.i-assist.jp/data/china/image_1898th/78542743.pdf", "78542743")</f>
        <v>78542743</v>
      </c>
      <c r="F1468" s="10" t="s">
        <v>1366</v>
      </c>
      <c r="G1468" s="10" t="s">
        <v>1364</v>
      </c>
      <c r="H1468" s="10" t="s">
        <v>1367</v>
      </c>
      <c r="I1468" s="10" t="s">
        <v>261</v>
      </c>
    </row>
    <row r="1469" spans="1:9" x14ac:dyDescent="0.15">
      <c r="A1469" s="9">
        <v>1468</v>
      </c>
      <c r="B1469" s="10" t="s">
        <v>9</v>
      </c>
      <c r="C1469" s="10" t="s">
        <v>299</v>
      </c>
      <c r="D1469" s="10" t="s">
        <v>300</v>
      </c>
      <c r="E1469" s="11" t="str">
        <f>+HYPERLINK("http://trademark.i-assist.jp/data/china/image_1898th/78542971.pdf", "78542971")</f>
        <v>78542971</v>
      </c>
      <c r="F1469" s="10" t="s">
        <v>1368</v>
      </c>
      <c r="G1469" s="10" t="s">
        <v>1369</v>
      </c>
      <c r="H1469" s="10" t="s">
        <v>1370</v>
      </c>
      <c r="I1469" s="10" t="s">
        <v>261</v>
      </c>
    </row>
    <row r="1470" spans="1:9" x14ac:dyDescent="0.15">
      <c r="A1470" s="9">
        <v>1469</v>
      </c>
      <c r="B1470" s="10" t="s">
        <v>9</v>
      </c>
      <c r="C1470" s="10" t="s">
        <v>299</v>
      </c>
      <c r="D1470" s="10" t="s">
        <v>300</v>
      </c>
      <c r="E1470" s="11" t="str">
        <f>+HYPERLINK("http://trademark.i-assist.jp/data/china/image_1898th/78543102.pdf", "78543102")</f>
        <v>78543102</v>
      </c>
      <c r="F1470" s="10" t="s">
        <v>4211</v>
      </c>
      <c r="G1470" s="10" t="s">
        <v>4212</v>
      </c>
      <c r="H1470" s="10" t="s">
        <v>4213</v>
      </c>
      <c r="I1470" s="10" t="s">
        <v>261</v>
      </c>
    </row>
    <row r="1471" spans="1:9" x14ac:dyDescent="0.15">
      <c r="A1471" s="9">
        <v>1470</v>
      </c>
      <c r="B1471" s="10" t="s">
        <v>9</v>
      </c>
      <c r="C1471" s="10" t="s">
        <v>299</v>
      </c>
      <c r="D1471" s="10" t="s">
        <v>300</v>
      </c>
      <c r="E1471" s="11" t="str">
        <f>+HYPERLINK("http://trademark.i-assist.jp/data/china/image_1898th/78543121.pdf", "78543121")</f>
        <v>78543121</v>
      </c>
      <c r="F1471" s="10" t="s">
        <v>4214</v>
      </c>
      <c r="G1471" s="10" t="s">
        <v>4215</v>
      </c>
      <c r="H1471" s="10" t="s">
        <v>4216</v>
      </c>
      <c r="I1471" s="10" t="s">
        <v>261</v>
      </c>
    </row>
    <row r="1472" spans="1:9" x14ac:dyDescent="0.15">
      <c r="A1472" s="9">
        <v>1471</v>
      </c>
      <c r="B1472" s="10" t="s">
        <v>9</v>
      </c>
      <c r="C1472" s="10" t="s">
        <v>299</v>
      </c>
      <c r="D1472" s="10" t="s">
        <v>300</v>
      </c>
      <c r="E1472" s="11" t="str">
        <f>+HYPERLINK("http://trademark.i-assist.jp/data/china/image_1898th/78543256.pdf", "78543256")</f>
        <v>78543256</v>
      </c>
      <c r="F1472" s="10" t="s">
        <v>4217</v>
      </c>
      <c r="G1472" s="10" t="s">
        <v>4218</v>
      </c>
      <c r="H1472" s="10" t="s">
        <v>4219</v>
      </c>
      <c r="I1472" s="10" t="s">
        <v>261</v>
      </c>
    </row>
    <row r="1473" spans="1:9" x14ac:dyDescent="0.15">
      <c r="A1473" s="9">
        <v>1472</v>
      </c>
      <c r="B1473" s="10" t="s">
        <v>9</v>
      </c>
      <c r="C1473" s="10" t="s">
        <v>299</v>
      </c>
      <c r="D1473" s="10" t="s">
        <v>300</v>
      </c>
      <c r="E1473" s="11" t="str">
        <f>+HYPERLINK("http://trademark.i-assist.jp/data/china/image_1898th/78543708.pdf", "78543708")</f>
        <v>78543708</v>
      </c>
      <c r="F1473" s="10" t="s">
        <v>4220</v>
      </c>
      <c r="G1473" s="10" t="s">
        <v>4221</v>
      </c>
      <c r="H1473" s="10" t="s">
        <v>4222</v>
      </c>
      <c r="I1473" s="10" t="s">
        <v>261</v>
      </c>
    </row>
    <row r="1474" spans="1:9" x14ac:dyDescent="0.15">
      <c r="A1474" s="9">
        <v>1473</v>
      </c>
      <c r="B1474" s="10" t="s">
        <v>9</v>
      </c>
      <c r="C1474" s="10" t="s">
        <v>299</v>
      </c>
      <c r="D1474" s="10" t="s">
        <v>300</v>
      </c>
      <c r="E1474" s="11" t="str">
        <f>+HYPERLINK("http://trademark.i-assist.jp/data/china/image_1898th/78543790.pdf", "78543790")</f>
        <v>78543790</v>
      </c>
      <c r="F1474" s="10" t="s">
        <v>19</v>
      </c>
      <c r="G1474" s="10" t="s">
        <v>4223</v>
      </c>
      <c r="H1474" s="10" t="s">
        <v>4224</v>
      </c>
      <c r="I1474" s="10" t="s">
        <v>261</v>
      </c>
    </row>
    <row r="1475" spans="1:9" x14ac:dyDescent="0.15">
      <c r="A1475" s="9">
        <v>1474</v>
      </c>
      <c r="B1475" s="10" t="s">
        <v>9</v>
      </c>
      <c r="C1475" s="10" t="s">
        <v>299</v>
      </c>
      <c r="D1475" s="10" t="s">
        <v>300</v>
      </c>
      <c r="E1475" s="11" t="str">
        <f>+HYPERLINK("http://trademark.i-assist.jp/data/china/image_1898th/78543864.pdf", "78543864")</f>
        <v>78543864</v>
      </c>
      <c r="F1475" s="10" t="s">
        <v>4225</v>
      </c>
      <c r="G1475" s="10" t="s">
        <v>211</v>
      </c>
      <c r="H1475" s="10" t="s">
        <v>4226</v>
      </c>
      <c r="I1475" s="10" t="s">
        <v>261</v>
      </c>
    </row>
    <row r="1476" spans="1:9" x14ac:dyDescent="0.15">
      <c r="A1476" s="9">
        <v>1475</v>
      </c>
      <c r="B1476" s="10" t="s">
        <v>9</v>
      </c>
      <c r="C1476" s="10" t="s">
        <v>299</v>
      </c>
      <c r="D1476" s="10" t="s">
        <v>300</v>
      </c>
      <c r="E1476" s="11" t="str">
        <f>+HYPERLINK("http://trademark.i-assist.jp/data/china/image_1898th/78544095.pdf", "78544095")</f>
        <v>78544095</v>
      </c>
      <c r="F1476" s="10" t="s">
        <v>4227</v>
      </c>
      <c r="G1476" s="10" t="s">
        <v>4228</v>
      </c>
      <c r="H1476" s="10" t="s">
        <v>4229</v>
      </c>
      <c r="I1476" s="10" t="s">
        <v>261</v>
      </c>
    </row>
    <row r="1477" spans="1:9" x14ac:dyDescent="0.15">
      <c r="A1477" s="9">
        <v>1476</v>
      </c>
      <c r="B1477" s="10" t="s">
        <v>9</v>
      </c>
      <c r="C1477" s="10" t="s">
        <v>299</v>
      </c>
      <c r="D1477" s="10" t="s">
        <v>300</v>
      </c>
      <c r="E1477" s="11" t="str">
        <f>+HYPERLINK("http://trademark.i-assist.jp/data/china/image_1898th/78544142.pdf", "78544142")</f>
        <v>78544142</v>
      </c>
      <c r="F1477" s="10" t="s">
        <v>4230</v>
      </c>
      <c r="G1477" s="10" t="s">
        <v>4231</v>
      </c>
      <c r="H1477" s="10" t="s">
        <v>4232</v>
      </c>
      <c r="I1477" s="10" t="s">
        <v>261</v>
      </c>
    </row>
    <row r="1478" spans="1:9" x14ac:dyDescent="0.15">
      <c r="A1478" s="9">
        <v>1477</v>
      </c>
      <c r="B1478" s="10" t="s">
        <v>9</v>
      </c>
      <c r="C1478" s="10" t="s">
        <v>299</v>
      </c>
      <c r="D1478" s="10" t="s">
        <v>300</v>
      </c>
      <c r="E1478" s="11" t="str">
        <f>+HYPERLINK("http://trademark.i-assist.jp/data/china/image_1898th/78544189.pdf", "78544189")</f>
        <v>78544189</v>
      </c>
      <c r="F1478" s="10" t="s">
        <v>4233</v>
      </c>
      <c r="G1478" s="10" t="s">
        <v>4234</v>
      </c>
      <c r="H1478" s="10" t="s">
        <v>4235</v>
      </c>
      <c r="I1478" s="10" t="s">
        <v>261</v>
      </c>
    </row>
    <row r="1479" spans="1:9" x14ac:dyDescent="0.15">
      <c r="A1479" s="9">
        <v>1478</v>
      </c>
      <c r="B1479" s="10" t="s">
        <v>9</v>
      </c>
      <c r="C1479" s="10" t="s">
        <v>299</v>
      </c>
      <c r="D1479" s="10" t="s">
        <v>300</v>
      </c>
      <c r="E1479" s="11" t="str">
        <f>+HYPERLINK("http://trademark.i-assist.jp/data/china/image_1898th/78544219.pdf", "78544219")</f>
        <v>78544219</v>
      </c>
      <c r="F1479" s="10" t="s">
        <v>19</v>
      </c>
      <c r="G1479" s="10" t="s">
        <v>4236</v>
      </c>
      <c r="H1479" s="10" t="s">
        <v>4237</v>
      </c>
      <c r="I1479" s="10" t="s">
        <v>261</v>
      </c>
    </row>
    <row r="1480" spans="1:9" x14ac:dyDescent="0.15">
      <c r="A1480" s="9">
        <v>1479</v>
      </c>
      <c r="B1480" s="10" t="s">
        <v>9</v>
      </c>
      <c r="C1480" s="10" t="s">
        <v>299</v>
      </c>
      <c r="D1480" s="10" t="s">
        <v>300</v>
      </c>
      <c r="E1480" s="11" t="str">
        <f>+HYPERLINK("http://trademark.i-assist.jp/data/china/image_1898th/78544312.pdf", "78544312")</f>
        <v>78544312</v>
      </c>
      <c r="F1480" s="10" t="s">
        <v>4238</v>
      </c>
      <c r="G1480" s="10" t="s">
        <v>4239</v>
      </c>
      <c r="H1480" s="10" t="s">
        <v>4240</v>
      </c>
      <c r="I1480" s="10" t="s">
        <v>261</v>
      </c>
    </row>
    <row r="1481" spans="1:9" x14ac:dyDescent="0.15">
      <c r="A1481" s="9">
        <v>1480</v>
      </c>
      <c r="B1481" s="10" t="s">
        <v>9</v>
      </c>
      <c r="C1481" s="10" t="s">
        <v>299</v>
      </c>
      <c r="D1481" s="10" t="s">
        <v>300</v>
      </c>
      <c r="E1481" s="11" t="str">
        <f>+HYPERLINK("http://trademark.i-assist.jp/data/china/image_1898th/78544410.pdf", "78544410")</f>
        <v>78544410</v>
      </c>
      <c r="F1481" s="10" t="s">
        <v>4241</v>
      </c>
      <c r="G1481" s="10" t="s">
        <v>4242</v>
      </c>
      <c r="H1481" s="10" t="s">
        <v>4243</v>
      </c>
      <c r="I1481" s="10" t="s">
        <v>261</v>
      </c>
    </row>
    <row r="1482" spans="1:9" x14ac:dyDescent="0.15">
      <c r="A1482" s="9">
        <v>1481</v>
      </c>
      <c r="B1482" s="10" t="s">
        <v>9</v>
      </c>
      <c r="C1482" s="10" t="s">
        <v>299</v>
      </c>
      <c r="D1482" s="10" t="s">
        <v>300</v>
      </c>
      <c r="E1482" s="11" t="str">
        <f>+HYPERLINK("http://trademark.i-assist.jp/data/china/image_1898th/78544575.pdf", "78544575")</f>
        <v>78544575</v>
      </c>
      <c r="F1482" s="10" t="s">
        <v>4244</v>
      </c>
      <c r="G1482" s="10" t="s">
        <v>4245</v>
      </c>
      <c r="H1482" s="10" t="s">
        <v>4246</v>
      </c>
      <c r="I1482" s="10" t="s">
        <v>261</v>
      </c>
    </row>
    <row r="1483" spans="1:9" x14ac:dyDescent="0.15">
      <c r="A1483" s="9">
        <v>1482</v>
      </c>
      <c r="B1483" s="10" t="s">
        <v>9</v>
      </c>
      <c r="C1483" s="10" t="s">
        <v>299</v>
      </c>
      <c r="D1483" s="10" t="s">
        <v>300</v>
      </c>
      <c r="E1483" s="11" t="str">
        <f>+HYPERLINK("http://trademark.i-assist.jp/data/china/image_1898th/78544650.pdf", "78544650")</f>
        <v>78544650</v>
      </c>
      <c r="F1483" s="10" t="s">
        <v>4247</v>
      </c>
      <c r="G1483" s="10" t="s">
        <v>4248</v>
      </c>
      <c r="H1483" s="10" t="s">
        <v>4249</v>
      </c>
      <c r="I1483" s="10" t="s">
        <v>261</v>
      </c>
    </row>
    <row r="1484" spans="1:9" x14ac:dyDescent="0.15">
      <c r="A1484" s="9">
        <v>1483</v>
      </c>
      <c r="B1484" s="10" t="s">
        <v>9</v>
      </c>
      <c r="C1484" s="10" t="s">
        <v>299</v>
      </c>
      <c r="D1484" s="10" t="s">
        <v>300</v>
      </c>
      <c r="E1484" s="11" t="str">
        <f>+HYPERLINK("http://trademark.i-assist.jp/data/china/image_1898th/78544848.pdf", "78544848")</f>
        <v>78544848</v>
      </c>
      <c r="F1484" s="10" t="s">
        <v>4250</v>
      </c>
      <c r="G1484" s="10" t="s">
        <v>4251</v>
      </c>
      <c r="H1484" s="10" t="s">
        <v>4252</v>
      </c>
      <c r="I1484" s="10" t="s">
        <v>261</v>
      </c>
    </row>
    <row r="1485" spans="1:9" x14ac:dyDescent="0.15">
      <c r="A1485" s="9">
        <v>1484</v>
      </c>
      <c r="B1485" s="10" t="s">
        <v>9</v>
      </c>
      <c r="C1485" s="10" t="s">
        <v>299</v>
      </c>
      <c r="D1485" s="10" t="s">
        <v>300</v>
      </c>
      <c r="E1485" s="11" t="str">
        <f>+HYPERLINK("http://trademark.i-assist.jp/data/china/image_1898th/78545012.pdf", "78545012")</f>
        <v>78545012</v>
      </c>
      <c r="F1485" s="10" t="s">
        <v>4253</v>
      </c>
      <c r="G1485" s="10" t="s">
        <v>4254</v>
      </c>
      <c r="H1485" s="10" t="s">
        <v>4255</v>
      </c>
      <c r="I1485" s="10" t="s">
        <v>261</v>
      </c>
    </row>
    <row r="1486" spans="1:9" x14ac:dyDescent="0.15">
      <c r="A1486" s="9">
        <v>1485</v>
      </c>
      <c r="B1486" s="10" t="s">
        <v>9</v>
      </c>
      <c r="C1486" s="10" t="s">
        <v>299</v>
      </c>
      <c r="D1486" s="10" t="s">
        <v>300</v>
      </c>
      <c r="E1486" s="11" t="str">
        <f>+HYPERLINK("http://trademark.i-assist.jp/data/china/image_1898th/78545275.pdf", "78545275")</f>
        <v>78545275</v>
      </c>
      <c r="F1486" s="10" t="s">
        <v>4256</v>
      </c>
      <c r="G1486" s="10" t="s">
        <v>4257</v>
      </c>
      <c r="H1486" s="10" t="s">
        <v>4258</v>
      </c>
      <c r="I1486" s="10" t="s">
        <v>261</v>
      </c>
    </row>
    <row r="1487" spans="1:9" x14ac:dyDescent="0.15">
      <c r="A1487" s="9">
        <v>1486</v>
      </c>
      <c r="B1487" s="10" t="s">
        <v>9</v>
      </c>
      <c r="C1487" s="10" t="s">
        <v>299</v>
      </c>
      <c r="D1487" s="10" t="s">
        <v>300</v>
      </c>
      <c r="E1487" s="11" t="str">
        <f>+HYPERLINK("http://trademark.i-assist.jp/data/china/image_1898th/78545285.pdf", "78545285")</f>
        <v>78545285</v>
      </c>
      <c r="F1487" s="10" t="s">
        <v>4259</v>
      </c>
      <c r="G1487" s="10" t="s">
        <v>1339</v>
      </c>
      <c r="H1487" s="10" t="s">
        <v>4260</v>
      </c>
      <c r="I1487" s="10" t="s">
        <v>261</v>
      </c>
    </row>
    <row r="1488" spans="1:9" x14ac:dyDescent="0.15">
      <c r="A1488" s="9">
        <v>1487</v>
      </c>
      <c r="B1488" s="10" t="s">
        <v>9</v>
      </c>
      <c r="C1488" s="10" t="s">
        <v>299</v>
      </c>
      <c r="D1488" s="10" t="s">
        <v>300</v>
      </c>
      <c r="E1488" s="11" t="str">
        <f>+HYPERLINK("http://trademark.i-assist.jp/data/china/image_1898th/78545335.pdf", "78545335")</f>
        <v>78545335</v>
      </c>
      <c r="F1488" s="10" t="s">
        <v>4261</v>
      </c>
      <c r="G1488" s="10" t="s">
        <v>4262</v>
      </c>
      <c r="H1488" s="10" t="s">
        <v>4263</v>
      </c>
      <c r="I1488" s="10" t="s">
        <v>261</v>
      </c>
    </row>
    <row r="1489" spans="1:9" x14ac:dyDescent="0.15">
      <c r="A1489" s="9">
        <v>1488</v>
      </c>
      <c r="B1489" s="10" t="s">
        <v>9</v>
      </c>
      <c r="C1489" s="10" t="s">
        <v>299</v>
      </c>
      <c r="D1489" s="10" t="s">
        <v>300</v>
      </c>
      <c r="E1489" s="11" t="str">
        <f>+HYPERLINK("http://trademark.i-assist.jp/data/china/image_1898th/78545419.pdf", "78545419")</f>
        <v>78545419</v>
      </c>
      <c r="F1489" s="10" t="s">
        <v>4264</v>
      </c>
      <c r="G1489" s="10" t="s">
        <v>1666</v>
      </c>
      <c r="H1489" s="10" t="s">
        <v>4265</v>
      </c>
      <c r="I1489" s="10" t="s">
        <v>261</v>
      </c>
    </row>
    <row r="1490" spans="1:9" x14ac:dyDescent="0.15">
      <c r="A1490" s="9">
        <v>1489</v>
      </c>
      <c r="B1490" s="10" t="s">
        <v>9</v>
      </c>
      <c r="C1490" s="10" t="s">
        <v>299</v>
      </c>
      <c r="D1490" s="10" t="s">
        <v>300</v>
      </c>
      <c r="E1490" s="11" t="str">
        <f>+HYPERLINK("http://trademark.i-assist.jp/data/china/image_1898th/78545506.pdf", "78545506")</f>
        <v>78545506</v>
      </c>
      <c r="F1490" s="10" t="s">
        <v>4266</v>
      </c>
      <c r="G1490" s="10" t="s">
        <v>194</v>
      </c>
      <c r="H1490" s="10" t="s">
        <v>4267</v>
      </c>
      <c r="I1490" s="10" t="s">
        <v>261</v>
      </c>
    </row>
    <row r="1491" spans="1:9" x14ac:dyDescent="0.15">
      <c r="A1491" s="9">
        <v>1490</v>
      </c>
      <c r="B1491" s="10" t="s">
        <v>9</v>
      </c>
      <c r="C1491" s="10" t="s">
        <v>299</v>
      </c>
      <c r="D1491" s="10" t="s">
        <v>300</v>
      </c>
      <c r="E1491" s="11" t="str">
        <f>+HYPERLINK("http://trademark.i-assist.jp/data/china/image_1898th/78545593.pdf", "78545593")</f>
        <v>78545593</v>
      </c>
      <c r="F1491" s="10" t="s">
        <v>4268</v>
      </c>
      <c r="G1491" s="10" t="s">
        <v>274</v>
      </c>
      <c r="H1491" s="10" t="s">
        <v>4269</v>
      </c>
      <c r="I1491" s="10" t="s">
        <v>261</v>
      </c>
    </row>
    <row r="1492" spans="1:9" x14ac:dyDescent="0.15">
      <c r="A1492" s="9">
        <v>1491</v>
      </c>
      <c r="B1492" s="10" t="s">
        <v>9</v>
      </c>
      <c r="C1492" s="10" t="s">
        <v>299</v>
      </c>
      <c r="D1492" s="10" t="s">
        <v>300</v>
      </c>
      <c r="E1492" s="11" t="str">
        <f>+HYPERLINK("http://trademark.i-assist.jp/data/china/image_1898th/78546015.pdf", "78546015")</f>
        <v>78546015</v>
      </c>
      <c r="F1492" s="10" t="s">
        <v>4270</v>
      </c>
      <c r="G1492" s="10" t="s">
        <v>4271</v>
      </c>
      <c r="H1492" s="10" t="s">
        <v>4272</v>
      </c>
      <c r="I1492" s="10" t="s">
        <v>261</v>
      </c>
    </row>
    <row r="1493" spans="1:9" x14ac:dyDescent="0.15">
      <c r="A1493" s="9">
        <v>1492</v>
      </c>
      <c r="B1493" s="10" t="s">
        <v>9</v>
      </c>
      <c r="C1493" s="10" t="s">
        <v>299</v>
      </c>
      <c r="D1493" s="10" t="s">
        <v>300</v>
      </c>
      <c r="E1493" s="11" t="str">
        <f>+HYPERLINK("http://trademark.i-assist.jp/data/china/image_1898th/78546023.pdf", "78546023")</f>
        <v>78546023</v>
      </c>
      <c r="F1493" s="10" t="s">
        <v>4273</v>
      </c>
      <c r="G1493" s="10" t="s">
        <v>4274</v>
      </c>
      <c r="H1493" s="10" t="s">
        <v>4275</v>
      </c>
      <c r="I1493" s="10" t="s">
        <v>261</v>
      </c>
    </row>
    <row r="1494" spans="1:9" x14ac:dyDescent="0.15">
      <c r="A1494" s="9">
        <v>1493</v>
      </c>
      <c r="B1494" s="10" t="s">
        <v>9</v>
      </c>
      <c r="C1494" s="10" t="s">
        <v>299</v>
      </c>
      <c r="D1494" s="10" t="s">
        <v>300</v>
      </c>
      <c r="E1494" s="11" t="str">
        <f>+HYPERLINK("http://trademark.i-assist.jp/data/china/image_1898th/78546176.pdf", "78546176")</f>
        <v>78546176</v>
      </c>
      <c r="F1494" s="10" t="s">
        <v>4276</v>
      </c>
      <c r="G1494" s="10" t="s">
        <v>4277</v>
      </c>
      <c r="H1494" s="10" t="s">
        <v>4278</v>
      </c>
      <c r="I1494" s="10" t="s">
        <v>261</v>
      </c>
    </row>
    <row r="1495" spans="1:9" x14ac:dyDescent="0.15">
      <c r="A1495" s="9">
        <v>1494</v>
      </c>
      <c r="B1495" s="10" t="s">
        <v>9</v>
      </c>
      <c r="C1495" s="10" t="s">
        <v>299</v>
      </c>
      <c r="D1495" s="10" t="s">
        <v>300</v>
      </c>
      <c r="E1495" s="11" t="str">
        <f>+HYPERLINK("http://trademark.i-assist.jp/data/china/image_1898th/78546325.pdf", "78546325")</f>
        <v>78546325</v>
      </c>
      <c r="F1495" s="10" t="s">
        <v>4279</v>
      </c>
      <c r="G1495" s="10" t="s">
        <v>2098</v>
      </c>
      <c r="H1495" s="10" t="s">
        <v>4280</v>
      </c>
      <c r="I1495" s="10" t="s">
        <v>261</v>
      </c>
    </row>
    <row r="1496" spans="1:9" x14ac:dyDescent="0.15">
      <c r="A1496" s="9">
        <v>1495</v>
      </c>
      <c r="B1496" s="10" t="s">
        <v>9</v>
      </c>
      <c r="C1496" s="10" t="s">
        <v>299</v>
      </c>
      <c r="D1496" s="10" t="s">
        <v>300</v>
      </c>
      <c r="E1496" s="11" t="str">
        <f>+HYPERLINK("http://trademark.i-assist.jp/data/china/image_1898th/78546487.pdf", "78546487")</f>
        <v>78546487</v>
      </c>
      <c r="F1496" s="10" t="s">
        <v>4281</v>
      </c>
      <c r="G1496" s="10" t="s">
        <v>4282</v>
      </c>
      <c r="H1496" s="10" t="s">
        <v>4283</v>
      </c>
      <c r="I1496" s="10" t="s">
        <v>261</v>
      </c>
    </row>
    <row r="1497" spans="1:9" x14ac:dyDescent="0.15">
      <c r="A1497" s="9">
        <v>1496</v>
      </c>
      <c r="B1497" s="10" t="s">
        <v>9</v>
      </c>
      <c r="C1497" s="10" t="s">
        <v>299</v>
      </c>
      <c r="D1497" s="10" t="s">
        <v>300</v>
      </c>
      <c r="E1497" s="11" t="str">
        <f>+HYPERLINK("http://trademark.i-assist.jp/data/china/image_1898th/78546806.pdf", "78546806")</f>
        <v>78546806</v>
      </c>
      <c r="F1497" s="10" t="s">
        <v>4284</v>
      </c>
      <c r="G1497" s="10" t="s">
        <v>4285</v>
      </c>
      <c r="H1497" s="10" t="s">
        <v>4286</v>
      </c>
      <c r="I1497" s="10" t="s">
        <v>261</v>
      </c>
    </row>
    <row r="1498" spans="1:9" x14ac:dyDescent="0.15">
      <c r="A1498" s="9">
        <v>1497</v>
      </c>
      <c r="B1498" s="10" t="s">
        <v>9</v>
      </c>
      <c r="C1498" s="10" t="s">
        <v>299</v>
      </c>
      <c r="D1498" s="10" t="s">
        <v>300</v>
      </c>
      <c r="E1498" s="11" t="str">
        <f>+HYPERLINK("http://trademark.i-assist.jp/data/china/image_1898th/78546844.pdf", "78546844")</f>
        <v>78546844</v>
      </c>
      <c r="F1498" s="10" t="s">
        <v>4287</v>
      </c>
      <c r="G1498" s="10" t="s">
        <v>4288</v>
      </c>
      <c r="H1498" s="10" t="s">
        <v>4289</v>
      </c>
      <c r="I1498" s="10" t="s">
        <v>261</v>
      </c>
    </row>
    <row r="1499" spans="1:9" x14ac:dyDescent="0.15">
      <c r="A1499" s="9">
        <v>1498</v>
      </c>
      <c r="B1499" s="10" t="s">
        <v>9</v>
      </c>
      <c r="C1499" s="10" t="s">
        <v>299</v>
      </c>
      <c r="D1499" s="10" t="s">
        <v>300</v>
      </c>
      <c r="E1499" s="11" t="str">
        <f>+HYPERLINK("http://trademark.i-assist.jp/data/china/image_1898th/78546932.pdf", "78546932")</f>
        <v>78546932</v>
      </c>
      <c r="F1499" s="10" t="s">
        <v>4290</v>
      </c>
      <c r="G1499" s="10" t="s">
        <v>4291</v>
      </c>
      <c r="H1499" s="10" t="s">
        <v>4292</v>
      </c>
      <c r="I1499" s="10" t="s">
        <v>261</v>
      </c>
    </row>
    <row r="1500" spans="1:9" x14ac:dyDescent="0.15">
      <c r="A1500" s="9">
        <v>1499</v>
      </c>
      <c r="B1500" s="10" t="s">
        <v>9</v>
      </c>
      <c r="C1500" s="10" t="s">
        <v>299</v>
      </c>
      <c r="D1500" s="10" t="s">
        <v>300</v>
      </c>
      <c r="E1500" s="11" t="str">
        <f>+HYPERLINK("http://trademark.i-assist.jp/data/china/image_1898th/78547110.pdf", "78547110")</f>
        <v>78547110</v>
      </c>
      <c r="F1500" s="10" t="s">
        <v>4293</v>
      </c>
      <c r="G1500" s="10" t="s">
        <v>4294</v>
      </c>
      <c r="H1500" s="10" t="s">
        <v>4295</v>
      </c>
      <c r="I1500" s="10" t="s">
        <v>261</v>
      </c>
    </row>
    <row r="1501" spans="1:9" x14ac:dyDescent="0.15">
      <c r="A1501" s="9">
        <v>1500</v>
      </c>
      <c r="B1501" s="10" t="s">
        <v>9</v>
      </c>
      <c r="C1501" s="10" t="s">
        <v>299</v>
      </c>
      <c r="D1501" s="10" t="s">
        <v>300</v>
      </c>
      <c r="E1501" s="11" t="str">
        <f>+HYPERLINK("http://trademark.i-assist.jp/data/china/image_1898th/78547133.pdf", "78547133")</f>
        <v>78547133</v>
      </c>
      <c r="F1501" s="10" t="s">
        <v>4296</v>
      </c>
      <c r="G1501" s="10" t="s">
        <v>4297</v>
      </c>
      <c r="H1501" s="10" t="s">
        <v>4298</v>
      </c>
      <c r="I1501" s="10" t="s">
        <v>261</v>
      </c>
    </row>
    <row r="1502" spans="1:9" x14ac:dyDescent="0.15">
      <c r="A1502" s="9">
        <v>1501</v>
      </c>
      <c r="B1502" s="10" t="s">
        <v>9</v>
      </c>
      <c r="C1502" s="10" t="s">
        <v>299</v>
      </c>
      <c r="D1502" s="10" t="s">
        <v>300</v>
      </c>
      <c r="E1502" s="11" t="str">
        <f>+HYPERLINK("http://trademark.i-assist.jp/data/china/image_1898th/78547333.pdf", "78547333")</f>
        <v>78547333</v>
      </c>
      <c r="F1502" s="10" t="s">
        <v>4299</v>
      </c>
      <c r="G1502" s="10" t="s">
        <v>4300</v>
      </c>
      <c r="H1502" s="10" t="s">
        <v>34</v>
      </c>
      <c r="I1502" s="10" t="s">
        <v>261</v>
      </c>
    </row>
    <row r="1503" spans="1:9" x14ac:dyDescent="0.15">
      <c r="A1503" s="9">
        <v>1502</v>
      </c>
      <c r="B1503" s="10" t="s">
        <v>9</v>
      </c>
      <c r="C1503" s="10" t="s">
        <v>299</v>
      </c>
      <c r="D1503" s="10" t="s">
        <v>300</v>
      </c>
      <c r="E1503" s="11" t="str">
        <f>+HYPERLINK("http://trademark.i-assist.jp/data/china/image_1898th/78547630.pdf", "78547630")</f>
        <v>78547630</v>
      </c>
      <c r="F1503" s="10" t="s">
        <v>4301</v>
      </c>
      <c r="G1503" s="10" t="s">
        <v>4302</v>
      </c>
      <c r="H1503" s="10" t="s">
        <v>4303</v>
      </c>
      <c r="I1503" s="10" t="s">
        <v>261</v>
      </c>
    </row>
    <row r="1504" spans="1:9" x14ac:dyDescent="0.15">
      <c r="A1504" s="9">
        <v>1503</v>
      </c>
      <c r="B1504" s="10" t="s">
        <v>9</v>
      </c>
      <c r="C1504" s="10" t="s">
        <v>299</v>
      </c>
      <c r="D1504" s="10" t="s">
        <v>300</v>
      </c>
      <c r="E1504" s="11" t="str">
        <f>+HYPERLINK("http://trademark.i-assist.jp/data/china/image_1898th/78547885.pdf", "78547885")</f>
        <v>78547885</v>
      </c>
      <c r="F1504" s="10" t="s">
        <v>4304</v>
      </c>
      <c r="G1504" s="10" t="s">
        <v>4305</v>
      </c>
      <c r="H1504" s="10" t="s">
        <v>4306</v>
      </c>
      <c r="I1504" s="10" t="s">
        <v>261</v>
      </c>
    </row>
    <row r="1505" spans="1:9" x14ac:dyDescent="0.15">
      <c r="A1505" s="9">
        <v>1504</v>
      </c>
      <c r="B1505" s="10" t="s">
        <v>9</v>
      </c>
      <c r="C1505" s="10" t="s">
        <v>299</v>
      </c>
      <c r="D1505" s="10" t="s">
        <v>300</v>
      </c>
      <c r="E1505" s="11" t="str">
        <f>+HYPERLINK("http://trademark.i-assist.jp/data/china/image_1898th/78547899.pdf", "78547899")</f>
        <v>78547899</v>
      </c>
      <c r="F1505" s="10" t="s">
        <v>4307</v>
      </c>
      <c r="G1505" s="10" t="s">
        <v>4308</v>
      </c>
      <c r="H1505" s="10" t="s">
        <v>4309</v>
      </c>
      <c r="I1505" s="10" t="s">
        <v>261</v>
      </c>
    </row>
    <row r="1506" spans="1:9" x14ac:dyDescent="0.15">
      <c r="A1506" s="9">
        <v>1505</v>
      </c>
      <c r="B1506" s="10" t="s">
        <v>9</v>
      </c>
      <c r="C1506" s="10" t="s">
        <v>299</v>
      </c>
      <c r="D1506" s="10" t="s">
        <v>300</v>
      </c>
      <c r="E1506" s="11" t="str">
        <f>+HYPERLINK("http://trademark.i-assist.jp/data/china/image_1898th/78547920.pdf", "78547920")</f>
        <v>78547920</v>
      </c>
      <c r="F1506" s="10" t="s">
        <v>4310</v>
      </c>
      <c r="G1506" s="10" t="s">
        <v>4308</v>
      </c>
      <c r="H1506" s="10" t="s">
        <v>4311</v>
      </c>
      <c r="I1506" s="10" t="s">
        <v>261</v>
      </c>
    </row>
    <row r="1507" spans="1:9" x14ac:dyDescent="0.15">
      <c r="A1507" s="9">
        <v>1506</v>
      </c>
      <c r="B1507" s="10" t="s">
        <v>9</v>
      </c>
      <c r="C1507" s="10" t="s">
        <v>299</v>
      </c>
      <c r="D1507" s="10" t="s">
        <v>300</v>
      </c>
      <c r="E1507" s="11" t="str">
        <f>+HYPERLINK("http://trademark.i-assist.jp/data/china/image_1898th/78547949.pdf", "78547949")</f>
        <v>78547949</v>
      </c>
      <c r="F1507" s="10" t="s">
        <v>4312</v>
      </c>
      <c r="G1507" s="10" t="s">
        <v>1364</v>
      </c>
      <c r="H1507" s="10" t="s">
        <v>4313</v>
      </c>
      <c r="I1507" s="10" t="s">
        <v>261</v>
      </c>
    </row>
    <row r="1508" spans="1:9" x14ac:dyDescent="0.15">
      <c r="A1508" s="9">
        <v>1507</v>
      </c>
      <c r="B1508" s="10" t="s">
        <v>9</v>
      </c>
      <c r="C1508" s="10" t="s">
        <v>299</v>
      </c>
      <c r="D1508" s="10" t="s">
        <v>300</v>
      </c>
      <c r="E1508" s="11" t="str">
        <f>+HYPERLINK("http://trademark.i-assist.jp/data/china/image_1898th/78547983.pdf", "78547983")</f>
        <v>78547983</v>
      </c>
      <c r="F1508" s="10" t="s">
        <v>4314</v>
      </c>
      <c r="G1508" s="10" t="s">
        <v>4315</v>
      </c>
      <c r="H1508" s="10" t="s">
        <v>4316</v>
      </c>
      <c r="I1508" s="10" t="s">
        <v>261</v>
      </c>
    </row>
    <row r="1509" spans="1:9" x14ac:dyDescent="0.15">
      <c r="A1509" s="9">
        <v>1508</v>
      </c>
      <c r="B1509" s="10" t="s">
        <v>9</v>
      </c>
      <c r="C1509" s="10" t="s">
        <v>299</v>
      </c>
      <c r="D1509" s="10" t="s">
        <v>300</v>
      </c>
      <c r="E1509" s="11" t="str">
        <f>+HYPERLINK("http://trademark.i-assist.jp/data/china/image_1898th/78548078.pdf", "78548078")</f>
        <v>78548078</v>
      </c>
      <c r="F1509" s="10" t="s">
        <v>4317</v>
      </c>
      <c r="G1509" s="10" t="s">
        <v>4318</v>
      </c>
      <c r="H1509" s="10" t="s">
        <v>4319</v>
      </c>
      <c r="I1509" s="10" t="s">
        <v>261</v>
      </c>
    </row>
    <row r="1510" spans="1:9" x14ac:dyDescent="0.15">
      <c r="A1510" s="9">
        <v>1509</v>
      </c>
      <c r="B1510" s="10" t="s">
        <v>9</v>
      </c>
      <c r="C1510" s="10" t="s">
        <v>299</v>
      </c>
      <c r="D1510" s="10" t="s">
        <v>300</v>
      </c>
      <c r="E1510" s="11" t="str">
        <f>+HYPERLINK("http://trademark.i-assist.jp/data/china/image_1898th/78548239.pdf", "78548239")</f>
        <v>78548239</v>
      </c>
      <c r="F1510" s="10" t="s">
        <v>4320</v>
      </c>
      <c r="G1510" s="10" t="s">
        <v>4321</v>
      </c>
      <c r="H1510" s="10" t="s">
        <v>4322</v>
      </c>
      <c r="I1510" s="10" t="s">
        <v>261</v>
      </c>
    </row>
    <row r="1511" spans="1:9" x14ac:dyDescent="0.15">
      <c r="A1511" s="9">
        <v>1510</v>
      </c>
      <c r="B1511" s="10" t="s">
        <v>9</v>
      </c>
      <c r="C1511" s="10" t="s">
        <v>299</v>
      </c>
      <c r="D1511" s="10" t="s">
        <v>300</v>
      </c>
      <c r="E1511" s="11" t="str">
        <f>+HYPERLINK("http://trademark.i-assist.jp/data/china/image_1898th/78548524.pdf", "78548524")</f>
        <v>78548524</v>
      </c>
      <c r="F1511" s="10" t="s">
        <v>4323</v>
      </c>
      <c r="G1511" s="10" t="s">
        <v>224</v>
      </c>
      <c r="H1511" s="10" t="s">
        <v>4324</v>
      </c>
      <c r="I1511" s="10" t="s">
        <v>261</v>
      </c>
    </row>
    <row r="1512" spans="1:9" x14ac:dyDescent="0.15">
      <c r="A1512" s="9">
        <v>1511</v>
      </c>
      <c r="B1512" s="10" t="s">
        <v>9</v>
      </c>
      <c r="C1512" s="10" t="s">
        <v>299</v>
      </c>
      <c r="D1512" s="10" t="s">
        <v>300</v>
      </c>
      <c r="E1512" s="11" t="str">
        <f>+HYPERLINK("http://trademark.i-assist.jp/data/china/image_1898th/78548668.pdf", "78548668")</f>
        <v>78548668</v>
      </c>
      <c r="F1512" s="10" t="s">
        <v>4325</v>
      </c>
      <c r="G1512" s="10" t="s">
        <v>4326</v>
      </c>
      <c r="H1512" s="10" t="s">
        <v>4327</v>
      </c>
      <c r="I1512" s="10" t="s">
        <v>261</v>
      </c>
    </row>
    <row r="1513" spans="1:9" x14ac:dyDescent="0.15">
      <c r="A1513" s="9">
        <v>1512</v>
      </c>
      <c r="B1513" s="10" t="s">
        <v>9</v>
      </c>
      <c r="C1513" s="10" t="s">
        <v>299</v>
      </c>
      <c r="D1513" s="10" t="s">
        <v>300</v>
      </c>
      <c r="E1513" s="11" t="str">
        <f>+HYPERLINK("http://trademark.i-assist.jp/data/china/image_1898th/78548744.pdf", "78548744")</f>
        <v>78548744</v>
      </c>
      <c r="F1513" s="10" t="s">
        <v>4328</v>
      </c>
      <c r="G1513" s="10" t="s">
        <v>4329</v>
      </c>
      <c r="H1513" s="10" t="s">
        <v>4330</v>
      </c>
      <c r="I1513" s="10" t="s">
        <v>261</v>
      </c>
    </row>
    <row r="1514" spans="1:9" x14ac:dyDescent="0.15">
      <c r="A1514" s="9">
        <v>1513</v>
      </c>
      <c r="B1514" s="10" t="s">
        <v>9</v>
      </c>
      <c r="C1514" s="10" t="s">
        <v>299</v>
      </c>
      <c r="D1514" s="10" t="s">
        <v>300</v>
      </c>
      <c r="E1514" s="11" t="str">
        <f>+HYPERLINK("http://trademark.i-assist.jp/data/china/image_1898th/78548960.pdf", "78548960")</f>
        <v>78548960</v>
      </c>
      <c r="F1514" s="10" t="s">
        <v>4331</v>
      </c>
      <c r="G1514" s="10" t="s">
        <v>4332</v>
      </c>
      <c r="H1514" s="10" t="s">
        <v>4333</v>
      </c>
      <c r="I1514" s="10" t="s">
        <v>261</v>
      </c>
    </row>
    <row r="1515" spans="1:9" x14ac:dyDescent="0.15">
      <c r="A1515" s="9">
        <v>1514</v>
      </c>
      <c r="B1515" s="10" t="s">
        <v>9</v>
      </c>
      <c r="C1515" s="10" t="s">
        <v>299</v>
      </c>
      <c r="D1515" s="10" t="s">
        <v>300</v>
      </c>
      <c r="E1515" s="11" t="str">
        <f>+HYPERLINK("http://trademark.i-assist.jp/data/china/image_1898th/78549322.pdf", "78549322")</f>
        <v>78549322</v>
      </c>
      <c r="F1515" s="10" t="s">
        <v>4334</v>
      </c>
      <c r="G1515" s="10" t="s">
        <v>4335</v>
      </c>
      <c r="H1515" s="10" t="s">
        <v>4336</v>
      </c>
      <c r="I1515" s="10" t="s">
        <v>261</v>
      </c>
    </row>
    <row r="1516" spans="1:9" x14ac:dyDescent="0.15">
      <c r="A1516" s="9">
        <v>1515</v>
      </c>
      <c r="B1516" s="10" t="s">
        <v>9</v>
      </c>
      <c r="C1516" s="10" t="s">
        <v>299</v>
      </c>
      <c r="D1516" s="10" t="s">
        <v>300</v>
      </c>
      <c r="E1516" s="11" t="str">
        <f>+HYPERLINK("http://trademark.i-assist.jp/data/china/image_1898th/78549428.pdf", "78549428")</f>
        <v>78549428</v>
      </c>
      <c r="F1516" s="10" t="s">
        <v>4337</v>
      </c>
      <c r="G1516" s="10" t="s">
        <v>4338</v>
      </c>
      <c r="H1516" s="10" t="s">
        <v>4339</v>
      </c>
      <c r="I1516" s="10" t="s">
        <v>261</v>
      </c>
    </row>
    <row r="1517" spans="1:9" x14ac:dyDescent="0.15">
      <c r="A1517" s="9">
        <v>1516</v>
      </c>
      <c r="B1517" s="10" t="s">
        <v>9</v>
      </c>
      <c r="C1517" s="10" t="s">
        <v>299</v>
      </c>
      <c r="D1517" s="10" t="s">
        <v>300</v>
      </c>
      <c r="E1517" s="11" t="str">
        <f>+HYPERLINK("http://trademark.i-assist.jp/data/china/image_1898th/78549487.pdf", "78549487")</f>
        <v>78549487</v>
      </c>
      <c r="F1517" s="10" t="s">
        <v>4340</v>
      </c>
      <c r="G1517" s="10" t="s">
        <v>4341</v>
      </c>
      <c r="H1517" s="10" t="s">
        <v>4342</v>
      </c>
      <c r="I1517" s="10" t="s">
        <v>261</v>
      </c>
    </row>
    <row r="1518" spans="1:9" x14ac:dyDescent="0.15">
      <c r="A1518" s="9">
        <v>1517</v>
      </c>
      <c r="B1518" s="10" t="s">
        <v>9</v>
      </c>
      <c r="C1518" s="10" t="s">
        <v>299</v>
      </c>
      <c r="D1518" s="10" t="s">
        <v>300</v>
      </c>
      <c r="E1518" s="11" t="str">
        <f>+HYPERLINK("http://trademark.i-assist.jp/data/china/image_1898th/78549514.pdf", "78549514")</f>
        <v>78549514</v>
      </c>
      <c r="F1518" s="10" t="s">
        <v>4343</v>
      </c>
      <c r="G1518" s="10" t="s">
        <v>4344</v>
      </c>
      <c r="H1518" s="10" t="s">
        <v>4345</v>
      </c>
      <c r="I1518" s="10" t="s">
        <v>261</v>
      </c>
    </row>
    <row r="1519" spans="1:9" x14ac:dyDescent="0.15">
      <c r="A1519" s="9">
        <v>1518</v>
      </c>
      <c r="B1519" s="10" t="s">
        <v>9</v>
      </c>
      <c r="C1519" s="10" t="s">
        <v>299</v>
      </c>
      <c r="D1519" s="10" t="s">
        <v>300</v>
      </c>
      <c r="E1519" s="11" t="str">
        <f>+HYPERLINK("http://trademark.i-assist.jp/data/china/image_1898th/78549715.pdf", "78549715")</f>
        <v>78549715</v>
      </c>
      <c r="F1519" s="10" t="s">
        <v>4346</v>
      </c>
      <c r="G1519" s="10" t="s">
        <v>4347</v>
      </c>
      <c r="H1519" s="10" t="s">
        <v>4348</v>
      </c>
      <c r="I1519" s="10" t="s">
        <v>261</v>
      </c>
    </row>
    <row r="1520" spans="1:9" x14ac:dyDescent="0.15">
      <c r="A1520" s="9">
        <v>1519</v>
      </c>
      <c r="B1520" s="10" t="s">
        <v>9</v>
      </c>
      <c r="C1520" s="10" t="s">
        <v>299</v>
      </c>
      <c r="D1520" s="10" t="s">
        <v>300</v>
      </c>
      <c r="E1520" s="11" t="str">
        <f>+HYPERLINK("http://trademark.i-assist.jp/data/china/image_1898th/78549804.pdf", "78549804")</f>
        <v>78549804</v>
      </c>
      <c r="F1520" s="10" t="s">
        <v>4349</v>
      </c>
      <c r="G1520" s="10" t="s">
        <v>135</v>
      </c>
      <c r="H1520" s="10" t="s">
        <v>4350</v>
      </c>
      <c r="I1520" s="10" t="s">
        <v>261</v>
      </c>
    </row>
    <row r="1521" spans="1:9" x14ac:dyDescent="0.15">
      <c r="A1521" s="9">
        <v>1520</v>
      </c>
      <c r="B1521" s="10" t="s">
        <v>9</v>
      </c>
      <c r="C1521" s="10" t="s">
        <v>299</v>
      </c>
      <c r="D1521" s="10" t="s">
        <v>300</v>
      </c>
      <c r="E1521" s="11" t="str">
        <f>+HYPERLINK("http://trademark.i-assist.jp/data/china/image_1898th/78549986.pdf", "78549986")</f>
        <v>78549986</v>
      </c>
      <c r="F1521" s="10" t="s">
        <v>4351</v>
      </c>
      <c r="G1521" s="10" t="s">
        <v>4352</v>
      </c>
      <c r="H1521" s="10" t="s">
        <v>4353</v>
      </c>
      <c r="I1521" s="10" t="s">
        <v>261</v>
      </c>
    </row>
    <row r="1522" spans="1:9" x14ac:dyDescent="0.15">
      <c r="A1522" s="9">
        <v>1521</v>
      </c>
      <c r="B1522" s="10" t="s">
        <v>9</v>
      </c>
      <c r="C1522" s="10" t="s">
        <v>299</v>
      </c>
      <c r="D1522" s="10" t="s">
        <v>300</v>
      </c>
      <c r="E1522" s="11" t="str">
        <f>+HYPERLINK("http://trademark.i-assist.jp/data/china/image_1898th/78550172.pdf", "78550172")</f>
        <v>78550172</v>
      </c>
      <c r="F1522" s="10" t="s">
        <v>4354</v>
      </c>
      <c r="G1522" s="10" t="s">
        <v>1666</v>
      </c>
      <c r="H1522" s="10" t="s">
        <v>4355</v>
      </c>
      <c r="I1522" s="10" t="s">
        <v>261</v>
      </c>
    </row>
    <row r="1523" spans="1:9" x14ac:dyDescent="0.15">
      <c r="A1523" s="9">
        <v>1522</v>
      </c>
      <c r="B1523" s="10" t="s">
        <v>9</v>
      </c>
      <c r="C1523" s="10" t="s">
        <v>299</v>
      </c>
      <c r="D1523" s="10" t="s">
        <v>300</v>
      </c>
      <c r="E1523" s="11" t="str">
        <f>+HYPERLINK("http://trademark.i-assist.jp/data/china/image_1898th/78550449.pdf", "78550449")</f>
        <v>78550449</v>
      </c>
      <c r="F1523" s="10" t="s">
        <v>4356</v>
      </c>
      <c r="G1523" s="10" t="s">
        <v>4357</v>
      </c>
      <c r="H1523" s="10" t="s">
        <v>4358</v>
      </c>
      <c r="I1523" s="10" t="s">
        <v>261</v>
      </c>
    </row>
    <row r="1524" spans="1:9" x14ac:dyDescent="0.15">
      <c r="A1524" s="9">
        <v>1523</v>
      </c>
      <c r="B1524" s="10" t="s">
        <v>9</v>
      </c>
      <c r="C1524" s="10" t="s">
        <v>299</v>
      </c>
      <c r="D1524" s="10" t="s">
        <v>300</v>
      </c>
      <c r="E1524" s="11" t="str">
        <f>+HYPERLINK("http://trademark.i-assist.jp/data/china/image_1898th/78551060.pdf", "78551060")</f>
        <v>78551060</v>
      </c>
      <c r="F1524" s="10" t="s">
        <v>4359</v>
      </c>
      <c r="G1524" s="10" t="s">
        <v>4360</v>
      </c>
      <c r="H1524" s="10" t="s">
        <v>4361</v>
      </c>
      <c r="I1524" s="10" t="s">
        <v>261</v>
      </c>
    </row>
    <row r="1525" spans="1:9" x14ac:dyDescent="0.15">
      <c r="A1525" s="9">
        <v>1524</v>
      </c>
      <c r="B1525" s="10" t="s">
        <v>9</v>
      </c>
      <c r="C1525" s="10" t="s">
        <v>299</v>
      </c>
      <c r="D1525" s="10" t="s">
        <v>300</v>
      </c>
      <c r="E1525" s="11" t="str">
        <f>+HYPERLINK("http://trademark.i-assist.jp/data/china/image_1898th/78551120.pdf", "78551120")</f>
        <v>78551120</v>
      </c>
      <c r="F1525" s="10" t="s">
        <v>4362</v>
      </c>
      <c r="G1525" s="10" t="s">
        <v>4363</v>
      </c>
      <c r="H1525" s="10" t="s">
        <v>4364</v>
      </c>
      <c r="I1525" s="10" t="s">
        <v>261</v>
      </c>
    </row>
    <row r="1526" spans="1:9" x14ac:dyDescent="0.15">
      <c r="A1526" s="9">
        <v>1525</v>
      </c>
      <c r="B1526" s="10" t="s">
        <v>9</v>
      </c>
      <c r="C1526" s="10" t="s">
        <v>299</v>
      </c>
      <c r="D1526" s="10" t="s">
        <v>300</v>
      </c>
      <c r="E1526" s="11" t="str">
        <f>+HYPERLINK("http://trademark.i-assist.jp/data/china/image_1898th/78551333.pdf", "78551333")</f>
        <v>78551333</v>
      </c>
      <c r="F1526" s="10" t="s">
        <v>4365</v>
      </c>
      <c r="G1526" s="10" t="s">
        <v>1103</v>
      </c>
      <c r="H1526" s="10" t="s">
        <v>4366</v>
      </c>
      <c r="I1526" s="10" t="s">
        <v>261</v>
      </c>
    </row>
    <row r="1527" spans="1:9" x14ac:dyDescent="0.15">
      <c r="A1527" s="9">
        <v>1526</v>
      </c>
      <c r="B1527" s="10" t="s">
        <v>9</v>
      </c>
      <c r="C1527" s="10" t="s">
        <v>299</v>
      </c>
      <c r="D1527" s="10" t="s">
        <v>300</v>
      </c>
      <c r="E1527" s="11" t="str">
        <f>+HYPERLINK("http://trademark.i-assist.jp/data/china/image_1898th/78551726.pdf", "78551726")</f>
        <v>78551726</v>
      </c>
      <c r="F1527" s="10" t="s">
        <v>4367</v>
      </c>
      <c r="G1527" s="10" t="s">
        <v>4308</v>
      </c>
      <c r="H1527" s="10" t="s">
        <v>4368</v>
      </c>
      <c r="I1527" s="10" t="s">
        <v>261</v>
      </c>
    </row>
    <row r="1528" spans="1:9" x14ac:dyDescent="0.15">
      <c r="A1528" s="9">
        <v>1527</v>
      </c>
      <c r="B1528" s="10" t="s">
        <v>9</v>
      </c>
      <c r="C1528" s="10" t="s">
        <v>299</v>
      </c>
      <c r="D1528" s="10" t="s">
        <v>300</v>
      </c>
      <c r="E1528" s="11" t="str">
        <f>+HYPERLINK("http://trademark.i-assist.jp/data/china/image_1898th/78552211.pdf", "78552211")</f>
        <v>78552211</v>
      </c>
      <c r="F1528" s="10" t="s">
        <v>4369</v>
      </c>
      <c r="G1528" s="10" t="s">
        <v>4370</v>
      </c>
      <c r="H1528" s="10" t="s">
        <v>4371</v>
      </c>
      <c r="I1528" s="10" t="s">
        <v>261</v>
      </c>
    </row>
    <row r="1529" spans="1:9" x14ac:dyDescent="0.15">
      <c r="A1529" s="9">
        <v>1528</v>
      </c>
      <c r="B1529" s="10" t="s">
        <v>9</v>
      </c>
      <c r="C1529" s="10" t="s">
        <v>299</v>
      </c>
      <c r="D1529" s="10" t="s">
        <v>300</v>
      </c>
      <c r="E1529" s="11" t="str">
        <f>+HYPERLINK("http://trademark.i-assist.jp/data/china/image_1898th/78552303.pdf", "78552303")</f>
        <v>78552303</v>
      </c>
      <c r="F1529" s="10" t="s">
        <v>4372</v>
      </c>
      <c r="G1529" s="10" t="s">
        <v>4373</v>
      </c>
      <c r="H1529" s="10" t="s">
        <v>4374</v>
      </c>
      <c r="I1529" s="10" t="s">
        <v>261</v>
      </c>
    </row>
    <row r="1530" spans="1:9" x14ac:dyDescent="0.15">
      <c r="A1530" s="9">
        <v>1529</v>
      </c>
      <c r="B1530" s="10" t="s">
        <v>9</v>
      </c>
      <c r="C1530" s="10" t="s">
        <v>299</v>
      </c>
      <c r="D1530" s="10" t="s">
        <v>300</v>
      </c>
      <c r="E1530" s="11" t="str">
        <f>+HYPERLINK("http://trademark.i-assist.jp/data/china/image_1898th/78552418.pdf", "78552418")</f>
        <v>78552418</v>
      </c>
      <c r="F1530" s="10" t="s">
        <v>4375</v>
      </c>
      <c r="G1530" s="10" t="s">
        <v>4376</v>
      </c>
      <c r="H1530" s="10" t="s">
        <v>4377</v>
      </c>
      <c r="I1530" s="10" t="s">
        <v>261</v>
      </c>
    </row>
    <row r="1531" spans="1:9" x14ac:dyDescent="0.15">
      <c r="A1531" s="9">
        <v>1530</v>
      </c>
      <c r="B1531" s="10" t="s">
        <v>9</v>
      </c>
      <c r="C1531" s="10" t="s">
        <v>299</v>
      </c>
      <c r="D1531" s="10" t="s">
        <v>300</v>
      </c>
      <c r="E1531" s="11" t="str">
        <f>+HYPERLINK("http://trademark.i-assist.jp/data/china/image_1898th/78552583.pdf", "78552583")</f>
        <v>78552583</v>
      </c>
      <c r="F1531" s="10" t="s">
        <v>4378</v>
      </c>
      <c r="G1531" s="10" t="s">
        <v>3773</v>
      </c>
      <c r="H1531" s="10" t="s">
        <v>4379</v>
      </c>
      <c r="I1531" s="10" t="s">
        <v>261</v>
      </c>
    </row>
    <row r="1532" spans="1:9" x14ac:dyDescent="0.15">
      <c r="A1532" s="9">
        <v>1531</v>
      </c>
      <c r="B1532" s="10" t="s">
        <v>9</v>
      </c>
      <c r="C1532" s="10" t="s">
        <v>299</v>
      </c>
      <c r="D1532" s="10" t="s">
        <v>300</v>
      </c>
      <c r="E1532" s="11" t="str">
        <f>+HYPERLINK("http://trademark.i-assist.jp/data/china/image_1898th/78552600.pdf", "78552600")</f>
        <v>78552600</v>
      </c>
      <c r="F1532" s="10" t="s">
        <v>4380</v>
      </c>
      <c r="G1532" s="10" t="s">
        <v>4381</v>
      </c>
      <c r="H1532" s="10" t="s">
        <v>4382</v>
      </c>
      <c r="I1532" s="10" t="s">
        <v>261</v>
      </c>
    </row>
    <row r="1533" spans="1:9" x14ac:dyDescent="0.15">
      <c r="A1533" s="9">
        <v>1532</v>
      </c>
      <c r="B1533" s="10" t="s">
        <v>9</v>
      </c>
      <c r="C1533" s="10" t="s">
        <v>299</v>
      </c>
      <c r="D1533" s="10" t="s">
        <v>300</v>
      </c>
      <c r="E1533" s="11" t="str">
        <f>+HYPERLINK("http://trademark.i-assist.jp/data/china/image_1898th/78552610.pdf", "78552610")</f>
        <v>78552610</v>
      </c>
      <c r="F1533" s="10" t="s">
        <v>4383</v>
      </c>
      <c r="G1533" s="10" t="s">
        <v>4384</v>
      </c>
      <c r="H1533" s="10" t="s">
        <v>4385</v>
      </c>
      <c r="I1533" s="10" t="s">
        <v>261</v>
      </c>
    </row>
    <row r="1534" spans="1:9" x14ac:dyDescent="0.15">
      <c r="A1534" s="9">
        <v>1533</v>
      </c>
      <c r="B1534" s="10" t="s">
        <v>9</v>
      </c>
      <c r="C1534" s="10" t="s">
        <v>299</v>
      </c>
      <c r="D1534" s="10" t="s">
        <v>300</v>
      </c>
      <c r="E1534" s="11" t="str">
        <f>+HYPERLINK("http://trademark.i-assist.jp/data/china/image_1898th/78552766.pdf", "78552766")</f>
        <v>78552766</v>
      </c>
      <c r="F1534" s="10" t="s">
        <v>4386</v>
      </c>
      <c r="G1534" s="10" t="s">
        <v>1364</v>
      </c>
      <c r="H1534" s="10" t="s">
        <v>4387</v>
      </c>
      <c r="I1534" s="10" t="s">
        <v>261</v>
      </c>
    </row>
    <row r="1535" spans="1:9" x14ac:dyDescent="0.15">
      <c r="A1535" s="9">
        <v>1534</v>
      </c>
      <c r="B1535" s="10" t="s">
        <v>9</v>
      </c>
      <c r="C1535" s="10" t="s">
        <v>299</v>
      </c>
      <c r="D1535" s="10" t="s">
        <v>300</v>
      </c>
      <c r="E1535" s="11" t="str">
        <f>+HYPERLINK("http://trademark.i-assist.jp/data/china/image_1898th/78552878.pdf", "78552878")</f>
        <v>78552878</v>
      </c>
      <c r="F1535" s="10" t="s">
        <v>4388</v>
      </c>
      <c r="G1535" s="10" t="s">
        <v>4389</v>
      </c>
      <c r="H1535" s="10" t="s">
        <v>4390</v>
      </c>
      <c r="I1535" s="10" t="s">
        <v>261</v>
      </c>
    </row>
    <row r="1536" spans="1:9" x14ac:dyDescent="0.15">
      <c r="A1536" s="9">
        <v>1535</v>
      </c>
      <c r="B1536" s="10" t="s">
        <v>9</v>
      </c>
      <c r="C1536" s="10" t="s">
        <v>299</v>
      </c>
      <c r="D1536" s="10" t="s">
        <v>300</v>
      </c>
      <c r="E1536" s="11" t="str">
        <f>+HYPERLINK("http://trademark.i-assist.jp/data/china/image_1898th/78553344.pdf", "78553344")</f>
        <v>78553344</v>
      </c>
      <c r="F1536" s="10" t="s">
        <v>4391</v>
      </c>
      <c r="G1536" s="10" t="s">
        <v>4392</v>
      </c>
      <c r="H1536" s="10" t="s">
        <v>4393</v>
      </c>
      <c r="I1536" s="10" t="s">
        <v>261</v>
      </c>
    </row>
    <row r="1537" spans="1:9" x14ac:dyDescent="0.15">
      <c r="A1537" s="9">
        <v>1536</v>
      </c>
      <c r="B1537" s="10" t="s">
        <v>9</v>
      </c>
      <c r="C1537" s="10" t="s">
        <v>299</v>
      </c>
      <c r="D1537" s="10" t="s">
        <v>300</v>
      </c>
      <c r="E1537" s="11" t="str">
        <f>+HYPERLINK("http://trademark.i-assist.jp/data/china/image_1898th/78553461.pdf", "78553461")</f>
        <v>78553461</v>
      </c>
      <c r="F1537" s="10" t="s">
        <v>4394</v>
      </c>
      <c r="G1537" s="10" t="s">
        <v>4395</v>
      </c>
      <c r="H1537" s="10" t="s">
        <v>4396</v>
      </c>
      <c r="I1537" s="10" t="s">
        <v>261</v>
      </c>
    </row>
    <row r="1538" spans="1:9" x14ac:dyDescent="0.15">
      <c r="A1538" s="9">
        <v>1537</v>
      </c>
      <c r="B1538" s="10" t="s">
        <v>9</v>
      </c>
      <c r="C1538" s="10" t="s">
        <v>299</v>
      </c>
      <c r="D1538" s="10" t="s">
        <v>300</v>
      </c>
      <c r="E1538" s="11" t="str">
        <f>+HYPERLINK("http://trademark.i-assist.jp/data/china/image_1898th/78553504.pdf", "78553504")</f>
        <v>78553504</v>
      </c>
      <c r="F1538" s="10" t="s">
        <v>4397</v>
      </c>
      <c r="G1538" s="10" t="s">
        <v>4398</v>
      </c>
      <c r="H1538" s="10" t="s">
        <v>4399</v>
      </c>
      <c r="I1538" s="10" t="s">
        <v>261</v>
      </c>
    </row>
    <row r="1539" spans="1:9" x14ac:dyDescent="0.15">
      <c r="A1539" s="9">
        <v>1538</v>
      </c>
      <c r="B1539" s="10" t="s">
        <v>9</v>
      </c>
      <c r="C1539" s="10" t="s">
        <v>299</v>
      </c>
      <c r="D1539" s="10" t="s">
        <v>300</v>
      </c>
      <c r="E1539" s="11" t="str">
        <f>+HYPERLINK("http://trademark.i-assist.jp/data/china/image_1898th/78553795.pdf", "78553795")</f>
        <v>78553795</v>
      </c>
      <c r="F1539" s="10" t="s">
        <v>4400</v>
      </c>
      <c r="G1539" s="10" t="s">
        <v>4401</v>
      </c>
      <c r="H1539" s="10" t="s">
        <v>34</v>
      </c>
      <c r="I1539" s="10" t="s">
        <v>261</v>
      </c>
    </row>
    <row r="1540" spans="1:9" x14ac:dyDescent="0.15">
      <c r="A1540" s="9">
        <v>1539</v>
      </c>
      <c r="B1540" s="10" t="s">
        <v>9</v>
      </c>
      <c r="C1540" s="10" t="s">
        <v>299</v>
      </c>
      <c r="D1540" s="10" t="s">
        <v>300</v>
      </c>
      <c r="E1540" s="11" t="str">
        <f>+HYPERLINK("http://trademark.i-assist.jp/data/china/image_1898th/78553807.pdf", "78553807")</f>
        <v>78553807</v>
      </c>
      <c r="F1540" s="10" t="s">
        <v>4402</v>
      </c>
      <c r="G1540" s="10" t="s">
        <v>4403</v>
      </c>
      <c r="H1540" s="10" t="s">
        <v>4404</v>
      </c>
      <c r="I1540" s="10" t="s">
        <v>261</v>
      </c>
    </row>
    <row r="1541" spans="1:9" x14ac:dyDescent="0.15">
      <c r="A1541" s="9">
        <v>1540</v>
      </c>
      <c r="B1541" s="10" t="s">
        <v>9</v>
      </c>
      <c r="C1541" s="10" t="s">
        <v>299</v>
      </c>
      <c r="D1541" s="10" t="s">
        <v>300</v>
      </c>
      <c r="E1541" s="11" t="str">
        <f>+HYPERLINK("http://trademark.i-assist.jp/data/china/image_1898th/78553851.pdf", "78553851")</f>
        <v>78553851</v>
      </c>
      <c r="F1541" s="10" t="s">
        <v>4405</v>
      </c>
      <c r="G1541" s="10" t="s">
        <v>4245</v>
      </c>
      <c r="H1541" s="10" t="s">
        <v>4406</v>
      </c>
      <c r="I1541" s="10" t="s">
        <v>261</v>
      </c>
    </row>
    <row r="1542" spans="1:9" x14ac:dyDescent="0.15">
      <c r="A1542" s="9">
        <v>1541</v>
      </c>
      <c r="B1542" s="10" t="s">
        <v>9</v>
      </c>
      <c r="C1542" s="10" t="s">
        <v>299</v>
      </c>
      <c r="D1542" s="10" t="s">
        <v>300</v>
      </c>
      <c r="E1542" s="11" t="str">
        <f>+HYPERLINK("http://trademark.i-assist.jp/data/china/image_1898th/78553948.pdf", "78553948")</f>
        <v>78553948</v>
      </c>
      <c r="F1542" s="10" t="s">
        <v>4407</v>
      </c>
      <c r="G1542" s="10" t="s">
        <v>4338</v>
      </c>
      <c r="H1542" s="10" t="s">
        <v>4408</v>
      </c>
      <c r="I1542" s="10" t="s">
        <v>261</v>
      </c>
    </row>
    <row r="1543" spans="1:9" x14ac:dyDescent="0.15">
      <c r="A1543" s="9">
        <v>1542</v>
      </c>
      <c r="B1543" s="10" t="s">
        <v>9</v>
      </c>
      <c r="C1543" s="10" t="s">
        <v>299</v>
      </c>
      <c r="D1543" s="10" t="s">
        <v>300</v>
      </c>
      <c r="E1543" s="11" t="str">
        <f>+HYPERLINK("http://trademark.i-assist.jp/data/china/image_1898th/78554008.pdf", "78554008")</f>
        <v>78554008</v>
      </c>
      <c r="F1543" s="10" t="s">
        <v>4409</v>
      </c>
      <c r="G1543" s="10" t="s">
        <v>4410</v>
      </c>
      <c r="H1543" s="10" t="s">
        <v>4411</v>
      </c>
      <c r="I1543" s="10" t="s">
        <v>261</v>
      </c>
    </row>
    <row r="1544" spans="1:9" x14ac:dyDescent="0.15">
      <c r="A1544" s="9">
        <v>1543</v>
      </c>
      <c r="B1544" s="10" t="s">
        <v>9</v>
      </c>
      <c r="C1544" s="10" t="s">
        <v>299</v>
      </c>
      <c r="D1544" s="10" t="s">
        <v>300</v>
      </c>
      <c r="E1544" s="11" t="str">
        <f>+HYPERLINK("http://trademark.i-assist.jp/data/china/image_1898th/78554112.pdf", "78554112")</f>
        <v>78554112</v>
      </c>
      <c r="F1544" s="10" t="s">
        <v>4412</v>
      </c>
      <c r="G1544" s="10" t="s">
        <v>4413</v>
      </c>
      <c r="H1544" s="10" t="s">
        <v>4414</v>
      </c>
      <c r="I1544" s="10" t="s">
        <v>261</v>
      </c>
    </row>
    <row r="1545" spans="1:9" x14ac:dyDescent="0.15">
      <c r="A1545" s="9">
        <v>1544</v>
      </c>
      <c r="B1545" s="10" t="s">
        <v>9</v>
      </c>
      <c r="C1545" s="10" t="s">
        <v>299</v>
      </c>
      <c r="D1545" s="10" t="s">
        <v>300</v>
      </c>
      <c r="E1545" s="11" t="str">
        <f>+HYPERLINK("http://trademark.i-assist.jp/data/china/image_1898th/78554466.pdf", "78554466")</f>
        <v>78554466</v>
      </c>
      <c r="F1545" s="10" t="s">
        <v>4415</v>
      </c>
      <c r="G1545" s="10" t="s">
        <v>4416</v>
      </c>
      <c r="H1545" s="10" t="s">
        <v>4417</v>
      </c>
      <c r="I1545" s="10" t="s">
        <v>261</v>
      </c>
    </row>
    <row r="1546" spans="1:9" x14ac:dyDescent="0.15">
      <c r="A1546" s="9">
        <v>1545</v>
      </c>
      <c r="B1546" s="10" t="s">
        <v>9</v>
      </c>
      <c r="C1546" s="10" t="s">
        <v>299</v>
      </c>
      <c r="D1546" s="10" t="s">
        <v>300</v>
      </c>
      <c r="E1546" s="11" t="str">
        <f>+HYPERLINK("http://trademark.i-assist.jp/data/china/image_1898th/78554741.pdf", "78554741")</f>
        <v>78554741</v>
      </c>
      <c r="F1546" s="10" t="s">
        <v>19</v>
      </c>
      <c r="G1546" s="10" t="s">
        <v>4418</v>
      </c>
      <c r="H1546" s="10" t="s">
        <v>4419</v>
      </c>
      <c r="I1546" s="10" t="s">
        <v>261</v>
      </c>
    </row>
    <row r="1547" spans="1:9" x14ac:dyDescent="0.15">
      <c r="A1547" s="9">
        <v>1546</v>
      </c>
      <c r="B1547" s="10" t="s">
        <v>9</v>
      </c>
      <c r="C1547" s="10" t="s">
        <v>299</v>
      </c>
      <c r="D1547" s="10" t="s">
        <v>300</v>
      </c>
      <c r="E1547" s="11" t="str">
        <f>+HYPERLINK("http://trademark.i-assist.jp/data/china/image_1898th/78554832.pdf", "78554832")</f>
        <v>78554832</v>
      </c>
      <c r="F1547" s="10" t="s">
        <v>4420</v>
      </c>
      <c r="G1547" s="10" t="s">
        <v>4421</v>
      </c>
      <c r="H1547" s="10" t="s">
        <v>4422</v>
      </c>
      <c r="I1547" s="10" t="s">
        <v>261</v>
      </c>
    </row>
    <row r="1548" spans="1:9" x14ac:dyDescent="0.15">
      <c r="A1548" s="9">
        <v>1547</v>
      </c>
      <c r="B1548" s="10" t="s">
        <v>9</v>
      </c>
      <c r="C1548" s="10" t="s">
        <v>299</v>
      </c>
      <c r="D1548" s="10" t="s">
        <v>300</v>
      </c>
      <c r="E1548" s="11" t="str">
        <f>+HYPERLINK("http://trademark.i-assist.jp/data/china/image_1898th/78554982.pdf", "78554982")</f>
        <v>78554982</v>
      </c>
      <c r="F1548" s="10" t="s">
        <v>4423</v>
      </c>
      <c r="G1548" s="10" t="s">
        <v>4424</v>
      </c>
      <c r="H1548" s="10" t="s">
        <v>4425</v>
      </c>
      <c r="I1548" s="10" t="s">
        <v>261</v>
      </c>
    </row>
    <row r="1549" spans="1:9" x14ac:dyDescent="0.15">
      <c r="A1549" s="9">
        <v>1548</v>
      </c>
      <c r="B1549" s="10" t="s">
        <v>9</v>
      </c>
      <c r="C1549" s="10" t="s">
        <v>299</v>
      </c>
      <c r="D1549" s="10" t="s">
        <v>300</v>
      </c>
      <c r="E1549" s="11" t="str">
        <f>+HYPERLINK("http://trademark.i-assist.jp/data/china/image_1898th/78555067.pdf", "78555067")</f>
        <v>78555067</v>
      </c>
      <c r="F1549" s="10" t="s">
        <v>4426</v>
      </c>
      <c r="G1549" s="10" t="s">
        <v>4427</v>
      </c>
      <c r="H1549" s="10" t="s">
        <v>4428</v>
      </c>
      <c r="I1549" s="10" t="s">
        <v>261</v>
      </c>
    </row>
    <row r="1550" spans="1:9" x14ac:dyDescent="0.15">
      <c r="A1550" s="9">
        <v>1549</v>
      </c>
      <c r="B1550" s="10" t="s">
        <v>9</v>
      </c>
      <c r="C1550" s="10" t="s">
        <v>299</v>
      </c>
      <c r="D1550" s="10" t="s">
        <v>300</v>
      </c>
      <c r="E1550" s="11" t="str">
        <f>+HYPERLINK("http://trademark.i-assist.jp/data/china/image_1898th/78555261.pdf", "78555261")</f>
        <v>78555261</v>
      </c>
      <c r="F1550" s="10" t="s">
        <v>4429</v>
      </c>
      <c r="G1550" s="10" t="s">
        <v>4302</v>
      </c>
      <c r="H1550" s="10" t="s">
        <v>4430</v>
      </c>
      <c r="I1550" s="10" t="s">
        <v>261</v>
      </c>
    </row>
    <row r="1551" spans="1:9" x14ac:dyDescent="0.15">
      <c r="A1551" s="9">
        <v>1550</v>
      </c>
      <c r="B1551" s="10" t="s">
        <v>9</v>
      </c>
      <c r="C1551" s="10" t="s">
        <v>299</v>
      </c>
      <c r="D1551" s="10" t="s">
        <v>300</v>
      </c>
      <c r="E1551" s="11" t="str">
        <f>+HYPERLINK("http://trademark.i-assist.jp/data/china/image_1898th/78555567.pdf", "78555567")</f>
        <v>78555567</v>
      </c>
      <c r="F1551" s="10" t="s">
        <v>4431</v>
      </c>
      <c r="G1551" s="10" t="s">
        <v>4432</v>
      </c>
      <c r="H1551" s="10" t="s">
        <v>4430</v>
      </c>
      <c r="I1551" s="10" t="s">
        <v>261</v>
      </c>
    </row>
    <row r="1552" spans="1:9" x14ac:dyDescent="0.15">
      <c r="A1552" s="9">
        <v>1551</v>
      </c>
      <c r="B1552" s="10" t="s">
        <v>9</v>
      </c>
      <c r="C1552" s="10" t="s">
        <v>299</v>
      </c>
      <c r="D1552" s="10" t="s">
        <v>300</v>
      </c>
      <c r="E1552" s="11" t="str">
        <f>+HYPERLINK("http://trademark.i-assist.jp/data/china/image_1898th/78555762.pdf", "78555762")</f>
        <v>78555762</v>
      </c>
      <c r="F1552" s="10" t="s">
        <v>4433</v>
      </c>
      <c r="G1552" s="10" t="s">
        <v>4285</v>
      </c>
      <c r="H1552" s="10" t="s">
        <v>4434</v>
      </c>
      <c r="I1552" s="10" t="s">
        <v>261</v>
      </c>
    </row>
    <row r="1553" spans="1:9" x14ac:dyDescent="0.15">
      <c r="A1553" s="9">
        <v>1552</v>
      </c>
      <c r="B1553" s="10" t="s">
        <v>9</v>
      </c>
      <c r="C1553" s="10" t="s">
        <v>299</v>
      </c>
      <c r="D1553" s="10" t="s">
        <v>300</v>
      </c>
      <c r="E1553" s="11" t="str">
        <f>+HYPERLINK("http://trademark.i-assist.jp/data/china/image_1898th/78556159.pdf", "78556159")</f>
        <v>78556159</v>
      </c>
      <c r="F1553" s="10" t="s">
        <v>4435</v>
      </c>
      <c r="G1553" s="10" t="s">
        <v>4436</v>
      </c>
      <c r="H1553" s="10" t="s">
        <v>4437</v>
      </c>
      <c r="I1553" s="10" t="s">
        <v>261</v>
      </c>
    </row>
    <row r="1554" spans="1:9" x14ac:dyDescent="0.15">
      <c r="A1554" s="9">
        <v>1553</v>
      </c>
      <c r="B1554" s="10" t="s">
        <v>9</v>
      </c>
      <c r="C1554" s="10" t="s">
        <v>299</v>
      </c>
      <c r="D1554" s="10" t="s">
        <v>300</v>
      </c>
      <c r="E1554" s="11" t="str">
        <f>+HYPERLINK("http://trademark.i-assist.jp/data/china/image_1898th/78556715.pdf", "78556715")</f>
        <v>78556715</v>
      </c>
      <c r="F1554" s="10" t="s">
        <v>4438</v>
      </c>
      <c r="G1554" s="10" t="s">
        <v>288</v>
      </c>
      <c r="H1554" s="10" t="s">
        <v>4439</v>
      </c>
      <c r="I1554" s="10" t="s">
        <v>261</v>
      </c>
    </row>
    <row r="1555" spans="1:9" x14ac:dyDescent="0.15">
      <c r="A1555" s="9">
        <v>1554</v>
      </c>
      <c r="B1555" s="10" t="s">
        <v>9</v>
      </c>
      <c r="C1555" s="10" t="s">
        <v>299</v>
      </c>
      <c r="D1555" s="10" t="s">
        <v>300</v>
      </c>
      <c r="E1555" s="11" t="str">
        <f>+HYPERLINK("http://trademark.i-assist.jp/data/china/image_1898th/78556921.pdf", "78556921")</f>
        <v>78556921</v>
      </c>
      <c r="F1555" s="10" t="s">
        <v>4440</v>
      </c>
      <c r="G1555" s="10" t="s">
        <v>4441</v>
      </c>
      <c r="H1555" s="10" t="s">
        <v>4442</v>
      </c>
      <c r="I1555" s="10" t="s">
        <v>261</v>
      </c>
    </row>
    <row r="1556" spans="1:9" x14ac:dyDescent="0.15">
      <c r="A1556" s="9">
        <v>1555</v>
      </c>
      <c r="B1556" s="10" t="s">
        <v>9</v>
      </c>
      <c r="C1556" s="10" t="s">
        <v>299</v>
      </c>
      <c r="D1556" s="10" t="s">
        <v>300</v>
      </c>
      <c r="E1556" s="11" t="str">
        <f>+HYPERLINK("http://trademark.i-assist.jp/data/china/image_1898th/78556976.pdf", "78556976")</f>
        <v>78556976</v>
      </c>
      <c r="F1556" s="10" t="s">
        <v>4451</v>
      </c>
      <c r="G1556" s="10" t="s">
        <v>4452</v>
      </c>
      <c r="H1556" s="10" t="s">
        <v>4453</v>
      </c>
      <c r="I1556" s="10" t="s">
        <v>261</v>
      </c>
    </row>
    <row r="1557" spans="1:9" x14ac:dyDescent="0.15">
      <c r="A1557" s="9">
        <v>1556</v>
      </c>
      <c r="B1557" s="10" t="s">
        <v>9</v>
      </c>
      <c r="C1557" s="10" t="s">
        <v>299</v>
      </c>
      <c r="D1557" s="10" t="s">
        <v>300</v>
      </c>
      <c r="E1557" s="11" t="str">
        <f>+HYPERLINK("http://trademark.i-assist.jp/data/china/image_1898th/78556978.pdf", "78556978")</f>
        <v>78556978</v>
      </c>
      <c r="F1557" s="10" t="s">
        <v>4454</v>
      </c>
      <c r="G1557" s="10" t="s">
        <v>4452</v>
      </c>
      <c r="H1557" s="10" t="s">
        <v>4455</v>
      </c>
      <c r="I1557" s="10" t="s">
        <v>261</v>
      </c>
    </row>
    <row r="1558" spans="1:9" x14ac:dyDescent="0.15">
      <c r="A1558" s="9">
        <v>1557</v>
      </c>
      <c r="B1558" s="10" t="s">
        <v>9</v>
      </c>
      <c r="C1558" s="10" t="s">
        <v>299</v>
      </c>
      <c r="D1558" s="10" t="s">
        <v>300</v>
      </c>
      <c r="E1558" s="11" t="str">
        <f>+HYPERLINK("http://trademark.i-assist.jp/data/china/image_1898th/78557064.pdf", "78557064")</f>
        <v>78557064</v>
      </c>
      <c r="F1558" s="10" t="s">
        <v>4456</v>
      </c>
      <c r="G1558" s="10" t="s">
        <v>4457</v>
      </c>
      <c r="H1558" s="10" t="s">
        <v>4458</v>
      </c>
      <c r="I1558" s="10" t="s">
        <v>261</v>
      </c>
    </row>
    <row r="1559" spans="1:9" x14ac:dyDescent="0.15">
      <c r="A1559" s="9">
        <v>1558</v>
      </c>
      <c r="B1559" s="10" t="s">
        <v>9</v>
      </c>
      <c r="C1559" s="10" t="s">
        <v>299</v>
      </c>
      <c r="D1559" s="10" t="s">
        <v>300</v>
      </c>
      <c r="E1559" s="11" t="str">
        <f>+HYPERLINK("http://trademark.i-assist.jp/data/china/image_1898th/78557113.pdf", "78557113")</f>
        <v>78557113</v>
      </c>
      <c r="F1559" s="10" t="s">
        <v>19</v>
      </c>
      <c r="G1559" s="10" t="s">
        <v>4459</v>
      </c>
      <c r="H1559" s="10" t="s">
        <v>4460</v>
      </c>
      <c r="I1559" s="10" t="s">
        <v>261</v>
      </c>
    </row>
    <row r="1560" spans="1:9" x14ac:dyDescent="0.15">
      <c r="A1560" s="9">
        <v>1559</v>
      </c>
      <c r="B1560" s="10" t="s">
        <v>9</v>
      </c>
      <c r="C1560" s="10" t="s">
        <v>299</v>
      </c>
      <c r="D1560" s="10" t="s">
        <v>300</v>
      </c>
      <c r="E1560" s="11" t="str">
        <f>+HYPERLINK("http://trademark.i-assist.jp/data/china/image_1898th/78557130.pdf", "78557130")</f>
        <v>78557130</v>
      </c>
      <c r="F1560" s="10" t="s">
        <v>4461</v>
      </c>
      <c r="G1560" s="10" t="s">
        <v>4462</v>
      </c>
      <c r="H1560" s="10" t="s">
        <v>4463</v>
      </c>
      <c r="I1560" s="10" t="s">
        <v>261</v>
      </c>
    </row>
    <row r="1561" spans="1:9" x14ac:dyDescent="0.15">
      <c r="A1561" s="9">
        <v>1560</v>
      </c>
      <c r="B1561" s="10" t="s">
        <v>9</v>
      </c>
      <c r="C1561" s="10" t="s">
        <v>299</v>
      </c>
      <c r="D1561" s="10" t="s">
        <v>300</v>
      </c>
      <c r="E1561" s="11" t="str">
        <f>+HYPERLINK("http://trademark.i-assist.jp/data/china/image_1898th/78557500.pdf", "78557500")</f>
        <v>78557500</v>
      </c>
      <c r="F1561" s="10" t="s">
        <v>4464</v>
      </c>
      <c r="G1561" s="10" t="s">
        <v>4465</v>
      </c>
      <c r="H1561" s="10" t="s">
        <v>4466</v>
      </c>
      <c r="I1561" s="10" t="s">
        <v>261</v>
      </c>
    </row>
    <row r="1562" spans="1:9" x14ac:dyDescent="0.15">
      <c r="A1562" s="9">
        <v>1561</v>
      </c>
      <c r="B1562" s="10" t="s">
        <v>9</v>
      </c>
      <c r="C1562" s="10" t="s">
        <v>299</v>
      </c>
      <c r="D1562" s="10" t="s">
        <v>300</v>
      </c>
      <c r="E1562" s="11" t="str">
        <f>+HYPERLINK("http://trademark.i-assist.jp/data/china/image_1898th/78557501.pdf", "78557501")</f>
        <v>78557501</v>
      </c>
      <c r="F1562" s="10" t="s">
        <v>4467</v>
      </c>
      <c r="G1562" s="10" t="s">
        <v>228</v>
      </c>
      <c r="H1562" s="10" t="s">
        <v>4468</v>
      </c>
      <c r="I1562" s="10" t="s">
        <v>261</v>
      </c>
    </row>
    <row r="1563" spans="1:9" x14ac:dyDescent="0.15">
      <c r="A1563" s="9">
        <v>1562</v>
      </c>
      <c r="B1563" s="10" t="s">
        <v>9</v>
      </c>
      <c r="C1563" s="10" t="s">
        <v>299</v>
      </c>
      <c r="D1563" s="10" t="s">
        <v>300</v>
      </c>
      <c r="E1563" s="11" t="str">
        <f>+HYPERLINK("http://trademark.i-assist.jp/data/china/image_1898th/78558095.pdf", "78558095")</f>
        <v>78558095</v>
      </c>
      <c r="F1563" s="10" t="s">
        <v>4469</v>
      </c>
      <c r="G1563" s="10" t="s">
        <v>4470</v>
      </c>
      <c r="H1563" s="10" t="s">
        <v>4471</v>
      </c>
      <c r="I1563" s="10" t="s">
        <v>261</v>
      </c>
    </row>
    <row r="1564" spans="1:9" x14ac:dyDescent="0.15">
      <c r="A1564" s="9">
        <v>1563</v>
      </c>
      <c r="B1564" s="10" t="s">
        <v>9</v>
      </c>
      <c r="C1564" s="10" t="s">
        <v>299</v>
      </c>
      <c r="D1564" s="10" t="s">
        <v>300</v>
      </c>
      <c r="E1564" s="11" t="str">
        <f>+HYPERLINK("http://trademark.i-assist.jp/data/china/image_1898th/78558277.pdf", "78558277")</f>
        <v>78558277</v>
      </c>
      <c r="F1564" s="10" t="s">
        <v>4472</v>
      </c>
      <c r="G1564" s="10" t="s">
        <v>4308</v>
      </c>
      <c r="H1564" s="10" t="s">
        <v>4473</v>
      </c>
      <c r="I1564" s="10" t="s">
        <v>261</v>
      </c>
    </row>
    <row r="1565" spans="1:9" x14ac:dyDescent="0.15">
      <c r="A1565" s="9">
        <v>1564</v>
      </c>
      <c r="B1565" s="10" t="s">
        <v>9</v>
      </c>
      <c r="C1565" s="10" t="s">
        <v>299</v>
      </c>
      <c r="D1565" s="10" t="s">
        <v>300</v>
      </c>
      <c r="E1565" s="11" t="str">
        <f>+HYPERLINK("http://trademark.i-assist.jp/data/china/image_1898th/78558638.pdf", "78558638")</f>
        <v>78558638</v>
      </c>
      <c r="F1565" s="10" t="s">
        <v>4474</v>
      </c>
      <c r="G1565" s="10" t="s">
        <v>4282</v>
      </c>
      <c r="H1565" s="10" t="s">
        <v>4475</v>
      </c>
      <c r="I1565" s="10" t="s">
        <v>261</v>
      </c>
    </row>
    <row r="1566" spans="1:9" x14ac:dyDescent="0.15">
      <c r="A1566" s="9">
        <v>1565</v>
      </c>
      <c r="B1566" s="10" t="s">
        <v>9</v>
      </c>
      <c r="C1566" s="10" t="s">
        <v>299</v>
      </c>
      <c r="D1566" s="10" t="s">
        <v>300</v>
      </c>
      <c r="E1566" s="11" t="str">
        <f>+HYPERLINK("http://trademark.i-assist.jp/data/china/image_1898th/78558797.pdf", "78558797")</f>
        <v>78558797</v>
      </c>
      <c r="F1566" s="10" t="s">
        <v>4476</v>
      </c>
      <c r="G1566" s="10" t="s">
        <v>4477</v>
      </c>
      <c r="H1566" s="10" t="s">
        <v>4478</v>
      </c>
      <c r="I1566" s="10" t="s">
        <v>261</v>
      </c>
    </row>
    <row r="1567" spans="1:9" x14ac:dyDescent="0.15">
      <c r="A1567" s="9">
        <v>1566</v>
      </c>
      <c r="B1567" s="10" t="s">
        <v>9</v>
      </c>
      <c r="C1567" s="10" t="s">
        <v>299</v>
      </c>
      <c r="D1567" s="10" t="s">
        <v>300</v>
      </c>
      <c r="E1567" s="11" t="str">
        <f>+HYPERLINK("http://trademark.i-assist.jp/data/china/image_1898th/78558914.pdf", "78558914")</f>
        <v>78558914</v>
      </c>
      <c r="F1567" s="10" t="s">
        <v>4479</v>
      </c>
      <c r="G1567" s="10" t="s">
        <v>4480</v>
      </c>
      <c r="H1567" s="10" t="s">
        <v>4481</v>
      </c>
      <c r="I1567" s="10" t="s">
        <v>261</v>
      </c>
    </row>
    <row r="1568" spans="1:9" x14ac:dyDescent="0.15">
      <c r="A1568" s="9">
        <v>1567</v>
      </c>
      <c r="B1568" s="10" t="s">
        <v>9</v>
      </c>
      <c r="C1568" s="10" t="s">
        <v>299</v>
      </c>
      <c r="D1568" s="10" t="s">
        <v>300</v>
      </c>
      <c r="E1568" s="11" t="str">
        <f>+HYPERLINK("http://trademark.i-assist.jp/data/china/image_1898th/78558957.pdf", "78558957")</f>
        <v>78558957</v>
      </c>
      <c r="F1568" s="10" t="s">
        <v>4482</v>
      </c>
      <c r="G1568" s="10" t="s">
        <v>4459</v>
      </c>
      <c r="H1568" s="10" t="s">
        <v>4483</v>
      </c>
      <c r="I1568" s="10" t="s">
        <v>261</v>
      </c>
    </row>
    <row r="1569" spans="1:9" x14ac:dyDescent="0.15">
      <c r="A1569" s="9">
        <v>1568</v>
      </c>
      <c r="B1569" s="10" t="s">
        <v>9</v>
      </c>
      <c r="C1569" s="10" t="s">
        <v>299</v>
      </c>
      <c r="D1569" s="10" t="s">
        <v>300</v>
      </c>
      <c r="E1569" s="11" t="str">
        <f>+HYPERLINK("http://trademark.i-assist.jp/data/china/image_1898th/78559046.pdf", "78559046")</f>
        <v>78559046</v>
      </c>
      <c r="F1569" s="10" t="s">
        <v>4484</v>
      </c>
      <c r="G1569" s="10" t="s">
        <v>4485</v>
      </c>
      <c r="H1569" s="10" t="s">
        <v>4486</v>
      </c>
      <c r="I1569" s="10" t="s">
        <v>261</v>
      </c>
    </row>
    <row r="1570" spans="1:9" x14ac:dyDescent="0.15">
      <c r="A1570" s="9">
        <v>1569</v>
      </c>
      <c r="B1570" s="10" t="s">
        <v>9</v>
      </c>
      <c r="C1570" s="10" t="s">
        <v>299</v>
      </c>
      <c r="D1570" s="10" t="s">
        <v>300</v>
      </c>
      <c r="E1570" s="11" t="str">
        <f>+HYPERLINK("http://trademark.i-assist.jp/data/china/image_1898th/78559098.pdf", "78559098")</f>
        <v>78559098</v>
      </c>
      <c r="F1570" s="10" t="s">
        <v>4487</v>
      </c>
      <c r="G1570" s="10" t="s">
        <v>4344</v>
      </c>
      <c r="H1570" s="10" t="s">
        <v>4488</v>
      </c>
      <c r="I1570" s="10" t="s">
        <v>261</v>
      </c>
    </row>
    <row r="1571" spans="1:9" x14ac:dyDescent="0.15">
      <c r="A1571" s="9">
        <v>1570</v>
      </c>
      <c r="B1571" s="10" t="s">
        <v>9</v>
      </c>
      <c r="C1571" s="10" t="s">
        <v>299</v>
      </c>
      <c r="D1571" s="10" t="s">
        <v>300</v>
      </c>
      <c r="E1571" s="11" t="str">
        <f>+HYPERLINK("http://trademark.i-assist.jp/data/china/image_1898th/78559157.pdf", "78559157")</f>
        <v>78559157</v>
      </c>
      <c r="F1571" s="10" t="s">
        <v>4489</v>
      </c>
      <c r="G1571" s="10" t="s">
        <v>4490</v>
      </c>
      <c r="H1571" s="10" t="s">
        <v>4491</v>
      </c>
      <c r="I1571" s="10" t="s">
        <v>261</v>
      </c>
    </row>
    <row r="1572" spans="1:9" x14ac:dyDescent="0.15">
      <c r="A1572" s="9">
        <v>1571</v>
      </c>
      <c r="B1572" s="10" t="s">
        <v>9</v>
      </c>
      <c r="C1572" s="10" t="s">
        <v>299</v>
      </c>
      <c r="D1572" s="10" t="s">
        <v>300</v>
      </c>
      <c r="E1572" s="11" t="str">
        <f>+HYPERLINK("http://trademark.i-assist.jp/data/china/image_1898th/78559160.pdf", "78559160")</f>
        <v>78559160</v>
      </c>
      <c r="F1572" s="10" t="s">
        <v>4492</v>
      </c>
      <c r="G1572" s="10" t="s">
        <v>4493</v>
      </c>
      <c r="H1572" s="10" t="s">
        <v>4494</v>
      </c>
      <c r="I1572" s="10" t="s">
        <v>261</v>
      </c>
    </row>
    <row r="1573" spans="1:9" x14ac:dyDescent="0.15">
      <c r="A1573" s="9">
        <v>1572</v>
      </c>
      <c r="B1573" s="10" t="s">
        <v>9</v>
      </c>
      <c r="C1573" s="10" t="s">
        <v>299</v>
      </c>
      <c r="D1573" s="10" t="s">
        <v>300</v>
      </c>
      <c r="E1573" s="11" t="str">
        <f>+HYPERLINK("http://trademark.i-assist.jp/data/china/image_1898th/78559216.pdf", "78559216")</f>
        <v>78559216</v>
      </c>
      <c r="F1573" s="10" t="s">
        <v>4495</v>
      </c>
      <c r="G1573" s="10" t="s">
        <v>269</v>
      </c>
      <c r="H1573" s="10" t="s">
        <v>4496</v>
      </c>
      <c r="I1573" s="10" t="s">
        <v>261</v>
      </c>
    </row>
    <row r="1574" spans="1:9" x14ac:dyDescent="0.15">
      <c r="A1574" s="9">
        <v>1573</v>
      </c>
      <c r="B1574" s="10" t="s">
        <v>9</v>
      </c>
      <c r="C1574" s="10" t="s">
        <v>299</v>
      </c>
      <c r="D1574" s="10" t="s">
        <v>300</v>
      </c>
      <c r="E1574" s="11" t="str">
        <f>+HYPERLINK("http://trademark.i-assist.jp/data/china/image_1898th/78559248.pdf", "78559248")</f>
        <v>78559248</v>
      </c>
      <c r="F1574" s="10" t="s">
        <v>4497</v>
      </c>
      <c r="G1574" s="10" t="s">
        <v>4498</v>
      </c>
      <c r="H1574" s="10" t="s">
        <v>4499</v>
      </c>
      <c r="I1574" s="10" t="s">
        <v>261</v>
      </c>
    </row>
    <row r="1575" spans="1:9" x14ac:dyDescent="0.15">
      <c r="A1575" s="9">
        <v>1574</v>
      </c>
      <c r="B1575" s="10" t="s">
        <v>9</v>
      </c>
      <c r="C1575" s="10" t="s">
        <v>299</v>
      </c>
      <c r="D1575" s="10" t="s">
        <v>300</v>
      </c>
      <c r="E1575" s="11" t="str">
        <f>+HYPERLINK("http://trademark.i-assist.jp/data/china/image_1898th/78559255.pdf", "78559255")</f>
        <v>78559255</v>
      </c>
      <c r="F1575" s="10" t="s">
        <v>4500</v>
      </c>
      <c r="G1575" s="10" t="s">
        <v>4501</v>
      </c>
      <c r="H1575" s="10" t="s">
        <v>4502</v>
      </c>
      <c r="I1575" s="10" t="s">
        <v>261</v>
      </c>
    </row>
    <row r="1576" spans="1:9" x14ac:dyDescent="0.15">
      <c r="A1576" s="9">
        <v>1575</v>
      </c>
      <c r="B1576" s="10" t="s">
        <v>9</v>
      </c>
      <c r="C1576" s="10" t="s">
        <v>299</v>
      </c>
      <c r="D1576" s="10" t="s">
        <v>300</v>
      </c>
      <c r="E1576" s="11" t="str">
        <f>+HYPERLINK("http://trademark.i-assist.jp/data/china/image_1898th/78559388.pdf", "78559388")</f>
        <v>78559388</v>
      </c>
      <c r="F1576" s="10" t="s">
        <v>4503</v>
      </c>
      <c r="G1576" s="10" t="s">
        <v>4504</v>
      </c>
      <c r="H1576" s="10" t="s">
        <v>4505</v>
      </c>
      <c r="I1576" s="10" t="s">
        <v>261</v>
      </c>
    </row>
    <row r="1577" spans="1:9" x14ac:dyDescent="0.15">
      <c r="A1577" s="9">
        <v>1576</v>
      </c>
      <c r="B1577" s="10" t="s">
        <v>9</v>
      </c>
      <c r="C1577" s="10" t="s">
        <v>299</v>
      </c>
      <c r="D1577" s="10" t="s">
        <v>300</v>
      </c>
      <c r="E1577" s="11" t="str">
        <f>+HYPERLINK("http://trademark.i-assist.jp/data/china/image_1898th/78559392.pdf", "78559392")</f>
        <v>78559392</v>
      </c>
      <c r="F1577" s="10" t="s">
        <v>4506</v>
      </c>
      <c r="G1577" s="10" t="s">
        <v>4507</v>
      </c>
      <c r="H1577" s="10" t="s">
        <v>4508</v>
      </c>
      <c r="I1577" s="10" t="s">
        <v>261</v>
      </c>
    </row>
    <row r="1578" spans="1:9" x14ac:dyDescent="0.15">
      <c r="A1578" s="9">
        <v>1577</v>
      </c>
      <c r="B1578" s="10" t="s">
        <v>9</v>
      </c>
      <c r="C1578" s="10" t="s">
        <v>299</v>
      </c>
      <c r="D1578" s="10" t="s">
        <v>300</v>
      </c>
      <c r="E1578" s="11" t="str">
        <f>+HYPERLINK("http://trademark.i-assist.jp/data/china/image_1898th/78559439.pdf", "78559439")</f>
        <v>78559439</v>
      </c>
      <c r="F1578" s="10" t="s">
        <v>4509</v>
      </c>
      <c r="G1578" s="10" t="s">
        <v>4285</v>
      </c>
      <c r="H1578" s="10" t="s">
        <v>4510</v>
      </c>
      <c r="I1578" s="10" t="s">
        <v>261</v>
      </c>
    </row>
    <row r="1579" spans="1:9" x14ac:dyDescent="0.15">
      <c r="A1579" s="9">
        <v>1578</v>
      </c>
      <c r="B1579" s="10" t="s">
        <v>9</v>
      </c>
      <c r="C1579" s="10" t="s">
        <v>299</v>
      </c>
      <c r="D1579" s="10" t="s">
        <v>300</v>
      </c>
      <c r="E1579" s="11" t="str">
        <f>+HYPERLINK("http://trademark.i-assist.jp/data/china/image_1898th/78559516.pdf", "78559516")</f>
        <v>78559516</v>
      </c>
      <c r="F1579" s="10" t="s">
        <v>4511</v>
      </c>
      <c r="G1579" s="10" t="s">
        <v>4512</v>
      </c>
      <c r="H1579" s="10" t="s">
        <v>4513</v>
      </c>
      <c r="I1579" s="10" t="s">
        <v>261</v>
      </c>
    </row>
    <row r="1580" spans="1:9" x14ac:dyDescent="0.15">
      <c r="A1580" s="9">
        <v>1579</v>
      </c>
      <c r="B1580" s="10" t="s">
        <v>9</v>
      </c>
      <c r="C1580" s="10" t="s">
        <v>299</v>
      </c>
      <c r="D1580" s="10" t="s">
        <v>300</v>
      </c>
      <c r="E1580" s="11" t="str">
        <f>+HYPERLINK("http://trademark.i-assist.jp/data/china/image_1898th/78559606.pdf", "78559606")</f>
        <v>78559606</v>
      </c>
      <c r="F1580" s="10" t="s">
        <v>4514</v>
      </c>
      <c r="G1580" s="10" t="s">
        <v>4515</v>
      </c>
      <c r="H1580" s="10" t="s">
        <v>4516</v>
      </c>
      <c r="I1580" s="10" t="s">
        <v>261</v>
      </c>
    </row>
    <row r="1581" spans="1:9" x14ac:dyDescent="0.15">
      <c r="A1581" s="9">
        <v>1580</v>
      </c>
      <c r="B1581" s="10" t="s">
        <v>9</v>
      </c>
      <c r="C1581" s="10" t="s">
        <v>299</v>
      </c>
      <c r="D1581" s="10" t="s">
        <v>300</v>
      </c>
      <c r="E1581" s="11" t="str">
        <f>+HYPERLINK("http://trademark.i-assist.jp/data/china/image_1898th/78559662.pdf", "78559662")</f>
        <v>78559662</v>
      </c>
      <c r="F1581" s="10" t="s">
        <v>4517</v>
      </c>
      <c r="G1581" s="10" t="s">
        <v>4518</v>
      </c>
      <c r="H1581" s="10" t="s">
        <v>4519</v>
      </c>
      <c r="I1581" s="10" t="s">
        <v>261</v>
      </c>
    </row>
    <row r="1582" spans="1:9" x14ac:dyDescent="0.15">
      <c r="A1582" s="9">
        <v>1581</v>
      </c>
      <c r="B1582" s="10" t="s">
        <v>9</v>
      </c>
      <c r="C1582" s="10" t="s">
        <v>299</v>
      </c>
      <c r="D1582" s="10" t="s">
        <v>300</v>
      </c>
      <c r="E1582" s="11" t="str">
        <f>+HYPERLINK("http://trademark.i-assist.jp/data/china/image_1898th/78559738.pdf", "78559738")</f>
        <v>78559738</v>
      </c>
      <c r="F1582" s="10" t="s">
        <v>4520</v>
      </c>
      <c r="G1582" s="10" t="s">
        <v>4344</v>
      </c>
      <c r="H1582" s="10" t="s">
        <v>4521</v>
      </c>
      <c r="I1582" s="10" t="s">
        <v>261</v>
      </c>
    </row>
    <row r="1583" spans="1:9" x14ac:dyDescent="0.15">
      <c r="A1583" s="9">
        <v>1582</v>
      </c>
      <c r="B1583" s="10" t="s">
        <v>9</v>
      </c>
      <c r="C1583" s="10" t="s">
        <v>299</v>
      </c>
      <c r="D1583" s="10" t="s">
        <v>300</v>
      </c>
      <c r="E1583" s="11" t="str">
        <f>+HYPERLINK("http://trademark.i-assist.jp/data/china/image_1898th/78559801.pdf", "78559801")</f>
        <v>78559801</v>
      </c>
      <c r="F1583" s="10" t="s">
        <v>4522</v>
      </c>
      <c r="G1583" s="10" t="s">
        <v>4523</v>
      </c>
      <c r="H1583" s="10" t="s">
        <v>4524</v>
      </c>
      <c r="I1583" s="10" t="s">
        <v>261</v>
      </c>
    </row>
    <row r="1584" spans="1:9" x14ac:dyDescent="0.15">
      <c r="A1584" s="9">
        <v>1583</v>
      </c>
      <c r="B1584" s="10" t="s">
        <v>9</v>
      </c>
      <c r="C1584" s="10" t="s">
        <v>299</v>
      </c>
      <c r="D1584" s="10" t="s">
        <v>300</v>
      </c>
      <c r="E1584" s="11" t="str">
        <f>+HYPERLINK("http://trademark.i-assist.jp/data/china/image_1898th/78560115.pdf", "78560115")</f>
        <v>78560115</v>
      </c>
      <c r="F1584" s="10" t="s">
        <v>4525</v>
      </c>
      <c r="G1584" s="10" t="s">
        <v>4403</v>
      </c>
      <c r="H1584" s="10" t="s">
        <v>4526</v>
      </c>
      <c r="I1584" s="10" t="s">
        <v>261</v>
      </c>
    </row>
    <row r="1585" spans="1:9" x14ac:dyDescent="0.15">
      <c r="A1585" s="9">
        <v>1584</v>
      </c>
      <c r="B1585" s="10" t="s">
        <v>9</v>
      </c>
      <c r="C1585" s="10" t="s">
        <v>299</v>
      </c>
      <c r="D1585" s="10" t="s">
        <v>300</v>
      </c>
      <c r="E1585" s="11" t="str">
        <f>+HYPERLINK("http://trademark.i-assist.jp/data/china/image_1898th/78560214.pdf", "78560214")</f>
        <v>78560214</v>
      </c>
      <c r="F1585" s="10" t="s">
        <v>4527</v>
      </c>
      <c r="G1585" s="10" t="s">
        <v>4424</v>
      </c>
      <c r="H1585" s="10" t="s">
        <v>4528</v>
      </c>
      <c r="I1585" s="10" t="s">
        <v>261</v>
      </c>
    </row>
    <row r="1586" spans="1:9" x14ac:dyDescent="0.15">
      <c r="A1586" s="9">
        <v>1585</v>
      </c>
      <c r="B1586" s="10" t="s">
        <v>9</v>
      </c>
      <c r="C1586" s="10" t="s">
        <v>299</v>
      </c>
      <c r="D1586" s="10" t="s">
        <v>300</v>
      </c>
      <c r="E1586" s="11" t="str">
        <f>+HYPERLINK("http://trademark.i-assist.jp/data/china/image_1898th/78560452.pdf", "78560452")</f>
        <v>78560452</v>
      </c>
      <c r="F1586" s="10" t="s">
        <v>4529</v>
      </c>
      <c r="G1586" s="10" t="s">
        <v>4530</v>
      </c>
      <c r="H1586" s="10" t="s">
        <v>4531</v>
      </c>
      <c r="I1586" s="10" t="s">
        <v>261</v>
      </c>
    </row>
    <row r="1587" spans="1:9" x14ac:dyDescent="0.15">
      <c r="A1587" s="9">
        <v>1586</v>
      </c>
      <c r="B1587" s="10" t="s">
        <v>9</v>
      </c>
      <c r="C1587" s="10" t="s">
        <v>299</v>
      </c>
      <c r="D1587" s="10" t="s">
        <v>300</v>
      </c>
      <c r="E1587" s="11" t="str">
        <f>+HYPERLINK("http://trademark.i-assist.jp/data/china/image_1898th/78560604.pdf", "78560604")</f>
        <v>78560604</v>
      </c>
      <c r="F1587" s="10" t="s">
        <v>4532</v>
      </c>
      <c r="G1587" s="10" t="s">
        <v>1666</v>
      </c>
      <c r="H1587" s="10" t="s">
        <v>4533</v>
      </c>
      <c r="I1587" s="10" t="s">
        <v>261</v>
      </c>
    </row>
    <row r="1588" spans="1:9" x14ac:dyDescent="0.15">
      <c r="A1588" s="9">
        <v>1587</v>
      </c>
      <c r="B1588" s="10" t="s">
        <v>9</v>
      </c>
      <c r="C1588" s="10" t="s">
        <v>299</v>
      </c>
      <c r="D1588" s="10" t="s">
        <v>300</v>
      </c>
      <c r="E1588" s="11" t="str">
        <f>+HYPERLINK("http://trademark.i-assist.jp/data/china/image_1898th/78560801.pdf", "78560801")</f>
        <v>78560801</v>
      </c>
      <c r="F1588" s="10" t="s">
        <v>4534</v>
      </c>
      <c r="G1588" s="10" t="s">
        <v>4459</v>
      </c>
      <c r="H1588" s="10" t="s">
        <v>4535</v>
      </c>
      <c r="I1588" s="10" t="s">
        <v>261</v>
      </c>
    </row>
    <row r="1589" spans="1:9" x14ac:dyDescent="0.15">
      <c r="A1589" s="9">
        <v>1588</v>
      </c>
      <c r="B1589" s="10" t="s">
        <v>9</v>
      </c>
      <c r="C1589" s="10" t="s">
        <v>299</v>
      </c>
      <c r="D1589" s="10" t="s">
        <v>300</v>
      </c>
      <c r="E1589" s="11" t="str">
        <f>+HYPERLINK("http://trademark.i-assist.jp/data/china/image_1898th/78560813.pdf", "78560813")</f>
        <v>78560813</v>
      </c>
      <c r="F1589" s="10" t="s">
        <v>4536</v>
      </c>
      <c r="G1589" s="10" t="s">
        <v>4537</v>
      </c>
      <c r="H1589" s="10" t="s">
        <v>4538</v>
      </c>
      <c r="I1589" s="10" t="s">
        <v>261</v>
      </c>
    </row>
    <row r="1590" spans="1:9" x14ac:dyDescent="0.15">
      <c r="A1590" s="9">
        <v>1589</v>
      </c>
      <c r="B1590" s="10" t="s">
        <v>9</v>
      </c>
      <c r="C1590" s="10" t="s">
        <v>299</v>
      </c>
      <c r="D1590" s="10" t="s">
        <v>300</v>
      </c>
      <c r="E1590" s="11" t="str">
        <f>+HYPERLINK("http://trademark.i-assist.jp/data/china/image_1898th/78560931.pdf", "78560931")</f>
        <v>78560931</v>
      </c>
      <c r="F1590" s="10" t="s">
        <v>4539</v>
      </c>
      <c r="G1590" s="10" t="s">
        <v>263</v>
      </c>
      <c r="H1590" s="10" t="s">
        <v>4540</v>
      </c>
      <c r="I1590" s="10" t="s">
        <v>261</v>
      </c>
    </row>
    <row r="1591" spans="1:9" x14ac:dyDescent="0.15">
      <c r="A1591" s="9">
        <v>1590</v>
      </c>
      <c r="B1591" s="10" t="s">
        <v>9</v>
      </c>
      <c r="C1591" s="10" t="s">
        <v>299</v>
      </c>
      <c r="D1591" s="10" t="s">
        <v>300</v>
      </c>
      <c r="E1591" s="11" t="str">
        <f>+HYPERLINK("http://trademark.i-assist.jp/data/china/image_1898th/78560977.pdf", "78560977")</f>
        <v>78560977</v>
      </c>
      <c r="F1591" s="10" t="s">
        <v>4541</v>
      </c>
      <c r="G1591" s="10" t="s">
        <v>4542</v>
      </c>
      <c r="H1591" s="10" t="s">
        <v>4543</v>
      </c>
      <c r="I1591" s="10" t="s">
        <v>261</v>
      </c>
    </row>
    <row r="1592" spans="1:9" x14ac:dyDescent="0.15">
      <c r="A1592" s="9">
        <v>1591</v>
      </c>
      <c r="B1592" s="10" t="s">
        <v>9</v>
      </c>
      <c r="C1592" s="10" t="s">
        <v>299</v>
      </c>
      <c r="D1592" s="10" t="s">
        <v>300</v>
      </c>
      <c r="E1592" s="11" t="str">
        <f>+HYPERLINK("http://trademark.i-assist.jp/data/china/image_1898th/78561058.pdf", "78561058")</f>
        <v>78561058</v>
      </c>
      <c r="F1592" s="10" t="s">
        <v>4544</v>
      </c>
      <c r="G1592" s="10" t="s">
        <v>4545</v>
      </c>
      <c r="H1592" s="10" t="s">
        <v>4546</v>
      </c>
      <c r="I1592" s="10" t="s">
        <v>261</v>
      </c>
    </row>
    <row r="1593" spans="1:9" x14ac:dyDescent="0.15">
      <c r="A1593" s="9">
        <v>1592</v>
      </c>
      <c r="B1593" s="10" t="s">
        <v>9</v>
      </c>
      <c r="C1593" s="10" t="s">
        <v>299</v>
      </c>
      <c r="D1593" s="10" t="s">
        <v>300</v>
      </c>
      <c r="E1593" s="11" t="str">
        <f>+HYPERLINK("http://trademark.i-assist.jp/data/china/image_1898th/78561073.pdf", "78561073")</f>
        <v>78561073</v>
      </c>
      <c r="F1593" s="10" t="s">
        <v>4547</v>
      </c>
      <c r="G1593" s="10" t="s">
        <v>4548</v>
      </c>
      <c r="H1593" s="10" t="s">
        <v>4549</v>
      </c>
      <c r="I1593" s="10" t="s">
        <v>261</v>
      </c>
    </row>
    <row r="1594" spans="1:9" x14ac:dyDescent="0.15">
      <c r="A1594" s="9">
        <v>1593</v>
      </c>
      <c r="B1594" s="10" t="s">
        <v>9</v>
      </c>
      <c r="C1594" s="10" t="s">
        <v>299</v>
      </c>
      <c r="D1594" s="10" t="s">
        <v>300</v>
      </c>
      <c r="E1594" s="11" t="str">
        <f>+HYPERLINK("http://trademark.i-assist.jp/data/china/image_1898th/78561210.pdf", "78561210")</f>
        <v>78561210</v>
      </c>
      <c r="F1594" s="10" t="s">
        <v>4550</v>
      </c>
      <c r="G1594" s="10" t="s">
        <v>4551</v>
      </c>
      <c r="H1594" s="10" t="s">
        <v>4552</v>
      </c>
      <c r="I1594" s="10" t="s">
        <v>261</v>
      </c>
    </row>
    <row r="1595" spans="1:9" x14ac:dyDescent="0.15">
      <c r="A1595" s="9">
        <v>1594</v>
      </c>
      <c r="B1595" s="10" t="s">
        <v>9</v>
      </c>
      <c r="C1595" s="10" t="s">
        <v>299</v>
      </c>
      <c r="D1595" s="10" t="s">
        <v>300</v>
      </c>
      <c r="E1595" s="11" t="str">
        <f>+HYPERLINK("http://trademark.i-assist.jp/data/china/image_1898th/78561835.pdf", "78561835")</f>
        <v>78561835</v>
      </c>
      <c r="F1595" s="10" t="s">
        <v>4553</v>
      </c>
      <c r="G1595" s="10" t="s">
        <v>141</v>
      </c>
      <c r="H1595" s="10" t="s">
        <v>4554</v>
      </c>
      <c r="I1595" s="10" t="s">
        <v>261</v>
      </c>
    </row>
    <row r="1596" spans="1:9" x14ac:dyDescent="0.15">
      <c r="A1596" s="9">
        <v>1595</v>
      </c>
      <c r="B1596" s="10" t="s">
        <v>9</v>
      </c>
      <c r="C1596" s="10" t="s">
        <v>299</v>
      </c>
      <c r="D1596" s="10" t="s">
        <v>300</v>
      </c>
      <c r="E1596" s="11" t="str">
        <f>+HYPERLINK("http://trademark.i-assist.jp/data/china/image_1898th/78561927.pdf", "78561927")</f>
        <v>78561927</v>
      </c>
      <c r="F1596" s="10" t="s">
        <v>4555</v>
      </c>
      <c r="G1596" s="10" t="s">
        <v>4556</v>
      </c>
      <c r="H1596" s="10" t="s">
        <v>4557</v>
      </c>
      <c r="I1596" s="10" t="s">
        <v>261</v>
      </c>
    </row>
    <row r="1597" spans="1:9" x14ac:dyDescent="0.15">
      <c r="A1597" s="9">
        <v>1596</v>
      </c>
      <c r="B1597" s="10" t="s">
        <v>9</v>
      </c>
      <c r="C1597" s="10" t="s">
        <v>299</v>
      </c>
      <c r="D1597" s="10" t="s">
        <v>300</v>
      </c>
      <c r="E1597" s="11" t="str">
        <f>+HYPERLINK("http://trademark.i-assist.jp/data/china/image_1898th/78562415.pdf", "78562415")</f>
        <v>78562415</v>
      </c>
      <c r="F1597" s="10" t="s">
        <v>4558</v>
      </c>
      <c r="G1597" s="10" t="s">
        <v>4559</v>
      </c>
      <c r="H1597" s="10" t="s">
        <v>4560</v>
      </c>
      <c r="I1597" s="10" t="s">
        <v>261</v>
      </c>
    </row>
    <row r="1598" spans="1:9" x14ac:dyDescent="0.15">
      <c r="A1598" s="9">
        <v>1597</v>
      </c>
      <c r="B1598" s="10" t="s">
        <v>9</v>
      </c>
      <c r="C1598" s="10" t="s">
        <v>299</v>
      </c>
      <c r="D1598" s="10" t="s">
        <v>300</v>
      </c>
      <c r="E1598" s="11" t="str">
        <f>+HYPERLINK("http://trademark.i-assist.jp/data/china/image_1898th/78562465.pdf", "78562465")</f>
        <v>78562465</v>
      </c>
      <c r="F1598" s="10" t="s">
        <v>4561</v>
      </c>
      <c r="G1598" s="10" t="s">
        <v>4562</v>
      </c>
      <c r="H1598" s="10" t="s">
        <v>4563</v>
      </c>
      <c r="I1598" s="10" t="s">
        <v>261</v>
      </c>
    </row>
    <row r="1599" spans="1:9" x14ac:dyDescent="0.15">
      <c r="A1599" s="9">
        <v>1598</v>
      </c>
      <c r="B1599" s="10" t="s">
        <v>9</v>
      </c>
      <c r="C1599" s="10" t="s">
        <v>299</v>
      </c>
      <c r="D1599" s="10" t="s">
        <v>300</v>
      </c>
      <c r="E1599" s="11" t="str">
        <f>+HYPERLINK("http://trademark.i-assist.jp/data/china/image_1898th/78562474.pdf", "78562474")</f>
        <v>78562474</v>
      </c>
      <c r="F1599" s="10" t="s">
        <v>4564</v>
      </c>
      <c r="G1599" s="10" t="s">
        <v>1258</v>
      </c>
      <c r="H1599" s="10" t="s">
        <v>4565</v>
      </c>
      <c r="I1599" s="10" t="s">
        <v>261</v>
      </c>
    </row>
    <row r="1600" spans="1:9" x14ac:dyDescent="0.15">
      <c r="A1600" s="9">
        <v>1599</v>
      </c>
      <c r="B1600" s="10" t="s">
        <v>9</v>
      </c>
      <c r="C1600" s="10" t="s">
        <v>299</v>
      </c>
      <c r="D1600" s="10" t="s">
        <v>300</v>
      </c>
      <c r="E1600" s="11" t="str">
        <f>+HYPERLINK("http://trademark.i-assist.jp/data/china/image_1898th/78562481.pdf", "78562481")</f>
        <v>78562481</v>
      </c>
      <c r="F1600" s="10" t="s">
        <v>19</v>
      </c>
      <c r="G1600" s="10" t="s">
        <v>4566</v>
      </c>
      <c r="H1600" s="10" t="s">
        <v>4567</v>
      </c>
      <c r="I1600" s="10" t="s">
        <v>261</v>
      </c>
    </row>
    <row r="1601" spans="1:9" x14ac:dyDescent="0.15">
      <c r="A1601" s="9">
        <v>1600</v>
      </c>
      <c r="B1601" s="10" t="s">
        <v>9</v>
      </c>
      <c r="C1601" s="10" t="s">
        <v>299</v>
      </c>
      <c r="D1601" s="10" t="s">
        <v>300</v>
      </c>
      <c r="E1601" s="11" t="str">
        <f>+HYPERLINK("http://trademark.i-assist.jp/data/china/image_1898th/78562532.pdf", "78562532")</f>
        <v>78562532</v>
      </c>
      <c r="F1601" s="10" t="s">
        <v>4568</v>
      </c>
      <c r="G1601" s="10" t="s">
        <v>4569</v>
      </c>
      <c r="H1601" s="10" t="s">
        <v>4570</v>
      </c>
      <c r="I1601" s="10" t="s">
        <v>261</v>
      </c>
    </row>
    <row r="1602" spans="1:9" x14ac:dyDescent="0.15">
      <c r="A1602" s="9">
        <v>1601</v>
      </c>
      <c r="B1602" s="10" t="s">
        <v>9</v>
      </c>
      <c r="C1602" s="10" t="s">
        <v>299</v>
      </c>
      <c r="D1602" s="10" t="s">
        <v>300</v>
      </c>
      <c r="E1602" s="11" t="str">
        <f>+HYPERLINK("http://trademark.i-assist.jp/data/china/image_1898th/78562745.pdf", "78562745")</f>
        <v>78562745</v>
      </c>
      <c r="F1602" s="10" t="s">
        <v>4571</v>
      </c>
      <c r="G1602" s="10" t="s">
        <v>4308</v>
      </c>
      <c r="H1602" s="10" t="s">
        <v>4572</v>
      </c>
      <c r="I1602" s="10" t="s">
        <v>261</v>
      </c>
    </row>
    <row r="1603" spans="1:9" x14ac:dyDescent="0.15">
      <c r="A1603" s="9">
        <v>1602</v>
      </c>
      <c r="B1603" s="10" t="s">
        <v>9</v>
      </c>
      <c r="C1603" s="10" t="s">
        <v>299</v>
      </c>
      <c r="D1603" s="10" t="s">
        <v>300</v>
      </c>
      <c r="E1603" s="11" t="str">
        <f>+HYPERLINK("http://trademark.i-assist.jp/data/china/image_1898th/78563177.pdf", "78563177")</f>
        <v>78563177</v>
      </c>
      <c r="F1603" s="10" t="s">
        <v>4573</v>
      </c>
      <c r="G1603" s="10" t="s">
        <v>1345</v>
      </c>
      <c r="H1603" s="10" t="s">
        <v>4574</v>
      </c>
      <c r="I1603" s="10" t="s">
        <v>261</v>
      </c>
    </row>
    <row r="1604" spans="1:9" x14ac:dyDescent="0.15">
      <c r="A1604" s="9">
        <v>1603</v>
      </c>
      <c r="B1604" s="10" t="s">
        <v>9</v>
      </c>
      <c r="C1604" s="10" t="s">
        <v>299</v>
      </c>
      <c r="D1604" s="10" t="s">
        <v>300</v>
      </c>
      <c r="E1604" s="11" t="str">
        <f>+HYPERLINK("http://trademark.i-assist.jp/data/china/image_1898th/78563308.pdf", "78563308")</f>
        <v>78563308</v>
      </c>
      <c r="F1604" s="10" t="s">
        <v>4575</v>
      </c>
      <c r="G1604" s="10" t="s">
        <v>4576</v>
      </c>
      <c r="H1604" s="10" t="s">
        <v>4577</v>
      </c>
      <c r="I1604" s="10" t="s">
        <v>261</v>
      </c>
    </row>
    <row r="1605" spans="1:9" x14ac:dyDescent="0.15">
      <c r="A1605" s="9">
        <v>1604</v>
      </c>
      <c r="B1605" s="10" t="s">
        <v>9</v>
      </c>
      <c r="C1605" s="10" t="s">
        <v>299</v>
      </c>
      <c r="D1605" s="10" t="s">
        <v>300</v>
      </c>
      <c r="E1605" s="11" t="str">
        <f>+HYPERLINK("http://trademark.i-assist.jp/data/china/image_1898th/78563314.pdf", "78563314")</f>
        <v>78563314</v>
      </c>
      <c r="F1605" s="10" t="s">
        <v>4578</v>
      </c>
      <c r="G1605" s="10" t="s">
        <v>4579</v>
      </c>
      <c r="H1605" s="10" t="s">
        <v>4580</v>
      </c>
      <c r="I1605" s="10" t="s">
        <v>261</v>
      </c>
    </row>
    <row r="1606" spans="1:9" x14ac:dyDescent="0.15">
      <c r="A1606" s="9">
        <v>1605</v>
      </c>
      <c r="B1606" s="10" t="s">
        <v>9</v>
      </c>
      <c r="C1606" s="10" t="s">
        <v>299</v>
      </c>
      <c r="D1606" s="10" t="s">
        <v>300</v>
      </c>
      <c r="E1606" s="11" t="str">
        <f>+HYPERLINK("http://trademark.i-assist.jp/data/china/image_1898th/78563360.pdf", "78563360")</f>
        <v>78563360</v>
      </c>
      <c r="F1606" s="10" t="s">
        <v>4581</v>
      </c>
      <c r="G1606" s="10" t="s">
        <v>4582</v>
      </c>
      <c r="H1606" s="10" t="s">
        <v>4583</v>
      </c>
      <c r="I1606" s="10" t="s">
        <v>261</v>
      </c>
    </row>
    <row r="1607" spans="1:9" x14ac:dyDescent="0.15">
      <c r="A1607" s="9">
        <v>1606</v>
      </c>
      <c r="B1607" s="10" t="s">
        <v>9</v>
      </c>
      <c r="C1607" s="10" t="s">
        <v>299</v>
      </c>
      <c r="D1607" s="10" t="s">
        <v>300</v>
      </c>
      <c r="E1607" s="11" t="str">
        <f>+HYPERLINK("http://trademark.i-assist.jp/data/china/image_1898th/78563522.pdf", "78563522")</f>
        <v>78563522</v>
      </c>
      <c r="F1607" s="10" t="s">
        <v>4584</v>
      </c>
      <c r="G1607" s="10" t="s">
        <v>270</v>
      </c>
      <c r="H1607" s="10" t="s">
        <v>4585</v>
      </c>
      <c r="I1607" s="10" t="s">
        <v>261</v>
      </c>
    </row>
    <row r="1608" spans="1:9" x14ac:dyDescent="0.15">
      <c r="A1608" s="9">
        <v>1607</v>
      </c>
      <c r="B1608" s="10" t="s">
        <v>9</v>
      </c>
      <c r="C1608" s="10" t="s">
        <v>299</v>
      </c>
      <c r="D1608" s="10" t="s">
        <v>300</v>
      </c>
      <c r="E1608" s="11" t="str">
        <f>+HYPERLINK("http://trademark.i-assist.jp/data/china/image_1898th/78563806.pdf", "78563806")</f>
        <v>78563806</v>
      </c>
      <c r="F1608" s="10" t="s">
        <v>4586</v>
      </c>
      <c r="G1608" s="10" t="s">
        <v>267</v>
      </c>
      <c r="H1608" s="10" t="s">
        <v>4587</v>
      </c>
      <c r="I1608" s="10" t="s">
        <v>261</v>
      </c>
    </row>
    <row r="1609" spans="1:9" x14ac:dyDescent="0.15">
      <c r="A1609" s="9">
        <v>1608</v>
      </c>
      <c r="B1609" s="10" t="s">
        <v>9</v>
      </c>
      <c r="C1609" s="10" t="s">
        <v>299</v>
      </c>
      <c r="D1609" s="10" t="s">
        <v>300</v>
      </c>
      <c r="E1609" s="11" t="str">
        <f>+HYPERLINK("http://trademark.i-assist.jp/data/china/image_1898th/78563974.pdf", "78563974")</f>
        <v>78563974</v>
      </c>
      <c r="F1609" s="10" t="s">
        <v>4588</v>
      </c>
      <c r="G1609" s="10" t="s">
        <v>4589</v>
      </c>
      <c r="H1609" s="10" t="s">
        <v>4590</v>
      </c>
      <c r="I1609" s="10" t="s">
        <v>261</v>
      </c>
    </row>
    <row r="1610" spans="1:9" x14ac:dyDescent="0.15">
      <c r="A1610" s="9">
        <v>1609</v>
      </c>
      <c r="B1610" s="10" t="s">
        <v>9</v>
      </c>
      <c r="C1610" s="10" t="s">
        <v>299</v>
      </c>
      <c r="D1610" s="10" t="s">
        <v>300</v>
      </c>
      <c r="E1610" s="11" t="str">
        <f>+HYPERLINK("http://trademark.i-assist.jp/data/china/image_1898th/78564058.pdf", "78564058")</f>
        <v>78564058</v>
      </c>
      <c r="F1610" s="10" t="s">
        <v>4591</v>
      </c>
      <c r="G1610" s="10" t="s">
        <v>4592</v>
      </c>
      <c r="H1610" s="10" t="s">
        <v>4593</v>
      </c>
      <c r="I1610" s="10" t="s">
        <v>261</v>
      </c>
    </row>
    <row r="1611" spans="1:9" x14ac:dyDescent="0.15">
      <c r="A1611" s="9">
        <v>1610</v>
      </c>
      <c r="B1611" s="10" t="s">
        <v>9</v>
      </c>
      <c r="C1611" s="10" t="s">
        <v>299</v>
      </c>
      <c r="D1611" s="10" t="s">
        <v>300</v>
      </c>
      <c r="E1611" s="11" t="str">
        <f>+HYPERLINK("http://trademark.i-assist.jp/data/china/image_1898th/78564144.pdf", "78564144")</f>
        <v>78564144</v>
      </c>
      <c r="F1611" s="10" t="s">
        <v>4594</v>
      </c>
      <c r="G1611" s="10" t="s">
        <v>4595</v>
      </c>
      <c r="H1611" s="10" t="s">
        <v>4596</v>
      </c>
      <c r="I1611" s="10" t="s">
        <v>261</v>
      </c>
    </row>
    <row r="1612" spans="1:9" x14ac:dyDescent="0.15">
      <c r="A1612" s="9">
        <v>1611</v>
      </c>
      <c r="B1612" s="10" t="s">
        <v>9</v>
      </c>
      <c r="C1612" s="10" t="s">
        <v>299</v>
      </c>
      <c r="D1612" s="10" t="s">
        <v>300</v>
      </c>
      <c r="E1612" s="11" t="str">
        <f>+HYPERLINK("http://trademark.i-assist.jp/data/china/image_1898th/78564337.pdf", "78564337")</f>
        <v>78564337</v>
      </c>
      <c r="F1612" s="10" t="s">
        <v>4597</v>
      </c>
      <c r="G1612" s="10" t="s">
        <v>4598</v>
      </c>
      <c r="H1612" s="10" t="s">
        <v>4599</v>
      </c>
      <c r="I1612" s="10" t="s">
        <v>261</v>
      </c>
    </row>
    <row r="1613" spans="1:9" x14ac:dyDescent="0.15">
      <c r="A1613" s="9">
        <v>1612</v>
      </c>
      <c r="B1613" s="10" t="s">
        <v>9</v>
      </c>
      <c r="C1613" s="10" t="s">
        <v>299</v>
      </c>
      <c r="D1613" s="10" t="s">
        <v>300</v>
      </c>
      <c r="E1613" s="11" t="str">
        <f>+HYPERLINK("http://trademark.i-assist.jp/data/china/image_1898th/78564516.pdf", "78564516")</f>
        <v>78564516</v>
      </c>
      <c r="F1613" s="10" t="s">
        <v>4600</v>
      </c>
      <c r="G1613" s="10" t="s">
        <v>4601</v>
      </c>
      <c r="H1613" s="10" t="s">
        <v>4602</v>
      </c>
      <c r="I1613" s="10" t="s">
        <v>261</v>
      </c>
    </row>
    <row r="1614" spans="1:9" x14ac:dyDescent="0.15">
      <c r="A1614" s="9">
        <v>1613</v>
      </c>
      <c r="B1614" s="10" t="s">
        <v>9</v>
      </c>
      <c r="C1614" s="10" t="s">
        <v>299</v>
      </c>
      <c r="D1614" s="10" t="s">
        <v>300</v>
      </c>
      <c r="E1614" s="11" t="str">
        <f>+HYPERLINK("http://trademark.i-assist.jp/data/china/image_1898th/78564568.pdf", "78564568")</f>
        <v>78564568</v>
      </c>
      <c r="F1614" s="10" t="s">
        <v>4603</v>
      </c>
      <c r="G1614" s="10" t="s">
        <v>263</v>
      </c>
      <c r="H1614" s="10" t="s">
        <v>4604</v>
      </c>
      <c r="I1614" s="10" t="s">
        <v>261</v>
      </c>
    </row>
    <row r="1615" spans="1:9" x14ac:dyDescent="0.15">
      <c r="A1615" s="9">
        <v>1614</v>
      </c>
      <c r="B1615" s="10" t="s">
        <v>9</v>
      </c>
      <c r="C1615" s="10" t="s">
        <v>299</v>
      </c>
      <c r="D1615" s="10" t="s">
        <v>300</v>
      </c>
      <c r="E1615" s="11" t="str">
        <f>+HYPERLINK("http://trademark.i-assist.jp/data/china/image_1898th/78564675.pdf", "78564675")</f>
        <v>78564675</v>
      </c>
      <c r="F1615" s="10" t="s">
        <v>4605</v>
      </c>
      <c r="G1615" s="10" t="s">
        <v>4606</v>
      </c>
      <c r="H1615" s="10" t="s">
        <v>4607</v>
      </c>
      <c r="I1615" s="10" t="s">
        <v>261</v>
      </c>
    </row>
    <row r="1616" spans="1:9" x14ac:dyDescent="0.15">
      <c r="A1616" s="9">
        <v>1615</v>
      </c>
      <c r="B1616" s="10" t="s">
        <v>9</v>
      </c>
      <c r="C1616" s="10" t="s">
        <v>299</v>
      </c>
      <c r="D1616" s="10" t="s">
        <v>300</v>
      </c>
      <c r="E1616" s="11" t="str">
        <f>+HYPERLINK("http://trademark.i-assist.jp/data/china/image_1898th/78564757.pdf", "78564757")</f>
        <v>78564757</v>
      </c>
      <c r="F1616" s="10" t="s">
        <v>4608</v>
      </c>
      <c r="G1616" s="10" t="s">
        <v>4609</v>
      </c>
      <c r="H1616" s="10" t="s">
        <v>4610</v>
      </c>
      <c r="I1616" s="10" t="s">
        <v>261</v>
      </c>
    </row>
    <row r="1617" spans="1:9" x14ac:dyDescent="0.15">
      <c r="A1617" s="9">
        <v>1616</v>
      </c>
      <c r="B1617" s="10" t="s">
        <v>9</v>
      </c>
      <c r="C1617" s="10" t="s">
        <v>299</v>
      </c>
      <c r="D1617" s="10" t="s">
        <v>300</v>
      </c>
      <c r="E1617" s="11" t="str">
        <f>+HYPERLINK("http://trademark.i-assist.jp/data/china/image_1898th/78564835.pdf", "78564835")</f>
        <v>78564835</v>
      </c>
      <c r="F1617" s="10" t="s">
        <v>4611</v>
      </c>
      <c r="G1617" s="10" t="s">
        <v>1364</v>
      </c>
      <c r="H1617" s="10" t="s">
        <v>4612</v>
      </c>
      <c r="I1617" s="10" t="s">
        <v>261</v>
      </c>
    </row>
    <row r="1618" spans="1:9" x14ac:dyDescent="0.15">
      <c r="A1618" s="9">
        <v>1617</v>
      </c>
      <c r="B1618" s="10" t="s">
        <v>9</v>
      </c>
      <c r="C1618" s="10" t="s">
        <v>299</v>
      </c>
      <c r="D1618" s="10" t="s">
        <v>300</v>
      </c>
      <c r="E1618" s="11" t="str">
        <f>+HYPERLINK("http://trademark.i-assist.jp/data/china/image_1898th/78565118.pdf", "78565118")</f>
        <v>78565118</v>
      </c>
      <c r="F1618" s="10" t="s">
        <v>4613</v>
      </c>
      <c r="G1618" s="10" t="s">
        <v>268</v>
      </c>
      <c r="H1618" s="10" t="s">
        <v>4614</v>
      </c>
      <c r="I1618" s="10" t="s">
        <v>261</v>
      </c>
    </row>
    <row r="1619" spans="1:9" x14ac:dyDescent="0.15">
      <c r="A1619" s="9">
        <v>1618</v>
      </c>
      <c r="B1619" s="10" t="s">
        <v>9</v>
      </c>
      <c r="C1619" s="10" t="s">
        <v>299</v>
      </c>
      <c r="D1619" s="10" t="s">
        <v>300</v>
      </c>
      <c r="E1619" s="11" t="str">
        <f>+HYPERLINK("http://trademark.i-assist.jp/data/china/image_1898th/78565132.pdf", "78565132")</f>
        <v>78565132</v>
      </c>
      <c r="F1619" s="10" t="s">
        <v>4615</v>
      </c>
      <c r="G1619" s="10" t="s">
        <v>4589</v>
      </c>
      <c r="H1619" s="10" t="s">
        <v>4616</v>
      </c>
      <c r="I1619" s="10" t="s">
        <v>261</v>
      </c>
    </row>
    <row r="1620" spans="1:9" x14ac:dyDescent="0.15">
      <c r="A1620" s="9">
        <v>1619</v>
      </c>
      <c r="B1620" s="10" t="s">
        <v>9</v>
      </c>
      <c r="C1620" s="10" t="s">
        <v>299</v>
      </c>
      <c r="D1620" s="10" t="s">
        <v>300</v>
      </c>
      <c r="E1620" s="11" t="str">
        <f>+HYPERLINK("http://trademark.i-assist.jp/data/china/image_1898th/78565141.pdf", "78565141")</f>
        <v>78565141</v>
      </c>
      <c r="F1620" s="10" t="s">
        <v>4617</v>
      </c>
      <c r="G1620" s="10" t="s">
        <v>4403</v>
      </c>
      <c r="H1620" s="10" t="s">
        <v>4618</v>
      </c>
      <c r="I1620" s="10" t="s">
        <v>261</v>
      </c>
    </row>
    <row r="1621" spans="1:9" x14ac:dyDescent="0.15">
      <c r="A1621" s="9">
        <v>1620</v>
      </c>
      <c r="B1621" s="10" t="s">
        <v>9</v>
      </c>
      <c r="C1621" s="10" t="s">
        <v>299</v>
      </c>
      <c r="D1621" s="10" t="s">
        <v>300</v>
      </c>
      <c r="E1621" s="11" t="str">
        <f>+HYPERLINK("http://trademark.i-assist.jp/data/china/image_1898th/78565258.pdf", "78565258")</f>
        <v>78565258</v>
      </c>
      <c r="F1621" s="10" t="s">
        <v>4619</v>
      </c>
      <c r="G1621" s="10" t="s">
        <v>288</v>
      </c>
      <c r="H1621" s="10" t="s">
        <v>4620</v>
      </c>
      <c r="I1621" s="10" t="s">
        <v>261</v>
      </c>
    </row>
    <row r="1622" spans="1:9" x14ac:dyDescent="0.15">
      <c r="A1622" s="9">
        <v>1621</v>
      </c>
      <c r="B1622" s="10" t="s">
        <v>9</v>
      </c>
      <c r="C1622" s="10" t="s">
        <v>299</v>
      </c>
      <c r="D1622" s="10" t="s">
        <v>300</v>
      </c>
      <c r="E1622" s="11" t="str">
        <f>+HYPERLINK("http://trademark.i-assist.jp/data/china/image_1898th/78565273.pdf", "78565273")</f>
        <v>78565273</v>
      </c>
      <c r="F1622" s="10" t="s">
        <v>4621</v>
      </c>
      <c r="G1622" s="10" t="s">
        <v>557</v>
      </c>
      <c r="H1622" s="10" t="s">
        <v>4622</v>
      </c>
      <c r="I1622" s="10" t="s">
        <v>261</v>
      </c>
    </row>
    <row r="1623" spans="1:9" x14ac:dyDescent="0.15">
      <c r="A1623" s="9">
        <v>1622</v>
      </c>
      <c r="B1623" s="10" t="s">
        <v>9</v>
      </c>
      <c r="C1623" s="10" t="s">
        <v>299</v>
      </c>
      <c r="D1623" s="10" t="s">
        <v>300</v>
      </c>
      <c r="E1623" s="11" t="str">
        <f>+HYPERLINK("http://trademark.i-assist.jp/data/china/image_1898th/78565447.pdf", "78565447")</f>
        <v>78565447</v>
      </c>
      <c r="F1623" s="10" t="s">
        <v>4623</v>
      </c>
      <c r="G1623" s="10" t="s">
        <v>4624</v>
      </c>
      <c r="H1623" s="10" t="s">
        <v>4625</v>
      </c>
      <c r="I1623" s="10" t="s">
        <v>261</v>
      </c>
    </row>
    <row r="1624" spans="1:9" x14ac:dyDescent="0.15">
      <c r="A1624" s="9">
        <v>1623</v>
      </c>
      <c r="B1624" s="10" t="s">
        <v>9</v>
      </c>
      <c r="C1624" s="10" t="s">
        <v>299</v>
      </c>
      <c r="D1624" s="10" t="s">
        <v>300</v>
      </c>
      <c r="E1624" s="11" t="str">
        <f>+HYPERLINK("http://trademark.i-assist.jp/data/china/image_1898th/78565611.pdf", "78565611")</f>
        <v>78565611</v>
      </c>
      <c r="F1624" s="10" t="s">
        <v>4626</v>
      </c>
      <c r="G1624" s="10" t="s">
        <v>220</v>
      </c>
      <c r="H1624" s="10" t="s">
        <v>4627</v>
      </c>
      <c r="I1624" s="10" t="s">
        <v>261</v>
      </c>
    </row>
    <row r="1625" spans="1:9" x14ac:dyDescent="0.15">
      <c r="A1625" s="9">
        <v>1624</v>
      </c>
      <c r="B1625" s="10" t="s">
        <v>9</v>
      </c>
      <c r="C1625" s="10" t="s">
        <v>299</v>
      </c>
      <c r="D1625" s="10" t="s">
        <v>300</v>
      </c>
      <c r="E1625" s="11" t="str">
        <f>+HYPERLINK("http://trademark.i-assist.jp/data/china/image_1898th/78565696.pdf", "78565696")</f>
        <v>78565696</v>
      </c>
      <c r="F1625" s="10" t="s">
        <v>19</v>
      </c>
      <c r="G1625" s="10" t="s">
        <v>4457</v>
      </c>
      <c r="H1625" s="10" t="s">
        <v>4628</v>
      </c>
      <c r="I1625" s="10" t="s">
        <v>261</v>
      </c>
    </row>
    <row r="1626" spans="1:9" x14ac:dyDescent="0.15">
      <c r="A1626" s="9">
        <v>1625</v>
      </c>
      <c r="B1626" s="10" t="s">
        <v>9</v>
      </c>
      <c r="C1626" s="10" t="s">
        <v>299</v>
      </c>
      <c r="D1626" s="10" t="s">
        <v>300</v>
      </c>
      <c r="E1626" s="11" t="str">
        <f>+HYPERLINK("http://trademark.i-assist.jp/data/china/image_1898th/78565756.pdf", "78565756")</f>
        <v>78565756</v>
      </c>
      <c r="F1626" s="10" t="s">
        <v>4629</v>
      </c>
      <c r="G1626" s="10" t="s">
        <v>4630</v>
      </c>
      <c r="H1626" s="10" t="s">
        <v>4631</v>
      </c>
      <c r="I1626" s="10" t="s">
        <v>261</v>
      </c>
    </row>
    <row r="1627" spans="1:9" x14ac:dyDescent="0.15">
      <c r="A1627" s="9">
        <v>1626</v>
      </c>
      <c r="B1627" s="10" t="s">
        <v>9</v>
      </c>
      <c r="C1627" s="10" t="s">
        <v>299</v>
      </c>
      <c r="D1627" s="10" t="s">
        <v>300</v>
      </c>
      <c r="E1627" s="11" t="str">
        <f>+HYPERLINK("http://trademark.i-assist.jp/data/china/image_1898th/78566088.pdf", "78566088")</f>
        <v>78566088</v>
      </c>
      <c r="F1627" s="10" t="s">
        <v>4632</v>
      </c>
      <c r="G1627" s="10" t="s">
        <v>4424</v>
      </c>
      <c r="H1627" s="10" t="s">
        <v>4633</v>
      </c>
      <c r="I1627" s="10" t="s">
        <v>261</v>
      </c>
    </row>
    <row r="1628" spans="1:9" x14ac:dyDescent="0.15">
      <c r="A1628" s="9">
        <v>1627</v>
      </c>
      <c r="B1628" s="10" t="s">
        <v>9</v>
      </c>
      <c r="C1628" s="10" t="s">
        <v>299</v>
      </c>
      <c r="D1628" s="10" t="s">
        <v>300</v>
      </c>
      <c r="E1628" s="11" t="str">
        <f>+HYPERLINK("http://trademark.i-assist.jp/data/china/image_1898th/78566161.pdf", "78566161")</f>
        <v>78566161</v>
      </c>
      <c r="F1628" s="10" t="s">
        <v>4634</v>
      </c>
      <c r="G1628" s="10" t="s">
        <v>4635</v>
      </c>
      <c r="H1628" s="10" t="s">
        <v>4636</v>
      </c>
      <c r="I1628" s="10" t="s">
        <v>261</v>
      </c>
    </row>
    <row r="1629" spans="1:9" x14ac:dyDescent="0.15">
      <c r="A1629" s="9">
        <v>1628</v>
      </c>
      <c r="B1629" s="10" t="s">
        <v>9</v>
      </c>
      <c r="C1629" s="10" t="s">
        <v>299</v>
      </c>
      <c r="D1629" s="10" t="s">
        <v>300</v>
      </c>
      <c r="E1629" s="11" t="str">
        <f>+HYPERLINK("http://trademark.i-assist.jp/data/china/image_1898th/78566203.pdf", "78566203")</f>
        <v>78566203</v>
      </c>
      <c r="F1629" s="10" t="s">
        <v>4637</v>
      </c>
      <c r="G1629" s="10" t="s">
        <v>4638</v>
      </c>
      <c r="H1629" s="10" t="s">
        <v>4639</v>
      </c>
      <c r="I1629" s="10" t="s">
        <v>261</v>
      </c>
    </row>
    <row r="1630" spans="1:9" x14ac:dyDescent="0.15">
      <c r="A1630" s="9">
        <v>1629</v>
      </c>
      <c r="B1630" s="10" t="s">
        <v>9</v>
      </c>
      <c r="C1630" s="10" t="s">
        <v>299</v>
      </c>
      <c r="D1630" s="10" t="s">
        <v>300</v>
      </c>
      <c r="E1630" s="11" t="str">
        <f>+HYPERLINK("http://trademark.i-assist.jp/data/china/image_1898th/78566207.pdf", "78566207")</f>
        <v>78566207</v>
      </c>
      <c r="F1630" s="10" t="s">
        <v>4640</v>
      </c>
      <c r="G1630" s="10" t="s">
        <v>4638</v>
      </c>
      <c r="H1630" s="10" t="s">
        <v>4641</v>
      </c>
      <c r="I1630" s="10" t="s">
        <v>261</v>
      </c>
    </row>
    <row r="1631" spans="1:9" x14ac:dyDescent="0.15">
      <c r="A1631" s="9">
        <v>1630</v>
      </c>
      <c r="B1631" s="10" t="s">
        <v>9</v>
      </c>
      <c r="C1631" s="10" t="s">
        <v>299</v>
      </c>
      <c r="D1631" s="10" t="s">
        <v>300</v>
      </c>
      <c r="E1631" s="11" t="str">
        <f>+HYPERLINK("http://trademark.i-assist.jp/data/china/image_1898th/78566325.pdf", "78566325")</f>
        <v>78566325</v>
      </c>
      <c r="F1631" s="10" t="s">
        <v>4642</v>
      </c>
      <c r="G1631" s="10" t="s">
        <v>2860</v>
      </c>
      <c r="H1631" s="10" t="s">
        <v>4643</v>
      </c>
      <c r="I1631" s="10" t="s">
        <v>261</v>
      </c>
    </row>
    <row r="1632" spans="1:9" x14ac:dyDescent="0.15">
      <c r="A1632" s="9">
        <v>1631</v>
      </c>
      <c r="B1632" s="10" t="s">
        <v>9</v>
      </c>
      <c r="C1632" s="10" t="s">
        <v>299</v>
      </c>
      <c r="D1632" s="10" t="s">
        <v>300</v>
      </c>
      <c r="E1632" s="11" t="str">
        <f>+HYPERLINK("http://trademark.i-assist.jp/data/china/image_1898th/78566590.pdf", "78566590")</f>
        <v>78566590</v>
      </c>
      <c r="F1632" s="10" t="s">
        <v>4644</v>
      </c>
      <c r="G1632" s="10" t="s">
        <v>273</v>
      </c>
      <c r="H1632" s="10" t="s">
        <v>4645</v>
      </c>
      <c r="I1632" s="10" t="s">
        <v>261</v>
      </c>
    </row>
    <row r="1633" spans="1:9" x14ac:dyDescent="0.15">
      <c r="A1633" s="9">
        <v>1632</v>
      </c>
      <c r="B1633" s="10" t="s">
        <v>9</v>
      </c>
      <c r="C1633" s="10" t="s">
        <v>299</v>
      </c>
      <c r="D1633" s="10" t="s">
        <v>300</v>
      </c>
      <c r="E1633" s="11" t="str">
        <f>+HYPERLINK("http://trademark.i-assist.jp/data/china/image_1898th/78566652.pdf", "78566652")</f>
        <v>78566652</v>
      </c>
      <c r="F1633" s="10" t="s">
        <v>4646</v>
      </c>
      <c r="G1633" s="10" t="s">
        <v>4647</v>
      </c>
      <c r="H1633" s="10" t="s">
        <v>4648</v>
      </c>
      <c r="I1633" s="10" t="s">
        <v>261</v>
      </c>
    </row>
    <row r="1634" spans="1:9" x14ac:dyDescent="0.15">
      <c r="A1634" s="9">
        <v>1633</v>
      </c>
      <c r="B1634" s="10" t="s">
        <v>9</v>
      </c>
      <c r="C1634" s="10" t="s">
        <v>299</v>
      </c>
      <c r="D1634" s="10" t="s">
        <v>300</v>
      </c>
      <c r="E1634" s="11" t="str">
        <f>+HYPERLINK("http://trademark.i-assist.jp/data/china/image_1898th/78566657.pdf", "78566657")</f>
        <v>78566657</v>
      </c>
      <c r="F1634" s="10" t="s">
        <v>4649</v>
      </c>
      <c r="G1634" s="10" t="s">
        <v>4650</v>
      </c>
      <c r="H1634" s="10" t="s">
        <v>4651</v>
      </c>
      <c r="I1634" s="10" t="s">
        <v>261</v>
      </c>
    </row>
    <row r="1635" spans="1:9" x14ac:dyDescent="0.15">
      <c r="A1635" s="9">
        <v>1634</v>
      </c>
      <c r="B1635" s="10" t="s">
        <v>9</v>
      </c>
      <c r="C1635" s="10" t="s">
        <v>299</v>
      </c>
      <c r="D1635" s="10" t="s">
        <v>300</v>
      </c>
      <c r="E1635" s="11" t="str">
        <f>+HYPERLINK("http://trademark.i-assist.jp/data/china/image_1898th/78566670.pdf", "78566670")</f>
        <v>78566670</v>
      </c>
      <c r="F1635" s="10" t="s">
        <v>4652</v>
      </c>
      <c r="G1635" s="10" t="s">
        <v>4653</v>
      </c>
      <c r="H1635" s="10" t="s">
        <v>4654</v>
      </c>
      <c r="I1635" s="10" t="s">
        <v>261</v>
      </c>
    </row>
    <row r="1636" spans="1:9" x14ac:dyDescent="0.15">
      <c r="A1636" s="9">
        <v>1635</v>
      </c>
      <c r="B1636" s="10" t="s">
        <v>9</v>
      </c>
      <c r="C1636" s="10" t="s">
        <v>299</v>
      </c>
      <c r="D1636" s="10" t="s">
        <v>300</v>
      </c>
      <c r="E1636" s="11" t="str">
        <f>+HYPERLINK("http://trademark.i-assist.jp/data/china/image_1898th/78566723.pdf", "78566723")</f>
        <v>78566723</v>
      </c>
      <c r="F1636" s="10" t="s">
        <v>4655</v>
      </c>
      <c r="G1636" s="10" t="s">
        <v>4656</v>
      </c>
      <c r="H1636" s="10" t="s">
        <v>4657</v>
      </c>
      <c r="I1636" s="10" t="s">
        <v>261</v>
      </c>
    </row>
    <row r="1637" spans="1:9" x14ac:dyDescent="0.15">
      <c r="A1637" s="9">
        <v>1636</v>
      </c>
      <c r="B1637" s="10" t="s">
        <v>9</v>
      </c>
      <c r="C1637" s="10" t="s">
        <v>299</v>
      </c>
      <c r="D1637" s="10" t="s">
        <v>300</v>
      </c>
      <c r="E1637" s="11" t="str">
        <f>+HYPERLINK("http://trademark.i-assist.jp/data/china/image_1898th/78566988.pdf", "78566988")</f>
        <v>78566988</v>
      </c>
      <c r="F1637" s="10" t="s">
        <v>4658</v>
      </c>
      <c r="G1637" s="10" t="s">
        <v>3842</v>
      </c>
      <c r="H1637" s="10" t="s">
        <v>4659</v>
      </c>
      <c r="I1637" s="10" t="s">
        <v>261</v>
      </c>
    </row>
    <row r="1638" spans="1:9" x14ac:dyDescent="0.15">
      <c r="A1638" s="9">
        <v>1637</v>
      </c>
      <c r="B1638" s="10" t="s">
        <v>9</v>
      </c>
      <c r="C1638" s="10" t="s">
        <v>299</v>
      </c>
      <c r="D1638" s="10" t="s">
        <v>300</v>
      </c>
      <c r="E1638" s="11" t="str">
        <f>+HYPERLINK("http://trademark.i-assist.jp/data/china/image_1898th/78567006.pdf", "78567006")</f>
        <v>78567006</v>
      </c>
      <c r="F1638" s="10" t="s">
        <v>4660</v>
      </c>
      <c r="G1638" s="10" t="s">
        <v>4661</v>
      </c>
      <c r="H1638" s="10" t="s">
        <v>4662</v>
      </c>
      <c r="I1638" s="10" t="s">
        <v>261</v>
      </c>
    </row>
    <row r="1639" spans="1:9" x14ac:dyDescent="0.15">
      <c r="A1639" s="9">
        <v>1638</v>
      </c>
      <c r="B1639" s="10" t="s">
        <v>9</v>
      </c>
      <c r="C1639" s="10" t="s">
        <v>299</v>
      </c>
      <c r="D1639" s="10" t="s">
        <v>300</v>
      </c>
      <c r="E1639" s="11" t="str">
        <f>+HYPERLINK("http://trademark.i-assist.jp/data/china/image_1898th/78567018.pdf", "78567018")</f>
        <v>78567018</v>
      </c>
      <c r="F1639" s="10" t="s">
        <v>4663</v>
      </c>
      <c r="G1639" s="10" t="s">
        <v>557</v>
      </c>
      <c r="H1639" s="10" t="s">
        <v>4664</v>
      </c>
      <c r="I1639" s="10" t="s">
        <v>261</v>
      </c>
    </row>
    <row r="1640" spans="1:9" x14ac:dyDescent="0.15">
      <c r="A1640" s="9">
        <v>1639</v>
      </c>
      <c r="B1640" s="10" t="s">
        <v>9</v>
      </c>
      <c r="C1640" s="10" t="s">
        <v>299</v>
      </c>
      <c r="D1640" s="10" t="s">
        <v>300</v>
      </c>
      <c r="E1640" s="11" t="str">
        <f>+HYPERLINK("http://trademark.i-assist.jp/data/china/image_1898th/78567032.pdf", "78567032")</f>
        <v>78567032</v>
      </c>
      <c r="F1640" s="10" t="s">
        <v>4665</v>
      </c>
      <c r="G1640" s="10" t="s">
        <v>557</v>
      </c>
      <c r="H1640" s="10" t="s">
        <v>4666</v>
      </c>
      <c r="I1640" s="10" t="s">
        <v>261</v>
      </c>
    </row>
    <row r="1641" spans="1:9" x14ac:dyDescent="0.15">
      <c r="A1641" s="9">
        <v>1640</v>
      </c>
      <c r="B1641" s="10" t="s">
        <v>9</v>
      </c>
      <c r="C1641" s="10" t="s">
        <v>299</v>
      </c>
      <c r="D1641" s="10" t="s">
        <v>300</v>
      </c>
      <c r="E1641" s="11" t="str">
        <f>+HYPERLINK("http://trademark.i-assist.jp/data/china/image_1898th/78567212.pdf", "78567212")</f>
        <v>78567212</v>
      </c>
      <c r="F1641" s="10" t="s">
        <v>4667</v>
      </c>
      <c r="G1641" s="10" t="s">
        <v>4512</v>
      </c>
      <c r="H1641" s="10" t="s">
        <v>4668</v>
      </c>
      <c r="I1641" s="10" t="s">
        <v>261</v>
      </c>
    </row>
    <row r="1642" spans="1:9" x14ac:dyDescent="0.15">
      <c r="A1642" s="9">
        <v>1641</v>
      </c>
      <c r="B1642" s="10" t="s">
        <v>9</v>
      </c>
      <c r="C1642" s="10" t="s">
        <v>299</v>
      </c>
      <c r="D1642" s="10" t="s">
        <v>300</v>
      </c>
      <c r="E1642" s="11" t="str">
        <f>+HYPERLINK("http://trademark.i-assist.jp/data/china/image_1898th/78567222.pdf", "78567222")</f>
        <v>78567222</v>
      </c>
      <c r="F1642" s="10" t="s">
        <v>4669</v>
      </c>
      <c r="G1642" s="10" t="s">
        <v>4670</v>
      </c>
      <c r="H1642" s="10" t="s">
        <v>4671</v>
      </c>
      <c r="I1642" s="10" t="s">
        <v>261</v>
      </c>
    </row>
    <row r="1643" spans="1:9" x14ac:dyDescent="0.15">
      <c r="A1643" s="9">
        <v>1642</v>
      </c>
      <c r="B1643" s="10" t="s">
        <v>9</v>
      </c>
      <c r="C1643" s="10" t="s">
        <v>299</v>
      </c>
      <c r="D1643" s="10" t="s">
        <v>300</v>
      </c>
      <c r="E1643" s="11" t="str">
        <f>+HYPERLINK("http://trademark.i-assist.jp/data/china/image_1898th/78567671.pdf", "78567671")</f>
        <v>78567671</v>
      </c>
      <c r="F1643" s="10" t="s">
        <v>4672</v>
      </c>
      <c r="G1643" s="10" t="s">
        <v>4308</v>
      </c>
      <c r="H1643" s="10" t="s">
        <v>4673</v>
      </c>
      <c r="I1643" s="10" t="s">
        <v>261</v>
      </c>
    </row>
    <row r="1644" spans="1:9" x14ac:dyDescent="0.15">
      <c r="A1644" s="9">
        <v>1643</v>
      </c>
      <c r="B1644" s="10" t="s">
        <v>9</v>
      </c>
      <c r="C1644" s="10" t="s">
        <v>299</v>
      </c>
      <c r="D1644" s="10" t="s">
        <v>300</v>
      </c>
      <c r="E1644" s="11" t="str">
        <f>+HYPERLINK("http://trademark.i-assist.jp/data/china/image_1898th/78567693.pdf", "78567693")</f>
        <v>78567693</v>
      </c>
      <c r="F1644" s="10" t="s">
        <v>4674</v>
      </c>
      <c r="G1644" s="10" t="s">
        <v>4308</v>
      </c>
      <c r="H1644" s="10" t="s">
        <v>4675</v>
      </c>
      <c r="I1644" s="10" t="s">
        <v>261</v>
      </c>
    </row>
    <row r="1645" spans="1:9" x14ac:dyDescent="0.15">
      <c r="A1645" s="9">
        <v>1644</v>
      </c>
      <c r="B1645" s="10" t="s">
        <v>9</v>
      </c>
      <c r="C1645" s="10" t="s">
        <v>299</v>
      </c>
      <c r="D1645" s="10" t="s">
        <v>300</v>
      </c>
      <c r="E1645" s="11" t="str">
        <f>+HYPERLINK("http://trademark.i-assist.jp/data/china/image_1898th/78567702.pdf", "78567702")</f>
        <v>78567702</v>
      </c>
      <c r="F1645" s="10" t="s">
        <v>4676</v>
      </c>
      <c r="G1645" s="10" t="s">
        <v>4677</v>
      </c>
      <c r="H1645" s="10" t="s">
        <v>4678</v>
      </c>
      <c r="I1645" s="10" t="s">
        <v>261</v>
      </c>
    </row>
    <row r="1646" spans="1:9" x14ac:dyDescent="0.15">
      <c r="A1646" s="9">
        <v>1645</v>
      </c>
      <c r="B1646" s="10" t="s">
        <v>9</v>
      </c>
      <c r="C1646" s="10" t="s">
        <v>299</v>
      </c>
      <c r="D1646" s="10" t="s">
        <v>300</v>
      </c>
      <c r="E1646" s="11" t="str">
        <f>+HYPERLINK("http://trademark.i-assist.jp/data/china/image_1898th/78567823.pdf", "78567823")</f>
        <v>78567823</v>
      </c>
      <c r="F1646" s="10" t="s">
        <v>4679</v>
      </c>
      <c r="G1646" s="10" t="s">
        <v>4680</v>
      </c>
      <c r="H1646" s="10" t="s">
        <v>4681</v>
      </c>
      <c r="I1646" s="10" t="s">
        <v>261</v>
      </c>
    </row>
    <row r="1647" spans="1:9" x14ac:dyDescent="0.15">
      <c r="A1647" s="9">
        <v>1646</v>
      </c>
      <c r="B1647" s="10" t="s">
        <v>9</v>
      </c>
      <c r="C1647" s="10" t="s">
        <v>299</v>
      </c>
      <c r="D1647" s="10" t="s">
        <v>300</v>
      </c>
      <c r="E1647" s="11" t="str">
        <f>+HYPERLINK("http://trademark.i-assist.jp/data/china/image_1898th/78567840.pdf", "78567840")</f>
        <v>78567840</v>
      </c>
      <c r="F1647" s="10" t="s">
        <v>4682</v>
      </c>
      <c r="G1647" s="10" t="s">
        <v>4683</v>
      </c>
      <c r="H1647" s="10" t="s">
        <v>4684</v>
      </c>
      <c r="I1647" s="10" t="s">
        <v>261</v>
      </c>
    </row>
    <row r="1648" spans="1:9" x14ac:dyDescent="0.15">
      <c r="A1648" s="9">
        <v>1647</v>
      </c>
      <c r="B1648" s="10" t="s">
        <v>9</v>
      </c>
      <c r="C1648" s="10" t="s">
        <v>299</v>
      </c>
      <c r="D1648" s="10" t="s">
        <v>300</v>
      </c>
      <c r="E1648" s="11" t="str">
        <f>+HYPERLINK("http://trademark.i-assist.jp/data/china/image_1898th/78568188.pdf", "78568188")</f>
        <v>78568188</v>
      </c>
      <c r="F1648" s="10" t="s">
        <v>4685</v>
      </c>
      <c r="G1648" s="10" t="s">
        <v>4686</v>
      </c>
      <c r="H1648" s="10" t="s">
        <v>4687</v>
      </c>
      <c r="I1648" s="10" t="s">
        <v>261</v>
      </c>
    </row>
    <row r="1649" spans="1:9" x14ac:dyDescent="0.15">
      <c r="A1649" s="9">
        <v>1648</v>
      </c>
      <c r="B1649" s="10" t="s">
        <v>9</v>
      </c>
      <c r="C1649" s="10" t="s">
        <v>299</v>
      </c>
      <c r="D1649" s="10" t="s">
        <v>300</v>
      </c>
      <c r="E1649" s="11" t="str">
        <f>+HYPERLINK("http://trademark.i-assist.jp/data/china/image_1898th/78568325.pdf", "78568325")</f>
        <v>78568325</v>
      </c>
      <c r="F1649" s="10" t="s">
        <v>4688</v>
      </c>
      <c r="G1649" s="10" t="s">
        <v>4689</v>
      </c>
      <c r="H1649" s="10" t="s">
        <v>4690</v>
      </c>
      <c r="I1649" s="10" t="s">
        <v>261</v>
      </c>
    </row>
    <row r="1650" spans="1:9" x14ac:dyDescent="0.15">
      <c r="A1650" s="9">
        <v>1649</v>
      </c>
      <c r="B1650" s="10" t="s">
        <v>9</v>
      </c>
      <c r="C1650" s="10" t="s">
        <v>299</v>
      </c>
      <c r="D1650" s="10" t="s">
        <v>300</v>
      </c>
      <c r="E1650" s="11" t="str">
        <f>+HYPERLINK("http://trademark.i-assist.jp/data/china/image_1898th/78568592.pdf", "78568592")</f>
        <v>78568592</v>
      </c>
      <c r="F1650" s="10" t="s">
        <v>4691</v>
      </c>
      <c r="G1650" s="10" t="s">
        <v>4691</v>
      </c>
      <c r="H1650" s="10" t="s">
        <v>4692</v>
      </c>
      <c r="I1650" s="10" t="s">
        <v>278</v>
      </c>
    </row>
    <row r="1651" spans="1:9" x14ac:dyDescent="0.15">
      <c r="A1651" s="9">
        <v>1650</v>
      </c>
      <c r="B1651" s="10" t="s">
        <v>9</v>
      </c>
      <c r="C1651" s="10" t="s">
        <v>299</v>
      </c>
      <c r="D1651" s="10" t="s">
        <v>300</v>
      </c>
      <c r="E1651" s="11" t="str">
        <f>+HYPERLINK("http://trademark.i-assist.jp/data/china/image_1898th/78568717.pdf", "78568717")</f>
        <v>78568717</v>
      </c>
      <c r="F1651" s="10" t="s">
        <v>4693</v>
      </c>
      <c r="G1651" s="10" t="s">
        <v>4694</v>
      </c>
      <c r="H1651" s="10" t="s">
        <v>4695</v>
      </c>
      <c r="I1651" s="10" t="s">
        <v>278</v>
      </c>
    </row>
    <row r="1652" spans="1:9" x14ac:dyDescent="0.15">
      <c r="A1652" s="9">
        <v>1651</v>
      </c>
      <c r="B1652" s="10" t="s">
        <v>9</v>
      </c>
      <c r="C1652" s="10" t="s">
        <v>299</v>
      </c>
      <c r="D1652" s="10" t="s">
        <v>300</v>
      </c>
      <c r="E1652" s="11" t="str">
        <f>+HYPERLINK("http://trademark.i-assist.jp/data/china/image_1898th/78568869.pdf", "78568869")</f>
        <v>78568869</v>
      </c>
      <c r="F1652" s="10" t="s">
        <v>4696</v>
      </c>
      <c r="G1652" s="10" t="s">
        <v>4697</v>
      </c>
      <c r="H1652" s="10" t="s">
        <v>4698</v>
      </c>
      <c r="I1652" s="10" t="s">
        <v>278</v>
      </c>
    </row>
    <row r="1653" spans="1:9" x14ac:dyDescent="0.15">
      <c r="A1653" s="9">
        <v>1652</v>
      </c>
      <c r="B1653" s="10" t="s">
        <v>9</v>
      </c>
      <c r="C1653" s="10" t="s">
        <v>299</v>
      </c>
      <c r="D1653" s="10" t="s">
        <v>300</v>
      </c>
      <c r="E1653" s="11" t="str">
        <f>+HYPERLINK("http://trademark.i-assist.jp/data/china/image_1898th/78569015.pdf", "78569015")</f>
        <v>78569015</v>
      </c>
      <c r="F1653" s="10" t="s">
        <v>4699</v>
      </c>
      <c r="G1653" s="10" t="s">
        <v>4700</v>
      </c>
      <c r="H1653" s="10" t="s">
        <v>4701</v>
      </c>
      <c r="I1653" s="10" t="s">
        <v>278</v>
      </c>
    </row>
    <row r="1654" spans="1:9" x14ac:dyDescent="0.15">
      <c r="A1654" s="9">
        <v>1653</v>
      </c>
      <c r="B1654" s="10" t="s">
        <v>9</v>
      </c>
      <c r="C1654" s="10" t="s">
        <v>299</v>
      </c>
      <c r="D1654" s="10" t="s">
        <v>300</v>
      </c>
      <c r="E1654" s="11" t="str">
        <f>+HYPERLINK("http://trademark.i-assist.jp/data/china/image_1898th/78569158.pdf", "78569158")</f>
        <v>78569158</v>
      </c>
      <c r="F1654" s="10" t="s">
        <v>4702</v>
      </c>
      <c r="G1654" s="10" t="s">
        <v>4703</v>
      </c>
      <c r="H1654" s="10" t="s">
        <v>4704</v>
      </c>
      <c r="I1654" s="10" t="s">
        <v>278</v>
      </c>
    </row>
    <row r="1655" spans="1:9" x14ac:dyDescent="0.15">
      <c r="A1655" s="9">
        <v>1654</v>
      </c>
      <c r="B1655" s="10" t="s">
        <v>9</v>
      </c>
      <c r="C1655" s="10" t="s">
        <v>299</v>
      </c>
      <c r="D1655" s="10" t="s">
        <v>300</v>
      </c>
      <c r="E1655" s="11" t="str">
        <f>+HYPERLINK("http://trademark.i-assist.jp/data/china/image_1898th/78569306.pdf", "78569306")</f>
        <v>78569306</v>
      </c>
      <c r="F1655" s="10" t="s">
        <v>4705</v>
      </c>
      <c r="G1655" s="10" t="s">
        <v>217</v>
      </c>
      <c r="H1655" s="10" t="s">
        <v>4706</v>
      </c>
      <c r="I1655" s="10" t="s">
        <v>278</v>
      </c>
    </row>
    <row r="1656" spans="1:9" x14ac:dyDescent="0.15">
      <c r="A1656" s="9">
        <v>1655</v>
      </c>
      <c r="B1656" s="10" t="s">
        <v>9</v>
      </c>
      <c r="C1656" s="10" t="s">
        <v>299</v>
      </c>
      <c r="D1656" s="10" t="s">
        <v>300</v>
      </c>
      <c r="E1656" s="11" t="str">
        <f>+HYPERLINK("http://trademark.i-assist.jp/data/china/image_1898th/78569315.pdf", "78569315")</f>
        <v>78569315</v>
      </c>
      <c r="F1656" s="10" t="s">
        <v>4707</v>
      </c>
      <c r="G1656" s="10" t="s">
        <v>217</v>
      </c>
      <c r="H1656" s="10" t="s">
        <v>4708</v>
      </c>
      <c r="I1656" s="10" t="s">
        <v>278</v>
      </c>
    </row>
    <row r="1657" spans="1:9" x14ac:dyDescent="0.15">
      <c r="A1657" s="9">
        <v>1656</v>
      </c>
      <c r="B1657" s="10" t="s">
        <v>9</v>
      </c>
      <c r="C1657" s="10" t="s">
        <v>299</v>
      </c>
      <c r="D1657" s="10" t="s">
        <v>300</v>
      </c>
      <c r="E1657" s="11" t="str">
        <f>+HYPERLINK("http://trademark.i-assist.jp/data/china/image_1898th/78569476.pdf", "78569476")</f>
        <v>78569476</v>
      </c>
      <c r="F1657" s="10" t="s">
        <v>4709</v>
      </c>
      <c r="G1657" s="10" t="s">
        <v>4710</v>
      </c>
      <c r="H1657" s="10" t="s">
        <v>4711</v>
      </c>
      <c r="I1657" s="10" t="s">
        <v>278</v>
      </c>
    </row>
    <row r="1658" spans="1:9" x14ac:dyDescent="0.15">
      <c r="A1658" s="9">
        <v>1657</v>
      </c>
      <c r="B1658" s="10" t="s">
        <v>9</v>
      </c>
      <c r="C1658" s="10" t="s">
        <v>299</v>
      </c>
      <c r="D1658" s="10" t="s">
        <v>300</v>
      </c>
      <c r="E1658" s="11" t="str">
        <f>+HYPERLINK("http://trademark.i-assist.jp/data/china/image_1898th/78569497.pdf", "78569497")</f>
        <v>78569497</v>
      </c>
      <c r="F1658" s="10" t="s">
        <v>4712</v>
      </c>
      <c r="G1658" s="10" t="s">
        <v>4713</v>
      </c>
      <c r="H1658" s="10" t="s">
        <v>4714</v>
      </c>
      <c r="I1658" s="10" t="s">
        <v>278</v>
      </c>
    </row>
    <row r="1659" spans="1:9" x14ac:dyDescent="0.15">
      <c r="A1659" s="9">
        <v>1658</v>
      </c>
      <c r="B1659" s="10" t="s">
        <v>9</v>
      </c>
      <c r="C1659" s="10" t="s">
        <v>299</v>
      </c>
      <c r="D1659" s="10" t="s">
        <v>300</v>
      </c>
      <c r="E1659" s="11" t="str">
        <f>+HYPERLINK("http://trademark.i-assist.jp/data/china/image_1898th/78569708.pdf", "78569708")</f>
        <v>78569708</v>
      </c>
      <c r="F1659" s="10" t="s">
        <v>4715</v>
      </c>
      <c r="G1659" s="10" t="s">
        <v>4716</v>
      </c>
      <c r="H1659" s="10" t="s">
        <v>4717</v>
      </c>
      <c r="I1659" s="10" t="s">
        <v>278</v>
      </c>
    </row>
    <row r="1660" spans="1:9" x14ac:dyDescent="0.15">
      <c r="A1660" s="9">
        <v>1659</v>
      </c>
      <c r="B1660" s="10" t="s">
        <v>9</v>
      </c>
      <c r="C1660" s="10" t="s">
        <v>299</v>
      </c>
      <c r="D1660" s="10" t="s">
        <v>300</v>
      </c>
      <c r="E1660" s="11" t="str">
        <f>+HYPERLINK("http://trademark.i-assist.jp/data/china/image_1898th/78569831.pdf", "78569831")</f>
        <v>78569831</v>
      </c>
      <c r="F1660" s="10" t="s">
        <v>4718</v>
      </c>
      <c r="G1660" s="10" t="s">
        <v>4719</v>
      </c>
      <c r="H1660" s="10" t="s">
        <v>4720</v>
      </c>
      <c r="I1660" s="10" t="s">
        <v>278</v>
      </c>
    </row>
    <row r="1661" spans="1:9" x14ac:dyDescent="0.15">
      <c r="A1661" s="9">
        <v>1660</v>
      </c>
      <c r="B1661" s="10" t="s">
        <v>9</v>
      </c>
      <c r="C1661" s="10" t="s">
        <v>299</v>
      </c>
      <c r="D1661" s="10" t="s">
        <v>300</v>
      </c>
      <c r="E1661" s="11" t="str">
        <f>+HYPERLINK("http://trademark.i-assist.jp/data/china/image_1898th/78569916.pdf", "78569916")</f>
        <v>78569916</v>
      </c>
      <c r="F1661" s="10" t="s">
        <v>4721</v>
      </c>
      <c r="G1661" s="10" t="s">
        <v>4722</v>
      </c>
      <c r="H1661" s="10" t="s">
        <v>4723</v>
      </c>
      <c r="I1661" s="10" t="s">
        <v>278</v>
      </c>
    </row>
    <row r="1662" spans="1:9" x14ac:dyDescent="0.15">
      <c r="A1662" s="9">
        <v>1661</v>
      </c>
      <c r="B1662" s="10" t="s">
        <v>9</v>
      </c>
      <c r="C1662" s="10" t="s">
        <v>299</v>
      </c>
      <c r="D1662" s="10" t="s">
        <v>300</v>
      </c>
      <c r="E1662" s="11" t="str">
        <f>+HYPERLINK("http://trademark.i-assist.jp/data/china/image_1898th/78570234.pdf", "78570234")</f>
        <v>78570234</v>
      </c>
      <c r="F1662" s="10" t="s">
        <v>4724</v>
      </c>
      <c r="G1662" s="10" t="s">
        <v>4725</v>
      </c>
      <c r="H1662" s="10" t="s">
        <v>4726</v>
      </c>
      <c r="I1662" s="10" t="s">
        <v>278</v>
      </c>
    </row>
    <row r="1663" spans="1:9" x14ac:dyDescent="0.15">
      <c r="A1663" s="9">
        <v>1662</v>
      </c>
      <c r="B1663" s="10" t="s">
        <v>9</v>
      </c>
      <c r="C1663" s="10" t="s">
        <v>299</v>
      </c>
      <c r="D1663" s="10" t="s">
        <v>300</v>
      </c>
      <c r="E1663" s="11" t="str">
        <f>+HYPERLINK("http://trademark.i-assist.jp/data/china/image_1898th/78570308.pdf", "78570308")</f>
        <v>78570308</v>
      </c>
      <c r="F1663" s="10" t="s">
        <v>4727</v>
      </c>
      <c r="G1663" s="10" t="s">
        <v>4728</v>
      </c>
      <c r="H1663" s="10" t="s">
        <v>4729</v>
      </c>
      <c r="I1663" s="10" t="s">
        <v>278</v>
      </c>
    </row>
    <row r="1664" spans="1:9" x14ac:dyDescent="0.15">
      <c r="A1664" s="9">
        <v>1663</v>
      </c>
      <c r="B1664" s="10" t="s">
        <v>9</v>
      </c>
      <c r="C1664" s="10" t="s">
        <v>299</v>
      </c>
      <c r="D1664" s="10" t="s">
        <v>300</v>
      </c>
      <c r="E1664" s="11" t="str">
        <f>+HYPERLINK("http://trademark.i-assist.jp/data/china/image_1898th/78570310.pdf", "78570310")</f>
        <v>78570310</v>
      </c>
      <c r="F1664" s="10" t="s">
        <v>4730</v>
      </c>
      <c r="G1664" s="10" t="s">
        <v>4731</v>
      </c>
      <c r="H1664" s="10" t="s">
        <v>4732</v>
      </c>
      <c r="I1664" s="10" t="s">
        <v>278</v>
      </c>
    </row>
    <row r="1665" spans="1:9" x14ac:dyDescent="0.15">
      <c r="A1665" s="9">
        <v>1664</v>
      </c>
      <c r="B1665" s="10" t="s">
        <v>9</v>
      </c>
      <c r="C1665" s="10" t="s">
        <v>299</v>
      </c>
      <c r="D1665" s="10" t="s">
        <v>300</v>
      </c>
      <c r="E1665" s="11" t="str">
        <f>+HYPERLINK("http://trademark.i-assist.jp/data/china/image_1898th/78570387.pdf", "78570387")</f>
        <v>78570387</v>
      </c>
      <c r="F1665" s="10" t="s">
        <v>4733</v>
      </c>
      <c r="G1665" s="10" t="s">
        <v>4734</v>
      </c>
      <c r="H1665" s="10" t="s">
        <v>4735</v>
      </c>
      <c r="I1665" s="10" t="s">
        <v>278</v>
      </c>
    </row>
    <row r="1666" spans="1:9" x14ac:dyDescent="0.15">
      <c r="A1666" s="9">
        <v>1665</v>
      </c>
      <c r="B1666" s="10" t="s">
        <v>9</v>
      </c>
      <c r="C1666" s="10" t="s">
        <v>299</v>
      </c>
      <c r="D1666" s="10" t="s">
        <v>300</v>
      </c>
      <c r="E1666" s="11" t="str">
        <f>+HYPERLINK("http://trademark.i-assist.jp/data/china/image_1898th/78570521.pdf", "78570521")</f>
        <v>78570521</v>
      </c>
      <c r="F1666" s="10" t="s">
        <v>4736</v>
      </c>
      <c r="G1666" s="10" t="s">
        <v>4737</v>
      </c>
      <c r="H1666" s="10" t="s">
        <v>4738</v>
      </c>
      <c r="I1666" s="10" t="s">
        <v>278</v>
      </c>
    </row>
    <row r="1667" spans="1:9" x14ac:dyDescent="0.15">
      <c r="A1667" s="9">
        <v>1666</v>
      </c>
      <c r="B1667" s="10" t="s">
        <v>9</v>
      </c>
      <c r="C1667" s="10" t="s">
        <v>299</v>
      </c>
      <c r="D1667" s="10" t="s">
        <v>300</v>
      </c>
      <c r="E1667" s="11" t="str">
        <f>+HYPERLINK("http://trademark.i-assist.jp/data/china/image_1898th/78570661.pdf", "78570661")</f>
        <v>78570661</v>
      </c>
      <c r="F1667" s="10" t="s">
        <v>4739</v>
      </c>
      <c r="G1667" s="10" t="s">
        <v>4740</v>
      </c>
      <c r="H1667" s="10" t="s">
        <v>4741</v>
      </c>
      <c r="I1667" s="10" t="s">
        <v>278</v>
      </c>
    </row>
    <row r="1668" spans="1:9" x14ac:dyDescent="0.15">
      <c r="A1668" s="9">
        <v>1667</v>
      </c>
      <c r="B1668" s="10" t="s">
        <v>9</v>
      </c>
      <c r="C1668" s="10" t="s">
        <v>299</v>
      </c>
      <c r="D1668" s="10" t="s">
        <v>300</v>
      </c>
      <c r="E1668" s="11" t="str">
        <f>+HYPERLINK("http://trademark.i-assist.jp/data/china/image_1898th/78570817.pdf", "78570817")</f>
        <v>78570817</v>
      </c>
      <c r="F1668" s="10" t="s">
        <v>4742</v>
      </c>
      <c r="G1668" s="10" t="s">
        <v>4743</v>
      </c>
      <c r="H1668" s="10" t="s">
        <v>4744</v>
      </c>
      <c r="I1668" s="10" t="s">
        <v>278</v>
      </c>
    </row>
    <row r="1669" spans="1:9" x14ac:dyDescent="0.15">
      <c r="A1669" s="9">
        <v>1668</v>
      </c>
      <c r="B1669" s="10" t="s">
        <v>9</v>
      </c>
      <c r="C1669" s="10" t="s">
        <v>299</v>
      </c>
      <c r="D1669" s="10" t="s">
        <v>300</v>
      </c>
      <c r="E1669" s="11" t="str">
        <f>+HYPERLINK("http://trademark.i-assist.jp/data/china/image_1898th/78571239.pdf", "78571239")</f>
        <v>78571239</v>
      </c>
      <c r="F1669" s="10" t="s">
        <v>4745</v>
      </c>
      <c r="G1669" s="10" t="s">
        <v>4740</v>
      </c>
      <c r="H1669" s="10" t="s">
        <v>4746</v>
      </c>
      <c r="I1669" s="10" t="s">
        <v>278</v>
      </c>
    </row>
    <row r="1670" spans="1:9" x14ac:dyDescent="0.15">
      <c r="A1670" s="9">
        <v>1669</v>
      </c>
      <c r="B1670" s="10" t="s">
        <v>9</v>
      </c>
      <c r="C1670" s="10" t="s">
        <v>299</v>
      </c>
      <c r="D1670" s="10" t="s">
        <v>300</v>
      </c>
      <c r="E1670" s="11" t="str">
        <f>+HYPERLINK("http://trademark.i-assist.jp/data/china/image_1898th/78571257.pdf", "78571257")</f>
        <v>78571257</v>
      </c>
      <c r="F1670" s="10" t="s">
        <v>4747</v>
      </c>
      <c r="G1670" s="10" t="s">
        <v>4740</v>
      </c>
      <c r="H1670" s="10" t="s">
        <v>4748</v>
      </c>
      <c r="I1670" s="10" t="s">
        <v>278</v>
      </c>
    </row>
    <row r="1671" spans="1:9" x14ac:dyDescent="0.15">
      <c r="A1671" s="9">
        <v>1670</v>
      </c>
      <c r="B1671" s="10" t="s">
        <v>9</v>
      </c>
      <c r="C1671" s="10" t="s">
        <v>299</v>
      </c>
      <c r="D1671" s="10" t="s">
        <v>300</v>
      </c>
      <c r="E1671" s="11" t="str">
        <f>+HYPERLINK("http://trademark.i-assist.jp/data/china/image_1898th/78571414.pdf", "78571414")</f>
        <v>78571414</v>
      </c>
      <c r="F1671" s="10" t="s">
        <v>4749</v>
      </c>
      <c r="G1671" s="10" t="s">
        <v>4750</v>
      </c>
      <c r="H1671" s="10" t="s">
        <v>4751</v>
      </c>
      <c r="I1671" s="10" t="s">
        <v>278</v>
      </c>
    </row>
    <row r="1672" spans="1:9" x14ac:dyDescent="0.15">
      <c r="A1672" s="9">
        <v>1671</v>
      </c>
      <c r="B1672" s="10" t="s">
        <v>9</v>
      </c>
      <c r="C1672" s="10" t="s">
        <v>299</v>
      </c>
      <c r="D1672" s="10" t="s">
        <v>300</v>
      </c>
      <c r="E1672" s="11" t="str">
        <f>+HYPERLINK("http://trademark.i-assist.jp/data/china/image_1898th/78571433.pdf", "78571433")</f>
        <v>78571433</v>
      </c>
      <c r="F1672" s="10" t="s">
        <v>4752</v>
      </c>
      <c r="G1672" s="10" t="s">
        <v>4753</v>
      </c>
      <c r="H1672" s="10" t="s">
        <v>4754</v>
      </c>
      <c r="I1672" s="10" t="s">
        <v>278</v>
      </c>
    </row>
    <row r="1673" spans="1:9" x14ac:dyDescent="0.15">
      <c r="A1673" s="9">
        <v>1672</v>
      </c>
      <c r="B1673" s="10" t="s">
        <v>9</v>
      </c>
      <c r="C1673" s="10" t="s">
        <v>299</v>
      </c>
      <c r="D1673" s="10" t="s">
        <v>300</v>
      </c>
      <c r="E1673" s="11" t="str">
        <f>+HYPERLINK("http://trademark.i-assist.jp/data/china/image_1898th/78571552.pdf", "78571552")</f>
        <v>78571552</v>
      </c>
      <c r="F1673" s="10" t="s">
        <v>4755</v>
      </c>
      <c r="G1673" s="10" t="s">
        <v>4737</v>
      </c>
      <c r="H1673" s="10" t="s">
        <v>4756</v>
      </c>
      <c r="I1673" s="10" t="s">
        <v>278</v>
      </c>
    </row>
    <row r="1674" spans="1:9" x14ac:dyDescent="0.15">
      <c r="A1674" s="9">
        <v>1673</v>
      </c>
      <c r="B1674" s="10" t="s">
        <v>9</v>
      </c>
      <c r="C1674" s="10" t="s">
        <v>299</v>
      </c>
      <c r="D1674" s="10" t="s">
        <v>300</v>
      </c>
      <c r="E1674" s="11" t="str">
        <f>+HYPERLINK("http://trademark.i-assist.jp/data/china/image_1898th/78571611.pdf", "78571611")</f>
        <v>78571611</v>
      </c>
      <c r="F1674" s="10" t="s">
        <v>4757</v>
      </c>
      <c r="G1674" s="10" t="s">
        <v>101</v>
      </c>
      <c r="H1674" s="10" t="s">
        <v>4758</v>
      </c>
      <c r="I1674" s="10" t="s">
        <v>278</v>
      </c>
    </row>
    <row r="1675" spans="1:9" x14ac:dyDescent="0.15">
      <c r="A1675" s="9">
        <v>1674</v>
      </c>
      <c r="B1675" s="10" t="s">
        <v>9</v>
      </c>
      <c r="C1675" s="10" t="s">
        <v>299</v>
      </c>
      <c r="D1675" s="10" t="s">
        <v>300</v>
      </c>
      <c r="E1675" s="11" t="str">
        <f>+HYPERLINK("http://trademark.i-assist.jp/data/china/image_1898th/78571672.pdf", "78571672")</f>
        <v>78571672</v>
      </c>
      <c r="F1675" s="10" t="s">
        <v>4759</v>
      </c>
      <c r="G1675" s="10" t="s">
        <v>239</v>
      </c>
      <c r="H1675" s="10" t="s">
        <v>4760</v>
      </c>
      <c r="I1675" s="10" t="s">
        <v>278</v>
      </c>
    </row>
    <row r="1676" spans="1:9" x14ac:dyDescent="0.15">
      <c r="A1676" s="9">
        <v>1675</v>
      </c>
      <c r="B1676" s="10" t="s">
        <v>9</v>
      </c>
      <c r="C1676" s="10" t="s">
        <v>299</v>
      </c>
      <c r="D1676" s="10" t="s">
        <v>300</v>
      </c>
      <c r="E1676" s="11" t="str">
        <f>+HYPERLINK("http://trademark.i-assist.jp/data/china/image_1898th/78571744.pdf", "78571744")</f>
        <v>78571744</v>
      </c>
      <c r="F1676" s="10" t="s">
        <v>4761</v>
      </c>
      <c r="G1676" s="10" t="s">
        <v>4740</v>
      </c>
      <c r="H1676" s="10" t="s">
        <v>4762</v>
      </c>
      <c r="I1676" s="10" t="s">
        <v>278</v>
      </c>
    </row>
    <row r="1677" spans="1:9" x14ac:dyDescent="0.15">
      <c r="A1677" s="9">
        <v>1676</v>
      </c>
      <c r="B1677" s="10" t="s">
        <v>9</v>
      </c>
      <c r="C1677" s="10" t="s">
        <v>299</v>
      </c>
      <c r="D1677" s="10" t="s">
        <v>300</v>
      </c>
      <c r="E1677" s="11" t="str">
        <f>+HYPERLINK("http://trademark.i-assist.jp/data/china/image_1898th/78571991.pdf", "78571991")</f>
        <v>78571991</v>
      </c>
      <c r="F1677" s="10" t="s">
        <v>4763</v>
      </c>
      <c r="G1677" s="10" t="s">
        <v>4764</v>
      </c>
      <c r="H1677" s="10" t="s">
        <v>4765</v>
      </c>
      <c r="I1677" s="10" t="s">
        <v>278</v>
      </c>
    </row>
    <row r="1678" spans="1:9" x14ac:dyDescent="0.15">
      <c r="A1678" s="9">
        <v>1677</v>
      </c>
      <c r="B1678" s="10" t="s">
        <v>9</v>
      </c>
      <c r="C1678" s="10" t="s">
        <v>299</v>
      </c>
      <c r="D1678" s="10" t="s">
        <v>300</v>
      </c>
      <c r="E1678" s="11" t="str">
        <f>+HYPERLINK("http://trademark.i-assist.jp/data/china/image_1898th/78572160.pdf", "78572160")</f>
        <v>78572160</v>
      </c>
      <c r="F1678" s="10" t="s">
        <v>4766</v>
      </c>
      <c r="G1678" s="10" t="s">
        <v>4767</v>
      </c>
      <c r="H1678" s="10" t="s">
        <v>4768</v>
      </c>
      <c r="I1678" s="10" t="s">
        <v>278</v>
      </c>
    </row>
    <row r="1679" spans="1:9" x14ac:dyDescent="0.15">
      <c r="A1679" s="9">
        <v>1678</v>
      </c>
      <c r="B1679" s="10" t="s">
        <v>9</v>
      </c>
      <c r="C1679" s="10" t="s">
        <v>299</v>
      </c>
      <c r="D1679" s="10" t="s">
        <v>300</v>
      </c>
      <c r="E1679" s="11" t="str">
        <f>+HYPERLINK("http://trademark.i-assist.jp/data/china/image_1898th/78572214.pdf", "78572214")</f>
        <v>78572214</v>
      </c>
      <c r="F1679" s="10" t="s">
        <v>4769</v>
      </c>
      <c r="G1679" s="10" t="s">
        <v>4770</v>
      </c>
      <c r="H1679" s="10" t="s">
        <v>4771</v>
      </c>
      <c r="I1679" s="10" t="s">
        <v>278</v>
      </c>
    </row>
    <row r="1680" spans="1:9" x14ac:dyDescent="0.15">
      <c r="A1680" s="9">
        <v>1679</v>
      </c>
      <c r="B1680" s="10" t="s">
        <v>9</v>
      </c>
      <c r="C1680" s="10" t="s">
        <v>299</v>
      </c>
      <c r="D1680" s="10" t="s">
        <v>300</v>
      </c>
      <c r="E1680" s="11" t="str">
        <f>+HYPERLINK("http://trademark.i-assist.jp/data/china/image_1898th/78572216.pdf", "78572216")</f>
        <v>78572216</v>
      </c>
      <c r="F1680" s="10" t="s">
        <v>4772</v>
      </c>
      <c r="G1680" s="10" t="s">
        <v>4773</v>
      </c>
      <c r="H1680" s="10" t="s">
        <v>4774</v>
      </c>
      <c r="I1680" s="10" t="s">
        <v>278</v>
      </c>
    </row>
    <row r="1681" spans="1:9" x14ac:dyDescent="0.15">
      <c r="A1681" s="9">
        <v>1680</v>
      </c>
      <c r="B1681" s="10" t="s">
        <v>9</v>
      </c>
      <c r="C1681" s="10" t="s">
        <v>299</v>
      </c>
      <c r="D1681" s="10" t="s">
        <v>300</v>
      </c>
      <c r="E1681" s="11" t="str">
        <f>+HYPERLINK("http://trademark.i-assist.jp/data/china/image_1898th/78572504.pdf", "78572504")</f>
        <v>78572504</v>
      </c>
      <c r="F1681" s="10" t="s">
        <v>4775</v>
      </c>
      <c r="G1681" s="10" t="s">
        <v>4776</v>
      </c>
      <c r="H1681" s="10" t="s">
        <v>4777</v>
      </c>
      <c r="I1681" s="10" t="s">
        <v>278</v>
      </c>
    </row>
    <row r="1682" spans="1:9" x14ac:dyDescent="0.15">
      <c r="A1682" s="9">
        <v>1681</v>
      </c>
      <c r="B1682" s="10" t="s">
        <v>9</v>
      </c>
      <c r="C1682" s="10" t="s">
        <v>299</v>
      </c>
      <c r="D1682" s="10" t="s">
        <v>300</v>
      </c>
      <c r="E1682" s="11" t="str">
        <f>+HYPERLINK("http://trademark.i-assist.jp/data/china/image_1898th/78572507.pdf", "78572507")</f>
        <v>78572507</v>
      </c>
      <c r="F1682" s="10" t="s">
        <v>4778</v>
      </c>
      <c r="G1682" s="10" t="s">
        <v>1493</v>
      </c>
      <c r="H1682" s="10" t="s">
        <v>4779</v>
      </c>
      <c r="I1682" s="10" t="s">
        <v>278</v>
      </c>
    </row>
    <row r="1683" spans="1:9" x14ac:dyDescent="0.15">
      <c r="A1683" s="9">
        <v>1682</v>
      </c>
      <c r="B1683" s="10" t="s">
        <v>9</v>
      </c>
      <c r="C1683" s="10" t="s">
        <v>299</v>
      </c>
      <c r="D1683" s="10" t="s">
        <v>300</v>
      </c>
      <c r="E1683" s="11" t="str">
        <f>+HYPERLINK("http://trademark.i-assist.jp/data/china/image_1898th/78572564.pdf", "78572564")</f>
        <v>78572564</v>
      </c>
      <c r="F1683" s="10" t="s">
        <v>4780</v>
      </c>
      <c r="G1683" s="10" t="s">
        <v>4781</v>
      </c>
      <c r="H1683" s="10" t="s">
        <v>4782</v>
      </c>
      <c r="I1683" s="10" t="s">
        <v>278</v>
      </c>
    </row>
    <row r="1684" spans="1:9" x14ac:dyDescent="0.15">
      <c r="A1684" s="9">
        <v>1683</v>
      </c>
      <c r="B1684" s="10" t="s">
        <v>9</v>
      </c>
      <c r="C1684" s="10" t="s">
        <v>299</v>
      </c>
      <c r="D1684" s="10" t="s">
        <v>300</v>
      </c>
      <c r="E1684" s="11" t="str">
        <f>+HYPERLINK("http://trademark.i-assist.jp/data/china/image_1898th/78572960.pdf", "78572960")</f>
        <v>78572960</v>
      </c>
      <c r="F1684" s="10" t="s">
        <v>4783</v>
      </c>
      <c r="G1684" s="10" t="s">
        <v>4784</v>
      </c>
      <c r="H1684" s="10" t="s">
        <v>4785</v>
      </c>
      <c r="I1684" s="10" t="s">
        <v>278</v>
      </c>
    </row>
    <row r="1685" spans="1:9" x14ac:dyDescent="0.15">
      <c r="A1685" s="9">
        <v>1684</v>
      </c>
      <c r="B1685" s="10" t="s">
        <v>9</v>
      </c>
      <c r="C1685" s="10" t="s">
        <v>299</v>
      </c>
      <c r="D1685" s="10" t="s">
        <v>300</v>
      </c>
      <c r="E1685" s="11" t="str">
        <f>+HYPERLINK("http://trademark.i-assist.jp/data/china/image_1898th/78572965.pdf", "78572965")</f>
        <v>78572965</v>
      </c>
      <c r="F1685" s="10" t="s">
        <v>4786</v>
      </c>
      <c r="G1685" s="10" t="s">
        <v>4787</v>
      </c>
      <c r="H1685" s="10" t="s">
        <v>4788</v>
      </c>
      <c r="I1685" s="10" t="s">
        <v>278</v>
      </c>
    </row>
    <row r="1686" spans="1:9" x14ac:dyDescent="0.15">
      <c r="A1686" s="9">
        <v>1685</v>
      </c>
      <c r="B1686" s="10" t="s">
        <v>9</v>
      </c>
      <c r="C1686" s="10" t="s">
        <v>299</v>
      </c>
      <c r="D1686" s="10" t="s">
        <v>300</v>
      </c>
      <c r="E1686" s="11" t="str">
        <f>+HYPERLINK("http://trademark.i-assist.jp/data/china/image_1898th/78573014.pdf", "78573014")</f>
        <v>78573014</v>
      </c>
      <c r="F1686" s="10" t="s">
        <v>4789</v>
      </c>
      <c r="G1686" s="10" t="s">
        <v>4790</v>
      </c>
      <c r="H1686" s="10" t="s">
        <v>4791</v>
      </c>
      <c r="I1686" s="10" t="s">
        <v>278</v>
      </c>
    </row>
    <row r="1687" spans="1:9" x14ac:dyDescent="0.15">
      <c r="A1687" s="9">
        <v>1686</v>
      </c>
      <c r="B1687" s="10" t="s">
        <v>9</v>
      </c>
      <c r="C1687" s="10" t="s">
        <v>299</v>
      </c>
      <c r="D1687" s="10" t="s">
        <v>300</v>
      </c>
      <c r="E1687" s="11" t="str">
        <f>+HYPERLINK("http://trademark.i-assist.jp/data/china/image_1898th/78573029.pdf", "78573029")</f>
        <v>78573029</v>
      </c>
      <c r="F1687" s="10" t="s">
        <v>4792</v>
      </c>
      <c r="G1687" s="10" t="s">
        <v>4793</v>
      </c>
      <c r="H1687" s="10" t="s">
        <v>4794</v>
      </c>
      <c r="I1687" s="10" t="s">
        <v>278</v>
      </c>
    </row>
    <row r="1688" spans="1:9" x14ac:dyDescent="0.15">
      <c r="A1688" s="9">
        <v>1687</v>
      </c>
      <c r="B1688" s="10" t="s">
        <v>9</v>
      </c>
      <c r="C1688" s="10" t="s">
        <v>299</v>
      </c>
      <c r="D1688" s="10" t="s">
        <v>300</v>
      </c>
      <c r="E1688" s="11" t="str">
        <f>+HYPERLINK("http://trademark.i-assist.jp/data/china/image_1898th/78573375.pdf", "78573375")</f>
        <v>78573375</v>
      </c>
      <c r="F1688" s="10" t="s">
        <v>4795</v>
      </c>
      <c r="G1688" s="10" t="s">
        <v>4796</v>
      </c>
      <c r="H1688" s="10" t="s">
        <v>4797</v>
      </c>
      <c r="I1688" s="10" t="s">
        <v>278</v>
      </c>
    </row>
    <row r="1689" spans="1:9" x14ac:dyDescent="0.15">
      <c r="A1689" s="9">
        <v>1688</v>
      </c>
      <c r="B1689" s="10" t="s">
        <v>9</v>
      </c>
      <c r="C1689" s="10" t="s">
        <v>299</v>
      </c>
      <c r="D1689" s="10" t="s">
        <v>300</v>
      </c>
      <c r="E1689" s="11" t="str">
        <f>+HYPERLINK("http://trademark.i-assist.jp/data/china/image_1898th/78573443.pdf", "78573443")</f>
        <v>78573443</v>
      </c>
      <c r="F1689" s="10" t="s">
        <v>4798</v>
      </c>
      <c r="G1689" s="10" t="s">
        <v>4799</v>
      </c>
      <c r="H1689" s="10" t="s">
        <v>4800</v>
      </c>
      <c r="I1689" s="10" t="s">
        <v>278</v>
      </c>
    </row>
    <row r="1690" spans="1:9" x14ac:dyDescent="0.15">
      <c r="A1690" s="9">
        <v>1689</v>
      </c>
      <c r="B1690" s="10" t="s">
        <v>9</v>
      </c>
      <c r="C1690" s="10" t="s">
        <v>299</v>
      </c>
      <c r="D1690" s="10" t="s">
        <v>300</v>
      </c>
      <c r="E1690" s="11" t="str">
        <f>+HYPERLINK("http://trademark.i-assist.jp/data/china/image_1898th/78573676.pdf", "78573676")</f>
        <v>78573676</v>
      </c>
      <c r="F1690" s="10" t="s">
        <v>4801</v>
      </c>
      <c r="G1690" s="10" t="s">
        <v>217</v>
      </c>
      <c r="H1690" s="10" t="s">
        <v>4802</v>
      </c>
      <c r="I1690" s="10" t="s">
        <v>278</v>
      </c>
    </row>
    <row r="1691" spans="1:9" x14ac:dyDescent="0.15">
      <c r="A1691" s="9">
        <v>1690</v>
      </c>
      <c r="B1691" s="10" t="s">
        <v>9</v>
      </c>
      <c r="C1691" s="10" t="s">
        <v>299</v>
      </c>
      <c r="D1691" s="10" t="s">
        <v>300</v>
      </c>
      <c r="E1691" s="11" t="str">
        <f>+HYPERLINK("http://trademark.i-assist.jp/data/china/image_1898th/78573710.pdf", "78573710")</f>
        <v>78573710</v>
      </c>
      <c r="F1691" s="10" t="s">
        <v>4803</v>
      </c>
      <c r="G1691" s="10" t="s">
        <v>4804</v>
      </c>
      <c r="H1691" s="10" t="s">
        <v>4805</v>
      </c>
      <c r="I1691" s="10" t="s">
        <v>278</v>
      </c>
    </row>
    <row r="1692" spans="1:9" x14ac:dyDescent="0.15">
      <c r="A1692" s="9">
        <v>1691</v>
      </c>
      <c r="B1692" s="10" t="s">
        <v>9</v>
      </c>
      <c r="C1692" s="10" t="s">
        <v>299</v>
      </c>
      <c r="D1692" s="10" t="s">
        <v>300</v>
      </c>
      <c r="E1692" s="11" t="str">
        <f>+HYPERLINK("http://trademark.i-assist.jp/data/china/image_1898th/78573972.pdf", "78573972")</f>
        <v>78573972</v>
      </c>
      <c r="F1692" s="10" t="s">
        <v>4806</v>
      </c>
      <c r="G1692" s="10" t="s">
        <v>4807</v>
      </c>
      <c r="H1692" s="10" t="s">
        <v>4808</v>
      </c>
      <c r="I1692" s="10" t="s">
        <v>278</v>
      </c>
    </row>
    <row r="1693" spans="1:9" x14ac:dyDescent="0.15">
      <c r="A1693" s="9">
        <v>1692</v>
      </c>
      <c r="B1693" s="10" t="s">
        <v>9</v>
      </c>
      <c r="C1693" s="10" t="s">
        <v>299</v>
      </c>
      <c r="D1693" s="10" t="s">
        <v>300</v>
      </c>
      <c r="E1693" s="11" t="str">
        <f>+HYPERLINK("http://trademark.i-assist.jp/data/china/image_1898th/78574075.pdf", "78574075")</f>
        <v>78574075</v>
      </c>
      <c r="F1693" s="10" t="s">
        <v>4809</v>
      </c>
      <c r="G1693" s="10" t="s">
        <v>4810</v>
      </c>
      <c r="H1693" s="10" t="s">
        <v>4811</v>
      </c>
      <c r="I1693" s="10" t="s">
        <v>278</v>
      </c>
    </row>
    <row r="1694" spans="1:9" x14ac:dyDescent="0.15">
      <c r="A1694" s="9">
        <v>1693</v>
      </c>
      <c r="B1694" s="10" t="s">
        <v>9</v>
      </c>
      <c r="C1694" s="10" t="s">
        <v>299</v>
      </c>
      <c r="D1694" s="10" t="s">
        <v>300</v>
      </c>
      <c r="E1694" s="11" t="str">
        <f>+HYPERLINK("http://trademark.i-assist.jp/data/china/image_1898th/78574080.pdf", "78574080")</f>
        <v>78574080</v>
      </c>
      <c r="F1694" s="10" t="s">
        <v>4812</v>
      </c>
      <c r="G1694" s="10" t="s">
        <v>4810</v>
      </c>
      <c r="H1694" s="10" t="s">
        <v>4813</v>
      </c>
      <c r="I1694" s="10" t="s">
        <v>278</v>
      </c>
    </row>
    <row r="1695" spans="1:9" x14ac:dyDescent="0.15">
      <c r="A1695" s="9">
        <v>1694</v>
      </c>
      <c r="B1695" s="10" t="s">
        <v>9</v>
      </c>
      <c r="C1695" s="10" t="s">
        <v>299</v>
      </c>
      <c r="D1695" s="10" t="s">
        <v>300</v>
      </c>
      <c r="E1695" s="11" t="str">
        <f>+HYPERLINK("http://trademark.i-assist.jp/data/china/image_1898th/78574106.pdf", "78574106")</f>
        <v>78574106</v>
      </c>
      <c r="F1695" s="10" t="s">
        <v>4814</v>
      </c>
      <c r="G1695" s="10" t="s">
        <v>4815</v>
      </c>
      <c r="H1695" s="10" t="s">
        <v>4816</v>
      </c>
      <c r="I1695" s="10" t="s">
        <v>278</v>
      </c>
    </row>
    <row r="1696" spans="1:9" x14ac:dyDescent="0.15">
      <c r="A1696" s="9">
        <v>1695</v>
      </c>
      <c r="B1696" s="10" t="s">
        <v>9</v>
      </c>
      <c r="C1696" s="10" t="s">
        <v>299</v>
      </c>
      <c r="D1696" s="10" t="s">
        <v>300</v>
      </c>
      <c r="E1696" s="11" t="str">
        <f>+HYPERLINK("http://trademark.i-assist.jp/data/china/image_1898th/78574120.pdf", "78574120")</f>
        <v>78574120</v>
      </c>
      <c r="F1696" s="10" t="s">
        <v>4817</v>
      </c>
      <c r="G1696" s="10" t="s">
        <v>4818</v>
      </c>
      <c r="H1696" s="10" t="s">
        <v>4819</v>
      </c>
      <c r="I1696" s="10" t="s">
        <v>278</v>
      </c>
    </row>
    <row r="1697" spans="1:9" x14ac:dyDescent="0.15">
      <c r="A1697" s="9">
        <v>1696</v>
      </c>
      <c r="B1697" s="10" t="s">
        <v>9</v>
      </c>
      <c r="C1697" s="10" t="s">
        <v>299</v>
      </c>
      <c r="D1697" s="10" t="s">
        <v>300</v>
      </c>
      <c r="E1697" s="11" t="str">
        <f>+HYPERLINK("http://trademark.i-assist.jp/data/china/image_1898th/78574163.pdf", "78574163")</f>
        <v>78574163</v>
      </c>
      <c r="F1697" s="10" t="s">
        <v>4820</v>
      </c>
      <c r="G1697" s="10" t="s">
        <v>4821</v>
      </c>
      <c r="H1697" s="10" t="s">
        <v>4822</v>
      </c>
      <c r="I1697" s="10" t="s">
        <v>278</v>
      </c>
    </row>
    <row r="1698" spans="1:9" x14ac:dyDescent="0.15">
      <c r="A1698" s="9">
        <v>1697</v>
      </c>
      <c r="B1698" s="10" t="s">
        <v>9</v>
      </c>
      <c r="C1698" s="10" t="s">
        <v>299</v>
      </c>
      <c r="D1698" s="10" t="s">
        <v>300</v>
      </c>
      <c r="E1698" s="11" t="str">
        <f>+HYPERLINK("http://trademark.i-assist.jp/data/china/image_1898th/78574413.pdf", "78574413")</f>
        <v>78574413</v>
      </c>
      <c r="F1698" s="10" t="s">
        <v>4823</v>
      </c>
      <c r="G1698" s="10" t="s">
        <v>4824</v>
      </c>
      <c r="H1698" s="10" t="s">
        <v>4825</v>
      </c>
      <c r="I1698" s="10" t="s">
        <v>278</v>
      </c>
    </row>
    <row r="1699" spans="1:9" x14ac:dyDescent="0.15">
      <c r="A1699" s="9">
        <v>1698</v>
      </c>
      <c r="B1699" s="10" t="s">
        <v>9</v>
      </c>
      <c r="C1699" s="10" t="s">
        <v>299</v>
      </c>
      <c r="D1699" s="10" t="s">
        <v>300</v>
      </c>
      <c r="E1699" s="11" t="str">
        <f>+HYPERLINK("http://trademark.i-assist.jp/data/china/image_1898th/78574517.pdf", "78574517")</f>
        <v>78574517</v>
      </c>
      <c r="F1699" s="10" t="s">
        <v>4826</v>
      </c>
      <c r="G1699" s="10" t="s">
        <v>4827</v>
      </c>
      <c r="H1699" s="10" t="s">
        <v>4828</v>
      </c>
      <c r="I1699" s="10" t="s">
        <v>278</v>
      </c>
    </row>
    <row r="1700" spans="1:9" x14ac:dyDescent="0.15">
      <c r="A1700" s="9">
        <v>1699</v>
      </c>
      <c r="B1700" s="10" t="s">
        <v>9</v>
      </c>
      <c r="C1700" s="10" t="s">
        <v>299</v>
      </c>
      <c r="D1700" s="10" t="s">
        <v>300</v>
      </c>
      <c r="E1700" s="11" t="str">
        <f>+HYPERLINK("http://trademark.i-assist.jp/data/china/image_1898th/78574615.pdf", "78574615")</f>
        <v>78574615</v>
      </c>
      <c r="F1700" s="10" t="s">
        <v>4829</v>
      </c>
      <c r="G1700" s="10" t="s">
        <v>4830</v>
      </c>
      <c r="H1700" s="10" t="s">
        <v>4831</v>
      </c>
      <c r="I1700" s="10" t="s">
        <v>278</v>
      </c>
    </row>
    <row r="1701" spans="1:9" x14ac:dyDescent="0.15">
      <c r="A1701" s="9">
        <v>1700</v>
      </c>
      <c r="B1701" s="10" t="s">
        <v>9</v>
      </c>
      <c r="C1701" s="10" t="s">
        <v>299</v>
      </c>
      <c r="D1701" s="10" t="s">
        <v>300</v>
      </c>
      <c r="E1701" s="11" t="str">
        <f>+HYPERLINK("http://trademark.i-assist.jp/data/china/image_1898th/78574810.pdf", "78574810")</f>
        <v>78574810</v>
      </c>
      <c r="F1701" s="10" t="s">
        <v>4832</v>
      </c>
      <c r="G1701" s="10" t="s">
        <v>4833</v>
      </c>
      <c r="H1701" s="10" t="s">
        <v>4834</v>
      </c>
      <c r="I1701" s="10" t="s">
        <v>278</v>
      </c>
    </row>
    <row r="1702" spans="1:9" x14ac:dyDescent="0.15">
      <c r="A1702" s="9">
        <v>1701</v>
      </c>
      <c r="B1702" s="10" t="s">
        <v>9</v>
      </c>
      <c r="C1702" s="10" t="s">
        <v>299</v>
      </c>
      <c r="D1702" s="10" t="s">
        <v>300</v>
      </c>
      <c r="E1702" s="11" t="str">
        <f>+HYPERLINK("http://trademark.i-assist.jp/data/china/image_1898th/78574892.pdf", "78574892")</f>
        <v>78574892</v>
      </c>
      <c r="F1702" s="10" t="s">
        <v>4835</v>
      </c>
      <c r="G1702" s="10" t="s">
        <v>4836</v>
      </c>
      <c r="H1702" s="10" t="s">
        <v>4837</v>
      </c>
      <c r="I1702" s="10" t="s">
        <v>278</v>
      </c>
    </row>
    <row r="1703" spans="1:9" x14ac:dyDescent="0.15">
      <c r="A1703" s="9">
        <v>1702</v>
      </c>
      <c r="B1703" s="10" t="s">
        <v>9</v>
      </c>
      <c r="C1703" s="10" t="s">
        <v>299</v>
      </c>
      <c r="D1703" s="10" t="s">
        <v>300</v>
      </c>
      <c r="E1703" s="11" t="str">
        <f>+HYPERLINK("http://trademark.i-assist.jp/data/china/image_1898th/78574988.pdf", "78574988")</f>
        <v>78574988</v>
      </c>
      <c r="F1703" s="10" t="s">
        <v>4838</v>
      </c>
      <c r="G1703" s="10" t="s">
        <v>4839</v>
      </c>
      <c r="H1703" s="10" t="s">
        <v>4840</v>
      </c>
      <c r="I1703" s="10" t="s">
        <v>278</v>
      </c>
    </row>
    <row r="1704" spans="1:9" x14ac:dyDescent="0.15">
      <c r="A1704" s="9">
        <v>1703</v>
      </c>
      <c r="B1704" s="10" t="s">
        <v>9</v>
      </c>
      <c r="C1704" s="10" t="s">
        <v>299</v>
      </c>
      <c r="D1704" s="10" t="s">
        <v>300</v>
      </c>
      <c r="E1704" s="11" t="str">
        <f>+HYPERLINK("http://trademark.i-assist.jp/data/china/image_1898th/78575121.pdf", "78575121")</f>
        <v>78575121</v>
      </c>
      <c r="F1704" s="10" t="s">
        <v>4841</v>
      </c>
      <c r="G1704" s="10" t="s">
        <v>4842</v>
      </c>
      <c r="H1704" s="10" t="s">
        <v>4843</v>
      </c>
      <c r="I1704" s="10" t="s">
        <v>278</v>
      </c>
    </row>
    <row r="1705" spans="1:9" x14ac:dyDescent="0.15">
      <c r="A1705" s="9">
        <v>1704</v>
      </c>
      <c r="B1705" s="10" t="s">
        <v>9</v>
      </c>
      <c r="C1705" s="10" t="s">
        <v>299</v>
      </c>
      <c r="D1705" s="10" t="s">
        <v>300</v>
      </c>
      <c r="E1705" s="11" t="str">
        <f>+HYPERLINK("http://trademark.i-assist.jp/data/china/image_1898th/78575146.pdf", "78575146")</f>
        <v>78575146</v>
      </c>
      <c r="F1705" s="10" t="s">
        <v>4844</v>
      </c>
      <c r="G1705" s="10" t="s">
        <v>4845</v>
      </c>
      <c r="H1705" s="10" t="s">
        <v>4846</v>
      </c>
      <c r="I1705" s="10" t="s">
        <v>278</v>
      </c>
    </row>
    <row r="1706" spans="1:9" x14ac:dyDescent="0.15">
      <c r="A1706" s="9">
        <v>1705</v>
      </c>
      <c r="B1706" s="10" t="s">
        <v>9</v>
      </c>
      <c r="C1706" s="10" t="s">
        <v>299</v>
      </c>
      <c r="D1706" s="10" t="s">
        <v>300</v>
      </c>
      <c r="E1706" s="11" t="str">
        <f>+HYPERLINK("http://trademark.i-assist.jp/data/china/image_1898th/78575271.pdf", "78575271")</f>
        <v>78575271</v>
      </c>
      <c r="F1706" s="10" t="s">
        <v>4847</v>
      </c>
      <c r="G1706" s="10" t="s">
        <v>4848</v>
      </c>
      <c r="H1706" s="10" t="s">
        <v>4849</v>
      </c>
      <c r="I1706" s="10" t="s">
        <v>278</v>
      </c>
    </row>
    <row r="1707" spans="1:9" x14ac:dyDescent="0.15">
      <c r="A1707" s="9">
        <v>1706</v>
      </c>
      <c r="B1707" s="10" t="s">
        <v>9</v>
      </c>
      <c r="C1707" s="10" t="s">
        <v>299</v>
      </c>
      <c r="D1707" s="10" t="s">
        <v>300</v>
      </c>
      <c r="E1707" s="11" t="str">
        <f>+HYPERLINK("http://trademark.i-assist.jp/data/china/image_1898th/78575308.pdf", "78575308")</f>
        <v>78575308</v>
      </c>
      <c r="F1707" s="10" t="s">
        <v>4850</v>
      </c>
      <c r="G1707" s="10" t="s">
        <v>4851</v>
      </c>
      <c r="H1707" s="10" t="s">
        <v>4852</v>
      </c>
      <c r="I1707" s="10" t="s">
        <v>278</v>
      </c>
    </row>
    <row r="1708" spans="1:9" x14ac:dyDescent="0.15">
      <c r="A1708" s="9">
        <v>1707</v>
      </c>
      <c r="B1708" s="10" t="s">
        <v>9</v>
      </c>
      <c r="C1708" s="10" t="s">
        <v>299</v>
      </c>
      <c r="D1708" s="10" t="s">
        <v>300</v>
      </c>
      <c r="E1708" s="11" t="str">
        <f>+HYPERLINK("http://trademark.i-assist.jp/data/china/image_1898th/78575932.pdf", "78575932")</f>
        <v>78575932</v>
      </c>
      <c r="F1708" s="10" t="s">
        <v>4853</v>
      </c>
      <c r="G1708" s="10" t="s">
        <v>4804</v>
      </c>
      <c r="H1708" s="10" t="s">
        <v>4854</v>
      </c>
      <c r="I1708" s="10" t="s">
        <v>278</v>
      </c>
    </row>
    <row r="1709" spans="1:9" x14ac:dyDescent="0.15">
      <c r="A1709" s="9">
        <v>1708</v>
      </c>
      <c r="B1709" s="10" t="s">
        <v>9</v>
      </c>
      <c r="C1709" s="10" t="s">
        <v>299</v>
      </c>
      <c r="D1709" s="10" t="s">
        <v>300</v>
      </c>
      <c r="E1709" s="11" t="str">
        <f>+HYPERLINK("http://trademark.i-assist.jp/data/china/image_1898th/78575994.pdf", "78575994")</f>
        <v>78575994</v>
      </c>
      <c r="F1709" s="10" t="s">
        <v>4855</v>
      </c>
      <c r="G1709" s="10" t="s">
        <v>4856</v>
      </c>
      <c r="H1709" s="10" t="s">
        <v>4857</v>
      </c>
      <c r="I1709" s="10" t="s">
        <v>278</v>
      </c>
    </row>
    <row r="1710" spans="1:9" x14ac:dyDescent="0.15">
      <c r="A1710" s="9">
        <v>1709</v>
      </c>
      <c r="B1710" s="10" t="s">
        <v>9</v>
      </c>
      <c r="C1710" s="10" t="s">
        <v>299</v>
      </c>
      <c r="D1710" s="10" t="s">
        <v>300</v>
      </c>
      <c r="E1710" s="11" t="str">
        <f>+HYPERLINK("http://trademark.i-assist.jp/data/china/image_1898th/78576184.pdf", "78576184")</f>
        <v>78576184</v>
      </c>
      <c r="F1710" s="10" t="s">
        <v>4858</v>
      </c>
      <c r="G1710" s="10" t="s">
        <v>4859</v>
      </c>
      <c r="H1710" s="10" t="s">
        <v>4860</v>
      </c>
      <c r="I1710" s="10" t="s">
        <v>278</v>
      </c>
    </row>
    <row r="1711" spans="1:9" x14ac:dyDescent="0.15">
      <c r="A1711" s="9">
        <v>1710</v>
      </c>
      <c r="B1711" s="10" t="s">
        <v>9</v>
      </c>
      <c r="C1711" s="10" t="s">
        <v>299</v>
      </c>
      <c r="D1711" s="10" t="s">
        <v>300</v>
      </c>
      <c r="E1711" s="11" t="str">
        <f>+HYPERLINK("http://trademark.i-assist.jp/data/china/image_1898th/78576201.pdf", "78576201")</f>
        <v>78576201</v>
      </c>
      <c r="F1711" s="10" t="s">
        <v>4861</v>
      </c>
      <c r="G1711" s="10" t="s">
        <v>4862</v>
      </c>
      <c r="H1711" s="10" t="s">
        <v>4863</v>
      </c>
      <c r="I1711" s="10" t="s">
        <v>278</v>
      </c>
    </row>
    <row r="1712" spans="1:9" x14ac:dyDescent="0.15">
      <c r="A1712" s="9">
        <v>1711</v>
      </c>
      <c r="B1712" s="10" t="s">
        <v>9</v>
      </c>
      <c r="C1712" s="10" t="s">
        <v>299</v>
      </c>
      <c r="D1712" s="10" t="s">
        <v>300</v>
      </c>
      <c r="E1712" s="11" t="str">
        <f>+HYPERLINK("http://trademark.i-assist.jp/data/china/image_1898th/78576202.pdf", "78576202")</f>
        <v>78576202</v>
      </c>
      <c r="F1712" s="10" t="s">
        <v>4864</v>
      </c>
      <c r="G1712" s="10" t="s">
        <v>4818</v>
      </c>
      <c r="H1712" s="10" t="s">
        <v>4865</v>
      </c>
      <c r="I1712" s="10" t="s">
        <v>278</v>
      </c>
    </row>
    <row r="1713" spans="1:9" x14ac:dyDescent="0.15">
      <c r="A1713" s="9">
        <v>1712</v>
      </c>
      <c r="B1713" s="10" t="s">
        <v>9</v>
      </c>
      <c r="C1713" s="10" t="s">
        <v>299</v>
      </c>
      <c r="D1713" s="10" t="s">
        <v>300</v>
      </c>
      <c r="E1713" s="11" t="str">
        <f>+HYPERLINK("http://trademark.i-assist.jp/data/china/image_1898th/78576576.pdf", "78576576")</f>
        <v>78576576</v>
      </c>
      <c r="F1713" s="10" t="s">
        <v>4866</v>
      </c>
      <c r="G1713" s="10" t="s">
        <v>285</v>
      </c>
      <c r="H1713" s="10" t="s">
        <v>4867</v>
      </c>
      <c r="I1713" s="10" t="s">
        <v>278</v>
      </c>
    </row>
    <row r="1714" spans="1:9" x14ac:dyDescent="0.15">
      <c r="A1714" s="9">
        <v>1713</v>
      </c>
      <c r="B1714" s="10" t="s">
        <v>9</v>
      </c>
      <c r="C1714" s="10" t="s">
        <v>299</v>
      </c>
      <c r="D1714" s="10" t="s">
        <v>300</v>
      </c>
      <c r="E1714" s="11" t="str">
        <f>+HYPERLINK("http://trademark.i-assist.jp/data/china/image_1898th/78576690.pdf", "78576690")</f>
        <v>78576690</v>
      </c>
      <c r="F1714" s="10" t="s">
        <v>4868</v>
      </c>
      <c r="G1714" s="10" t="s">
        <v>160</v>
      </c>
      <c r="H1714" s="10" t="s">
        <v>4869</v>
      </c>
      <c r="I1714" s="10" t="s">
        <v>278</v>
      </c>
    </row>
    <row r="1715" spans="1:9" x14ac:dyDescent="0.15">
      <c r="A1715" s="9">
        <v>1714</v>
      </c>
      <c r="B1715" s="10" t="s">
        <v>9</v>
      </c>
      <c r="C1715" s="10" t="s">
        <v>299</v>
      </c>
      <c r="D1715" s="10" t="s">
        <v>300</v>
      </c>
      <c r="E1715" s="11" t="str">
        <f>+HYPERLINK("http://trademark.i-assist.jp/data/china/image_1898th/78577003.pdf", "78577003")</f>
        <v>78577003</v>
      </c>
      <c r="F1715" s="10" t="s">
        <v>4870</v>
      </c>
      <c r="G1715" s="10" t="s">
        <v>4871</v>
      </c>
      <c r="H1715" s="10" t="s">
        <v>4872</v>
      </c>
      <c r="I1715" s="10" t="s">
        <v>278</v>
      </c>
    </row>
    <row r="1716" spans="1:9" x14ac:dyDescent="0.15">
      <c r="A1716" s="9">
        <v>1715</v>
      </c>
      <c r="B1716" s="10" t="s">
        <v>9</v>
      </c>
      <c r="C1716" s="10" t="s">
        <v>299</v>
      </c>
      <c r="D1716" s="10" t="s">
        <v>300</v>
      </c>
      <c r="E1716" s="11" t="str">
        <f>+HYPERLINK("http://trademark.i-assist.jp/data/china/image_1898th/78577252.pdf", "78577252")</f>
        <v>78577252</v>
      </c>
      <c r="F1716" s="10" t="s">
        <v>4873</v>
      </c>
      <c r="G1716" s="10" t="s">
        <v>4874</v>
      </c>
      <c r="H1716" s="10" t="s">
        <v>4875</v>
      </c>
      <c r="I1716" s="10" t="s">
        <v>278</v>
      </c>
    </row>
    <row r="1717" spans="1:9" x14ac:dyDescent="0.15">
      <c r="A1717" s="9">
        <v>1716</v>
      </c>
      <c r="B1717" s="10" t="s">
        <v>9</v>
      </c>
      <c r="C1717" s="10" t="s">
        <v>299</v>
      </c>
      <c r="D1717" s="10" t="s">
        <v>300</v>
      </c>
      <c r="E1717" s="11" t="str">
        <f>+HYPERLINK("http://trademark.i-assist.jp/data/china/image_1898th/78577259.pdf", "78577259")</f>
        <v>78577259</v>
      </c>
      <c r="F1717" s="10" t="s">
        <v>4876</v>
      </c>
      <c r="G1717" s="10" t="s">
        <v>4874</v>
      </c>
      <c r="H1717" s="10" t="s">
        <v>4877</v>
      </c>
      <c r="I1717" s="10" t="s">
        <v>278</v>
      </c>
    </row>
    <row r="1718" spans="1:9" x14ac:dyDescent="0.15">
      <c r="A1718" s="9">
        <v>1717</v>
      </c>
      <c r="B1718" s="10" t="s">
        <v>9</v>
      </c>
      <c r="C1718" s="10" t="s">
        <v>299</v>
      </c>
      <c r="D1718" s="10" t="s">
        <v>300</v>
      </c>
      <c r="E1718" s="11" t="str">
        <f>+HYPERLINK("http://trademark.i-assist.jp/data/china/image_1898th/78577719.pdf", "78577719")</f>
        <v>78577719</v>
      </c>
      <c r="F1718" s="10" t="s">
        <v>4878</v>
      </c>
      <c r="G1718" s="10" t="s">
        <v>4879</v>
      </c>
      <c r="H1718" s="10" t="s">
        <v>34</v>
      </c>
      <c r="I1718" s="10" t="s">
        <v>278</v>
      </c>
    </row>
    <row r="1719" spans="1:9" x14ac:dyDescent="0.15">
      <c r="A1719" s="9">
        <v>1718</v>
      </c>
      <c r="B1719" s="10" t="s">
        <v>9</v>
      </c>
      <c r="C1719" s="10" t="s">
        <v>299</v>
      </c>
      <c r="D1719" s="10" t="s">
        <v>300</v>
      </c>
      <c r="E1719" s="11" t="str">
        <f>+HYPERLINK("http://trademark.i-assist.jp/data/china/image_1898th/78577824.pdf", "78577824")</f>
        <v>78577824</v>
      </c>
      <c r="F1719" s="10" t="s">
        <v>4880</v>
      </c>
      <c r="G1719" s="10" t="s">
        <v>4881</v>
      </c>
      <c r="H1719" s="10" t="s">
        <v>4882</v>
      </c>
      <c r="I1719" s="10" t="s">
        <v>278</v>
      </c>
    </row>
    <row r="1720" spans="1:9" x14ac:dyDescent="0.15">
      <c r="A1720" s="9">
        <v>1719</v>
      </c>
      <c r="B1720" s="10" t="s">
        <v>9</v>
      </c>
      <c r="C1720" s="10" t="s">
        <v>299</v>
      </c>
      <c r="D1720" s="10" t="s">
        <v>300</v>
      </c>
      <c r="E1720" s="11" t="str">
        <f>+HYPERLINK("http://trademark.i-assist.jp/data/china/image_1898th/78577836.pdf", "78577836")</f>
        <v>78577836</v>
      </c>
      <c r="F1720" s="10" t="s">
        <v>4883</v>
      </c>
      <c r="G1720" s="10" t="s">
        <v>4884</v>
      </c>
      <c r="H1720" s="10" t="s">
        <v>4885</v>
      </c>
      <c r="I1720" s="10" t="s">
        <v>278</v>
      </c>
    </row>
    <row r="1721" spans="1:9" x14ac:dyDescent="0.15">
      <c r="A1721" s="9">
        <v>1720</v>
      </c>
      <c r="B1721" s="10" t="s">
        <v>9</v>
      </c>
      <c r="C1721" s="10" t="s">
        <v>299</v>
      </c>
      <c r="D1721" s="10" t="s">
        <v>300</v>
      </c>
      <c r="E1721" s="11" t="str">
        <f>+HYPERLINK("http://trademark.i-assist.jp/data/china/image_1898th/78577919.pdf", "78577919")</f>
        <v>78577919</v>
      </c>
      <c r="F1721" s="10" t="s">
        <v>4886</v>
      </c>
      <c r="G1721" s="10" t="s">
        <v>4887</v>
      </c>
      <c r="H1721" s="10" t="s">
        <v>4888</v>
      </c>
      <c r="I1721" s="10" t="s">
        <v>278</v>
      </c>
    </row>
    <row r="1722" spans="1:9" x14ac:dyDescent="0.15">
      <c r="A1722" s="9">
        <v>1721</v>
      </c>
      <c r="B1722" s="10" t="s">
        <v>9</v>
      </c>
      <c r="C1722" s="10" t="s">
        <v>299</v>
      </c>
      <c r="D1722" s="10" t="s">
        <v>300</v>
      </c>
      <c r="E1722" s="11" t="str">
        <f>+HYPERLINK("http://trademark.i-assist.jp/data/china/image_1898th/78578167.pdf", "78578167")</f>
        <v>78578167</v>
      </c>
      <c r="F1722" s="10" t="s">
        <v>4889</v>
      </c>
      <c r="G1722" s="10" t="s">
        <v>4890</v>
      </c>
      <c r="H1722" s="10" t="s">
        <v>4891</v>
      </c>
      <c r="I1722" s="10" t="s">
        <v>278</v>
      </c>
    </row>
    <row r="1723" spans="1:9" x14ac:dyDescent="0.15">
      <c r="A1723" s="9">
        <v>1722</v>
      </c>
      <c r="B1723" s="10" t="s">
        <v>9</v>
      </c>
      <c r="C1723" s="10" t="s">
        <v>299</v>
      </c>
      <c r="D1723" s="10" t="s">
        <v>300</v>
      </c>
      <c r="E1723" s="11" t="str">
        <f>+HYPERLINK("http://trademark.i-assist.jp/data/china/image_1898th/78578548.pdf", "78578548")</f>
        <v>78578548</v>
      </c>
      <c r="F1723" s="10" t="s">
        <v>4892</v>
      </c>
      <c r="G1723" s="10" t="s">
        <v>4893</v>
      </c>
      <c r="H1723" s="10" t="s">
        <v>4894</v>
      </c>
      <c r="I1723" s="10" t="s">
        <v>278</v>
      </c>
    </row>
    <row r="1724" spans="1:9" x14ac:dyDescent="0.15">
      <c r="A1724" s="9">
        <v>1723</v>
      </c>
      <c r="B1724" s="10" t="s">
        <v>9</v>
      </c>
      <c r="C1724" s="10" t="s">
        <v>299</v>
      </c>
      <c r="D1724" s="10" t="s">
        <v>300</v>
      </c>
      <c r="E1724" s="11" t="str">
        <f>+HYPERLINK("http://trademark.i-assist.jp/data/china/image_1898th/78578637.pdf", "78578637")</f>
        <v>78578637</v>
      </c>
      <c r="F1724" s="10" t="s">
        <v>19</v>
      </c>
      <c r="G1724" s="10" t="s">
        <v>4895</v>
      </c>
      <c r="H1724" s="10" t="s">
        <v>4896</v>
      </c>
      <c r="I1724" s="10" t="s">
        <v>278</v>
      </c>
    </row>
    <row r="1725" spans="1:9" x14ac:dyDescent="0.15">
      <c r="A1725" s="9">
        <v>1724</v>
      </c>
      <c r="B1725" s="10" t="s">
        <v>9</v>
      </c>
      <c r="C1725" s="10" t="s">
        <v>299</v>
      </c>
      <c r="D1725" s="10" t="s">
        <v>300</v>
      </c>
      <c r="E1725" s="11" t="str">
        <f>+HYPERLINK("http://trademark.i-assist.jp/data/china/image_1898th/78578686.pdf", "78578686")</f>
        <v>78578686</v>
      </c>
      <c r="F1725" s="10" t="s">
        <v>4897</v>
      </c>
      <c r="G1725" s="10" t="s">
        <v>317</v>
      </c>
      <c r="H1725" s="10" t="s">
        <v>4898</v>
      </c>
      <c r="I1725" s="10" t="s">
        <v>278</v>
      </c>
    </row>
    <row r="1726" spans="1:9" x14ac:dyDescent="0.15">
      <c r="A1726" s="9">
        <v>1725</v>
      </c>
      <c r="B1726" s="10" t="s">
        <v>9</v>
      </c>
      <c r="C1726" s="10" t="s">
        <v>299</v>
      </c>
      <c r="D1726" s="10" t="s">
        <v>300</v>
      </c>
      <c r="E1726" s="11" t="str">
        <f>+HYPERLINK("http://trademark.i-assist.jp/data/china/image_1898th/78578812.pdf", "78578812")</f>
        <v>78578812</v>
      </c>
      <c r="F1726" s="10" t="s">
        <v>4899</v>
      </c>
      <c r="G1726" s="10" t="s">
        <v>4900</v>
      </c>
      <c r="H1726" s="10" t="s">
        <v>4901</v>
      </c>
      <c r="I1726" s="10" t="s">
        <v>278</v>
      </c>
    </row>
    <row r="1727" spans="1:9" x14ac:dyDescent="0.15">
      <c r="A1727" s="9">
        <v>1726</v>
      </c>
      <c r="B1727" s="10" t="s">
        <v>9</v>
      </c>
      <c r="C1727" s="10" t="s">
        <v>299</v>
      </c>
      <c r="D1727" s="10" t="s">
        <v>300</v>
      </c>
      <c r="E1727" s="11" t="str">
        <f>+HYPERLINK("http://trademark.i-assist.jp/data/china/image_1898th/78578902.pdf", "78578902")</f>
        <v>78578902</v>
      </c>
      <c r="F1727" s="10" t="s">
        <v>4902</v>
      </c>
      <c r="G1727" s="10" t="s">
        <v>4903</v>
      </c>
      <c r="H1727" s="10" t="s">
        <v>4904</v>
      </c>
      <c r="I1727" s="10" t="s">
        <v>278</v>
      </c>
    </row>
    <row r="1728" spans="1:9" x14ac:dyDescent="0.15">
      <c r="A1728" s="9">
        <v>1727</v>
      </c>
      <c r="B1728" s="10" t="s">
        <v>9</v>
      </c>
      <c r="C1728" s="10" t="s">
        <v>299</v>
      </c>
      <c r="D1728" s="10" t="s">
        <v>300</v>
      </c>
      <c r="E1728" s="11" t="str">
        <f>+HYPERLINK("http://trademark.i-assist.jp/data/china/image_1898th/78578996.pdf", "78578996")</f>
        <v>78578996</v>
      </c>
      <c r="F1728" s="10" t="s">
        <v>4905</v>
      </c>
      <c r="G1728" s="10" t="s">
        <v>4737</v>
      </c>
      <c r="H1728" s="10" t="s">
        <v>4906</v>
      </c>
      <c r="I1728" s="10" t="s">
        <v>278</v>
      </c>
    </row>
    <row r="1729" spans="1:9" x14ac:dyDescent="0.15">
      <c r="A1729" s="9">
        <v>1728</v>
      </c>
      <c r="B1729" s="10" t="s">
        <v>9</v>
      </c>
      <c r="C1729" s="10" t="s">
        <v>299</v>
      </c>
      <c r="D1729" s="10" t="s">
        <v>300</v>
      </c>
      <c r="E1729" s="11" t="str">
        <f>+HYPERLINK("http://trademark.i-assist.jp/data/china/image_1898th/78579218.pdf", "78579218")</f>
        <v>78579218</v>
      </c>
      <c r="F1729" s="10" t="s">
        <v>4907</v>
      </c>
      <c r="G1729" s="10" t="s">
        <v>282</v>
      </c>
      <c r="H1729" s="10" t="s">
        <v>4908</v>
      </c>
      <c r="I1729" s="10" t="s">
        <v>278</v>
      </c>
    </row>
    <row r="1730" spans="1:9" x14ac:dyDescent="0.15">
      <c r="A1730" s="9">
        <v>1729</v>
      </c>
      <c r="B1730" s="10" t="s">
        <v>9</v>
      </c>
      <c r="C1730" s="10" t="s">
        <v>299</v>
      </c>
      <c r="D1730" s="10" t="s">
        <v>300</v>
      </c>
      <c r="E1730" s="11" t="str">
        <f>+HYPERLINK("http://trademark.i-assist.jp/data/china/image_1898th/78579528.pdf", "78579528")</f>
        <v>78579528</v>
      </c>
      <c r="F1730" s="10" t="s">
        <v>4909</v>
      </c>
      <c r="G1730" s="10" t="s">
        <v>4910</v>
      </c>
      <c r="H1730" s="10" t="s">
        <v>4911</v>
      </c>
      <c r="I1730" s="10" t="s">
        <v>278</v>
      </c>
    </row>
    <row r="1731" spans="1:9" x14ac:dyDescent="0.15">
      <c r="A1731" s="9">
        <v>1730</v>
      </c>
      <c r="B1731" s="10" t="s">
        <v>9</v>
      </c>
      <c r="C1731" s="10" t="s">
        <v>299</v>
      </c>
      <c r="D1731" s="10" t="s">
        <v>300</v>
      </c>
      <c r="E1731" s="11" t="str">
        <f>+HYPERLINK("http://trademark.i-assist.jp/data/china/image_1898th/78579568.pdf", "78579568")</f>
        <v>78579568</v>
      </c>
      <c r="F1731" s="10" t="s">
        <v>4912</v>
      </c>
      <c r="G1731" s="10" t="s">
        <v>4913</v>
      </c>
      <c r="H1731" s="10" t="s">
        <v>4914</v>
      </c>
      <c r="I1731" s="10" t="s">
        <v>278</v>
      </c>
    </row>
    <row r="1732" spans="1:9" x14ac:dyDescent="0.15">
      <c r="A1732" s="9">
        <v>1731</v>
      </c>
      <c r="B1732" s="10" t="s">
        <v>9</v>
      </c>
      <c r="C1732" s="10" t="s">
        <v>299</v>
      </c>
      <c r="D1732" s="10" t="s">
        <v>300</v>
      </c>
      <c r="E1732" s="11" t="str">
        <f>+HYPERLINK("http://trademark.i-assist.jp/data/china/image_1898th/78579879.pdf", "78579879")</f>
        <v>78579879</v>
      </c>
      <c r="F1732" s="10" t="s">
        <v>4915</v>
      </c>
      <c r="G1732" s="10" t="s">
        <v>4916</v>
      </c>
      <c r="H1732" s="10" t="s">
        <v>4917</v>
      </c>
      <c r="I1732" s="10" t="s">
        <v>278</v>
      </c>
    </row>
    <row r="1733" spans="1:9" x14ac:dyDescent="0.15">
      <c r="A1733" s="9">
        <v>1732</v>
      </c>
      <c r="B1733" s="10" t="s">
        <v>9</v>
      </c>
      <c r="C1733" s="10" t="s">
        <v>299</v>
      </c>
      <c r="D1733" s="10" t="s">
        <v>300</v>
      </c>
      <c r="E1733" s="11" t="str">
        <f>+HYPERLINK("http://trademark.i-assist.jp/data/china/image_1898th/78580101.pdf", "78580101")</f>
        <v>78580101</v>
      </c>
      <c r="F1733" s="10" t="s">
        <v>4918</v>
      </c>
      <c r="G1733" s="10" t="s">
        <v>4737</v>
      </c>
      <c r="H1733" s="10" t="s">
        <v>4919</v>
      </c>
      <c r="I1733" s="10" t="s">
        <v>278</v>
      </c>
    </row>
    <row r="1734" spans="1:9" x14ac:dyDescent="0.15">
      <c r="A1734" s="9">
        <v>1733</v>
      </c>
      <c r="B1734" s="10" t="s">
        <v>9</v>
      </c>
      <c r="C1734" s="10" t="s">
        <v>299</v>
      </c>
      <c r="D1734" s="10" t="s">
        <v>300</v>
      </c>
      <c r="E1734" s="11" t="str">
        <f>+HYPERLINK("http://trademark.i-assist.jp/data/china/image_1898th/78580185.pdf", "78580185")</f>
        <v>78580185</v>
      </c>
      <c r="F1734" s="10" t="s">
        <v>19</v>
      </c>
      <c r="G1734" s="10" t="s">
        <v>4920</v>
      </c>
      <c r="H1734" s="10" t="s">
        <v>4921</v>
      </c>
      <c r="I1734" s="10" t="s">
        <v>278</v>
      </c>
    </row>
    <row r="1735" spans="1:9" x14ac:dyDescent="0.15">
      <c r="A1735" s="9">
        <v>1734</v>
      </c>
      <c r="B1735" s="10" t="s">
        <v>9</v>
      </c>
      <c r="C1735" s="10" t="s">
        <v>299</v>
      </c>
      <c r="D1735" s="10" t="s">
        <v>300</v>
      </c>
      <c r="E1735" s="11" t="str">
        <f>+HYPERLINK("http://trademark.i-assist.jp/data/china/image_1898th/78580570.pdf", "78580570")</f>
        <v>78580570</v>
      </c>
      <c r="F1735" s="10" t="s">
        <v>4922</v>
      </c>
      <c r="G1735" s="10" t="s">
        <v>4923</v>
      </c>
      <c r="H1735" s="10" t="s">
        <v>4924</v>
      </c>
      <c r="I1735" s="10" t="s">
        <v>278</v>
      </c>
    </row>
    <row r="1736" spans="1:9" x14ac:dyDescent="0.15">
      <c r="A1736" s="9">
        <v>1735</v>
      </c>
      <c r="B1736" s="10" t="s">
        <v>9</v>
      </c>
      <c r="C1736" s="10" t="s">
        <v>299</v>
      </c>
      <c r="D1736" s="10" t="s">
        <v>300</v>
      </c>
      <c r="E1736" s="11" t="str">
        <f>+HYPERLINK("http://trademark.i-assist.jp/data/china/image_1898th/78580574.pdf", "78580574")</f>
        <v>78580574</v>
      </c>
      <c r="F1736" s="10" t="s">
        <v>4936</v>
      </c>
      <c r="G1736" s="10" t="s">
        <v>4937</v>
      </c>
      <c r="H1736" s="10" t="s">
        <v>4938</v>
      </c>
      <c r="I1736" s="10" t="s">
        <v>278</v>
      </c>
    </row>
    <row r="1737" spans="1:9" x14ac:dyDescent="0.15">
      <c r="A1737" s="9">
        <v>1736</v>
      </c>
      <c r="B1737" s="10" t="s">
        <v>9</v>
      </c>
      <c r="C1737" s="10" t="s">
        <v>299</v>
      </c>
      <c r="D1737" s="10" t="s">
        <v>300</v>
      </c>
      <c r="E1737" s="11" t="str">
        <f>+HYPERLINK("http://trademark.i-assist.jp/data/china/image_1898th/78580736.pdf", "78580736")</f>
        <v>78580736</v>
      </c>
      <c r="F1737" s="10" t="s">
        <v>4939</v>
      </c>
      <c r="G1737" s="10" t="s">
        <v>4940</v>
      </c>
      <c r="H1737" s="10" t="s">
        <v>4941</v>
      </c>
      <c r="I1737" s="10" t="s">
        <v>278</v>
      </c>
    </row>
    <row r="1738" spans="1:9" x14ac:dyDescent="0.15">
      <c r="A1738" s="9">
        <v>1737</v>
      </c>
      <c r="B1738" s="10" t="s">
        <v>9</v>
      </c>
      <c r="C1738" s="10" t="s">
        <v>299</v>
      </c>
      <c r="D1738" s="10" t="s">
        <v>300</v>
      </c>
      <c r="E1738" s="11" t="str">
        <f>+HYPERLINK("http://trademark.i-assist.jp/data/china/image_1898th/78580912.pdf", "78580912")</f>
        <v>78580912</v>
      </c>
      <c r="F1738" s="10" t="s">
        <v>19</v>
      </c>
      <c r="G1738" s="10" t="s">
        <v>4942</v>
      </c>
      <c r="H1738" s="10" t="s">
        <v>4943</v>
      </c>
      <c r="I1738" s="10" t="s">
        <v>278</v>
      </c>
    </row>
    <row r="1739" spans="1:9" x14ac:dyDescent="0.15">
      <c r="A1739" s="9">
        <v>1738</v>
      </c>
      <c r="B1739" s="10" t="s">
        <v>9</v>
      </c>
      <c r="C1739" s="10" t="s">
        <v>299</v>
      </c>
      <c r="D1739" s="10" t="s">
        <v>300</v>
      </c>
      <c r="E1739" s="11" t="str">
        <f>+HYPERLINK("http://trademark.i-assist.jp/data/china/image_1898th/78580921.pdf", "78580921")</f>
        <v>78580921</v>
      </c>
      <c r="F1739" s="10" t="s">
        <v>4944</v>
      </c>
      <c r="G1739" s="10" t="s">
        <v>4945</v>
      </c>
      <c r="H1739" s="10" t="s">
        <v>4946</v>
      </c>
      <c r="I1739" s="10" t="s">
        <v>278</v>
      </c>
    </row>
    <row r="1740" spans="1:9" x14ac:dyDescent="0.15">
      <c r="A1740" s="9">
        <v>1739</v>
      </c>
      <c r="B1740" s="10" t="s">
        <v>9</v>
      </c>
      <c r="C1740" s="10" t="s">
        <v>299</v>
      </c>
      <c r="D1740" s="10" t="s">
        <v>300</v>
      </c>
      <c r="E1740" s="11" t="str">
        <f>+HYPERLINK("http://trademark.i-assist.jp/data/china/image_1898th/78581002.pdf", "78581002")</f>
        <v>78581002</v>
      </c>
      <c r="F1740" s="10" t="s">
        <v>4947</v>
      </c>
      <c r="G1740" s="10" t="s">
        <v>4948</v>
      </c>
      <c r="H1740" s="10" t="s">
        <v>4949</v>
      </c>
      <c r="I1740" s="10" t="s">
        <v>278</v>
      </c>
    </row>
    <row r="1741" spans="1:9" x14ac:dyDescent="0.15">
      <c r="A1741" s="9">
        <v>1740</v>
      </c>
      <c r="B1741" s="10" t="s">
        <v>9</v>
      </c>
      <c r="C1741" s="10" t="s">
        <v>299</v>
      </c>
      <c r="D1741" s="10" t="s">
        <v>300</v>
      </c>
      <c r="E1741" s="11" t="str">
        <f>+HYPERLINK("http://trademark.i-assist.jp/data/china/image_1898th/78581085.pdf", "78581085")</f>
        <v>78581085</v>
      </c>
      <c r="F1741" s="10" t="s">
        <v>4950</v>
      </c>
      <c r="G1741" s="10" t="s">
        <v>4951</v>
      </c>
      <c r="H1741" s="10" t="s">
        <v>4952</v>
      </c>
      <c r="I1741" s="10" t="s">
        <v>278</v>
      </c>
    </row>
    <row r="1742" spans="1:9" x14ac:dyDescent="0.15">
      <c r="A1742" s="9">
        <v>1741</v>
      </c>
      <c r="B1742" s="10" t="s">
        <v>9</v>
      </c>
      <c r="C1742" s="10" t="s">
        <v>299</v>
      </c>
      <c r="D1742" s="10" t="s">
        <v>300</v>
      </c>
      <c r="E1742" s="11" t="str">
        <f>+HYPERLINK("http://trademark.i-assist.jp/data/china/image_1898th/78581118.pdf", "78581118")</f>
        <v>78581118</v>
      </c>
      <c r="F1742" s="10" t="s">
        <v>4953</v>
      </c>
      <c r="G1742" s="10" t="s">
        <v>4830</v>
      </c>
      <c r="H1742" s="10" t="s">
        <v>4954</v>
      </c>
      <c r="I1742" s="10" t="s">
        <v>278</v>
      </c>
    </row>
    <row r="1743" spans="1:9" x14ac:dyDescent="0.15">
      <c r="A1743" s="9">
        <v>1742</v>
      </c>
      <c r="B1743" s="10" t="s">
        <v>9</v>
      </c>
      <c r="C1743" s="10" t="s">
        <v>299</v>
      </c>
      <c r="D1743" s="10" t="s">
        <v>300</v>
      </c>
      <c r="E1743" s="11" t="str">
        <f>+HYPERLINK("http://trademark.i-assist.jp/data/china/image_1898th/78581144.pdf", "78581144")</f>
        <v>78581144</v>
      </c>
      <c r="F1743" s="10" t="s">
        <v>4955</v>
      </c>
      <c r="G1743" s="10" t="s">
        <v>4956</v>
      </c>
      <c r="H1743" s="10" t="s">
        <v>4957</v>
      </c>
      <c r="I1743" s="10" t="s">
        <v>278</v>
      </c>
    </row>
    <row r="1744" spans="1:9" x14ac:dyDescent="0.15">
      <c r="A1744" s="9">
        <v>1743</v>
      </c>
      <c r="B1744" s="10" t="s">
        <v>9</v>
      </c>
      <c r="C1744" s="10" t="s">
        <v>299</v>
      </c>
      <c r="D1744" s="10" t="s">
        <v>300</v>
      </c>
      <c r="E1744" s="11" t="str">
        <f>+HYPERLINK("http://trademark.i-assist.jp/data/china/image_1898th/78581189.pdf", "78581189")</f>
        <v>78581189</v>
      </c>
      <c r="F1744" s="10" t="s">
        <v>4958</v>
      </c>
      <c r="G1744" s="10" t="s">
        <v>4959</v>
      </c>
      <c r="H1744" s="10" t="s">
        <v>4960</v>
      </c>
      <c r="I1744" s="10" t="s">
        <v>278</v>
      </c>
    </row>
    <row r="1745" spans="1:9" x14ac:dyDescent="0.15">
      <c r="A1745" s="9">
        <v>1744</v>
      </c>
      <c r="B1745" s="10" t="s">
        <v>9</v>
      </c>
      <c r="C1745" s="10" t="s">
        <v>299</v>
      </c>
      <c r="D1745" s="10" t="s">
        <v>300</v>
      </c>
      <c r="E1745" s="11" t="str">
        <f>+HYPERLINK("http://trademark.i-assist.jp/data/china/image_1898th/78581362.pdf", "78581362")</f>
        <v>78581362</v>
      </c>
      <c r="F1745" s="10" t="s">
        <v>4961</v>
      </c>
      <c r="G1745" s="10" t="s">
        <v>279</v>
      </c>
      <c r="H1745" s="10" t="s">
        <v>4962</v>
      </c>
      <c r="I1745" s="10" t="s">
        <v>278</v>
      </c>
    </row>
    <row r="1746" spans="1:9" x14ac:dyDescent="0.15">
      <c r="A1746" s="9">
        <v>1745</v>
      </c>
      <c r="B1746" s="10" t="s">
        <v>9</v>
      </c>
      <c r="C1746" s="10" t="s">
        <v>299</v>
      </c>
      <c r="D1746" s="10" t="s">
        <v>300</v>
      </c>
      <c r="E1746" s="11" t="str">
        <f>+HYPERLINK("http://trademark.i-assist.jp/data/china/image_1898th/78581406.pdf", "78581406")</f>
        <v>78581406</v>
      </c>
      <c r="F1746" s="10" t="s">
        <v>4963</v>
      </c>
      <c r="G1746" s="10" t="s">
        <v>4964</v>
      </c>
      <c r="H1746" s="10" t="s">
        <v>4965</v>
      </c>
      <c r="I1746" s="10" t="s">
        <v>278</v>
      </c>
    </row>
    <row r="1747" spans="1:9" x14ac:dyDescent="0.15">
      <c r="A1747" s="9">
        <v>1746</v>
      </c>
      <c r="B1747" s="10" t="s">
        <v>9</v>
      </c>
      <c r="C1747" s="10" t="s">
        <v>299</v>
      </c>
      <c r="D1747" s="10" t="s">
        <v>300</v>
      </c>
      <c r="E1747" s="11" t="str">
        <f>+HYPERLINK("http://trademark.i-assist.jp/data/china/image_1898th/78581491.pdf", "78581491")</f>
        <v>78581491</v>
      </c>
      <c r="F1747" s="10" t="s">
        <v>4966</v>
      </c>
      <c r="G1747" s="10" t="s">
        <v>4967</v>
      </c>
      <c r="H1747" s="10" t="s">
        <v>4968</v>
      </c>
      <c r="I1747" s="10" t="s">
        <v>278</v>
      </c>
    </row>
    <row r="1748" spans="1:9" x14ac:dyDescent="0.15">
      <c r="A1748" s="9">
        <v>1747</v>
      </c>
      <c r="B1748" s="10" t="s">
        <v>9</v>
      </c>
      <c r="C1748" s="10" t="s">
        <v>299</v>
      </c>
      <c r="D1748" s="10" t="s">
        <v>300</v>
      </c>
      <c r="E1748" s="11" t="str">
        <f>+HYPERLINK("http://trademark.i-assist.jp/data/china/image_1898th/78581612.pdf", "78581612")</f>
        <v>78581612</v>
      </c>
      <c r="F1748" s="10" t="s">
        <v>4969</v>
      </c>
      <c r="G1748" s="10" t="s">
        <v>4740</v>
      </c>
      <c r="H1748" s="10" t="s">
        <v>4970</v>
      </c>
      <c r="I1748" s="10" t="s">
        <v>278</v>
      </c>
    </row>
    <row r="1749" spans="1:9" x14ac:dyDescent="0.15">
      <c r="A1749" s="9">
        <v>1748</v>
      </c>
      <c r="B1749" s="10" t="s">
        <v>9</v>
      </c>
      <c r="C1749" s="10" t="s">
        <v>299</v>
      </c>
      <c r="D1749" s="10" t="s">
        <v>300</v>
      </c>
      <c r="E1749" s="11" t="str">
        <f>+HYPERLINK("http://trademark.i-assist.jp/data/china/image_1898th/78581635.pdf", "78581635")</f>
        <v>78581635</v>
      </c>
      <c r="F1749" s="10" t="s">
        <v>4971</v>
      </c>
      <c r="G1749" s="10" t="s">
        <v>286</v>
      </c>
      <c r="H1749" s="10" t="s">
        <v>4972</v>
      </c>
      <c r="I1749" s="10" t="s">
        <v>278</v>
      </c>
    </row>
    <row r="1750" spans="1:9" x14ac:dyDescent="0.15">
      <c r="A1750" s="9">
        <v>1749</v>
      </c>
      <c r="B1750" s="10" t="s">
        <v>9</v>
      </c>
      <c r="C1750" s="10" t="s">
        <v>299</v>
      </c>
      <c r="D1750" s="10" t="s">
        <v>300</v>
      </c>
      <c r="E1750" s="11" t="str">
        <f>+HYPERLINK("http://trademark.i-assist.jp/data/china/image_1898th/78581650.pdf", "78581650")</f>
        <v>78581650</v>
      </c>
      <c r="F1750" s="10" t="s">
        <v>4973</v>
      </c>
      <c r="G1750" s="10" t="s">
        <v>4974</v>
      </c>
      <c r="H1750" s="10" t="s">
        <v>4975</v>
      </c>
      <c r="I1750" s="10" t="s">
        <v>278</v>
      </c>
    </row>
    <row r="1751" spans="1:9" x14ac:dyDescent="0.15">
      <c r="A1751" s="9">
        <v>1750</v>
      </c>
      <c r="B1751" s="10" t="s">
        <v>9</v>
      </c>
      <c r="C1751" s="10" t="s">
        <v>299</v>
      </c>
      <c r="D1751" s="10" t="s">
        <v>300</v>
      </c>
      <c r="E1751" s="11" t="str">
        <f>+HYPERLINK("http://trademark.i-assist.jp/data/china/image_1898th/78581676.pdf", "78581676")</f>
        <v>78581676</v>
      </c>
      <c r="F1751" s="10" t="s">
        <v>4976</v>
      </c>
      <c r="G1751" s="10" t="s">
        <v>283</v>
      </c>
      <c r="H1751" s="10" t="s">
        <v>4977</v>
      </c>
      <c r="I1751" s="10" t="s">
        <v>278</v>
      </c>
    </row>
    <row r="1752" spans="1:9" x14ac:dyDescent="0.15">
      <c r="A1752" s="9">
        <v>1751</v>
      </c>
      <c r="B1752" s="10" t="s">
        <v>9</v>
      </c>
      <c r="C1752" s="10" t="s">
        <v>299</v>
      </c>
      <c r="D1752" s="10" t="s">
        <v>300</v>
      </c>
      <c r="E1752" s="11" t="str">
        <f>+HYPERLINK("http://trademark.i-assist.jp/data/china/image_1898th/78581685.pdf", "78581685")</f>
        <v>78581685</v>
      </c>
      <c r="F1752" s="10" t="s">
        <v>4978</v>
      </c>
      <c r="G1752" s="10" t="s">
        <v>4781</v>
      </c>
      <c r="H1752" s="10" t="s">
        <v>4979</v>
      </c>
      <c r="I1752" s="10" t="s">
        <v>278</v>
      </c>
    </row>
    <row r="1753" spans="1:9" x14ac:dyDescent="0.15">
      <c r="A1753" s="9">
        <v>1752</v>
      </c>
      <c r="B1753" s="10" t="s">
        <v>9</v>
      </c>
      <c r="C1753" s="10" t="s">
        <v>299</v>
      </c>
      <c r="D1753" s="10" t="s">
        <v>300</v>
      </c>
      <c r="E1753" s="11" t="str">
        <f>+HYPERLINK("http://trademark.i-assist.jp/data/china/image_1898th/78581700.pdf", "78581700")</f>
        <v>78581700</v>
      </c>
      <c r="F1753" s="10" t="s">
        <v>4980</v>
      </c>
      <c r="G1753" s="10" t="s">
        <v>4974</v>
      </c>
      <c r="H1753" s="10" t="s">
        <v>4981</v>
      </c>
      <c r="I1753" s="10" t="s">
        <v>278</v>
      </c>
    </row>
    <row r="1754" spans="1:9" x14ac:dyDescent="0.15">
      <c r="A1754" s="9">
        <v>1753</v>
      </c>
      <c r="B1754" s="10" t="s">
        <v>9</v>
      </c>
      <c r="C1754" s="10" t="s">
        <v>299</v>
      </c>
      <c r="D1754" s="10" t="s">
        <v>300</v>
      </c>
      <c r="E1754" s="11" t="str">
        <f>+HYPERLINK("http://trademark.i-assist.jp/data/china/image_1898th/78581733.pdf", "78581733")</f>
        <v>78581733</v>
      </c>
      <c r="F1754" s="10" t="s">
        <v>4982</v>
      </c>
      <c r="G1754" s="10" t="s">
        <v>4983</v>
      </c>
      <c r="H1754" s="10" t="s">
        <v>4984</v>
      </c>
      <c r="I1754" s="10" t="s">
        <v>278</v>
      </c>
    </row>
    <row r="1755" spans="1:9" x14ac:dyDescent="0.15">
      <c r="A1755" s="9">
        <v>1754</v>
      </c>
      <c r="B1755" s="10" t="s">
        <v>9</v>
      </c>
      <c r="C1755" s="10" t="s">
        <v>299</v>
      </c>
      <c r="D1755" s="10" t="s">
        <v>300</v>
      </c>
      <c r="E1755" s="11" t="str">
        <f>+HYPERLINK("http://trademark.i-assist.jp/data/china/image_1898th/78581764.pdf", "78581764")</f>
        <v>78581764</v>
      </c>
      <c r="F1755" s="10" t="s">
        <v>4985</v>
      </c>
      <c r="G1755" s="10" t="s">
        <v>4983</v>
      </c>
      <c r="H1755" s="10" t="s">
        <v>4986</v>
      </c>
      <c r="I1755" s="10" t="s">
        <v>278</v>
      </c>
    </row>
    <row r="1756" spans="1:9" x14ac:dyDescent="0.15">
      <c r="A1756" s="9">
        <v>1755</v>
      </c>
      <c r="B1756" s="10" t="s">
        <v>9</v>
      </c>
      <c r="C1756" s="10" t="s">
        <v>299</v>
      </c>
      <c r="D1756" s="10" t="s">
        <v>300</v>
      </c>
      <c r="E1756" s="11" t="str">
        <f>+HYPERLINK("http://trademark.i-assist.jp/data/china/image_1898th/78583009.pdf", "78583009")</f>
        <v>78583009</v>
      </c>
      <c r="F1756" s="10" t="s">
        <v>4987</v>
      </c>
      <c r="G1756" s="10" t="s">
        <v>4988</v>
      </c>
      <c r="H1756" s="10" t="s">
        <v>4989</v>
      </c>
      <c r="I1756" s="10" t="s">
        <v>278</v>
      </c>
    </row>
    <row r="1757" spans="1:9" x14ac:dyDescent="0.15">
      <c r="A1757" s="9">
        <v>1756</v>
      </c>
      <c r="B1757" s="10" t="s">
        <v>9</v>
      </c>
      <c r="C1757" s="10" t="s">
        <v>299</v>
      </c>
      <c r="D1757" s="10" t="s">
        <v>300</v>
      </c>
      <c r="E1757" s="11" t="str">
        <f>+HYPERLINK("http://trademark.i-assist.jp/data/china/image_1898th/78583062.pdf", "78583062")</f>
        <v>78583062</v>
      </c>
      <c r="F1757" s="10" t="s">
        <v>4990</v>
      </c>
      <c r="G1757" s="10" t="s">
        <v>4991</v>
      </c>
      <c r="H1757" s="10" t="s">
        <v>4992</v>
      </c>
      <c r="I1757" s="10" t="s">
        <v>278</v>
      </c>
    </row>
    <row r="1758" spans="1:9" x14ac:dyDescent="0.15">
      <c r="A1758" s="9">
        <v>1757</v>
      </c>
      <c r="B1758" s="10" t="s">
        <v>9</v>
      </c>
      <c r="C1758" s="10" t="s">
        <v>299</v>
      </c>
      <c r="D1758" s="10" t="s">
        <v>300</v>
      </c>
      <c r="E1758" s="11" t="str">
        <f>+HYPERLINK("http://trademark.i-assist.jp/data/china/image_1898th/78583369.pdf", "78583369")</f>
        <v>78583369</v>
      </c>
      <c r="F1758" s="10" t="s">
        <v>4993</v>
      </c>
      <c r="G1758" s="10" t="s">
        <v>4994</v>
      </c>
      <c r="H1758" s="10" t="s">
        <v>4995</v>
      </c>
      <c r="I1758" s="10" t="s">
        <v>278</v>
      </c>
    </row>
    <row r="1759" spans="1:9" x14ac:dyDescent="0.15">
      <c r="A1759" s="9">
        <v>1758</v>
      </c>
      <c r="B1759" s="10" t="s">
        <v>9</v>
      </c>
      <c r="C1759" s="10" t="s">
        <v>299</v>
      </c>
      <c r="D1759" s="10" t="s">
        <v>300</v>
      </c>
      <c r="E1759" s="11" t="str">
        <f>+HYPERLINK("http://trademark.i-assist.jp/data/china/image_1898th/78583484.pdf", "78583484")</f>
        <v>78583484</v>
      </c>
      <c r="F1759" s="10" t="s">
        <v>4996</v>
      </c>
      <c r="G1759" s="10" t="s">
        <v>4997</v>
      </c>
      <c r="H1759" s="10" t="s">
        <v>4998</v>
      </c>
      <c r="I1759" s="10" t="s">
        <v>278</v>
      </c>
    </row>
    <row r="1760" spans="1:9" x14ac:dyDescent="0.15">
      <c r="A1760" s="9">
        <v>1759</v>
      </c>
      <c r="B1760" s="10" t="s">
        <v>9</v>
      </c>
      <c r="C1760" s="10" t="s">
        <v>299</v>
      </c>
      <c r="D1760" s="10" t="s">
        <v>300</v>
      </c>
      <c r="E1760" s="11" t="str">
        <f>+HYPERLINK("http://trademark.i-assist.jp/data/china/image_1898th/78583711.pdf", "78583711")</f>
        <v>78583711</v>
      </c>
      <c r="F1760" s="10" t="s">
        <v>4999</v>
      </c>
      <c r="G1760" s="10" t="s">
        <v>5000</v>
      </c>
      <c r="H1760" s="10" t="s">
        <v>5001</v>
      </c>
      <c r="I1760" s="10" t="s">
        <v>278</v>
      </c>
    </row>
    <row r="1761" spans="1:9" x14ac:dyDescent="0.15">
      <c r="A1761" s="9">
        <v>1760</v>
      </c>
      <c r="B1761" s="10" t="s">
        <v>9</v>
      </c>
      <c r="C1761" s="10" t="s">
        <v>299</v>
      </c>
      <c r="D1761" s="10" t="s">
        <v>300</v>
      </c>
      <c r="E1761" s="11" t="str">
        <f>+HYPERLINK("http://trademark.i-assist.jp/data/china/image_1898th/78583744.pdf", "78583744")</f>
        <v>78583744</v>
      </c>
      <c r="F1761" s="10" t="s">
        <v>5002</v>
      </c>
      <c r="G1761" s="10" t="s">
        <v>212</v>
      </c>
      <c r="H1761" s="10" t="s">
        <v>5003</v>
      </c>
      <c r="I1761" s="10" t="s">
        <v>278</v>
      </c>
    </row>
    <row r="1762" spans="1:9" x14ac:dyDescent="0.15">
      <c r="A1762" s="9">
        <v>1761</v>
      </c>
      <c r="B1762" s="10" t="s">
        <v>9</v>
      </c>
      <c r="C1762" s="10" t="s">
        <v>299</v>
      </c>
      <c r="D1762" s="10" t="s">
        <v>300</v>
      </c>
      <c r="E1762" s="11" t="str">
        <f>+HYPERLINK("http://trademark.i-assist.jp/data/china/image_1898th/78583819.pdf", "78583819")</f>
        <v>78583819</v>
      </c>
      <c r="F1762" s="10" t="s">
        <v>5004</v>
      </c>
      <c r="G1762" s="10" t="s">
        <v>5005</v>
      </c>
      <c r="H1762" s="10" t="s">
        <v>5006</v>
      </c>
      <c r="I1762" s="10" t="s">
        <v>278</v>
      </c>
    </row>
    <row r="1763" spans="1:9" x14ac:dyDescent="0.15">
      <c r="A1763" s="9">
        <v>1762</v>
      </c>
      <c r="B1763" s="10" t="s">
        <v>9</v>
      </c>
      <c r="C1763" s="10" t="s">
        <v>299</v>
      </c>
      <c r="D1763" s="10" t="s">
        <v>300</v>
      </c>
      <c r="E1763" s="11" t="str">
        <f>+HYPERLINK("http://trademark.i-assist.jp/data/china/image_1898th/78584016.pdf", "78584016")</f>
        <v>78584016</v>
      </c>
      <c r="F1763" s="10" t="s">
        <v>5007</v>
      </c>
      <c r="G1763" s="10" t="s">
        <v>232</v>
      </c>
      <c r="H1763" s="10" t="s">
        <v>5008</v>
      </c>
      <c r="I1763" s="10" t="s">
        <v>278</v>
      </c>
    </row>
    <row r="1764" spans="1:9" x14ac:dyDescent="0.15">
      <c r="A1764" s="9">
        <v>1763</v>
      </c>
      <c r="B1764" s="10" t="s">
        <v>9</v>
      </c>
      <c r="C1764" s="10" t="s">
        <v>299</v>
      </c>
      <c r="D1764" s="10" t="s">
        <v>300</v>
      </c>
      <c r="E1764" s="11" t="str">
        <f>+HYPERLINK("http://trademark.i-assist.jp/data/china/image_1898th/78584100.pdf", "78584100")</f>
        <v>78584100</v>
      </c>
      <c r="F1764" s="10" t="s">
        <v>5009</v>
      </c>
      <c r="G1764" s="10" t="s">
        <v>4737</v>
      </c>
      <c r="H1764" s="10" t="s">
        <v>5010</v>
      </c>
      <c r="I1764" s="10" t="s">
        <v>278</v>
      </c>
    </row>
    <row r="1765" spans="1:9" x14ac:dyDescent="0.15">
      <c r="A1765" s="9">
        <v>1764</v>
      </c>
      <c r="B1765" s="10" t="s">
        <v>9</v>
      </c>
      <c r="C1765" s="10" t="s">
        <v>299</v>
      </c>
      <c r="D1765" s="10" t="s">
        <v>300</v>
      </c>
      <c r="E1765" s="11" t="str">
        <f>+HYPERLINK("http://trademark.i-assist.jp/data/china/image_1898th/78584182.pdf", "78584182")</f>
        <v>78584182</v>
      </c>
      <c r="F1765" s="10" t="s">
        <v>5011</v>
      </c>
      <c r="G1765" s="10" t="s">
        <v>5012</v>
      </c>
      <c r="H1765" s="10" t="s">
        <v>5013</v>
      </c>
      <c r="I1765" s="10" t="s">
        <v>278</v>
      </c>
    </row>
    <row r="1766" spans="1:9" x14ac:dyDescent="0.15">
      <c r="A1766" s="9">
        <v>1765</v>
      </c>
      <c r="B1766" s="10" t="s">
        <v>9</v>
      </c>
      <c r="C1766" s="10" t="s">
        <v>299</v>
      </c>
      <c r="D1766" s="10" t="s">
        <v>300</v>
      </c>
      <c r="E1766" s="11" t="str">
        <f>+HYPERLINK("http://trademark.i-assist.jp/data/china/image_1898th/78584388.pdf", "78584388")</f>
        <v>78584388</v>
      </c>
      <c r="F1766" s="10" t="s">
        <v>5014</v>
      </c>
      <c r="G1766" s="10" t="s">
        <v>5015</v>
      </c>
      <c r="H1766" s="10" t="s">
        <v>5016</v>
      </c>
      <c r="I1766" s="10" t="s">
        <v>278</v>
      </c>
    </row>
    <row r="1767" spans="1:9" x14ac:dyDescent="0.15">
      <c r="A1767" s="9">
        <v>1766</v>
      </c>
      <c r="B1767" s="10" t="s">
        <v>9</v>
      </c>
      <c r="C1767" s="10" t="s">
        <v>299</v>
      </c>
      <c r="D1767" s="10" t="s">
        <v>300</v>
      </c>
      <c r="E1767" s="11" t="str">
        <f>+HYPERLINK("http://trademark.i-assist.jp/data/china/image_1898th/78584474.pdf", "78584474")</f>
        <v>78584474</v>
      </c>
      <c r="F1767" s="10" t="s">
        <v>5017</v>
      </c>
      <c r="G1767" s="10" t="s">
        <v>4790</v>
      </c>
      <c r="H1767" s="10" t="s">
        <v>5018</v>
      </c>
      <c r="I1767" s="10" t="s">
        <v>278</v>
      </c>
    </row>
    <row r="1768" spans="1:9" x14ac:dyDescent="0.15">
      <c r="A1768" s="9">
        <v>1767</v>
      </c>
      <c r="B1768" s="10" t="s">
        <v>9</v>
      </c>
      <c r="C1768" s="10" t="s">
        <v>299</v>
      </c>
      <c r="D1768" s="10" t="s">
        <v>300</v>
      </c>
      <c r="E1768" s="11" t="str">
        <f>+HYPERLINK("http://trademark.i-assist.jp/data/china/image_1898th/78584477.pdf", "78584477")</f>
        <v>78584477</v>
      </c>
      <c r="F1768" s="10" t="s">
        <v>5019</v>
      </c>
      <c r="G1768" s="10" t="s">
        <v>4959</v>
      </c>
      <c r="H1768" s="10" t="s">
        <v>5020</v>
      </c>
      <c r="I1768" s="10" t="s">
        <v>278</v>
      </c>
    </row>
    <row r="1769" spans="1:9" x14ac:dyDescent="0.15">
      <c r="A1769" s="9">
        <v>1768</v>
      </c>
      <c r="B1769" s="10" t="s">
        <v>9</v>
      </c>
      <c r="C1769" s="10" t="s">
        <v>299</v>
      </c>
      <c r="D1769" s="10" t="s">
        <v>300</v>
      </c>
      <c r="E1769" s="11" t="str">
        <f>+HYPERLINK("http://trademark.i-assist.jp/data/china/image_1898th/78584604.pdf", "78584604")</f>
        <v>78584604</v>
      </c>
      <c r="F1769" s="10" t="s">
        <v>5021</v>
      </c>
      <c r="G1769" s="10" t="s">
        <v>284</v>
      </c>
      <c r="H1769" s="10" t="s">
        <v>5022</v>
      </c>
      <c r="I1769" s="10" t="s">
        <v>278</v>
      </c>
    </row>
    <row r="1770" spans="1:9" x14ac:dyDescent="0.15">
      <c r="A1770" s="9">
        <v>1769</v>
      </c>
      <c r="B1770" s="10" t="s">
        <v>9</v>
      </c>
      <c r="C1770" s="10" t="s">
        <v>299</v>
      </c>
      <c r="D1770" s="10" t="s">
        <v>300</v>
      </c>
      <c r="E1770" s="11" t="str">
        <f>+HYPERLINK("http://trademark.i-assist.jp/data/china/image_1898th/78585132.pdf", "78585132")</f>
        <v>78585132</v>
      </c>
      <c r="F1770" s="10" t="s">
        <v>5023</v>
      </c>
      <c r="G1770" s="10" t="s">
        <v>5024</v>
      </c>
      <c r="H1770" s="10" t="s">
        <v>5025</v>
      </c>
      <c r="I1770" s="10" t="s">
        <v>278</v>
      </c>
    </row>
    <row r="1771" spans="1:9" x14ac:dyDescent="0.15">
      <c r="A1771" s="9">
        <v>1770</v>
      </c>
      <c r="B1771" s="10" t="s">
        <v>9</v>
      </c>
      <c r="C1771" s="10" t="s">
        <v>299</v>
      </c>
      <c r="D1771" s="10" t="s">
        <v>300</v>
      </c>
      <c r="E1771" s="11" t="str">
        <f>+HYPERLINK("http://trademark.i-assist.jp/data/china/image_1898th/78585152.pdf", "78585152")</f>
        <v>78585152</v>
      </c>
      <c r="F1771" s="10" t="s">
        <v>5026</v>
      </c>
      <c r="G1771" s="10" t="s">
        <v>5027</v>
      </c>
      <c r="H1771" s="10" t="s">
        <v>5028</v>
      </c>
      <c r="I1771" s="10" t="s">
        <v>278</v>
      </c>
    </row>
    <row r="1772" spans="1:9" x14ac:dyDescent="0.15">
      <c r="A1772" s="9">
        <v>1771</v>
      </c>
      <c r="B1772" s="10" t="s">
        <v>9</v>
      </c>
      <c r="C1772" s="10" t="s">
        <v>299</v>
      </c>
      <c r="D1772" s="10" t="s">
        <v>300</v>
      </c>
      <c r="E1772" s="11" t="str">
        <f>+HYPERLINK("http://trademark.i-assist.jp/data/china/image_1898th/78585217.pdf", "78585217")</f>
        <v>78585217</v>
      </c>
      <c r="F1772" s="10" t="s">
        <v>5029</v>
      </c>
      <c r="G1772" s="10" t="s">
        <v>5030</v>
      </c>
      <c r="H1772" s="10" t="s">
        <v>5031</v>
      </c>
      <c r="I1772" s="10" t="s">
        <v>278</v>
      </c>
    </row>
    <row r="1773" spans="1:9" x14ac:dyDescent="0.15">
      <c r="A1773" s="9">
        <v>1772</v>
      </c>
      <c r="B1773" s="10" t="s">
        <v>9</v>
      </c>
      <c r="C1773" s="10" t="s">
        <v>299</v>
      </c>
      <c r="D1773" s="10" t="s">
        <v>300</v>
      </c>
      <c r="E1773" s="11" t="str">
        <f>+HYPERLINK("http://trademark.i-assist.jp/data/china/image_1898th/78585501.pdf", "78585501")</f>
        <v>78585501</v>
      </c>
      <c r="F1773" s="10" t="s">
        <v>5032</v>
      </c>
      <c r="G1773" s="10" t="s">
        <v>5033</v>
      </c>
      <c r="H1773" s="10" t="s">
        <v>5034</v>
      </c>
      <c r="I1773" s="10" t="s">
        <v>278</v>
      </c>
    </row>
    <row r="1774" spans="1:9" x14ac:dyDescent="0.15">
      <c r="A1774" s="9">
        <v>1773</v>
      </c>
      <c r="B1774" s="10" t="s">
        <v>9</v>
      </c>
      <c r="C1774" s="10" t="s">
        <v>299</v>
      </c>
      <c r="D1774" s="10" t="s">
        <v>300</v>
      </c>
      <c r="E1774" s="11" t="str">
        <f>+HYPERLINK("http://trademark.i-assist.jp/data/china/image_1898th/78585706.pdf", "78585706")</f>
        <v>78585706</v>
      </c>
      <c r="F1774" s="10" t="s">
        <v>5035</v>
      </c>
      <c r="G1774" s="10" t="s">
        <v>5036</v>
      </c>
      <c r="H1774" s="10" t="s">
        <v>5037</v>
      </c>
      <c r="I1774" s="10" t="s">
        <v>278</v>
      </c>
    </row>
    <row r="1775" spans="1:9" x14ac:dyDescent="0.15">
      <c r="A1775" s="9">
        <v>1774</v>
      </c>
      <c r="B1775" s="10" t="s">
        <v>9</v>
      </c>
      <c r="C1775" s="10" t="s">
        <v>299</v>
      </c>
      <c r="D1775" s="10" t="s">
        <v>300</v>
      </c>
      <c r="E1775" s="11" t="str">
        <f>+HYPERLINK("http://trademark.i-assist.jp/data/china/image_1898th/78585751.pdf", "78585751")</f>
        <v>78585751</v>
      </c>
      <c r="F1775" s="10" t="s">
        <v>5038</v>
      </c>
      <c r="G1775" s="10" t="s">
        <v>4737</v>
      </c>
      <c r="H1775" s="10" t="s">
        <v>5039</v>
      </c>
      <c r="I1775" s="10" t="s">
        <v>278</v>
      </c>
    </row>
    <row r="1776" spans="1:9" x14ac:dyDescent="0.15">
      <c r="A1776" s="9">
        <v>1775</v>
      </c>
      <c r="B1776" s="10" t="s">
        <v>9</v>
      </c>
      <c r="C1776" s="10" t="s">
        <v>299</v>
      </c>
      <c r="D1776" s="10" t="s">
        <v>300</v>
      </c>
      <c r="E1776" s="11" t="str">
        <f>+HYPERLINK("http://trademark.i-assist.jp/data/china/image_1898th/78586027.pdf", "78586027")</f>
        <v>78586027</v>
      </c>
      <c r="F1776" s="10" t="s">
        <v>5040</v>
      </c>
      <c r="G1776" s="10" t="s">
        <v>200</v>
      </c>
      <c r="H1776" s="10" t="s">
        <v>5041</v>
      </c>
      <c r="I1776" s="10" t="s">
        <v>278</v>
      </c>
    </row>
    <row r="1777" spans="1:9" x14ac:dyDescent="0.15">
      <c r="A1777" s="9">
        <v>1776</v>
      </c>
      <c r="B1777" s="10" t="s">
        <v>9</v>
      </c>
      <c r="C1777" s="10" t="s">
        <v>299</v>
      </c>
      <c r="D1777" s="10" t="s">
        <v>300</v>
      </c>
      <c r="E1777" s="11" t="str">
        <f>+HYPERLINK("http://trademark.i-assist.jp/data/china/image_1898th/78586058.pdf", "78586058")</f>
        <v>78586058</v>
      </c>
      <c r="F1777" s="10" t="s">
        <v>19</v>
      </c>
      <c r="G1777" s="10" t="s">
        <v>5042</v>
      </c>
      <c r="H1777" s="10" t="s">
        <v>5043</v>
      </c>
      <c r="I1777" s="10" t="s">
        <v>278</v>
      </c>
    </row>
    <row r="1778" spans="1:9" x14ac:dyDescent="0.15">
      <c r="A1778" s="9">
        <v>1777</v>
      </c>
      <c r="B1778" s="10" t="s">
        <v>9</v>
      </c>
      <c r="C1778" s="10" t="s">
        <v>299</v>
      </c>
      <c r="D1778" s="10" t="s">
        <v>300</v>
      </c>
      <c r="E1778" s="11" t="str">
        <f>+HYPERLINK("http://trademark.i-assist.jp/data/china/image_1898th/78586273.pdf", "78586273")</f>
        <v>78586273</v>
      </c>
      <c r="F1778" s="10" t="s">
        <v>5044</v>
      </c>
      <c r="G1778" s="10" t="s">
        <v>5045</v>
      </c>
      <c r="H1778" s="10" t="s">
        <v>5046</v>
      </c>
      <c r="I1778" s="10" t="s">
        <v>278</v>
      </c>
    </row>
    <row r="1779" spans="1:9" x14ac:dyDescent="0.15">
      <c r="A1779" s="9">
        <v>1778</v>
      </c>
      <c r="B1779" s="10" t="s">
        <v>9</v>
      </c>
      <c r="C1779" s="10" t="s">
        <v>299</v>
      </c>
      <c r="D1779" s="10" t="s">
        <v>300</v>
      </c>
      <c r="E1779" s="11" t="str">
        <f>+HYPERLINK("http://trademark.i-assist.jp/data/china/image_1898th/78586290.pdf", "78586290")</f>
        <v>78586290</v>
      </c>
      <c r="F1779" s="10" t="s">
        <v>5047</v>
      </c>
      <c r="G1779" s="10" t="s">
        <v>4731</v>
      </c>
      <c r="H1779" s="10" t="s">
        <v>5048</v>
      </c>
      <c r="I1779" s="10" t="s">
        <v>278</v>
      </c>
    </row>
    <row r="1780" spans="1:9" x14ac:dyDescent="0.15">
      <c r="A1780" s="9">
        <v>1779</v>
      </c>
      <c r="B1780" s="10" t="s">
        <v>9</v>
      </c>
      <c r="C1780" s="10" t="s">
        <v>299</v>
      </c>
      <c r="D1780" s="10" t="s">
        <v>300</v>
      </c>
      <c r="E1780" s="11" t="str">
        <f>+HYPERLINK("http://trademark.i-assist.jp/data/china/image_1898th/78586310.pdf", "78586310")</f>
        <v>78586310</v>
      </c>
      <c r="F1780" s="10" t="s">
        <v>5049</v>
      </c>
      <c r="G1780" s="10" t="s">
        <v>5050</v>
      </c>
      <c r="H1780" s="10" t="s">
        <v>5051</v>
      </c>
      <c r="I1780" s="10" t="s">
        <v>278</v>
      </c>
    </row>
    <row r="1781" spans="1:9" x14ac:dyDescent="0.15">
      <c r="A1781" s="9">
        <v>1780</v>
      </c>
      <c r="B1781" s="10" t="s">
        <v>9</v>
      </c>
      <c r="C1781" s="10" t="s">
        <v>299</v>
      </c>
      <c r="D1781" s="10" t="s">
        <v>300</v>
      </c>
      <c r="E1781" s="11" t="str">
        <f>+HYPERLINK("http://trademark.i-assist.jp/data/china/image_1898th/78586394.pdf", "78586394")</f>
        <v>78586394</v>
      </c>
      <c r="F1781" s="10" t="s">
        <v>5052</v>
      </c>
      <c r="G1781" s="10" t="s">
        <v>4737</v>
      </c>
      <c r="H1781" s="10" t="s">
        <v>5053</v>
      </c>
      <c r="I1781" s="10" t="s">
        <v>278</v>
      </c>
    </row>
    <row r="1782" spans="1:9" x14ac:dyDescent="0.15">
      <c r="A1782" s="9">
        <v>1781</v>
      </c>
      <c r="B1782" s="10" t="s">
        <v>9</v>
      </c>
      <c r="C1782" s="10" t="s">
        <v>299</v>
      </c>
      <c r="D1782" s="10" t="s">
        <v>300</v>
      </c>
      <c r="E1782" s="11" t="str">
        <f>+HYPERLINK("http://trademark.i-assist.jp/data/china/image_1898th/78586746.pdf", "78586746")</f>
        <v>78586746</v>
      </c>
      <c r="F1782" s="10" t="s">
        <v>5054</v>
      </c>
      <c r="G1782" s="10" t="s">
        <v>5055</v>
      </c>
      <c r="H1782" s="10" t="s">
        <v>5056</v>
      </c>
      <c r="I1782" s="10" t="s">
        <v>278</v>
      </c>
    </row>
    <row r="1783" spans="1:9" x14ac:dyDescent="0.15">
      <c r="A1783" s="9">
        <v>1782</v>
      </c>
      <c r="B1783" s="10" t="s">
        <v>9</v>
      </c>
      <c r="C1783" s="10" t="s">
        <v>299</v>
      </c>
      <c r="D1783" s="10" t="s">
        <v>300</v>
      </c>
      <c r="E1783" s="11" t="str">
        <f>+HYPERLINK("http://trademark.i-assist.jp/data/china/image_1898th/78587081.pdf", "78587081")</f>
        <v>78587081</v>
      </c>
      <c r="F1783" s="10" t="s">
        <v>5057</v>
      </c>
      <c r="G1783" s="10" t="s">
        <v>276</v>
      </c>
      <c r="H1783" s="10" t="s">
        <v>5058</v>
      </c>
      <c r="I1783" s="10" t="s">
        <v>278</v>
      </c>
    </row>
    <row r="1784" spans="1:9" x14ac:dyDescent="0.15">
      <c r="A1784" s="9">
        <v>1783</v>
      </c>
      <c r="B1784" s="10" t="s">
        <v>9</v>
      </c>
      <c r="C1784" s="10" t="s">
        <v>299</v>
      </c>
      <c r="D1784" s="10" t="s">
        <v>300</v>
      </c>
      <c r="E1784" s="11" t="str">
        <f>+HYPERLINK("http://trademark.i-assist.jp/data/china/image_1898th/78587313.pdf", "78587313")</f>
        <v>78587313</v>
      </c>
      <c r="F1784" s="10" t="s">
        <v>5059</v>
      </c>
      <c r="G1784" s="10" t="s">
        <v>5060</v>
      </c>
      <c r="H1784" s="10" t="s">
        <v>5061</v>
      </c>
      <c r="I1784" s="10" t="s">
        <v>278</v>
      </c>
    </row>
    <row r="1785" spans="1:9" x14ac:dyDescent="0.15">
      <c r="A1785" s="9">
        <v>1784</v>
      </c>
      <c r="B1785" s="10" t="s">
        <v>9</v>
      </c>
      <c r="C1785" s="10" t="s">
        <v>299</v>
      </c>
      <c r="D1785" s="10" t="s">
        <v>300</v>
      </c>
      <c r="E1785" s="11" t="str">
        <f>+HYPERLINK("http://trademark.i-assist.jp/data/china/image_1898th/78587439.pdf", "78587439")</f>
        <v>78587439</v>
      </c>
      <c r="F1785" s="10" t="s">
        <v>5062</v>
      </c>
      <c r="G1785" s="10" t="s">
        <v>5063</v>
      </c>
      <c r="H1785" s="10" t="s">
        <v>5064</v>
      </c>
      <c r="I1785" s="10" t="s">
        <v>278</v>
      </c>
    </row>
    <row r="1786" spans="1:9" x14ac:dyDescent="0.15">
      <c r="A1786" s="9">
        <v>1785</v>
      </c>
      <c r="B1786" s="10" t="s">
        <v>9</v>
      </c>
      <c r="C1786" s="10" t="s">
        <v>299</v>
      </c>
      <c r="D1786" s="10" t="s">
        <v>300</v>
      </c>
      <c r="E1786" s="11" t="str">
        <f>+HYPERLINK("http://trademark.i-assist.jp/data/china/image_1898th/78587644.pdf", "78587644")</f>
        <v>78587644</v>
      </c>
      <c r="F1786" s="10" t="s">
        <v>5065</v>
      </c>
      <c r="G1786" s="10" t="s">
        <v>5066</v>
      </c>
      <c r="H1786" s="10" t="s">
        <v>5067</v>
      </c>
      <c r="I1786" s="10" t="s">
        <v>278</v>
      </c>
    </row>
    <row r="1787" spans="1:9" x14ac:dyDescent="0.15">
      <c r="A1787" s="9">
        <v>1786</v>
      </c>
      <c r="B1787" s="10" t="s">
        <v>9</v>
      </c>
      <c r="C1787" s="10" t="s">
        <v>299</v>
      </c>
      <c r="D1787" s="10" t="s">
        <v>300</v>
      </c>
      <c r="E1787" s="11" t="str">
        <f>+HYPERLINK("http://trademark.i-assist.jp/data/china/image_1898th/78587677.pdf", "78587677")</f>
        <v>78587677</v>
      </c>
      <c r="F1787" s="10" t="s">
        <v>5068</v>
      </c>
      <c r="G1787" s="10" t="s">
        <v>5069</v>
      </c>
      <c r="H1787" s="10" t="s">
        <v>5070</v>
      </c>
      <c r="I1787" s="10" t="s">
        <v>278</v>
      </c>
    </row>
    <row r="1788" spans="1:9" x14ac:dyDescent="0.15">
      <c r="A1788" s="9">
        <v>1787</v>
      </c>
      <c r="B1788" s="10" t="s">
        <v>9</v>
      </c>
      <c r="C1788" s="10" t="s">
        <v>299</v>
      </c>
      <c r="D1788" s="10" t="s">
        <v>300</v>
      </c>
      <c r="E1788" s="11" t="str">
        <f>+HYPERLINK("http://trademark.i-assist.jp/data/china/image_1898th/78588391.pdf", "78588391")</f>
        <v>78588391</v>
      </c>
      <c r="F1788" s="10" t="s">
        <v>5071</v>
      </c>
      <c r="G1788" s="10" t="s">
        <v>4959</v>
      </c>
      <c r="H1788" s="10" t="s">
        <v>5072</v>
      </c>
      <c r="I1788" s="10" t="s">
        <v>278</v>
      </c>
    </row>
    <row r="1789" spans="1:9" x14ac:dyDescent="0.15">
      <c r="A1789" s="9">
        <v>1788</v>
      </c>
      <c r="B1789" s="10" t="s">
        <v>9</v>
      </c>
      <c r="C1789" s="10" t="s">
        <v>299</v>
      </c>
      <c r="D1789" s="10" t="s">
        <v>300</v>
      </c>
      <c r="E1789" s="11" t="str">
        <f>+HYPERLINK("http://trademark.i-assist.jp/data/china/image_1898th/78588393.pdf", "78588393")</f>
        <v>78588393</v>
      </c>
      <c r="F1789" s="10" t="s">
        <v>5073</v>
      </c>
      <c r="G1789" s="10" t="s">
        <v>5074</v>
      </c>
      <c r="H1789" s="10" t="s">
        <v>5075</v>
      </c>
      <c r="I1789" s="10" t="s">
        <v>278</v>
      </c>
    </row>
    <row r="1790" spans="1:9" x14ac:dyDescent="0.15">
      <c r="A1790" s="9">
        <v>1789</v>
      </c>
      <c r="B1790" s="10" t="s">
        <v>9</v>
      </c>
      <c r="C1790" s="10" t="s">
        <v>299</v>
      </c>
      <c r="D1790" s="10" t="s">
        <v>300</v>
      </c>
      <c r="E1790" s="11" t="str">
        <f>+HYPERLINK("http://trademark.i-assist.jp/data/china/image_1898th/78588469.pdf", "78588469")</f>
        <v>78588469</v>
      </c>
      <c r="F1790" s="10" t="s">
        <v>5076</v>
      </c>
      <c r="G1790" s="10" t="s">
        <v>5077</v>
      </c>
      <c r="H1790" s="10" t="s">
        <v>5078</v>
      </c>
      <c r="I1790" s="10" t="s">
        <v>278</v>
      </c>
    </row>
    <row r="1791" spans="1:9" x14ac:dyDescent="0.15">
      <c r="A1791" s="9">
        <v>1790</v>
      </c>
      <c r="B1791" s="10" t="s">
        <v>9</v>
      </c>
      <c r="C1791" s="10" t="s">
        <v>299</v>
      </c>
      <c r="D1791" s="10" t="s">
        <v>300</v>
      </c>
      <c r="E1791" s="11" t="str">
        <f>+HYPERLINK("http://trademark.i-assist.jp/data/china/image_1898th/78588578.pdf", "78588578")</f>
        <v>78588578</v>
      </c>
      <c r="F1791" s="10" t="s">
        <v>5079</v>
      </c>
      <c r="G1791" s="10" t="s">
        <v>5080</v>
      </c>
      <c r="H1791" s="10" t="s">
        <v>5081</v>
      </c>
      <c r="I1791" s="10" t="s">
        <v>278</v>
      </c>
    </row>
    <row r="1792" spans="1:9" x14ac:dyDescent="0.15">
      <c r="A1792" s="9">
        <v>1791</v>
      </c>
      <c r="B1792" s="10" t="s">
        <v>9</v>
      </c>
      <c r="C1792" s="10" t="s">
        <v>299</v>
      </c>
      <c r="D1792" s="10" t="s">
        <v>300</v>
      </c>
      <c r="E1792" s="11" t="str">
        <f>+HYPERLINK("http://trademark.i-assist.jp/data/china/image_1898th/78588643.pdf", "78588643")</f>
        <v>78588643</v>
      </c>
      <c r="F1792" s="10" t="s">
        <v>5082</v>
      </c>
      <c r="G1792" s="10" t="s">
        <v>5083</v>
      </c>
      <c r="H1792" s="10" t="s">
        <v>5084</v>
      </c>
      <c r="I1792" s="10" t="s">
        <v>278</v>
      </c>
    </row>
    <row r="1793" spans="1:9" x14ac:dyDescent="0.15">
      <c r="A1793" s="9">
        <v>1792</v>
      </c>
      <c r="B1793" s="10" t="s">
        <v>9</v>
      </c>
      <c r="C1793" s="10" t="s">
        <v>299</v>
      </c>
      <c r="D1793" s="10" t="s">
        <v>300</v>
      </c>
      <c r="E1793" s="11" t="str">
        <f>+HYPERLINK("http://trademark.i-assist.jp/data/china/image_1898th/78588661.pdf", "78588661")</f>
        <v>78588661</v>
      </c>
      <c r="F1793" s="10" t="s">
        <v>19</v>
      </c>
      <c r="G1793" s="10" t="s">
        <v>5085</v>
      </c>
      <c r="H1793" s="10" t="s">
        <v>5086</v>
      </c>
      <c r="I1793" s="10" t="s">
        <v>278</v>
      </c>
    </row>
    <row r="1794" spans="1:9" x14ac:dyDescent="0.15">
      <c r="A1794" s="9">
        <v>1793</v>
      </c>
      <c r="B1794" s="10" t="s">
        <v>9</v>
      </c>
      <c r="C1794" s="10" t="s">
        <v>299</v>
      </c>
      <c r="D1794" s="10" t="s">
        <v>300</v>
      </c>
      <c r="E1794" s="11" t="str">
        <f>+HYPERLINK("http://trademark.i-assist.jp/data/china/image_1898th/78588821.pdf", "78588821")</f>
        <v>78588821</v>
      </c>
      <c r="F1794" s="10" t="s">
        <v>5087</v>
      </c>
      <c r="G1794" s="10" t="s">
        <v>5088</v>
      </c>
      <c r="H1794" s="10" t="s">
        <v>5089</v>
      </c>
      <c r="I1794" s="10" t="s">
        <v>278</v>
      </c>
    </row>
    <row r="1795" spans="1:9" x14ac:dyDescent="0.15">
      <c r="A1795" s="9">
        <v>1794</v>
      </c>
      <c r="B1795" s="10" t="s">
        <v>9</v>
      </c>
      <c r="C1795" s="10" t="s">
        <v>299</v>
      </c>
      <c r="D1795" s="10" t="s">
        <v>300</v>
      </c>
      <c r="E1795" s="11" t="str">
        <f>+HYPERLINK("http://trademark.i-assist.jp/data/china/image_1898th/78589021.pdf", "78589021")</f>
        <v>78589021</v>
      </c>
      <c r="F1795" s="10" t="s">
        <v>5090</v>
      </c>
      <c r="G1795" s="10" t="s">
        <v>217</v>
      </c>
      <c r="H1795" s="10" t="s">
        <v>5091</v>
      </c>
      <c r="I1795" s="10" t="s">
        <v>278</v>
      </c>
    </row>
    <row r="1796" spans="1:9" x14ac:dyDescent="0.15">
      <c r="A1796" s="9">
        <v>1795</v>
      </c>
      <c r="B1796" s="10" t="s">
        <v>9</v>
      </c>
      <c r="C1796" s="10" t="s">
        <v>299</v>
      </c>
      <c r="D1796" s="10" t="s">
        <v>300</v>
      </c>
      <c r="E1796" s="11" t="str">
        <f>+HYPERLINK("http://trademark.i-assist.jp/data/china/image_1898th/78589397.pdf", "78589397")</f>
        <v>78589397</v>
      </c>
      <c r="F1796" s="10" t="s">
        <v>5092</v>
      </c>
      <c r="G1796" s="10" t="s">
        <v>5093</v>
      </c>
      <c r="H1796" s="10" t="s">
        <v>5094</v>
      </c>
      <c r="I1796" s="10" t="s">
        <v>278</v>
      </c>
    </row>
    <row r="1797" spans="1:9" x14ac:dyDescent="0.15">
      <c r="A1797" s="9">
        <v>1796</v>
      </c>
      <c r="B1797" s="10" t="s">
        <v>9</v>
      </c>
      <c r="C1797" s="10" t="s">
        <v>299</v>
      </c>
      <c r="D1797" s="10" t="s">
        <v>300</v>
      </c>
      <c r="E1797" s="11" t="str">
        <f>+HYPERLINK("http://trademark.i-assist.jp/data/china/image_1898th/78589415.pdf", "78589415")</f>
        <v>78589415</v>
      </c>
      <c r="F1797" s="10" t="s">
        <v>5095</v>
      </c>
      <c r="G1797" s="10" t="s">
        <v>4884</v>
      </c>
      <c r="H1797" s="10" t="s">
        <v>5096</v>
      </c>
      <c r="I1797" s="10" t="s">
        <v>278</v>
      </c>
    </row>
    <row r="1798" spans="1:9" x14ac:dyDescent="0.15">
      <c r="A1798" s="9">
        <v>1797</v>
      </c>
      <c r="B1798" s="10" t="s">
        <v>9</v>
      </c>
      <c r="C1798" s="10" t="s">
        <v>299</v>
      </c>
      <c r="D1798" s="10" t="s">
        <v>300</v>
      </c>
      <c r="E1798" s="11" t="str">
        <f>+HYPERLINK("http://trademark.i-assist.jp/data/china/image_1898th/78589489.pdf", "78589489")</f>
        <v>78589489</v>
      </c>
      <c r="F1798" s="10" t="s">
        <v>5097</v>
      </c>
      <c r="G1798" s="10" t="s">
        <v>5098</v>
      </c>
      <c r="H1798" s="10" t="s">
        <v>5099</v>
      </c>
      <c r="I1798" s="10" t="s">
        <v>278</v>
      </c>
    </row>
    <row r="1799" spans="1:9" x14ac:dyDescent="0.15">
      <c r="A1799" s="9">
        <v>1798</v>
      </c>
      <c r="B1799" s="10" t="s">
        <v>9</v>
      </c>
      <c r="C1799" s="10" t="s">
        <v>299</v>
      </c>
      <c r="D1799" s="10" t="s">
        <v>300</v>
      </c>
      <c r="E1799" s="11" t="str">
        <f>+HYPERLINK("http://trademark.i-assist.jp/data/china/image_1898th/78589632.pdf", "78589632")</f>
        <v>78589632</v>
      </c>
      <c r="F1799" s="10" t="s">
        <v>5100</v>
      </c>
      <c r="G1799" s="10" t="s">
        <v>5101</v>
      </c>
      <c r="H1799" s="10" t="s">
        <v>5102</v>
      </c>
      <c r="I1799" s="10" t="s">
        <v>278</v>
      </c>
    </row>
    <row r="1800" spans="1:9" x14ac:dyDescent="0.15">
      <c r="A1800" s="9">
        <v>1799</v>
      </c>
      <c r="B1800" s="10" t="s">
        <v>9</v>
      </c>
      <c r="C1800" s="10" t="s">
        <v>299</v>
      </c>
      <c r="D1800" s="10" t="s">
        <v>300</v>
      </c>
      <c r="E1800" s="11" t="str">
        <f>+HYPERLINK("http://trademark.i-assist.jp/data/china/image_1898th/78589682.pdf", "78589682")</f>
        <v>78589682</v>
      </c>
      <c r="F1800" s="10" t="s">
        <v>5103</v>
      </c>
      <c r="G1800" s="10" t="s">
        <v>5104</v>
      </c>
      <c r="H1800" s="10" t="s">
        <v>5105</v>
      </c>
      <c r="I1800" s="10" t="s">
        <v>278</v>
      </c>
    </row>
    <row r="1801" spans="1:9" x14ac:dyDescent="0.15">
      <c r="A1801" s="9">
        <v>1800</v>
      </c>
      <c r="B1801" s="10" t="s">
        <v>9</v>
      </c>
      <c r="C1801" s="10" t="s">
        <v>299</v>
      </c>
      <c r="D1801" s="10" t="s">
        <v>300</v>
      </c>
      <c r="E1801" s="11" t="str">
        <f>+HYPERLINK("http://trademark.i-assist.jp/data/china/image_1898th/78590739.pdf", "78590739")</f>
        <v>78590739</v>
      </c>
      <c r="F1801" s="10" t="s">
        <v>5106</v>
      </c>
      <c r="G1801" s="10" t="s">
        <v>4716</v>
      </c>
      <c r="H1801" s="10" t="s">
        <v>5107</v>
      </c>
      <c r="I1801" s="10" t="s">
        <v>278</v>
      </c>
    </row>
    <row r="1802" spans="1:9" x14ac:dyDescent="0.15">
      <c r="A1802" s="9">
        <v>1801</v>
      </c>
      <c r="B1802" s="10" t="s">
        <v>9</v>
      </c>
      <c r="C1802" s="10" t="s">
        <v>299</v>
      </c>
      <c r="D1802" s="10" t="s">
        <v>300</v>
      </c>
      <c r="E1802" s="11" t="str">
        <f>+HYPERLINK("http://trademark.i-assist.jp/data/china/image_1898th/78591160.pdf", "78591160")</f>
        <v>78591160</v>
      </c>
      <c r="F1802" s="10" t="s">
        <v>5108</v>
      </c>
      <c r="G1802" s="10" t="s">
        <v>217</v>
      </c>
      <c r="H1802" s="10" t="s">
        <v>5109</v>
      </c>
      <c r="I1802" s="10" t="s">
        <v>278</v>
      </c>
    </row>
    <row r="1803" spans="1:9" x14ac:dyDescent="0.15">
      <c r="A1803" s="9">
        <v>1802</v>
      </c>
      <c r="B1803" s="10" t="s">
        <v>9</v>
      </c>
      <c r="C1803" s="10" t="s">
        <v>299</v>
      </c>
      <c r="D1803" s="10" t="s">
        <v>300</v>
      </c>
      <c r="E1803" s="11" t="str">
        <f>+HYPERLINK("http://trademark.i-assist.jp/data/china/image_1898th/78591191.pdf", "78591191")</f>
        <v>78591191</v>
      </c>
      <c r="F1803" s="10" t="s">
        <v>5110</v>
      </c>
      <c r="G1803" s="10" t="s">
        <v>5111</v>
      </c>
      <c r="H1803" s="10" t="s">
        <v>5112</v>
      </c>
      <c r="I1803" s="10" t="s">
        <v>278</v>
      </c>
    </row>
    <row r="1804" spans="1:9" x14ac:dyDescent="0.15">
      <c r="A1804" s="9">
        <v>1803</v>
      </c>
      <c r="B1804" s="10" t="s">
        <v>9</v>
      </c>
      <c r="C1804" s="10" t="s">
        <v>299</v>
      </c>
      <c r="D1804" s="10" t="s">
        <v>300</v>
      </c>
      <c r="E1804" s="11" t="str">
        <f>+HYPERLINK("http://trademark.i-assist.jp/data/china/image_1898th/78591339.pdf", "78591339")</f>
        <v>78591339</v>
      </c>
      <c r="F1804" s="10" t="s">
        <v>5113</v>
      </c>
      <c r="G1804" s="10" t="s">
        <v>5114</v>
      </c>
      <c r="H1804" s="10" t="s">
        <v>5115</v>
      </c>
      <c r="I1804" s="10" t="s">
        <v>278</v>
      </c>
    </row>
    <row r="1805" spans="1:9" x14ac:dyDescent="0.15">
      <c r="A1805" s="9">
        <v>1804</v>
      </c>
      <c r="B1805" s="10" t="s">
        <v>9</v>
      </c>
      <c r="C1805" s="10" t="s">
        <v>299</v>
      </c>
      <c r="D1805" s="10" t="s">
        <v>300</v>
      </c>
      <c r="E1805" s="11" t="str">
        <f>+HYPERLINK("http://trademark.i-assist.jp/data/china/image_1898th/78591382.pdf", "78591382")</f>
        <v>78591382</v>
      </c>
      <c r="F1805" s="10" t="s">
        <v>5116</v>
      </c>
      <c r="G1805" s="10" t="s">
        <v>5117</v>
      </c>
      <c r="H1805" s="10" t="s">
        <v>5118</v>
      </c>
      <c r="I1805" s="10" t="s">
        <v>278</v>
      </c>
    </row>
    <row r="1806" spans="1:9" x14ac:dyDescent="0.15">
      <c r="A1806" s="9">
        <v>1805</v>
      </c>
      <c r="B1806" s="10" t="s">
        <v>9</v>
      </c>
      <c r="C1806" s="10" t="s">
        <v>299</v>
      </c>
      <c r="D1806" s="10" t="s">
        <v>300</v>
      </c>
      <c r="E1806" s="11" t="str">
        <f>+HYPERLINK("http://trademark.i-assist.jp/data/china/image_1898th/78591629.pdf", "78591629")</f>
        <v>78591629</v>
      </c>
      <c r="F1806" s="10" t="s">
        <v>5119</v>
      </c>
      <c r="G1806" s="10" t="s">
        <v>288</v>
      </c>
      <c r="H1806" s="10" t="s">
        <v>5120</v>
      </c>
      <c r="I1806" s="10" t="s">
        <v>278</v>
      </c>
    </row>
    <row r="1807" spans="1:9" x14ac:dyDescent="0.15">
      <c r="A1807" s="9">
        <v>1806</v>
      </c>
      <c r="B1807" s="10" t="s">
        <v>9</v>
      </c>
      <c r="C1807" s="10" t="s">
        <v>299</v>
      </c>
      <c r="D1807" s="10" t="s">
        <v>300</v>
      </c>
      <c r="E1807" s="11" t="str">
        <f>+HYPERLINK("http://trademark.i-assist.jp/data/china/image_1898th/78591787.pdf", "78591787")</f>
        <v>78591787</v>
      </c>
      <c r="F1807" s="10" t="s">
        <v>5121</v>
      </c>
      <c r="G1807" s="10" t="s">
        <v>4737</v>
      </c>
      <c r="H1807" s="10" t="s">
        <v>5122</v>
      </c>
      <c r="I1807" s="10" t="s">
        <v>278</v>
      </c>
    </row>
    <row r="1808" spans="1:9" x14ac:dyDescent="0.15">
      <c r="A1808" s="9">
        <v>1807</v>
      </c>
      <c r="B1808" s="10" t="s">
        <v>9</v>
      </c>
      <c r="C1808" s="10" t="s">
        <v>299</v>
      </c>
      <c r="D1808" s="10" t="s">
        <v>300</v>
      </c>
      <c r="E1808" s="11" t="str">
        <f>+HYPERLINK("http://trademark.i-assist.jp/data/china/image_1898th/78591804.pdf", "78591804")</f>
        <v>78591804</v>
      </c>
      <c r="F1808" s="10" t="s">
        <v>5133</v>
      </c>
      <c r="G1808" s="10" t="s">
        <v>5134</v>
      </c>
      <c r="H1808" s="10" t="s">
        <v>5135</v>
      </c>
      <c r="I1808" s="10" t="s">
        <v>278</v>
      </c>
    </row>
    <row r="1809" spans="1:9" x14ac:dyDescent="0.15">
      <c r="A1809" s="9">
        <v>1808</v>
      </c>
      <c r="B1809" s="10" t="s">
        <v>9</v>
      </c>
      <c r="C1809" s="10" t="s">
        <v>299</v>
      </c>
      <c r="D1809" s="10" t="s">
        <v>300</v>
      </c>
      <c r="E1809" s="11" t="str">
        <f>+HYPERLINK("http://trademark.i-assist.jp/data/china/image_1898th/78592072.pdf", "78592072")</f>
        <v>78592072</v>
      </c>
      <c r="F1809" s="10" t="s">
        <v>5136</v>
      </c>
      <c r="G1809" s="10" t="s">
        <v>5137</v>
      </c>
      <c r="H1809" s="10" t="s">
        <v>5138</v>
      </c>
      <c r="I1809" s="10" t="s">
        <v>278</v>
      </c>
    </row>
    <row r="1810" spans="1:9" x14ac:dyDescent="0.15">
      <c r="A1810" s="9">
        <v>1809</v>
      </c>
      <c r="B1810" s="10" t="s">
        <v>9</v>
      </c>
      <c r="C1810" s="10" t="s">
        <v>299</v>
      </c>
      <c r="D1810" s="10" t="s">
        <v>300</v>
      </c>
      <c r="E1810" s="11" t="str">
        <f>+HYPERLINK("http://trademark.i-assist.jp/data/china/image_1898th/78592127.pdf", "78592127")</f>
        <v>78592127</v>
      </c>
      <c r="F1810" s="10" t="s">
        <v>5139</v>
      </c>
      <c r="G1810" s="10" t="s">
        <v>160</v>
      </c>
      <c r="H1810" s="10" t="s">
        <v>5140</v>
      </c>
      <c r="I1810" s="10" t="s">
        <v>278</v>
      </c>
    </row>
    <row r="1811" spans="1:9" x14ac:dyDescent="0.15">
      <c r="A1811" s="9">
        <v>1810</v>
      </c>
      <c r="B1811" s="10" t="s">
        <v>9</v>
      </c>
      <c r="C1811" s="10" t="s">
        <v>299</v>
      </c>
      <c r="D1811" s="10" t="s">
        <v>300</v>
      </c>
      <c r="E1811" s="11" t="str">
        <f>+HYPERLINK("http://trademark.i-assist.jp/data/china/image_1898th/78592166.pdf", "78592166")</f>
        <v>78592166</v>
      </c>
      <c r="F1811" s="10" t="s">
        <v>5141</v>
      </c>
      <c r="G1811" s="10" t="s">
        <v>5024</v>
      </c>
      <c r="H1811" s="10" t="s">
        <v>5142</v>
      </c>
      <c r="I1811" s="10" t="s">
        <v>278</v>
      </c>
    </row>
    <row r="1812" spans="1:9" x14ac:dyDescent="0.15">
      <c r="A1812" s="9">
        <v>1811</v>
      </c>
      <c r="B1812" s="10" t="s">
        <v>9</v>
      </c>
      <c r="C1812" s="10" t="s">
        <v>299</v>
      </c>
      <c r="D1812" s="10" t="s">
        <v>300</v>
      </c>
      <c r="E1812" s="11" t="str">
        <f>+HYPERLINK("http://trademark.i-assist.jp/data/china/image_1898th/78592379.pdf", "78592379")</f>
        <v>78592379</v>
      </c>
      <c r="F1812" s="10" t="s">
        <v>5143</v>
      </c>
      <c r="G1812" s="10" t="s">
        <v>5144</v>
      </c>
      <c r="H1812" s="10" t="s">
        <v>5145</v>
      </c>
      <c r="I1812" s="10" t="s">
        <v>278</v>
      </c>
    </row>
    <row r="1813" spans="1:9" x14ac:dyDescent="0.15">
      <c r="A1813" s="9">
        <v>1812</v>
      </c>
      <c r="B1813" s="10" t="s">
        <v>9</v>
      </c>
      <c r="C1813" s="10" t="s">
        <v>299</v>
      </c>
      <c r="D1813" s="10" t="s">
        <v>300</v>
      </c>
      <c r="E1813" s="11" t="str">
        <f>+HYPERLINK("http://trademark.i-assist.jp/data/china/image_1898th/78592419.pdf", "78592419")</f>
        <v>78592419</v>
      </c>
      <c r="F1813" s="10" t="s">
        <v>5146</v>
      </c>
      <c r="G1813" s="10" t="s">
        <v>5147</v>
      </c>
      <c r="H1813" s="10" t="s">
        <v>5148</v>
      </c>
      <c r="I1813" s="10" t="s">
        <v>278</v>
      </c>
    </row>
    <row r="1814" spans="1:9" x14ac:dyDescent="0.15">
      <c r="A1814" s="9">
        <v>1813</v>
      </c>
      <c r="B1814" s="10" t="s">
        <v>9</v>
      </c>
      <c r="C1814" s="10" t="s">
        <v>299</v>
      </c>
      <c r="D1814" s="10" t="s">
        <v>300</v>
      </c>
      <c r="E1814" s="11" t="str">
        <f>+HYPERLINK("http://trademark.i-assist.jp/data/china/image_1898th/78592516.pdf", "78592516")</f>
        <v>78592516</v>
      </c>
      <c r="F1814" s="10" t="s">
        <v>5149</v>
      </c>
      <c r="G1814" s="10" t="s">
        <v>5150</v>
      </c>
      <c r="H1814" s="10" t="s">
        <v>5151</v>
      </c>
      <c r="I1814" s="10" t="s">
        <v>278</v>
      </c>
    </row>
    <row r="1815" spans="1:9" x14ac:dyDescent="0.15">
      <c r="A1815" s="9">
        <v>1814</v>
      </c>
      <c r="B1815" s="10" t="s">
        <v>9</v>
      </c>
      <c r="C1815" s="10" t="s">
        <v>299</v>
      </c>
      <c r="D1815" s="10" t="s">
        <v>300</v>
      </c>
      <c r="E1815" s="11" t="str">
        <f>+HYPERLINK("http://trademark.i-assist.jp/data/china/image_1898th/78592786.pdf", "78592786")</f>
        <v>78592786</v>
      </c>
      <c r="F1815" s="10" t="s">
        <v>19</v>
      </c>
      <c r="G1815" s="10" t="s">
        <v>5152</v>
      </c>
      <c r="H1815" s="10" t="s">
        <v>5153</v>
      </c>
      <c r="I1815" s="10" t="s">
        <v>278</v>
      </c>
    </row>
    <row r="1816" spans="1:9" x14ac:dyDescent="0.15">
      <c r="A1816" s="9">
        <v>1815</v>
      </c>
      <c r="B1816" s="10" t="s">
        <v>9</v>
      </c>
      <c r="C1816" s="10" t="s">
        <v>299</v>
      </c>
      <c r="D1816" s="10" t="s">
        <v>300</v>
      </c>
      <c r="E1816" s="11" t="str">
        <f>+HYPERLINK("http://trademark.i-assist.jp/data/china/image_1898th/78592887.pdf", "78592887")</f>
        <v>78592887</v>
      </c>
      <c r="F1816" s="10" t="s">
        <v>5154</v>
      </c>
      <c r="G1816" s="10" t="s">
        <v>5155</v>
      </c>
      <c r="H1816" s="10" t="s">
        <v>5156</v>
      </c>
      <c r="I1816" s="10" t="s">
        <v>278</v>
      </c>
    </row>
    <row r="1817" spans="1:9" x14ac:dyDescent="0.15">
      <c r="A1817" s="9">
        <v>1816</v>
      </c>
      <c r="B1817" s="10" t="s">
        <v>9</v>
      </c>
      <c r="C1817" s="10" t="s">
        <v>299</v>
      </c>
      <c r="D1817" s="10" t="s">
        <v>300</v>
      </c>
      <c r="E1817" s="11" t="str">
        <f>+HYPERLINK("http://trademark.i-assist.jp/data/china/image_1898th/78592997.pdf", "78592997")</f>
        <v>78592997</v>
      </c>
      <c r="F1817" s="10" t="s">
        <v>5157</v>
      </c>
      <c r="G1817" s="10" t="s">
        <v>4740</v>
      </c>
      <c r="H1817" s="10" t="s">
        <v>5158</v>
      </c>
      <c r="I1817" s="10" t="s">
        <v>278</v>
      </c>
    </row>
    <row r="1818" spans="1:9" x14ac:dyDescent="0.15">
      <c r="A1818" s="9">
        <v>1817</v>
      </c>
      <c r="B1818" s="10" t="s">
        <v>9</v>
      </c>
      <c r="C1818" s="10" t="s">
        <v>299</v>
      </c>
      <c r="D1818" s="10" t="s">
        <v>300</v>
      </c>
      <c r="E1818" s="11" t="str">
        <f>+HYPERLINK("http://trademark.i-assist.jp/data/china/image_1898th/78593020.pdf", "78593020")</f>
        <v>78593020</v>
      </c>
      <c r="F1818" s="10" t="s">
        <v>5159</v>
      </c>
      <c r="G1818" s="10" t="s">
        <v>5160</v>
      </c>
      <c r="H1818" s="10" t="s">
        <v>5161</v>
      </c>
      <c r="I1818" s="10" t="s">
        <v>278</v>
      </c>
    </row>
    <row r="1819" spans="1:9" x14ac:dyDescent="0.15">
      <c r="A1819" s="9">
        <v>1818</v>
      </c>
      <c r="B1819" s="10" t="s">
        <v>9</v>
      </c>
      <c r="C1819" s="10" t="s">
        <v>299</v>
      </c>
      <c r="D1819" s="10" t="s">
        <v>300</v>
      </c>
      <c r="E1819" s="11" t="str">
        <f>+HYPERLINK("http://trademark.i-assist.jp/data/china/image_1898th/78593265.pdf", "78593265")</f>
        <v>78593265</v>
      </c>
      <c r="F1819" s="10" t="s">
        <v>5162</v>
      </c>
      <c r="G1819" s="10" t="s">
        <v>4728</v>
      </c>
      <c r="H1819" s="10" t="s">
        <v>5163</v>
      </c>
      <c r="I1819" s="10" t="s">
        <v>278</v>
      </c>
    </row>
    <row r="1820" spans="1:9" x14ac:dyDescent="0.15">
      <c r="A1820" s="9">
        <v>1819</v>
      </c>
      <c r="B1820" s="10" t="s">
        <v>9</v>
      </c>
      <c r="C1820" s="10" t="s">
        <v>299</v>
      </c>
      <c r="D1820" s="10" t="s">
        <v>300</v>
      </c>
      <c r="E1820" s="11" t="str">
        <f>+HYPERLINK("http://trademark.i-assist.jp/data/china/image_1898th/78593274.pdf", "78593274")</f>
        <v>78593274</v>
      </c>
      <c r="F1820" s="10" t="s">
        <v>5164</v>
      </c>
      <c r="G1820" s="10" t="s">
        <v>3192</v>
      </c>
      <c r="H1820" s="10" t="s">
        <v>5165</v>
      </c>
      <c r="I1820" s="10" t="s">
        <v>278</v>
      </c>
    </row>
    <row r="1821" spans="1:9" x14ac:dyDescent="0.15">
      <c r="A1821" s="9">
        <v>1820</v>
      </c>
      <c r="B1821" s="10" t="s">
        <v>9</v>
      </c>
      <c r="C1821" s="10" t="s">
        <v>299</v>
      </c>
      <c r="D1821" s="10" t="s">
        <v>300</v>
      </c>
      <c r="E1821" s="11" t="str">
        <f>+HYPERLINK("http://trademark.i-assist.jp/data/china/image_1898th/78593713.pdf", "78593713")</f>
        <v>78593713</v>
      </c>
      <c r="F1821" s="10" t="s">
        <v>5166</v>
      </c>
      <c r="G1821" s="10" t="s">
        <v>5167</v>
      </c>
      <c r="H1821" s="10" t="s">
        <v>5168</v>
      </c>
      <c r="I1821" s="10" t="s">
        <v>278</v>
      </c>
    </row>
    <row r="1822" spans="1:9" x14ac:dyDescent="0.15">
      <c r="A1822" s="9">
        <v>1821</v>
      </c>
      <c r="B1822" s="10" t="s">
        <v>9</v>
      </c>
      <c r="C1822" s="10" t="s">
        <v>299</v>
      </c>
      <c r="D1822" s="10" t="s">
        <v>300</v>
      </c>
      <c r="E1822" s="11" t="str">
        <f>+HYPERLINK("http://trademark.i-assist.jp/data/china/image_1898th/78593869.pdf", "78593869")</f>
        <v>78593869</v>
      </c>
      <c r="F1822" s="10" t="s">
        <v>5169</v>
      </c>
      <c r="G1822" s="10" t="s">
        <v>5170</v>
      </c>
      <c r="H1822" s="10" t="s">
        <v>5171</v>
      </c>
      <c r="I1822" s="10" t="s">
        <v>278</v>
      </c>
    </row>
    <row r="1823" spans="1:9" x14ac:dyDescent="0.15">
      <c r="A1823" s="9">
        <v>1822</v>
      </c>
      <c r="B1823" s="10" t="s">
        <v>9</v>
      </c>
      <c r="C1823" s="10" t="s">
        <v>299</v>
      </c>
      <c r="D1823" s="10" t="s">
        <v>300</v>
      </c>
      <c r="E1823" s="11" t="str">
        <f>+HYPERLINK("http://trademark.i-assist.jp/data/china/image_1898th/78593890.pdf", "78593890")</f>
        <v>78593890</v>
      </c>
      <c r="F1823" s="10" t="s">
        <v>19</v>
      </c>
      <c r="G1823" s="10" t="s">
        <v>4793</v>
      </c>
      <c r="H1823" s="10" t="s">
        <v>5172</v>
      </c>
      <c r="I1823" s="10" t="s">
        <v>278</v>
      </c>
    </row>
    <row r="1824" spans="1:9" x14ac:dyDescent="0.15">
      <c r="A1824" s="9">
        <v>1823</v>
      </c>
      <c r="B1824" s="10" t="s">
        <v>9</v>
      </c>
      <c r="C1824" s="10" t="s">
        <v>299</v>
      </c>
      <c r="D1824" s="10" t="s">
        <v>300</v>
      </c>
      <c r="E1824" s="11" t="str">
        <f>+HYPERLINK("http://trademark.i-assist.jp/data/china/image_1898th/78594024.pdf", "78594024")</f>
        <v>78594024</v>
      </c>
      <c r="F1824" s="10" t="s">
        <v>5173</v>
      </c>
      <c r="G1824" s="10" t="s">
        <v>5174</v>
      </c>
      <c r="H1824" s="10" t="s">
        <v>5175</v>
      </c>
      <c r="I1824" s="10" t="s">
        <v>278</v>
      </c>
    </row>
    <row r="1825" spans="1:9" x14ac:dyDescent="0.15">
      <c r="A1825" s="9">
        <v>1824</v>
      </c>
      <c r="B1825" s="10" t="s">
        <v>9</v>
      </c>
      <c r="C1825" s="10" t="s">
        <v>299</v>
      </c>
      <c r="D1825" s="10" t="s">
        <v>300</v>
      </c>
      <c r="E1825" s="11" t="str">
        <f>+HYPERLINK("http://trademark.i-assist.jp/data/china/image_1898th/78594048.pdf", "78594048")</f>
        <v>78594048</v>
      </c>
      <c r="F1825" s="10" t="s">
        <v>5176</v>
      </c>
      <c r="G1825" s="10" t="s">
        <v>5030</v>
      </c>
      <c r="H1825" s="10" t="s">
        <v>5177</v>
      </c>
      <c r="I1825" s="10" t="s">
        <v>278</v>
      </c>
    </row>
    <row r="1826" spans="1:9" x14ac:dyDescent="0.15">
      <c r="A1826" s="9">
        <v>1825</v>
      </c>
      <c r="B1826" s="10" t="s">
        <v>9</v>
      </c>
      <c r="C1826" s="10" t="s">
        <v>299</v>
      </c>
      <c r="D1826" s="10" t="s">
        <v>300</v>
      </c>
      <c r="E1826" s="11" t="str">
        <f>+HYPERLINK("http://trademark.i-assist.jp/data/china/image_1898th/78594063.pdf", "78594063")</f>
        <v>78594063</v>
      </c>
      <c r="F1826" s="10" t="s">
        <v>5178</v>
      </c>
      <c r="G1826" s="10" t="s">
        <v>5179</v>
      </c>
      <c r="H1826" s="10" t="s">
        <v>5180</v>
      </c>
      <c r="I1826" s="10" t="s">
        <v>278</v>
      </c>
    </row>
    <row r="1827" spans="1:9" x14ac:dyDescent="0.15">
      <c r="A1827" s="9">
        <v>1826</v>
      </c>
      <c r="B1827" s="10" t="s">
        <v>9</v>
      </c>
      <c r="C1827" s="10" t="s">
        <v>299</v>
      </c>
      <c r="D1827" s="10" t="s">
        <v>300</v>
      </c>
      <c r="E1827" s="11" t="str">
        <f>+HYPERLINK("http://trademark.i-assist.jp/data/china/image_1898th/78594327.pdf", "78594327")</f>
        <v>78594327</v>
      </c>
      <c r="F1827" s="10" t="s">
        <v>5181</v>
      </c>
      <c r="G1827" s="10" t="s">
        <v>5182</v>
      </c>
      <c r="H1827" s="10" t="s">
        <v>5183</v>
      </c>
      <c r="I1827" s="10" t="s">
        <v>278</v>
      </c>
    </row>
    <row r="1828" spans="1:9" x14ac:dyDescent="0.15">
      <c r="A1828" s="9">
        <v>1827</v>
      </c>
      <c r="B1828" s="10" t="s">
        <v>9</v>
      </c>
      <c r="C1828" s="10" t="s">
        <v>299</v>
      </c>
      <c r="D1828" s="10" t="s">
        <v>300</v>
      </c>
      <c r="E1828" s="11" t="str">
        <f>+HYPERLINK("http://trademark.i-assist.jp/data/china/image_1898th/78594331.pdf", "78594331")</f>
        <v>78594331</v>
      </c>
      <c r="F1828" s="10" t="s">
        <v>5184</v>
      </c>
      <c r="G1828" s="10" t="s">
        <v>5185</v>
      </c>
      <c r="H1828" s="10" t="s">
        <v>5186</v>
      </c>
      <c r="I1828" s="10" t="s">
        <v>278</v>
      </c>
    </row>
    <row r="1829" spans="1:9" x14ac:dyDescent="0.15">
      <c r="A1829" s="9">
        <v>1828</v>
      </c>
      <c r="B1829" s="10" t="s">
        <v>9</v>
      </c>
      <c r="C1829" s="10" t="s">
        <v>299</v>
      </c>
      <c r="D1829" s="10" t="s">
        <v>300</v>
      </c>
      <c r="E1829" s="11" t="str">
        <f>+HYPERLINK("http://trademark.i-assist.jp/data/china/image_1898th/78594435.pdf", "78594435")</f>
        <v>78594435</v>
      </c>
      <c r="F1829" s="10" t="s">
        <v>5187</v>
      </c>
      <c r="G1829" s="10" t="s">
        <v>5188</v>
      </c>
      <c r="H1829" s="10" t="s">
        <v>5189</v>
      </c>
      <c r="I1829" s="10" t="s">
        <v>278</v>
      </c>
    </row>
    <row r="1830" spans="1:9" x14ac:dyDescent="0.15">
      <c r="A1830" s="9">
        <v>1829</v>
      </c>
      <c r="B1830" s="10" t="s">
        <v>9</v>
      </c>
      <c r="C1830" s="10" t="s">
        <v>299</v>
      </c>
      <c r="D1830" s="10" t="s">
        <v>300</v>
      </c>
      <c r="E1830" s="11" t="str">
        <f>+HYPERLINK("http://trademark.i-assist.jp/data/china/image_1898th/78594613.pdf", "78594613")</f>
        <v>78594613</v>
      </c>
      <c r="F1830" s="10" t="s">
        <v>19</v>
      </c>
      <c r="G1830" s="10" t="s">
        <v>5190</v>
      </c>
      <c r="H1830" s="10" t="s">
        <v>5191</v>
      </c>
      <c r="I1830" s="10" t="s">
        <v>278</v>
      </c>
    </row>
    <row r="1831" spans="1:9" x14ac:dyDescent="0.15">
      <c r="A1831" s="9">
        <v>1830</v>
      </c>
      <c r="B1831" s="10" t="s">
        <v>9</v>
      </c>
      <c r="C1831" s="10" t="s">
        <v>299</v>
      </c>
      <c r="D1831" s="10" t="s">
        <v>300</v>
      </c>
      <c r="E1831" s="11" t="str">
        <f>+HYPERLINK("http://trademark.i-assist.jp/data/china/image_1898th/78594660.pdf", "78594660")</f>
        <v>78594660</v>
      </c>
      <c r="F1831" s="10" t="s">
        <v>5192</v>
      </c>
      <c r="G1831" s="10" t="s">
        <v>5193</v>
      </c>
      <c r="H1831" s="10" t="s">
        <v>5194</v>
      </c>
      <c r="I1831" s="10" t="s">
        <v>278</v>
      </c>
    </row>
    <row r="1832" spans="1:9" x14ac:dyDescent="0.15">
      <c r="A1832" s="9">
        <v>1831</v>
      </c>
      <c r="B1832" s="10" t="s">
        <v>9</v>
      </c>
      <c r="C1832" s="10" t="s">
        <v>299</v>
      </c>
      <c r="D1832" s="10" t="s">
        <v>300</v>
      </c>
      <c r="E1832" s="11" t="str">
        <f>+HYPERLINK("http://trademark.i-assist.jp/data/china/image_1898th/78594710.pdf", "78594710")</f>
        <v>78594710</v>
      </c>
      <c r="F1832" s="10" t="s">
        <v>5195</v>
      </c>
      <c r="G1832" s="10" t="s">
        <v>5196</v>
      </c>
      <c r="H1832" s="10" t="s">
        <v>5197</v>
      </c>
      <c r="I1832" s="10" t="s">
        <v>278</v>
      </c>
    </row>
    <row r="1833" spans="1:9" x14ac:dyDescent="0.15">
      <c r="A1833" s="9">
        <v>1832</v>
      </c>
      <c r="B1833" s="10" t="s">
        <v>9</v>
      </c>
      <c r="C1833" s="10" t="s">
        <v>299</v>
      </c>
      <c r="D1833" s="10" t="s">
        <v>300</v>
      </c>
      <c r="E1833" s="11" t="str">
        <f>+HYPERLINK("http://trademark.i-assist.jp/data/china/image_1898th/78594772.pdf", "78594772")</f>
        <v>78594772</v>
      </c>
      <c r="F1833" s="10" t="s">
        <v>5198</v>
      </c>
      <c r="G1833" s="10" t="s">
        <v>4790</v>
      </c>
      <c r="H1833" s="10" t="s">
        <v>5199</v>
      </c>
      <c r="I1833" s="10" t="s">
        <v>278</v>
      </c>
    </row>
    <row r="1834" spans="1:9" x14ac:dyDescent="0.15">
      <c r="A1834" s="9">
        <v>1833</v>
      </c>
      <c r="B1834" s="10" t="s">
        <v>9</v>
      </c>
      <c r="C1834" s="10" t="s">
        <v>299</v>
      </c>
      <c r="D1834" s="10" t="s">
        <v>300</v>
      </c>
      <c r="E1834" s="11" t="str">
        <f>+HYPERLINK("http://trademark.i-assist.jp/data/china/image_1898th/78594937.pdf", "78594937")</f>
        <v>78594937</v>
      </c>
      <c r="F1834" s="10" t="s">
        <v>5200</v>
      </c>
      <c r="G1834" s="10" t="s">
        <v>4737</v>
      </c>
      <c r="H1834" s="10" t="s">
        <v>5201</v>
      </c>
      <c r="I1834" s="10" t="s">
        <v>278</v>
      </c>
    </row>
    <row r="1835" spans="1:9" x14ac:dyDescent="0.15">
      <c r="A1835" s="9">
        <v>1834</v>
      </c>
      <c r="B1835" s="10" t="s">
        <v>9</v>
      </c>
      <c r="C1835" s="10" t="s">
        <v>299</v>
      </c>
      <c r="D1835" s="10" t="s">
        <v>300</v>
      </c>
      <c r="E1835" s="11" t="str">
        <f>+HYPERLINK("http://trademark.i-assist.jp/data/china/image_1898th/78595019.pdf", "78595019")</f>
        <v>78595019</v>
      </c>
      <c r="F1835" s="10" t="s">
        <v>5202</v>
      </c>
      <c r="G1835" s="10" t="s">
        <v>5203</v>
      </c>
      <c r="H1835" s="10" t="s">
        <v>5204</v>
      </c>
      <c r="I1835" s="10" t="s">
        <v>278</v>
      </c>
    </row>
    <row r="1836" spans="1:9" x14ac:dyDescent="0.15">
      <c r="A1836" s="9">
        <v>1835</v>
      </c>
      <c r="B1836" s="10" t="s">
        <v>9</v>
      </c>
      <c r="C1836" s="10" t="s">
        <v>299</v>
      </c>
      <c r="D1836" s="10" t="s">
        <v>300</v>
      </c>
      <c r="E1836" s="11" t="str">
        <f>+HYPERLINK("http://trademark.i-assist.jp/data/china/image_1898th/78595057.pdf", "78595057")</f>
        <v>78595057</v>
      </c>
      <c r="F1836" s="10" t="s">
        <v>5205</v>
      </c>
      <c r="G1836" s="10" t="s">
        <v>5206</v>
      </c>
      <c r="H1836" s="10" t="s">
        <v>5207</v>
      </c>
      <c r="I1836" s="10" t="s">
        <v>278</v>
      </c>
    </row>
    <row r="1837" spans="1:9" x14ac:dyDescent="0.15">
      <c r="A1837" s="9">
        <v>1836</v>
      </c>
      <c r="B1837" s="10" t="s">
        <v>9</v>
      </c>
      <c r="C1837" s="10" t="s">
        <v>299</v>
      </c>
      <c r="D1837" s="10" t="s">
        <v>300</v>
      </c>
      <c r="E1837" s="11" t="str">
        <f>+HYPERLINK("http://trademark.i-assist.jp/data/china/image_1898th/78595150.pdf", "78595150")</f>
        <v>78595150</v>
      </c>
      <c r="F1837" s="10" t="s">
        <v>5208</v>
      </c>
      <c r="G1837" s="10" t="s">
        <v>5209</v>
      </c>
      <c r="H1837" s="10" t="s">
        <v>5210</v>
      </c>
      <c r="I1837" s="10" t="s">
        <v>278</v>
      </c>
    </row>
    <row r="1838" spans="1:9" x14ac:dyDescent="0.15">
      <c r="A1838" s="9">
        <v>1837</v>
      </c>
      <c r="B1838" s="10" t="s">
        <v>9</v>
      </c>
      <c r="C1838" s="10" t="s">
        <v>299</v>
      </c>
      <c r="D1838" s="10" t="s">
        <v>300</v>
      </c>
      <c r="E1838" s="11" t="str">
        <f>+HYPERLINK("http://trademark.i-assist.jp/data/china/image_1898th/78596021.pdf", "78596021")</f>
        <v>78596021</v>
      </c>
      <c r="F1838" s="10" t="s">
        <v>5211</v>
      </c>
      <c r="G1838" s="10" t="s">
        <v>217</v>
      </c>
      <c r="H1838" s="10" t="s">
        <v>5212</v>
      </c>
      <c r="I1838" s="10" t="s">
        <v>278</v>
      </c>
    </row>
    <row r="1839" spans="1:9" x14ac:dyDescent="0.15">
      <c r="A1839" s="9">
        <v>1838</v>
      </c>
      <c r="B1839" s="10" t="s">
        <v>9</v>
      </c>
      <c r="C1839" s="10" t="s">
        <v>299</v>
      </c>
      <c r="D1839" s="10" t="s">
        <v>300</v>
      </c>
      <c r="E1839" s="11" t="str">
        <f>+HYPERLINK("http://trademark.i-assist.jp/data/china/image_1898th/78596054.pdf", "78596054")</f>
        <v>78596054</v>
      </c>
      <c r="F1839" s="10" t="s">
        <v>5213</v>
      </c>
      <c r="G1839" s="10" t="s">
        <v>5060</v>
      </c>
      <c r="H1839" s="10" t="s">
        <v>5214</v>
      </c>
      <c r="I1839" s="10" t="s">
        <v>278</v>
      </c>
    </row>
    <row r="1840" spans="1:9" x14ac:dyDescent="0.15">
      <c r="A1840" s="9">
        <v>1839</v>
      </c>
      <c r="B1840" s="10" t="s">
        <v>9</v>
      </c>
      <c r="C1840" s="10" t="s">
        <v>299</v>
      </c>
      <c r="D1840" s="10" t="s">
        <v>300</v>
      </c>
      <c r="E1840" s="11" t="str">
        <f>+HYPERLINK("http://trademark.i-assist.jp/data/china/image_1898th/78596070.pdf", "78596070")</f>
        <v>78596070</v>
      </c>
      <c r="F1840" s="10" t="s">
        <v>5215</v>
      </c>
      <c r="G1840" s="10" t="s">
        <v>5216</v>
      </c>
      <c r="H1840" s="10" t="s">
        <v>5217</v>
      </c>
      <c r="I1840" s="10" t="s">
        <v>278</v>
      </c>
    </row>
    <row r="1841" spans="1:9" x14ac:dyDescent="0.15">
      <c r="A1841" s="9">
        <v>1840</v>
      </c>
      <c r="B1841" s="10" t="s">
        <v>9</v>
      </c>
      <c r="C1841" s="10" t="s">
        <v>299</v>
      </c>
      <c r="D1841" s="10" t="s">
        <v>300</v>
      </c>
      <c r="E1841" s="11" t="str">
        <f>+HYPERLINK("http://trademark.i-assist.jp/data/china/image_1898th/78596170.pdf", "78596170")</f>
        <v>78596170</v>
      </c>
      <c r="F1841" s="10" t="s">
        <v>5218</v>
      </c>
      <c r="G1841" s="10" t="s">
        <v>5219</v>
      </c>
      <c r="H1841" s="10" t="s">
        <v>5220</v>
      </c>
      <c r="I1841" s="10" t="s">
        <v>278</v>
      </c>
    </row>
    <row r="1842" spans="1:9" x14ac:dyDescent="0.15">
      <c r="A1842" s="9">
        <v>1841</v>
      </c>
      <c r="B1842" s="10" t="s">
        <v>9</v>
      </c>
      <c r="C1842" s="10" t="s">
        <v>299</v>
      </c>
      <c r="D1842" s="10" t="s">
        <v>300</v>
      </c>
      <c r="E1842" s="11" t="str">
        <f>+HYPERLINK("http://trademark.i-assist.jp/data/china/image_1898th/78596400.pdf", "78596400")</f>
        <v>78596400</v>
      </c>
      <c r="F1842" s="10" t="s">
        <v>5221</v>
      </c>
      <c r="G1842" s="10" t="s">
        <v>4731</v>
      </c>
      <c r="H1842" s="10" t="s">
        <v>5222</v>
      </c>
      <c r="I1842" s="10" t="s">
        <v>278</v>
      </c>
    </row>
    <row r="1843" spans="1:9" x14ac:dyDescent="0.15">
      <c r="A1843" s="9">
        <v>1842</v>
      </c>
      <c r="B1843" s="10" t="s">
        <v>9</v>
      </c>
      <c r="C1843" s="10" t="s">
        <v>299</v>
      </c>
      <c r="D1843" s="10" t="s">
        <v>300</v>
      </c>
      <c r="E1843" s="11" t="str">
        <f>+HYPERLINK("http://trademark.i-assist.jp/data/china/image_1898th/78596424.pdf", "78596424")</f>
        <v>78596424</v>
      </c>
      <c r="F1843" s="10" t="s">
        <v>5223</v>
      </c>
      <c r="G1843" s="10" t="s">
        <v>5224</v>
      </c>
      <c r="H1843" s="10" t="s">
        <v>5225</v>
      </c>
      <c r="I1843" s="10" t="s">
        <v>278</v>
      </c>
    </row>
    <row r="1844" spans="1:9" x14ac:dyDescent="0.15">
      <c r="A1844" s="9">
        <v>1843</v>
      </c>
      <c r="B1844" s="10" t="s">
        <v>9</v>
      </c>
      <c r="C1844" s="10" t="s">
        <v>299</v>
      </c>
      <c r="D1844" s="10" t="s">
        <v>300</v>
      </c>
      <c r="E1844" s="11" t="str">
        <f>+HYPERLINK("http://trademark.i-assist.jp/data/china/image_1898th/78596728.pdf", "78596728")</f>
        <v>78596728</v>
      </c>
      <c r="F1844" s="10" t="s">
        <v>5226</v>
      </c>
      <c r="G1844" s="10" t="s">
        <v>5227</v>
      </c>
      <c r="H1844" s="10" t="s">
        <v>5228</v>
      </c>
      <c r="I1844" s="10" t="s">
        <v>290</v>
      </c>
    </row>
    <row r="1845" spans="1:9" x14ac:dyDescent="0.15">
      <c r="A1845" s="9">
        <v>1844</v>
      </c>
      <c r="B1845" s="10" t="s">
        <v>9</v>
      </c>
      <c r="C1845" s="10" t="s">
        <v>299</v>
      </c>
      <c r="D1845" s="10" t="s">
        <v>300</v>
      </c>
      <c r="E1845" s="11" t="str">
        <f>+HYPERLINK("http://trademark.i-assist.jp/data/china/image_1898th/78596795.pdf", "78596795")</f>
        <v>78596795</v>
      </c>
      <c r="F1845" s="10" t="s">
        <v>5229</v>
      </c>
      <c r="G1845" s="10" t="s">
        <v>285</v>
      </c>
      <c r="H1845" s="10" t="s">
        <v>5230</v>
      </c>
      <c r="I1845" s="10" t="s">
        <v>290</v>
      </c>
    </row>
    <row r="1846" spans="1:9" x14ac:dyDescent="0.15">
      <c r="A1846" s="9">
        <v>1845</v>
      </c>
      <c r="B1846" s="10" t="s">
        <v>9</v>
      </c>
      <c r="C1846" s="10" t="s">
        <v>299</v>
      </c>
      <c r="D1846" s="10" t="s">
        <v>300</v>
      </c>
      <c r="E1846" s="11" t="str">
        <f>+HYPERLINK("http://trademark.i-assist.jp/data/china/image_1898th/78596813.pdf", "78596813")</f>
        <v>78596813</v>
      </c>
      <c r="F1846" s="10" t="s">
        <v>5231</v>
      </c>
      <c r="G1846" s="10" t="s">
        <v>5232</v>
      </c>
      <c r="H1846" s="10" t="s">
        <v>5233</v>
      </c>
      <c r="I1846" s="10" t="s">
        <v>290</v>
      </c>
    </row>
    <row r="1847" spans="1:9" x14ac:dyDescent="0.15">
      <c r="A1847" s="9">
        <v>1846</v>
      </c>
      <c r="B1847" s="10" t="s">
        <v>9</v>
      </c>
      <c r="C1847" s="10" t="s">
        <v>299</v>
      </c>
      <c r="D1847" s="10" t="s">
        <v>300</v>
      </c>
      <c r="E1847" s="11" t="str">
        <f>+HYPERLINK("http://trademark.i-assist.jp/data/china/image_1898th/78596913.pdf", "78596913")</f>
        <v>78596913</v>
      </c>
      <c r="F1847" s="10" t="s">
        <v>5234</v>
      </c>
      <c r="G1847" s="10" t="s">
        <v>175</v>
      </c>
      <c r="H1847" s="10" t="s">
        <v>5235</v>
      </c>
      <c r="I1847" s="10" t="s">
        <v>290</v>
      </c>
    </row>
    <row r="1848" spans="1:9" x14ac:dyDescent="0.15">
      <c r="A1848" s="9">
        <v>1847</v>
      </c>
      <c r="B1848" s="10" t="s">
        <v>9</v>
      </c>
      <c r="C1848" s="10" t="s">
        <v>299</v>
      </c>
      <c r="D1848" s="10" t="s">
        <v>300</v>
      </c>
      <c r="E1848" s="11" t="str">
        <f>+HYPERLINK("http://trademark.i-assist.jp/data/china/image_1898th/78597216.pdf", "78597216")</f>
        <v>78597216</v>
      </c>
      <c r="F1848" s="10" t="s">
        <v>5236</v>
      </c>
      <c r="G1848" s="10" t="s">
        <v>5237</v>
      </c>
      <c r="H1848" s="10" t="s">
        <v>5238</v>
      </c>
      <c r="I1848" s="10" t="s">
        <v>290</v>
      </c>
    </row>
    <row r="1849" spans="1:9" x14ac:dyDescent="0.15">
      <c r="A1849" s="9">
        <v>1848</v>
      </c>
      <c r="B1849" s="10" t="s">
        <v>9</v>
      </c>
      <c r="C1849" s="10" t="s">
        <v>299</v>
      </c>
      <c r="D1849" s="10" t="s">
        <v>300</v>
      </c>
      <c r="E1849" s="11" t="str">
        <f>+HYPERLINK("http://trademark.i-assist.jp/data/china/image_1898th/78597471.pdf", "78597471")</f>
        <v>78597471</v>
      </c>
      <c r="F1849" s="10" t="s">
        <v>5239</v>
      </c>
      <c r="G1849" s="10" t="s">
        <v>5240</v>
      </c>
      <c r="H1849" s="10" t="s">
        <v>5241</v>
      </c>
      <c r="I1849" s="10" t="s">
        <v>290</v>
      </c>
    </row>
    <row r="1850" spans="1:9" x14ac:dyDescent="0.15">
      <c r="A1850" s="9">
        <v>1849</v>
      </c>
      <c r="B1850" s="10" t="s">
        <v>9</v>
      </c>
      <c r="C1850" s="10" t="s">
        <v>299</v>
      </c>
      <c r="D1850" s="10" t="s">
        <v>300</v>
      </c>
      <c r="E1850" s="11" t="str">
        <f>+HYPERLINK("http://trademark.i-assist.jp/data/china/image_1898th/78597571.pdf", "78597571")</f>
        <v>78597571</v>
      </c>
      <c r="F1850" s="10" t="s">
        <v>5242</v>
      </c>
      <c r="G1850" s="10" t="s">
        <v>5243</v>
      </c>
      <c r="H1850" s="10" t="s">
        <v>5244</v>
      </c>
      <c r="I1850" s="10" t="s">
        <v>290</v>
      </c>
    </row>
    <row r="1851" spans="1:9" x14ac:dyDescent="0.15">
      <c r="A1851" s="9">
        <v>1850</v>
      </c>
      <c r="B1851" s="10" t="s">
        <v>9</v>
      </c>
      <c r="C1851" s="10" t="s">
        <v>299</v>
      </c>
      <c r="D1851" s="10" t="s">
        <v>300</v>
      </c>
      <c r="E1851" s="11" t="str">
        <f>+HYPERLINK("http://trademark.i-assist.jp/data/china/image_1898th/78597575.pdf", "78597575")</f>
        <v>78597575</v>
      </c>
      <c r="F1851" s="10" t="s">
        <v>5245</v>
      </c>
      <c r="G1851" s="10" t="s">
        <v>295</v>
      </c>
      <c r="H1851" s="10" t="s">
        <v>5246</v>
      </c>
      <c r="I1851" s="10" t="s">
        <v>290</v>
      </c>
    </row>
    <row r="1852" spans="1:9" x14ac:dyDescent="0.15">
      <c r="A1852" s="9">
        <v>1851</v>
      </c>
      <c r="B1852" s="10" t="s">
        <v>9</v>
      </c>
      <c r="C1852" s="10" t="s">
        <v>299</v>
      </c>
      <c r="D1852" s="10" t="s">
        <v>300</v>
      </c>
      <c r="E1852" s="11" t="str">
        <f>+HYPERLINK("http://trademark.i-assist.jp/data/china/image_1898th/78597689.pdf", "78597689")</f>
        <v>78597689</v>
      </c>
      <c r="F1852" s="10" t="s">
        <v>5247</v>
      </c>
      <c r="G1852" s="10" t="s">
        <v>140</v>
      </c>
      <c r="H1852" s="10" t="s">
        <v>5248</v>
      </c>
      <c r="I1852" s="10" t="s">
        <v>290</v>
      </c>
    </row>
    <row r="1853" spans="1:9" x14ac:dyDescent="0.15">
      <c r="A1853" s="9">
        <v>1852</v>
      </c>
      <c r="B1853" s="10" t="s">
        <v>9</v>
      </c>
      <c r="C1853" s="10" t="s">
        <v>299</v>
      </c>
      <c r="D1853" s="10" t="s">
        <v>300</v>
      </c>
      <c r="E1853" s="11" t="str">
        <f>+HYPERLINK("http://trademark.i-assist.jp/data/china/image_1898th/78597723.pdf", "78597723")</f>
        <v>78597723</v>
      </c>
      <c r="F1853" s="10" t="s">
        <v>5249</v>
      </c>
      <c r="G1853" s="10" t="s">
        <v>5250</v>
      </c>
      <c r="H1853" s="10" t="s">
        <v>5251</v>
      </c>
      <c r="I1853" s="10" t="s">
        <v>290</v>
      </c>
    </row>
    <row r="1854" spans="1:9" x14ac:dyDescent="0.15">
      <c r="A1854" s="9">
        <v>1853</v>
      </c>
      <c r="B1854" s="10" t="s">
        <v>9</v>
      </c>
      <c r="C1854" s="10" t="s">
        <v>299</v>
      </c>
      <c r="D1854" s="10" t="s">
        <v>300</v>
      </c>
      <c r="E1854" s="11" t="str">
        <f>+HYPERLINK("http://trademark.i-assist.jp/data/china/image_1898th/78597764.pdf", "78597764")</f>
        <v>78597764</v>
      </c>
      <c r="F1854" s="10" t="s">
        <v>5252</v>
      </c>
      <c r="G1854" s="10" t="s">
        <v>5253</v>
      </c>
      <c r="H1854" s="10" t="s">
        <v>5254</v>
      </c>
      <c r="I1854" s="10" t="s">
        <v>290</v>
      </c>
    </row>
    <row r="1855" spans="1:9" x14ac:dyDescent="0.15">
      <c r="A1855" s="9">
        <v>1854</v>
      </c>
      <c r="B1855" s="10" t="s">
        <v>9</v>
      </c>
      <c r="C1855" s="10" t="s">
        <v>299</v>
      </c>
      <c r="D1855" s="10" t="s">
        <v>300</v>
      </c>
      <c r="E1855" s="11" t="str">
        <f>+HYPERLINK("http://trademark.i-assist.jp/data/china/image_1898th/78597873.pdf", "78597873")</f>
        <v>78597873</v>
      </c>
      <c r="F1855" s="10" t="s">
        <v>5255</v>
      </c>
      <c r="G1855" s="10" t="s">
        <v>5256</v>
      </c>
      <c r="H1855" s="10" t="s">
        <v>5257</v>
      </c>
      <c r="I1855" s="10" t="s">
        <v>290</v>
      </c>
    </row>
    <row r="1856" spans="1:9" x14ac:dyDescent="0.15">
      <c r="A1856" s="9">
        <v>1855</v>
      </c>
      <c r="B1856" s="10" t="s">
        <v>9</v>
      </c>
      <c r="C1856" s="10" t="s">
        <v>299</v>
      </c>
      <c r="D1856" s="10" t="s">
        <v>300</v>
      </c>
      <c r="E1856" s="11" t="str">
        <f>+HYPERLINK("http://trademark.i-assist.jp/data/china/image_1898th/78598033.pdf", "78598033")</f>
        <v>78598033</v>
      </c>
      <c r="F1856" s="10" t="s">
        <v>5258</v>
      </c>
      <c r="G1856" s="10" t="s">
        <v>3930</v>
      </c>
      <c r="H1856" s="10" t="s">
        <v>5259</v>
      </c>
      <c r="I1856" s="10" t="s">
        <v>290</v>
      </c>
    </row>
    <row r="1857" spans="1:9" x14ac:dyDescent="0.15">
      <c r="A1857" s="9">
        <v>1856</v>
      </c>
      <c r="B1857" s="10" t="s">
        <v>9</v>
      </c>
      <c r="C1857" s="10" t="s">
        <v>299</v>
      </c>
      <c r="D1857" s="10" t="s">
        <v>300</v>
      </c>
      <c r="E1857" s="11" t="str">
        <f>+HYPERLINK("http://trademark.i-assist.jp/data/china/image_1898th/78598074.pdf", "78598074")</f>
        <v>78598074</v>
      </c>
      <c r="F1857" s="10" t="s">
        <v>5260</v>
      </c>
      <c r="G1857" s="10" t="s">
        <v>5261</v>
      </c>
      <c r="H1857" s="10" t="s">
        <v>5262</v>
      </c>
      <c r="I1857" s="10" t="s">
        <v>290</v>
      </c>
    </row>
    <row r="1858" spans="1:9" x14ac:dyDescent="0.15">
      <c r="A1858" s="9">
        <v>1857</v>
      </c>
      <c r="B1858" s="10" t="s">
        <v>9</v>
      </c>
      <c r="C1858" s="10" t="s">
        <v>299</v>
      </c>
      <c r="D1858" s="10" t="s">
        <v>300</v>
      </c>
      <c r="E1858" s="11" t="str">
        <f>+HYPERLINK("http://trademark.i-assist.jp/data/china/image_1898th/78598257.pdf", "78598257")</f>
        <v>78598257</v>
      </c>
      <c r="F1858" s="10" t="s">
        <v>5263</v>
      </c>
      <c r="G1858" s="10" t="s">
        <v>3874</v>
      </c>
      <c r="H1858" s="10" t="s">
        <v>5264</v>
      </c>
      <c r="I1858" s="10" t="s">
        <v>290</v>
      </c>
    </row>
    <row r="1859" spans="1:9" x14ac:dyDescent="0.15">
      <c r="A1859" s="9">
        <v>1858</v>
      </c>
      <c r="B1859" s="10" t="s">
        <v>9</v>
      </c>
      <c r="C1859" s="10" t="s">
        <v>299</v>
      </c>
      <c r="D1859" s="10" t="s">
        <v>300</v>
      </c>
      <c r="E1859" s="11" t="str">
        <f>+HYPERLINK("http://trademark.i-assist.jp/data/china/image_1898th/78598341.pdf", "78598341")</f>
        <v>78598341</v>
      </c>
      <c r="F1859" s="10" t="s">
        <v>5265</v>
      </c>
      <c r="G1859" s="10" t="s">
        <v>5266</v>
      </c>
      <c r="H1859" s="10" t="s">
        <v>5267</v>
      </c>
      <c r="I1859" s="10" t="s">
        <v>290</v>
      </c>
    </row>
    <row r="1860" spans="1:9" x14ac:dyDescent="0.15">
      <c r="A1860" s="9">
        <v>1859</v>
      </c>
      <c r="B1860" s="10" t="s">
        <v>9</v>
      </c>
      <c r="C1860" s="10" t="s">
        <v>299</v>
      </c>
      <c r="D1860" s="10" t="s">
        <v>300</v>
      </c>
      <c r="E1860" s="11" t="str">
        <f>+HYPERLINK("http://trademark.i-assist.jp/data/china/image_1898th/78598538.pdf", "78598538")</f>
        <v>78598538</v>
      </c>
      <c r="F1860" s="10" t="s">
        <v>5268</v>
      </c>
      <c r="G1860" s="10" t="s">
        <v>5269</v>
      </c>
      <c r="H1860" s="10" t="s">
        <v>5270</v>
      </c>
      <c r="I1860" s="10" t="s">
        <v>290</v>
      </c>
    </row>
    <row r="1861" spans="1:9" x14ac:dyDescent="0.15">
      <c r="A1861" s="9">
        <v>1860</v>
      </c>
      <c r="B1861" s="10" t="s">
        <v>9</v>
      </c>
      <c r="C1861" s="10" t="s">
        <v>299</v>
      </c>
      <c r="D1861" s="10" t="s">
        <v>300</v>
      </c>
      <c r="E1861" s="11" t="str">
        <f>+HYPERLINK("http://trademark.i-assist.jp/data/china/image_1898th/78598749.pdf", "78598749")</f>
        <v>78598749</v>
      </c>
      <c r="F1861" s="10" t="s">
        <v>5271</v>
      </c>
      <c r="G1861" s="10" t="s">
        <v>5272</v>
      </c>
      <c r="H1861" s="10" t="s">
        <v>5273</v>
      </c>
      <c r="I1861" s="10" t="s">
        <v>290</v>
      </c>
    </row>
    <row r="1862" spans="1:9" x14ac:dyDescent="0.15">
      <c r="A1862" s="9">
        <v>1861</v>
      </c>
      <c r="B1862" s="10" t="s">
        <v>9</v>
      </c>
      <c r="C1862" s="10" t="s">
        <v>299</v>
      </c>
      <c r="D1862" s="10" t="s">
        <v>300</v>
      </c>
      <c r="E1862" s="11" t="str">
        <f>+HYPERLINK("http://trademark.i-assist.jp/data/china/image_1898th/78598995.pdf", "78598995")</f>
        <v>78598995</v>
      </c>
      <c r="F1862" s="10" t="s">
        <v>5274</v>
      </c>
      <c r="G1862" s="10" t="s">
        <v>5275</v>
      </c>
      <c r="H1862" s="10" t="s">
        <v>5276</v>
      </c>
      <c r="I1862" s="10" t="s">
        <v>290</v>
      </c>
    </row>
    <row r="1863" spans="1:9" x14ac:dyDescent="0.15">
      <c r="A1863" s="9">
        <v>1862</v>
      </c>
      <c r="B1863" s="10" t="s">
        <v>9</v>
      </c>
      <c r="C1863" s="10" t="s">
        <v>299</v>
      </c>
      <c r="D1863" s="10" t="s">
        <v>300</v>
      </c>
      <c r="E1863" s="11" t="str">
        <f>+HYPERLINK("http://trademark.i-assist.jp/data/china/image_1898th/78599096.pdf", "78599096")</f>
        <v>78599096</v>
      </c>
      <c r="F1863" s="10" t="s">
        <v>5277</v>
      </c>
      <c r="G1863" s="10" t="s">
        <v>5278</v>
      </c>
      <c r="H1863" s="10" t="s">
        <v>5279</v>
      </c>
      <c r="I1863" s="10" t="s">
        <v>290</v>
      </c>
    </row>
    <row r="1864" spans="1:9" x14ac:dyDescent="0.15">
      <c r="A1864" s="9">
        <v>1863</v>
      </c>
      <c r="B1864" s="10" t="s">
        <v>9</v>
      </c>
      <c r="C1864" s="10" t="s">
        <v>299</v>
      </c>
      <c r="D1864" s="10" t="s">
        <v>300</v>
      </c>
      <c r="E1864" s="11" t="str">
        <f>+HYPERLINK("http://trademark.i-assist.jp/data/china/image_1898th/78599230.pdf", "78599230")</f>
        <v>78599230</v>
      </c>
      <c r="F1864" s="10" t="s">
        <v>5280</v>
      </c>
      <c r="G1864" s="10" t="s">
        <v>5281</v>
      </c>
      <c r="H1864" s="10" t="s">
        <v>5282</v>
      </c>
      <c r="I1864" s="10" t="s">
        <v>290</v>
      </c>
    </row>
    <row r="1865" spans="1:9" x14ac:dyDescent="0.15">
      <c r="A1865" s="9">
        <v>1864</v>
      </c>
      <c r="B1865" s="10" t="s">
        <v>9</v>
      </c>
      <c r="C1865" s="10" t="s">
        <v>299</v>
      </c>
      <c r="D1865" s="10" t="s">
        <v>300</v>
      </c>
      <c r="E1865" s="11" t="str">
        <f>+HYPERLINK("http://trademark.i-assist.jp/data/china/image_1898th/78599326.pdf", "78599326")</f>
        <v>78599326</v>
      </c>
      <c r="F1865" s="10" t="s">
        <v>5283</v>
      </c>
      <c r="G1865" s="10" t="s">
        <v>5284</v>
      </c>
      <c r="H1865" s="10" t="s">
        <v>5285</v>
      </c>
      <c r="I1865" s="10" t="s">
        <v>290</v>
      </c>
    </row>
    <row r="1866" spans="1:9" x14ac:dyDescent="0.15">
      <c r="A1866" s="9">
        <v>1865</v>
      </c>
      <c r="B1866" s="10" t="s">
        <v>9</v>
      </c>
      <c r="C1866" s="10" t="s">
        <v>299</v>
      </c>
      <c r="D1866" s="10" t="s">
        <v>300</v>
      </c>
      <c r="E1866" s="11" t="str">
        <f>+HYPERLINK("http://trademark.i-assist.jp/data/china/image_1898th/78599925.pdf", "78599925")</f>
        <v>78599925</v>
      </c>
      <c r="F1866" s="10" t="s">
        <v>19</v>
      </c>
      <c r="G1866" s="10" t="s">
        <v>5286</v>
      </c>
      <c r="H1866" s="10" t="s">
        <v>5287</v>
      </c>
      <c r="I1866" s="10" t="s">
        <v>290</v>
      </c>
    </row>
    <row r="1867" spans="1:9" x14ac:dyDescent="0.15">
      <c r="A1867" s="9">
        <v>1866</v>
      </c>
      <c r="B1867" s="10" t="s">
        <v>9</v>
      </c>
      <c r="C1867" s="10" t="s">
        <v>299</v>
      </c>
      <c r="D1867" s="10" t="s">
        <v>300</v>
      </c>
      <c r="E1867" s="11" t="str">
        <f>+HYPERLINK("http://trademark.i-assist.jp/data/china/image_1898th/78599969.pdf", "78599969")</f>
        <v>78599969</v>
      </c>
      <c r="F1867" s="10" t="s">
        <v>5288</v>
      </c>
      <c r="G1867" s="10" t="s">
        <v>5289</v>
      </c>
      <c r="H1867" s="10" t="s">
        <v>5290</v>
      </c>
      <c r="I1867" s="10" t="s">
        <v>290</v>
      </c>
    </row>
    <row r="1868" spans="1:9" x14ac:dyDescent="0.15">
      <c r="A1868" s="9">
        <v>1867</v>
      </c>
      <c r="B1868" s="10" t="s">
        <v>9</v>
      </c>
      <c r="C1868" s="10" t="s">
        <v>299</v>
      </c>
      <c r="D1868" s="10" t="s">
        <v>300</v>
      </c>
      <c r="E1868" s="11" t="str">
        <f>+HYPERLINK("http://trademark.i-assist.jp/data/china/image_1898th/78600068.pdf", "78600068")</f>
        <v>78600068</v>
      </c>
      <c r="F1868" s="10" t="s">
        <v>5291</v>
      </c>
      <c r="G1868" s="10" t="s">
        <v>5292</v>
      </c>
      <c r="H1868" s="10" t="s">
        <v>5293</v>
      </c>
      <c r="I1868" s="10" t="s">
        <v>290</v>
      </c>
    </row>
    <row r="1869" spans="1:9" x14ac:dyDescent="0.15">
      <c r="A1869" s="9">
        <v>1868</v>
      </c>
      <c r="B1869" s="10" t="s">
        <v>9</v>
      </c>
      <c r="C1869" s="10" t="s">
        <v>299</v>
      </c>
      <c r="D1869" s="10" t="s">
        <v>300</v>
      </c>
      <c r="E1869" s="11" t="str">
        <f>+HYPERLINK("http://trademark.i-assist.jp/data/china/image_1898th/78600103.pdf", "78600103")</f>
        <v>78600103</v>
      </c>
      <c r="F1869" s="10" t="s">
        <v>5294</v>
      </c>
      <c r="G1869" s="10" t="s">
        <v>5295</v>
      </c>
      <c r="H1869" s="10" t="s">
        <v>5296</v>
      </c>
      <c r="I1869" s="10" t="s">
        <v>290</v>
      </c>
    </row>
    <row r="1870" spans="1:9" x14ac:dyDescent="0.15">
      <c r="A1870" s="9">
        <v>1869</v>
      </c>
      <c r="B1870" s="10" t="s">
        <v>9</v>
      </c>
      <c r="C1870" s="10" t="s">
        <v>299</v>
      </c>
      <c r="D1870" s="10" t="s">
        <v>300</v>
      </c>
      <c r="E1870" s="11" t="str">
        <f>+HYPERLINK("http://trademark.i-assist.jp/data/china/image_1898th/78600191.pdf", "78600191")</f>
        <v>78600191</v>
      </c>
      <c r="F1870" s="10" t="s">
        <v>5297</v>
      </c>
      <c r="G1870" s="10" t="s">
        <v>5298</v>
      </c>
      <c r="H1870" s="10" t="s">
        <v>5299</v>
      </c>
      <c r="I1870" s="10" t="s">
        <v>290</v>
      </c>
    </row>
    <row r="1871" spans="1:9" x14ac:dyDescent="0.15">
      <c r="A1871" s="9">
        <v>1870</v>
      </c>
      <c r="B1871" s="10" t="s">
        <v>9</v>
      </c>
      <c r="C1871" s="10" t="s">
        <v>299</v>
      </c>
      <c r="D1871" s="10" t="s">
        <v>300</v>
      </c>
      <c r="E1871" s="11" t="str">
        <f>+HYPERLINK("http://trademark.i-assist.jp/data/china/image_1898th/78600211.pdf", "78600211")</f>
        <v>78600211</v>
      </c>
      <c r="F1871" s="10" t="s">
        <v>5300</v>
      </c>
      <c r="G1871" s="10" t="s">
        <v>5301</v>
      </c>
      <c r="H1871" s="10" t="s">
        <v>5302</v>
      </c>
      <c r="I1871" s="10" t="s">
        <v>290</v>
      </c>
    </row>
    <row r="1872" spans="1:9" x14ac:dyDescent="0.15">
      <c r="A1872" s="9">
        <v>1871</v>
      </c>
      <c r="B1872" s="10" t="s">
        <v>9</v>
      </c>
      <c r="C1872" s="10" t="s">
        <v>299</v>
      </c>
      <c r="D1872" s="10" t="s">
        <v>300</v>
      </c>
      <c r="E1872" s="11" t="str">
        <f>+HYPERLINK("http://trademark.i-assist.jp/data/china/image_1898th/78600356.pdf", "78600356")</f>
        <v>78600356</v>
      </c>
      <c r="F1872" s="10" t="s">
        <v>5303</v>
      </c>
      <c r="G1872" s="10" t="s">
        <v>5304</v>
      </c>
      <c r="H1872" s="10" t="s">
        <v>5305</v>
      </c>
      <c r="I1872" s="10" t="s">
        <v>290</v>
      </c>
    </row>
    <row r="1873" spans="1:9" x14ac:dyDescent="0.15">
      <c r="A1873" s="9">
        <v>1872</v>
      </c>
      <c r="B1873" s="10" t="s">
        <v>9</v>
      </c>
      <c r="C1873" s="10" t="s">
        <v>299</v>
      </c>
      <c r="D1873" s="10" t="s">
        <v>300</v>
      </c>
      <c r="E1873" s="11" t="str">
        <f>+HYPERLINK("http://trademark.i-assist.jp/data/china/image_1898th/78600387.pdf", "78600387")</f>
        <v>78600387</v>
      </c>
      <c r="F1873" s="10" t="s">
        <v>5306</v>
      </c>
      <c r="G1873" s="10" t="s">
        <v>296</v>
      </c>
      <c r="H1873" s="10" t="s">
        <v>5307</v>
      </c>
      <c r="I1873" s="10" t="s">
        <v>290</v>
      </c>
    </row>
    <row r="1874" spans="1:9" x14ac:dyDescent="0.15">
      <c r="A1874" s="9">
        <v>1873</v>
      </c>
      <c r="B1874" s="10" t="s">
        <v>9</v>
      </c>
      <c r="C1874" s="10" t="s">
        <v>299</v>
      </c>
      <c r="D1874" s="10" t="s">
        <v>300</v>
      </c>
      <c r="E1874" s="11" t="str">
        <f>+HYPERLINK("http://trademark.i-assist.jp/data/china/image_1898th/78600563.pdf", "78600563")</f>
        <v>78600563</v>
      </c>
      <c r="F1874" s="10" t="s">
        <v>5308</v>
      </c>
      <c r="G1874" s="10" t="s">
        <v>5309</v>
      </c>
      <c r="H1874" s="10" t="s">
        <v>5310</v>
      </c>
      <c r="I1874" s="10" t="s">
        <v>290</v>
      </c>
    </row>
    <row r="1875" spans="1:9" x14ac:dyDescent="0.15">
      <c r="A1875" s="9">
        <v>1874</v>
      </c>
      <c r="B1875" s="10" t="s">
        <v>9</v>
      </c>
      <c r="C1875" s="10" t="s">
        <v>299</v>
      </c>
      <c r="D1875" s="10" t="s">
        <v>300</v>
      </c>
      <c r="E1875" s="11" t="str">
        <f>+HYPERLINK("http://trademark.i-assist.jp/data/china/image_1898th/78600568.pdf", "78600568")</f>
        <v>78600568</v>
      </c>
      <c r="F1875" s="10" t="s">
        <v>5311</v>
      </c>
      <c r="G1875" s="10" t="s">
        <v>5312</v>
      </c>
      <c r="H1875" s="10" t="s">
        <v>5313</v>
      </c>
      <c r="I1875" s="10" t="s">
        <v>290</v>
      </c>
    </row>
    <row r="1876" spans="1:9" x14ac:dyDescent="0.15">
      <c r="A1876" s="9">
        <v>1875</v>
      </c>
      <c r="B1876" s="10" t="s">
        <v>9</v>
      </c>
      <c r="C1876" s="10" t="s">
        <v>299</v>
      </c>
      <c r="D1876" s="10" t="s">
        <v>300</v>
      </c>
      <c r="E1876" s="11" t="str">
        <f>+HYPERLINK("http://trademark.i-assist.jp/data/china/image_1898th/78600864.pdf", "78600864")</f>
        <v>78600864</v>
      </c>
      <c r="F1876" s="10" t="s">
        <v>5314</v>
      </c>
      <c r="G1876" s="10" t="s">
        <v>5315</v>
      </c>
      <c r="H1876" s="10" t="s">
        <v>5316</v>
      </c>
      <c r="I1876" s="10" t="s">
        <v>290</v>
      </c>
    </row>
    <row r="1877" spans="1:9" x14ac:dyDescent="0.15">
      <c r="A1877" s="9">
        <v>1876</v>
      </c>
      <c r="B1877" s="10" t="s">
        <v>9</v>
      </c>
      <c r="C1877" s="10" t="s">
        <v>299</v>
      </c>
      <c r="D1877" s="10" t="s">
        <v>300</v>
      </c>
      <c r="E1877" s="11" t="str">
        <f>+HYPERLINK("http://trademark.i-assist.jp/data/china/image_1898th/78601068.pdf", "78601068")</f>
        <v>78601068</v>
      </c>
      <c r="F1877" s="10" t="s">
        <v>5317</v>
      </c>
      <c r="G1877" s="10" t="s">
        <v>5318</v>
      </c>
      <c r="H1877" s="10" t="s">
        <v>5319</v>
      </c>
      <c r="I1877" s="10" t="s">
        <v>290</v>
      </c>
    </row>
    <row r="1878" spans="1:9" x14ac:dyDescent="0.15">
      <c r="A1878" s="9">
        <v>1877</v>
      </c>
      <c r="B1878" s="10" t="s">
        <v>9</v>
      </c>
      <c r="C1878" s="10" t="s">
        <v>299</v>
      </c>
      <c r="D1878" s="10" t="s">
        <v>300</v>
      </c>
      <c r="E1878" s="11" t="str">
        <f>+HYPERLINK("http://trademark.i-assist.jp/data/china/image_1898th/78601284.pdf", "78601284")</f>
        <v>78601284</v>
      </c>
      <c r="F1878" s="10" t="s">
        <v>5320</v>
      </c>
      <c r="G1878" s="10" t="s">
        <v>258</v>
      </c>
      <c r="H1878" s="10" t="s">
        <v>5321</v>
      </c>
      <c r="I1878" s="10" t="s">
        <v>290</v>
      </c>
    </row>
    <row r="1879" spans="1:9" x14ac:dyDescent="0.15">
      <c r="A1879" s="9">
        <v>1878</v>
      </c>
      <c r="B1879" s="10" t="s">
        <v>9</v>
      </c>
      <c r="C1879" s="10" t="s">
        <v>299</v>
      </c>
      <c r="D1879" s="10" t="s">
        <v>300</v>
      </c>
      <c r="E1879" s="11" t="str">
        <f>+HYPERLINK("http://trademark.i-assist.jp/data/china/image_1898th/78601309.pdf", "78601309")</f>
        <v>78601309</v>
      </c>
      <c r="F1879" s="10" t="s">
        <v>5322</v>
      </c>
      <c r="G1879" s="10" t="s">
        <v>5323</v>
      </c>
      <c r="H1879" s="10" t="s">
        <v>5324</v>
      </c>
      <c r="I1879" s="10" t="s">
        <v>290</v>
      </c>
    </row>
    <row r="1880" spans="1:9" x14ac:dyDescent="0.15">
      <c r="A1880" s="9">
        <v>1879</v>
      </c>
      <c r="B1880" s="10" t="s">
        <v>9</v>
      </c>
      <c r="C1880" s="10" t="s">
        <v>299</v>
      </c>
      <c r="D1880" s="10" t="s">
        <v>300</v>
      </c>
      <c r="E1880" s="11" t="str">
        <f>+HYPERLINK("http://trademark.i-assist.jp/data/china/image_1898th/78601311.pdf", "78601311")</f>
        <v>78601311</v>
      </c>
      <c r="F1880" s="10" t="s">
        <v>5325</v>
      </c>
      <c r="G1880" s="10" t="s">
        <v>5326</v>
      </c>
      <c r="H1880" s="10" t="s">
        <v>5327</v>
      </c>
      <c r="I1880" s="10" t="s">
        <v>290</v>
      </c>
    </row>
    <row r="1881" spans="1:9" x14ac:dyDescent="0.15">
      <c r="A1881" s="9">
        <v>1880</v>
      </c>
      <c r="B1881" s="10" t="s">
        <v>9</v>
      </c>
      <c r="C1881" s="10" t="s">
        <v>299</v>
      </c>
      <c r="D1881" s="10" t="s">
        <v>300</v>
      </c>
      <c r="E1881" s="11" t="str">
        <f>+HYPERLINK("http://trademark.i-assist.jp/data/china/image_1898th/78601407.pdf", "78601407")</f>
        <v>78601407</v>
      </c>
      <c r="F1881" s="10" t="s">
        <v>5328</v>
      </c>
      <c r="G1881" s="10" t="s">
        <v>3532</v>
      </c>
      <c r="H1881" s="10" t="s">
        <v>5329</v>
      </c>
      <c r="I1881" s="10" t="s">
        <v>290</v>
      </c>
    </row>
    <row r="1882" spans="1:9" x14ac:dyDescent="0.15">
      <c r="A1882" s="9">
        <v>1881</v>
      </c>
      <c r="B1882" s="10" t="s">
        <v>9</v>
      </c>
      <c r="C1882" s="10" t="s">
        <v>299</v>
      </c>
      <c r="D1882" s="10" t="s">
        <v>300</v>
      </c>
      <c r="E1882" s="11" t="str">
        <f>+HYPERLINK("http://trademark.i-assist.jp/data/china/image_1898th/78601878.pdf", "78601878")</f>
        <v>78601878</v>
      </c>
      <c r="F1882" s="10" t="s">
        <v>5330</v>
      </c>
      <c r="G1882" s="10" t="s">
        <v>5331</v>
      </c>
      <c r="H1882" s="10" t="s">
        <v>5332</v>
      </c>
      <c r="I1882" s="10" t="s">
        <v>290</v>
      </c>
    </row>
    <row r="1883" spans="1:9" x14ac:dyDescent="0.15">
      <c r="A1883" s="9">
        <v>1882</v>
      </c>
      <c r="B1883" s="10" t="s">
        <v>9</v>
      </c>
      <c r="C1883" s="10" t="s">
        <v>299</v>
      </c>
      <c r="D1883" s="10" t="s">
        <v>300</v>
      </c>
      <c r="E1883" s="11" t="str">
        <f>+HYPERLINK("http://trademark.i-assist.jp/data/china/image_1898th/78602284.pdf", "78602284")</f>
        <v>78602284</v>
      </c>
      <c r="F1883" s="10" t="s">
        <v>5333</v>
      </c>
      <c r="G1883" s="10" t="s">
        <v>5334</v>
      </c>
      <c r="H1883" s="10" t="s">
        <v>5335</v>
      </c>
      <c r="I1883" s="10" t="s">
        <v>290</v>
      </c>
    </row>
    <row r="1884" spans="1:9" x14ac:dyDescent="0.15">
      <c r="A1884" s="9">
        <v>1883</v>
      </c>
      <c r="B1884" s="10" t="s">
        <v>9</v>
      </c>
      <c r="C1884" s="10" t="s">
        <v>299</v>
      </c>
      <c r="D1884" s="10" t="s">
        <v>300</v>
      </c>
      <c r="E1884" s="11" t="str">
        <f>+HYPERLINK("http://trademark.i-assist.jp/data/china/image_1898th/78602378.pdf", "78602378")</f>
        <v>78602378</v>
      </c>
      <c r="F1884" s="10" t="s">
        <v>5336</v>
      </c>
      <c r="G1884" s="10" t="s">
        <v>5337</v>
      </c>
      <c r="H1884" s="10" t="s">
        <v>5338</v>
      </c>
      <c r="I1884" s="10" t="s">
        <v>290</v>
      </c>
    </row>
    <row r="1885" spans="1:9" x14ac:dyDescent="0.15">
      <c r="A1885" s="9">
        <v>1884</v>
      </c>
      <c r="B1885" s="10" t="s">
        <v>9</v>
      </c>
      <c r="C1885" s="10" t="s">
        <v>299</v>
      </c>
      <c r="D1885" s="10" t="s">
        <v>300</v>
      </c>
      <c r="E1885" s="11" t="str">
        <f>+HYPERLINK("http://trademark.i-assist.jp/data/china/image_1898th/78602417.pdf", "78602417")</f>
        <v>78602417</v>
      </c>
      <c r="F1885" s="10" t="s">
        <v>5339</v>
      </c>
      <c r="G1885" s="10" t="s">
        <v>5340</v>
      </c>
      <c r="H1885" s="10" t="s">
        <v>5341</v>
      </c>
      <c r="I1885" s="10" t="s">
        <v>290</v>
      </c>
    </row>
    <row r="1886" spans="1:9" x14ac:dyDescent="0.15">
      <c r="A1886" s="9">
        <v>1885</v>
      </c>
      <c r="B1886" s="10" t="s">
        <v>9</v>
      </c>
      <c r="C1886" s="10" t="s">
        <v>299</v>
      </c>
      <c r="D1886" s="10" t="s">
        <v>300</v>
      </c>
      <c r="E1886" s="11" t="str">
        <f>+HYPERLINK("http://trademark.i-assist.jp/data/china/image_1898th/78602486.pdf", "78602486")</f>
        <v>78602486</v>
      </c>
      <c r="F1886" s="10" t="s">
        <v>5342</v>
      </c>
      <c r="G1886" s="10" t="s">
        <v>5343</v>
      </c>
      <c r="H1886" s="10" t="s">
        <v>5344</v>
      </c>
      <c r="I1886" s="10" t="s">
        <v>290</v>
      </c>
    </row>
    <row r="1887" spans="1:9" x14ac:dyDescent="0.15">
      <c r="A1887" s="9">
        <v>1886</v>
      </c>
      <c r="B1887" s="10" t="s">
        <v>9</v>
      </c>
      <c r="C1887" s="10" t="s">
        <v>299</v>
      </c>
      <c r="D1887" s="10" t="s">
        <v>300</v>
      </c>
      <c r="E1887" s="11" t="str">
        <f>+HYPERLINK("http://trademark.i-assist.jp/data/china/image_1898th/78602506.pdf", "78602506")</f>
        <v>78602506</v>
      </c>
      <c r="F1887" s="10" t="s">
        <v>5345</v>
      </c>
      <c r="G1887" s="10" t="s">
        <v>5346</v>
      </c>
      <c r="H1887" s="10" t="s">
        <v>5347</v>
      </c>
      <c r="I1887" s="10" t="s">
        <v>290</v>
      </c>
    </row>
    <row r="1888" spans="1:9" x14ac:dyDescent="0.15">
      <c r="A1888" s="9">
        <v>1887</v>
      </c>
      <c r="B1888" s="10" t="s">
        <v>9</v>
      </c>
      <c r="C1888" s="10" t="s">
        <v>299</v>
      </c>
      <c r="D1888" s="10" t="s">
        <v>300</v>
      </c>
      <c r="E1888" s="11" t="str">
        <f>+HYPERLINK("http://trademark.i-assist.jp/data/china/image_1898th/78602510.pdf", "78602510")</f>
        <v>78602510</v>
      </c>
      <c r="F1888" s="10" t="s">
        <v>5348</v>
      </c>
      <c r="G1888" s="10" t="s">
        <v>5346</v>
      </c>
      <c r="H1888" s="10" t="s">
        <v>5349</v>
      </c>
      <c r="I1888" s="10" t="s">
        <v>290</v>
      </c>
    </row>
    <row r="1889" spans="1:9" x14ac:dyDescent="0.15">
      <c r="A1889" s="9">
        <v>1888</v>
      </c>
      <c r="B1889" s="10" t="s">
        <v>9</v>
      </c>
      <c r="C1889" s="10" t="s">
        <v>299</v>
      </c>
      <c r="D1889" s="10" t="s">
        <v>300</v>
      </c>
      <c r="E1889" s="11" t="str">
        <f>+HYPERLINK("http://trademark.i-assist.jp/data/china/image_1898th/78602582.pdf", "78602582")</f>
        <v>78602582</v>
      </c>
      <c r="F1889" s="10" t="s">
        <v>5350</v>
      </c>
      <c r="G1889" s="10" t="s">
        <v>151</v>
      </c>
      <c r="H1889" s="10" t="s">
        <v>5351</v>
      </c>
      <c r="I1889" s="10" t="s">
        <v>290</v>
      </c>
    </row>
    <row r="1890" spans="1:9" x14ac:dyDescent="0.15">
      <c r="A1890" s="9">
        <v>1889</v>
      </c>
      <c r="B1890" s="10" t="s">
        <v>9</v>
      </c>
      <c r="C1890" s="10" t="s">
        <v>299</v>
      </c>
      <c r="D1890" s="10" t="s">
        <v>300</v>
      </c>
      <c r="E1890" s="11" t="str">
        <f>+HYPERLINK("http://trademark.i-assist.jp/data/china/image_1898th/78602987.pdf", "78602987")</f>
        <v>78602987</v>
      </c>
      <c r="F1890" s="10" t="s">
        <v>5352</v>
      </c>
      <c r="G1890" s="10" t="s">
        <v>151</v>
      </c>
      <c r="H1890" s="10" t="s">
        <v>5353</v>
      </c>
      <c r="I1890" s="10" t="s">
        <v>290</v>
      </c>
    </row>
    <row r="1891" spans="1:9" x14ac:dyDescent="0.15">
      <c r="A1891" s="9">
        <v>1890</v>
      </c>
      <c r="B1891" s="10" t="s">
        <v>9</v>
      </c>
      <c r="C1891" s="10" t="s">
        <v>299</v>
      </c>
      <c r="D1891" s="10" t="s">
        <v>300</v>
      </c>
      <c r="E1891" s="11" t="str">
        <f>+HYPERLINK("http://trademark.i-assist.jp/data/china/image_1898th/78603016.pdf", "78603016")</f>
        <v>78603016</v>
      </c>
      <c r="F1891" s="10" t="s">
        <v>5354</v>
      </c>
      <c r="G1891" s="10" t="s">
        <v>5355</v>
      </c>
      <c r="H1891" s="10" t="s">
        <v>5356</v>
      </c>
      <c r="I1891" s="10" t="s">
        <v>290</v>
      </c>
    </row>
    <row r="1892" spans="1:9" x14ac:dyDescent="0.15">
      <c r="A1892" s="9">
        <v>1891</v>
      </c>
      <c r="B1892" s="10" t="s">
        <v>9</v>
      </c>
      <c r="C1892" s="10" t="s">
        <v>299</v>
      </c>
      <c r="D1892" s="10" t="s">
        <v>300</v>
      </c>
      <c r="E1892" s="11" t="str">
        <f>+HYPERLINK("http://trademark.i-assist.jp/data/china/image_1898th/78603158.pdf", "78603158")</f>
        <v>78603158</v>
      </c>
      <c r="F1892" s="10" t="s">
        <v>5357</v>
      </c>
      <c r="G1892" s="10" t="s">
        <v>5358</v>
      </c>
      <c r="H1892" s="10" t="s">
        <v>5359</v>
      </c>
      <c r="I1892" s="10" t="s">
        <v>290</v>
      </c>
    </row>
    <row r="1893" spans="1:9" x14ac:dyDescent="0.15">
      <c r="A1893" s="9">
        <v>1892</v>
      </c>
      <c r="B1893" s="10" t="s">
        <v>9</v>
      </c>
      <c r="C1893" s="10" t="s">
        <v>299</v>
      </c>
      <c r="D1893" s="10" t="s">
        <v>300</v>
      </c>
      <c r="E1893" s="11" t="str">
        <f>+HYPERLINK("http://trademark.i-assist.jp/data/china/image_1898th/78603399.pdf", "78603399")</f>
        <v>78603399</v>
      </c>
      <c r="F1893" s="10" t="s">
        <v>5360</v>
      </c>
      <c r="G1893" s="10" t="s">
        <v>5361</v>
      </c>
      <c r="H1893" s="10" t="s">
        <v>5362</v>
      </c>
      <c r="I1893" s="10" t="s">
        <v>290</v>
      </c>
    </row>
    <row r="1894" spans="1:9" x14ac:dyDescent="0.15">
      <c r="A1894" s="9">
        <v>1893</v>
      </c>
      <c r="B1894" s="10" t="s">
        <v>9</v>
      </c>
      <c r="C1894" s="10" t="s">
        <v>299</v>
      </c>
      <c r="D1894" s="10" t="s">
        <v>300</v>
      </c>
      <c r="E1894" s="11" t="str">
        <f>+HYPERLINK("http://trademark.i-assist.jp/data/china/image_1898th/78603536.pdf", "78603536")</f>
        <v>78603536</v>
      </c>
      <c r="F1894" s="10" t="s">
        <v>5363</v>
      </c>
      <c r="G1894" s="10" t="s">
        <v>5364</v>
      </c>
      <c r="H1894" s="10" t="s">
        <v>5365</v>
      </c>
      <c r="I1894" s="10" t="s">
        <v>290</v>
      </c>
    </row>
    <row r="1895" spans="1:9" x14ac:dyDescent="0.15">
      <c r="A1895" s="9">
        <v>1894</v>
      </c>
      <c r="B1895" s="10" t="s">
        <v>9</v>
      </c>
      <c r="C1895" s="10" t="s">
        <v>299</v>
      </c>
      <c r="D1895" s="10" t="s">
        <v>300</v>
      </c>
      <c r="E1895" s="11" t="str">
        <f>+HYPERLINK("http://trademark.i-assist.jp/data/china/image_1898th/78603561.pdf", "78603561")</f>
        <v>78603561</v>
      </c>
      <c r="F1895" s="10" t="s">
        <v>5366</v>
      </c>
      <c r="G1895" s="10" t="s">
        <v>258</v>
      </c>
      <c r="H1895" s="10" t="s">
        <v>5367</v>
      </c>
      <c r="I1895" s="10" t="s">
        <v>290</v>
      </c>
    </row>
    <row r="1896" spans="1:9" x14ac:dyDescent="0.15">
      <c r="A1896" s="9">
        <v>1895</v>
      </c>
      <c r="B1896" s="10" t="s">
        <v>9</v>
      </c>
      <c r="C1896" s="10" t="s">
        <v>299</v>
      </c>
      <c r="D1896" s="10" t="s">
        <v>300</v>
      </c>
      <c r="E1896" s="11" t="str">
        <f>+HYPERLINK("http://trademark.i-assist.jp/data/china/image_1898th/78603578.pdf", "78603578")</f>
        <v>78603578</v>
      </c>
      <c r="F1896" s="10" t="s">
        <v>5368</v>
      </c>
      <c r="G1896" s="10" t="s">
        <v>5369</v>
      </c>
      <c r="H1896" s="10" t="s">
        <v>5370</v>
      </c>
      <c r="I1896" s="10" t="s">
        <v>290</v>
      </c>
    </row>
    <row r="1897" spans="1:9" x14ac:dyDescent="0.15">
      <c r="A1897" s="9">
        <v>1896</v>
      </c>
      <c r="B1897" s="10" t="s">
        <v>9</v>
      </c>
      <c r="C1897" s="10" t="s">
        <v>299</v>
      </c>
      <c r="D1897" s="10" t="s">
        <v>300</v>
      </c>
      <c r="E1897" s="11" t="str">
        <f>+HYPERLINK("http://trademark.i-assist.jp/data/china/image_1898th/78603604.pdf", "78603604")</f>
        <v>78603604</v>
      </c>
      <c r="F1897" s="10" t="s">
        <v>5371</v>
      </c>
      <c r="G1897" s="10" t="s">
        <v>647</v>
      </c>
      <c r="H1897" s="10" t="s">
        <v>5372</v>
      </c>
      <c r="I1897" s="10" t="s">
        <v>290</v>
      </c>
    </row>
    <row r="1898" spans="1:9" x14ac:dyDescent="0.15">
      <c r="A1898" s="9">
        <v>1897</v>
      </c>
      <c r="B1898" s="10" t="s">
        <v>9</v>
      </c>
      <c r="C1898" s="10" t="s">
        <v>299</v>
      </c>
      <c r="D1898" s="10" t="s">
        <v>300</v>
      </c>
      <c r="E1898" s="11" t="str">
        <f>+HYPERLINK("http://trademark.i-assist.jp/data/china/image_1898th/78603749.pdf", "78603749")</f>
        <v>78603749</v>
      </c>
      <c r="F1898" s="10" t="s">
        <v>5373</v>
      </c>
      <c r="G1898" s="10" t="s">
        <v>5374</v>
      </c>
      <c r="H1898" s="10" t="s">
        <v>5375</v>
      </c>
      <c r="I1898" s="10" t="s">
        <v>290</v>
      </c>
    </row>
    <row r="1899" spans="1:9" x14ac:dyDescent="0.15">
      <c r="A1899" s="9">
        <v>1898</v>
      </c>
      <c r="B1899" s="10" t="s">
        <v>9</v>
      </c>
      <c r="C1899" s="10" t="s">
        <v>299</v>
      </c>
      <c r="D1899" s="10" t="s">
        <v>300</v>
      </c>
      <c r="E1899" s="11" t="str">
        <f>+HYPERLINK("http://trademark.i-assist.jp/data/china/image_1898th/78603763.pdf", "78603763")</f>
        <v>78603763</v>
      </c>
      <c r="F1899" s="10" t="s">
        <v>5376</v>
      </c>
      <c r="G1899" s="10" t="s">
        <v>5377</v>
      </c>
      <c r="H1899" s="10" t="s">
        <v>5378</v>
      </c>
      <c r="I1899" s="10" t="s">
        <v>290</v>
      </c>
    </row>
    <row r="1900" spans="1:9" x14ac:dyDescent="0.15">
      <c r="A1900" s="9">
        <v>1899</v>
      </c>
      <c r="B1900" s="10" t="s">
        <v>9</v>
      </c>
      <c r="C1900" s="10" t="s">
        <v>299</v>
      </c>
      <c r="D1900" s="10" t="s">
        <v>300</v>
      </c>
      <c r="E1900" s="11" t="str">
        <f>+HYPERLINK("http://trademark.i-assist.jp/data/china/image_1898th/78603772.pdf", "78603772")</f>
        <v>78603772</v>
      </c>
      <c r="F1900" s="10" t="s">
        <v>5379</v>
      </c>
      <c r="G1900" s="10" t="s">
        <v>5380</v>
      </c>
      <c r="H1900" s="10" t="s">
        <v>5381</v>
      </c>
      <c r="I1900" s="10" t="s">
        <v>290</v>
      </c>
    </row>
    <row r="1901" spans="1:9" x14ac:dyDescent="0.15">
      <c r="A1901" s="9">
        <v>1900</v>
      </c>
      <c r="B1901" s="10" t="s">
        <v>9</v>
      </c>
      <c r="C1901" s="10" t="s">
        <v>299</v>
      </c>
      <c r="D1901" s="10" t="s">
        <v>300</v>
      </c>
      <c r="E1901" s="11" t="str">
        <f>+HYPERLINK("http://trademark.i-assist.jp/data/china/image_1898th/78603778.pdf", "78603778")</f>
        <v>78603778</v>
      </c>
      <c r="F1901" s="10" t="s">
        <v>5382</v>
      </c>
      <c r="G1901" s="10" t="s">
        <v>5383</v>
      </c>
      <c r="H1901" s="10" t="s">
        <v>5384</v>
      </c>
      <c r="I1901" s="10" t="s">
        <v>290</v>
      </c>
    </row>
    <row r="1902" spans="1:9" x14ac:dyDescent="0.15">
      <c r="A1902" s="9">
        <v>1901</v>
      </c>
      <c r="B1902" s="10" t="s">
        <v>9</v>
      </c>
      <c r="C1902" s="10" t="s">
        <v>299</v>
      </c>
      <c r="D1902" s="10" t="s">
        <v>300</v>
      </c>
      <c r="E1902" s="11" t="str">
        <f>+HYPERLINK("http://trademark.i-assist.jp/data/china/image_1898th/78603847.pdf", "78603847")</f>
        <v>78603847</v>
      </c>
      <c r="F1902" s="10" t="s">
        <v>5385</v>
      </c>
      <c r="G1902" s="10" t="s">
        <v>255</v>
      </c>
      <c r="H1902" s="10" t="s">
        <v>5386</v>
      </c>
      <c r="I1902" s="10" t="s">
        <v>290</v>
      </c>
    </row>
    <row r="1903" spans="1:9" x14ac:dyDescent="0.15">
      <c r="A1903" s="9">
        <v>1902</v>
      </c>
      <c r="B1903" s="10" t="s">
        <v>9</v>
      </c>
      <c r="C1903" s="10" t="s">
        <v>299</v>
      </c>
      <c r="D1903" s="10" t="s">
        <v>300</v>
      </c>
      <c r="E1903" s="11" t="str">
        <f>+HYPERLINK("http://trademark.i-assist.jp/data/china/image_1898th/78604647.pdf", "78604647")</f>
        <v>78604647</v>
      </c>
      <c r="F1903" s="10" t="s">
        <v>5387</v>
      </c>
      <c r="G1903" s="10" t="s">
        <v>139</v>
      </c>
      <c r="H1903" s="10" t="s">
        <v>5388</v>
      </c>
      <c r="I1903" s="10" t="s">
        <v>290</v>
      </c>
    </row>
    <row r="1904" spans="1:9" x14ac:dyDescent="0.15">
      <c r="A1904" s="9">
        <v>1903</v>
      </c>
      <c r="B1904" s="10" t="s">
        <v>9</v>
      </c>
      <c r="C1904" s="10" t="s">
        <v>299</v>
      </c>
      <c r="D1904" s="10" t="s">
        <v>300</v>
      </c>
      <c r="E1904" s="11" t="str">
        <f>+HYPERLINK("http://trademark.i-assist.jp/data/china/image_1898th/78604831.pdf", "78604831")</f>
        <v>78604831</v>
      </c>
      <c r="F1904" s="10" t="s">
        <v>5389</v>
      </c>
      <c r="G1904" s="10" t="s">
        <v>5390</v>
      </c>
      <c r="H1904" s="10" t="s">
        <v>5391</v>
      </c>
      <c r="I1904" s="10" t="s">
        <v>290</v>
      </c>
    </row>
    <row r="1905" spans="1:9" x14ac:dyDescent="0.15">
      <c r="A1905" s="9">
        <v>1904</v>
      </c>
      <c r="B1905" s="10" t="s">
        <v>9</v>
      </c>
      <c r="C1905" s="10" t="s">
        <v>299</v>
      </c>
      <c r="D1905" s="10" t="s">
        <v>300</v>
      </c>
      <c r="E1905" s="11" t="str">
        <f>+HYPERLINK("http://trademark.i-assist.jp/data/china/image_1898th/78604832.pdf", "78604832")</f>
        <v>78604832</v>
      </c>
      <c r="F1905" s="10" t="s">
        <v>5392</v>
      </c>
      <c r="G1905" s="10" t="s">
        <v>5393</v>
      </c>
      <c r="H1905" s="10" t="s">
        <v>5394</v>
      </c>
      <c r="I1905" s="10" t="s">
        <v>290</v>
      </c>
    </row>
    <row r="1906" spans="1:9" x14ac:dyDescent="0.15">
      <c r="A1906" s="9">
        <v>1905</v>
      </c>
      <c r="B1906" s="10" t="s">
        <v>9</v>
      </c>
      <c r="C1906" s="10" t="s">
        <v>299</v>
      </c>
      <c r="D1906" s="10" t="s">
        <v>300</v>
      </c>
      <c r="E1906" s="11" t="str">
        <f>+HYPERLINK("http://trademark.i-assist.jp/data/china/image_1898th/78604908.pdf", "78604908")</f>
        <v>78604908</v>
      </c>
      <c r="F1906" s="10" t="s">
        <v>5395</v>
      </c>
      <c r="G1906" s="10" t="s">
        <v>5396</v>
      </c>
      <c r="H1906" s="10" t="s">
        <v>5397</v>
      </c>
      <c r="I1906" s="10" t="s">
        <v>290</v>
      </c>
    </row>
    <row r="1907" spans="1:9" x14ac:dyDescent="0.15">
      <c r="A1907" s="9">
        <v>1906</v>
      </c>
      <c r="B1907" s="10" t="s">
        <v>9</v>
      </c>
      <c r="C1907" s="10" t="s">
        <v>299</v>
      </c>
      <c r="D1907" s="10" t="s">
        <v>300</v>
      </c>
      <c r="E1907" s="11" t="str">
        <f>+HYPERLINK("http://trademark.i-assist.jp/data/china/image_1898th/78604978.pdf", "78604978")</f>
        <v>78604978</v>
      </c>
      <c r="F1907" s="10" t="s">
        <v>5398</v>
      </c>
      <c r="G1907" s="10" t="s">
        <v>5399</v>
      </c>
      <c r="H1907" s="10" t="s">
        <v>5400</v>
      </c>
      <c r="I1907" s="10" t="s">
        <v>290</v>
      </c>
    </row>
    <row r="1908" spans="1:9" x14ac:dyDescent="0.15">
      <c r="A1908" s="9">
        <v>1907</v>
      </c>
      <c r="B1908" s="10" t="s">
        <v>9</v>
      </c>
      <c r="C1908" s="10" t="s">
        <v>299</v>
      </c>
      <c r="D1908" s="10" t="s">
        <v>300</v>
      </c>
      <c r="E1908" s="11" t="str">
        <f>+HYPERLINK("http://trademark.i-assist.jp/data/china/image_1898th/78605127.pdf", "78605127")</f>
        <v>78605127</v>
      </c>
      <c r="F1908" s="10" t="s">
        <v>5401</v>
      </c>
      <c r="G1908" s="10" t="s">
        <v>5402</v>
      </c>
      <c r="H1908" s="10" t="s">
        <v>5403</v>
      </c>
      <c r="I1908" s="10" t="s">
        <v>290</v>
      </c>
    </row>
    <row r="1909" spans="1:9" x14ac:dyDescent="0.15">
      <c r="A1909" s="9">
        <v>1908</v>
      </c>
      <c r="B1909" s="10" t="s">
        <v>9</v>
      </c>
      <c r="C1909" s="10" t="s">
        <v>299</v>
      </c>
      <c r="D1909" s="10" t="s">
        <v>300</v>
      </c>
      <c r="E1909" s="11" t="str">
        <f>+HYPERLINK("http://trademark.i-assist.jp/data/china/image_1898th/78605144.pdf", "78605144")</f>
        <v>78605144</v>
      </c>
      <c r="F1909" s="10" t="s">
        <v>19</v>
      </c>
      <c r="G1909" s="10" t="s">
        <v>5404</v>
      </c>
      <c r="H1909" s="10" t="s">
        <v>5405</v>
      </c>
      <c r="I1909" s="10" t="s">
        <v>290</v>
      </c>
    </row>
    <row r="1910" spans="1:9" x14ac:dyDescent="0.15">
      <c r="A1910" s="9">
        <v>1909</v>
      </c>
      <c r="B1910" s="10" t="s">
        <v>9</v>
      </c>
      <c r="C1910" s="10" t="s">
        <v>299</v>
      </c>
      <c r="D1910" s="10" t="s">
        <v>300</v>
      </c>
      <c r="E1910" s="11" t="str">
        <f>+HYPERLINK("http://trademark.i-assist.jp/data/china/image_1898th/78605439.pdf", "78605439")</f>
        <v>78605439</v>
      </c>
      <c r="F1910" s="10" t="s">
        <v>5406</v>
      </c>
      <c r="G1910" s="10" t="s">
        <v>5266</v>
      </c>
      <c r="H1910" s="10" t="s">
        <v>5407</v>
      </c>
      <c r="I1910" s="10" t="s">
        <v>290</v>
      </c>
    </row>
    <row r="1911" spans="1:9" x14ac:dyDescent="0.15">
      <c r="A1911" s="9">
        <v>1910</v>
      </c>
      <c r="B1911" s="10" t="s">
        <v>9</v>
      </c>
      <c r="C1911" s="10" t="s">
        <v>299</v>
      </c>
      <c r="D1911" s="10" t="s">
        <v>300</v>
      </c>
      <c r="E1911" s="11" t="str">
        <f>+HYPERLINK("http://trademark.i-assist.jp/data/china/image_1898th/78605652.pdf", "78605652")</f>
        <v>78605652</v>
      </c>
      <c r="F1911" s="10" t="s">
        <v>19</v>
      </c>
      <c r="G1911" s="10" t="s">
        <v>5408</v>
      </c>
      <c r="H1911" s="10" t="s">
        <v>5409</v>
      </c>
      <c r="I1911" s="10" t="s">
        <v>290</v>
      </c>
    </row>
    <row r="1912" spans="1:9" x14ac:dyDescent="0.15">
      <c r="A1912" s="9">
        <v>1911</v>
      </c>
      <c r="B1912" s="10" t="s">
        <v>9</v>
      </c>
      <c r="C1912" s="10" t="s">
        <v>299</v>
      </c>
      <c r="D1912" s="10" t="s">
        <v>300</v>
      </c>
      <c r="E1912" s="11" t="str">
        <f>+HYPERLINK("http://trademark.i-assist.jp/data/china/image_1898th/78605844.pdf", "78605844")</f>
        <v>78605844</v>
      </c>
      <c r="F1912" s="10" t="s">
        <v>5410</v>
      </c>
      <c r="G1912" s="10" t="s">
        <v>5411</v>
      </c>
      <c r="H1912" s="10" t="s">
        <v>5412</v>
      </c>
      <c r="I1912" s="10" t="s">
        <v>290</v>
      </c>
    </row>
    <row r="1913" spans="1:9" x14ac:dyDescent="0.15">
      <c r="A1913" s="9">
        <v>1912</v>
      </c>
      <c r="B1913" s="10" t="s">
        <v>9</v>
      </c>
      <c r="C1913" s="10" t="s">
        <v>299</v>
      </c>
      <c r="D1913" s="10" t="s">
        <v>300</v>
      </c>
      <c r="E1913" s="11" t="str">
        <f>+HYPERLINK("http://trademark.i-assist.jp/data/china/image_1898th/78605886.pdf", "78605886")</f>
        <v>78605886</v>
      </c>
      <c r="F1913" s="10" t="s">
        <v>5413</v>
      </c>
      <c r="G1913" s="10" t="s">
        <v>5414</v>
      </c>
      <c r="H1913" s="10" t="s">
        <v>5415</v>
      </c>
      <c r="I1913" s="10" t="s">
        <v>290</v>
      </c>
    </row>
    <row r="1914" spans="1:9" x14ac:dyDescent="0.15">
      <c r="A1914" s="9">
        <v>1913</v>
      </c>
      <c r="B1914" s="10" t="s">
        <v>9</v>
      </c>
      <c r="C1914" s="10" t="s">
        <v>299</v>
      </c>
      <c r="D1914" s="10" t="s">
        <v>300</v>
      </c>
      <c r="E1914" s="11" t="str">
        <f>+HYPERLINK("http://trademark.i-assist.jp/data/china/image_1898th/78605926.pdf", "78605926")</f>
        <v>78605926</v>
      </c>
      <c r="F1914" s="10" t="s">
        <v>5416</v>
      </c>
      <c r="G1914" s="10" t="s">
        <v>5417</v>
      </c>
      <c r="H1914" s="10" t="s">
        <v>5418</v>
      </c>
      <c r="I1914" s="10" t="s">
        <v>290</v>
      </c>
    </row>
    <row r="1915" spans="1:9" x14ac:dyDescent="0.15">
      <c r="A1915" s="9">
        <v>1914</v>
      </c>
      <c r="B1915" s="10" t="s">
        <v>9</v>
      </c>
      <c r="C1915" s="10" t="s">
        <v>299</v>
      </c>
      <c r="D1915" s="10" t="s">
        <v>300</v>
      </c>
      <c r="E1915" s="11" t="str">
        <f>+HYPERLINK("http://trademark.i-assist.jp/data/china/image_1898th/78606197.pdf", "78606197")</f>
        <v>78606197</v>
      </c>
      <c r="F1915" s="10" t="s">
        <v>5419</v>
      </c>
      <c r="G1915" s="10" t="s">
        <v>5420</v>
      </c>
      <c r="H1915" s="10" t="s">
        <v>5421</v>
      </c>
      <c r="I1915" s="10" t="s">
        <v>290</v>
      </c>
    </row>
    <row r="1916" spans="1:9" x14ac:dyDescent="0.15">
      <c r="A1916" s="9">
        <v>1915</v>
      </c>
      <c r="B1916" s="10" t="s">
        <v>9</v>
      </c>
      <c r="C1916" s="10" t="s">
        <v>299</v>
      </c>
      <c r="D1916" s="10" t="s">
        <v>300</v>
      </c>
      <c r="E1916" s="11" t="str">
        <f>+HYPERLINK("http://trademark.i-assist.jp/data/china/image_1898th/78606205.pdf", "78606205")</f>
        <v>78606205</v>
      </c>
      <c r="F1916" s="10" t="s">
        <v>5422</v>
      </c>
      <c r="G1916" s="10" t="s">
        <v>5423</v>
      </c>
      <c r="H1916" s="10" t="s">
        <v>5424</v>
      </c>
      <c r="I1916" s="10" t="s">
        <v>290</v>
      </c>
    </row>
    <row r="1917" spans="1:9" x14ac:dyDescent="0.15">
      <c r="A1917" s="9">
        <v>1916</v>
      </c>
      <c r="B1917" s="10" t="s">
        <v>9</v>
      </c>
      <c r="C1917" s="10" t="s">
        <v>299</v>
      </c>
      <c r="D1917" s="10" t="s">
        <v>300</v>
      </c>
      <c r="E1917" s="11" t="str">
        <f>+HYPERLINK("http://trademark.i-assist.jp/data/china/image_1898th/78606311.pdf", "78606311")</f>
        <v>78606311</v>
      </c>
      <c r="F1917" s="10" t="s">
        <v>5425</v>
      </c>
      <c r="G1917" s="10" t="s">
        <v>5426</v>
      </c>
      <c r="H1917" s="10" t="s">
        <v>5427</v>
      </c>
      <c r="I1917" s="10" t="s">
        <v>290</v>
      </c>
    </row>
    <row r="1918" spans="1:9" x14ac:dyDescent="0.15">
      <c r="A1918" s="9">
        <v>1917</v>
      </c>
      <c r="B1918" s="10" t="s">
        <v>9</v>
      </c>
      <c r="C1918" s="10" t="s">
        <v>299</v>
      </c>
      <c r="D1918" s="10" t="s">
        <v>300</v>
      </c>
      <c r="E1918" s="11" t="str">
        <f>+HYPERLINK("http://trademark.i-assist.jp/data/china/image_1898th/78606450.pdf", "78606450")</f>
        <v>78606450</v>
      </c>
      <c r="F1918" s="10" t="s">
        <v>5428</v>
      </c>
      <c r="G1918" s="10" t="s">
        <v>5429</v>
      </c>
      <c r="H1918" s="10" t="s">
        <v>5430</v>
      </c>
      <c r="I1918" s="10" t="s">
        <v>290</v>
      </c>
    </row>
    <row r="1919" spans="1:9" x14ac:dyDescent="0.15">
      <c r="A1919" s="9">
        <v>1918</v>
      </c>
      <c r="B1919" s="10" t="s">
        <v>9</v>
      </c>
      <c r="C1919" s="10" t="s">
        <v>299</v>
      </c>
      <c r="D1919" s="10" t="s">
        <v>300</v>
      </c>
      <c r="E1919" s="11" t="str">
        <f>+HYPERLINK("http://trademark.i-assist.jp/data/china/image_1898th/78606516.pdf", "78606516")</f>
        <v>78606516</v>
      </c>
      <c r="F1919" s="10" t="s">
        <v>5431</v>
      </c>
      <c r="G1919" s="10" t="s">
        <v>5432</v>
      </c>
      <c r="H1919" s="10" t="s">
        <v>5433</v>
      </c>
      <c r="I1919" s="10" t="s">
        <v>290</v>
      </c>
    </row>
    <row r="1920" spans="1:9" x14ac:dyDescent="0.15">
      <c r="A1920" s="9">
        <v>1919</v>
      </c>
      <c r="B1920" s="10" t="s">
        <v>9</v>
      </c>
      <c r="C1920" s="10" t="s">
        <v>299</v>
      </c>
      <c r="D1920" s="10" t="s">
        <v>300</v>
      </c>
      <c r="E1920" s="11" t="str">
        <f>+HYPERLINK("http://trademark.i-assist.jp/data/china/image_1898th/78606606.pdf", "78606606")</f>
        <v>78606606</v>
      </c>
      <c r="F1920" s="10" t="s">
        <v>5434</v>
      </c>
      <c r="G1920" s="10" t="s">
        <v>5240</v>
      </c>
      <c r="H1920" s="10" t="s">
        <v>5435</v>
      </c>
      <c r="I1920" s="10" t="s">
        <v>290</v>
      </c>
    </row>
    <row r="1921" spans="1:9" x14ac:dyDescent="0.15">
      <c r="A1921" s="9">
        <v>1920</v>
      </c>
      <c r="B1921" s="10" t="s">
        <v>9</v>
      </c>
      <c r="C1921" s="10" t="s">
        <v>299</v>
      </c>
      <c r="D1921" s="10" t="s">
        <v>300</v>
      </c>
      <c r="E1921" s="11" t="str">
        <f>+HYPERLINK("http://trademark.i-assist.jp/data/china/image_1898th/78606733.pdf", "78606733")</f>
        <v>78606733</v>
      </c>
      <c r="F1921" s="10" t="s">
        <v>5436</v>
      </c>
      <c r="G1921" s="10" t="s">
        <v>258</v>
      </c>
      <c r="H1921" s="10" t="s">
        <v>5437</v>
      </c>
      <c r="I1921" s="10" t="s">
        <v>290</v>
      </c>
    </row>
    <row r="1922" spans="1:9" x14ac:dyDescent="0.15">
      <c r="A1922" s="9">
        <v>1921</v>
      </c>
      <c r="B1922" s="10" t="s">
        <v>9</v>
      </c>
      <c r="C1922" s="10" t="s">
        <v>299</v>
      </c>
      <c r="D1922" s="10" t="s">
        <v>300</v>
      </c>
      <c r="E1922" s="11" t="str">
        <f>+HYPERLINK("http://trademark.i-assist.jp/data/china/image_1898th/78606857.pdf", "78606857")</f>
        <v>78606857</v>
      </c>
      <c r="F1922" s="10" t="s">
        <v>5438</v>
      </c>
      <c r="G1922" s="10" t="s">
        <v>5304</v>
      </c>
      <c r="H1922" s="10" t="s">
        <v>5439</v>
      </c>
      <c r="I1922" s="10" t="s">
        <v>290</v>
      </c>
    </row>
    <row r="1923" spans="1:9" x14ac:dyDescent="0.15">
      <c r="A1923" s="9">
        <v>1922</v>
      </c>
      <c r="B1923" s="10" t="s">
        <v>9</v>
      </c>
      <c r="C1923" s="10" t="s">
        <v>299</v>
      </c>
      <c r="D1923" s="10" t="s">
        <v>300</v>
      </c>
      <c r="E1923" s="11" t="str">
        <f>+HYPERLINK("http://trademark.i-assist.jp/data/china/image_1898th/78606941.pdf", "78606941")</f>
        <v>78606941</v>
      </c>
      <c r="F1923" s="10" t="s">
        <v>5440</v>
      </c>
      <c r="G1923" s="10" t="s">
        <v>5441</v>
      </c>
      <c r="H1923" s="10" t="s">
        <v>5442</v>
      </c>
      <c r="I1923" s="10" t="s">
        <v>290</v>
      </c>
    </row>
    <row r="1924" spans="1:9" x14ac:dyDescent="0.15">
      <c r="A1924" s="9">
        <v>1923</v>
      </c>
      <c r="B1924" s="10" t="s">
        <v>9</v>
      </c>
      <c r="C1924" s="10" t="s">
        <v>299</v>
      </c>
      <c r="D1924" s="10" t="s">
        <v>300</v>
      </c>
      <c r="E1924" s="11" t="str">
        <f>+HYPERLINK("http://trademark.i-assist.jp/data/china/image_1898th/78607087.pdf", "78607087")</f>
        <v>78607087</v>
      </c>
      <c r="F1924" s="10" t="s">
        <v>5443</v>
      </c>
      <c r="G1924" s="10" t="s">
        <v>5444</v>
      </c>
      <c r="H1924" s="10" t="s">
        <v>5445</v>
      </c>
      <c r="I1924" s="10" t="s">
        <v>290</v>
      </c>
    </row>
    <row r="1925" spans="1:9" x14ac:dyDescent="0.15">
      <c r="A1925" s="9">
        <v>1924</v>
      </c>
      <c r="B1925" s="10" t="s">
        <v>9</v>
      </c>
      <c r="C1925" s="10" t="s">
        <v>299</v>
      </c>
      <c r="D1925" s="10" t="s">
        <v>300</v>
      </c>
      <c r="E1925" s="11" t="str">
        <f>+HYPERLINK("http://trademark.i-assist.jp/data/china/image_1898th/78607337.pdf", "78607337")</f>
        <v>78607337</v>
      </c>
      <c r="F1925" s="10" t="s">
        <v>5446</v>
      </c>
      <c r="G1925" s="10" t="s">
        <v>182</v>
      </c>
      <c r="H1925" s="10" t="s">
        <v>5447</v>
      </c>
      <c r="I1925" s="10" t="s">
        <v>290</v>
      </c>
    </row>
    <row r="1926" spans="1:9" x14ac:dyDescent="0.15">
      <c r="A1926" s="9">
        <v>1925</v>
      </c>
      <c r="B1926" s="10" t="s">
        <v>9</v>
      </c>
      <c r="C1926" s="10" t="s">
        <v>299</v>
      </c>
      <c r="D1926" s="10" t="s">
        <v>300</v>
      </c>
      <c r="E1926" s="11" t="str">
        <f>+HYPERLINK("http://trademark.i-assist.jp/data/china/image_1898th/78607476.pdf", "78607476")</f>
        <v>78607476</v>
      </c>
      <c r="F1926" s="10" t="s">
        <v>19</v>
      </c>
      <c r="G1926" s="10" t="s">
        <v>5448</v>
      </c>
      <c r="H1926" s="10" t="s">
        <v>5449</v>
      </c>
      <c r="I1926" s="10" t="s">
        <v>290</v>
      </c>
    </row>
    <row r="1927" spans="1:9" x14ac:dyDescent="0.15">
      <c r="A1927" s="9">
        <v>1926</v>
      </c>
      <c r="B1927" s="10" t="s">
        <v>9</v>
      </c>
      <c r="C1927" s="10" t="s">
        <v>299</v>
      </c>
      <c r="D1927" s="10" t="s">
        <v>300</v>
      </c>
      <c r="E1927" s="11" t="str">
        <f>+HYPERLINK("http://trademark.i-assist.jp/data/china/image_1898th/78607572.pdf", "78607572")</f>
        <v>78607572</v>
      </c>
      <c r="F1927" s="10" t="s">
        <v>5450</v>
      </c>
      <c r="G1927" s="10" t="s">
        <v>5451</v>
      </c>
      <c r="H1927" s="10" t="s">
        <v>34</v>
      </c>
      <c r="I1927" s="10" t="s">
        <v>290</v>
      </c>
    </row>
    <row r="1928" spans="1:9" x14ac:dyDescent="0.15">
      <c r="A1928" s="9">
        <v>1927</v>
      </c>
      <c r="B1928" s="10" t="s">
        <v>9</v>
      </c>
      <c r="C1928" s="10" t="s">
        <v>299</v>
      </c>
      <c r="D1928" s="10" t="s">
        <v>300</v>
      </c>
      <c r="E1928" s="11" t="str">
        <f>+HYPERLINK("http://trademark.i-assist.jp/data/china/image_1898th/78607944.pdf", "78607944")</f>
        <v>78607944</v>
      </c>
      <c r="F1928" s="10" t="s">
        <v>5452</v>
      </c>
      <c r="G1928" s="10" t="s">
        <v>5453</v>
      </c>
      <c r="H1928" s="10" t="s">
        <v>5454</v>
      </c>
      <c r="I1928" s="10" t="s">
        <v>290</v>
      </c>
    </row>
    <row r="1929" spans="1:9" x14ac:dyDescent="0.15">
      <c r="A1929" s="9">
        <v>1928</v>
      </c>
      <c r="B1929" s="10" t="s">
        <v>9</v>
      </c>
      <c r="C1929" s="10" t="s">
        <v>299</v>
      </c>
      <c r="D1929" s="10" t="s">
        <v>300</v>
      </c>
      <c r="E1929" s="11" t="str">
        <f>+HYPERLINK("http://trademark.i-assist.jp/data/china/image_1898th/78608713.pdf", "78608713")</f>
        <v>78608713</v>
      </c>
      <c r="F1929" s="10" t="s">
        <v>5455</v>
      </c>
      <c r="G1929" s="10" t="s">
        <v>5456</v>
      </c>
      <c r="H1929" s="10" t="s">
        <v>5457</v>
      </c>
      <c r="I1929" s="10" t="s">
        <v>290</v>
      </c>
    </row>
    <row r="1930" spans="1:9" x14ac:dyDescent="0.15">
      <c r="A1930" s="9">
        <v>1929</v>
      </c>
      <c r="B1930" s="10" t="s">
        <v>9</v>
      </c>
      <c r="C1930" s="10" t="s">
        <v>299</v>
      </c>
      <c r="D1930" s="10" t="s">
        <v>300</v>
      </c>
      <c r="E1930" s="11" t="str">
        <f>+HYPERLINK("http://trademark.i-assist.jp/data/china/image_1898th/78608954.pdf", "78608954")</f>
        <v>78608954</v>
      </c>
      <c r="F1930" s="10" t="s">
        <v>5458</v>
      </c>
      <c r="G1930" s="10" t="s">
        <v>5459</v>
      </c>
      <c r="H1930" s="10" t="s">
        <v>5460</v>
      </c>
      <c r="I1930" s="10" t="s">
        <v>290</v>
      </c>
    </row>
    <row r="1931" spans="1:9" x14ac:dyDescent="0.15">
      <c r="A1931" s="9">
        <v>1930</v>
      </c>
      <c r="B1931" s="10" t="s">
        <v>9</v>
      </c>
      <c r="C1931" s="10" t="s">
        <v>299</v>
      </c>
      <c r="D1931" s="10" t="s">
        <v>300</v>
      </c>
      <c r="E1931" s="11" t="str">
        <f>+HYPERLINK("http://trademark.i-assist.jp/data/china/image_1898th/78609044.pdf", "78609044")</f>
        <v>78609044</v>
      </c>
      <c r="F1931" s="10" t="s">
        <v>5461</v>
      </c>
      <c r="G1931" s="10" t="s">
        <v>5462</v>
      </c>
      <c r="H1931" s="10" t="s">
        <v>5463</v>
      </c>
      <c r="I1931" s="10" t="s">
        <v>290</v>
      </c>
    </row>
    <row r="1932" spans="1:9" x14ac:dyDescent="0.15">
      <c r="A1932" s="9">
        <v>1931</v>
      </c>
      <c r="B1932" s="10" t="s">
        <v>9</v>
      </c>
      <c r="C1932" s="10" t="s">
        <v>299</v>
      </c>
      <c r="D1932" s="10" t="s">
        <v>300</v>
      </c>
      <c r="E1932" s="11" t="str">
        <f>+HYPERLINK("http://trademark.i-assist.jp/data/china/image_1898th/78609227.pdf", "78609227")</f>
        <v>78609227</v>
      </c>
      <c r="F1932" s="10" t="s">
        <v>5464</v>
      </c>
      <c r="G1932" s="10" t="s">
        <v>5465</v>
      </c>
      <c r="H1932" s="10" t="s">
        <v>5466</v>
      </c>
      <c r="I1932" s="10" t="s">
        <v>290</v>
      </c>
    </row>
    <row r="1933" spans="1:9" x14ac:dyDescent="0.15">
      <c r="A1933" s="9">
        <v>1932</v>
      </c>
      <c r="B1933" s="10" t="s">
        <v>9</v>
      </c>
      <c r="C1933" s="10" t="s">
        <v>299</v>
      </c>
      <c r="D1933" s="10" t="s">
        <v>300</v>
      </c>
      <c r="E1933" s="11" t="str">
        <f>+HYPERLINK("http://trademark.i-assist.jp/data/china/image_1898th/78609341.pdf", "78609341")</f>
        <v>78609341</v>
      </c>
      <c r="F1933" s="10" t="s">
        <v>5467</v>
      </c>
      <c r="G1933" s="10" t="s">
        <v>5468</v>
      </c>
      <c r="H1933" s="10" t="s">
        <v>5469</v>
      </c>
      <c r="I1933" s="10" t="s">
        <v>290</v>
      </c>
    </row>
    <row r="1934" spans="1:9" x14ac:dyDescent="0.15">
      <c r="A1934" s="9">
        <v>1933</v>
      </c>
      <c r="B1934" s="10" t="s">
        <v>9</v>
      </c>
      <c r="C1934" s="10" t="s">
        <v>299</v>
      </c>
      <c r="D1934" s="10" t="s">
        <v>300</v>
      </c>
      <c r="E1934" s="11" t="str">
        <f>+HYPERLINK("http://trademark.i-assist.jp/data/china/image_1898th/78609522.pdf", "78609522")</f>
        <v>78609522</v>
      </c>
      <c r="F1934" s="10" t="s">
        <v>5470</v>
      </c>
      <c r="G1934" s="10" t="s">
        <v>5471</v>
      </c>
      <c r="H1934" s="10" t="s">
        <v>5472</v>
      </c>
      <c r="I1934" s="10" t="s">
        <v>290</v>
      </c>
    </row>
    <row r="1935" spans="1:9" x14ac:dyDescent="0.15">
      <c r="A1935" s="9">
        <v>1934</v>
      </c>
      <c r="B1935" s="10" t="s">
        <v>9</v>
      </c>
      <c r="C1935" s="10" t="s">
        <v>299</v>
      </c>
      <c r="D1935" s="10" t="s">
        <v>300</v>
      </c>
      <c r="E1935" s="11" t="str">
        <f>+HYPERLINK("http://trademark.i-assist.jp/data/china/image_1898th/78609663.pdf", "78609663")</f>
        <v>78609663</v>
      </c>
      <c r="F1935" s="10" t="s">
        <v>5473</v>
      </c>
      <c r="G1935" s="10" t="s">
        <v>5474</v>
      </c>
      <c r="H1935" s="10" t="s">
        <v>5475</v>
      </c>
      <c r="I1935" s="10" t="s">
        <v>290</v>
      </c>
    </row>
    <row r="1936" spans="1:9" x14ac:dyDescent="0.15">
      <c r="A1936" s="9">
        <v>1935</v>
      </c>
      <c r="B1936" s="10" t="s">
        <v>9</v>
      </c>
      <c r="C1936" s="10" t="s">
        <v>299</v>
      </c>
      <c r="D1936" s="10" t="s">
        <v>300</v>
      </c>
      <c r="E1936" s="11" t="str">
        <f>+HYPERLINK("http://trademark.i-assist.jp/data/china/image_1898th/78609836.pdf", "78609836")</f>
        <v>78609836</v>
      </c>
      <c r="F1936" s="10" t="s">
        <v>5476</v>
      </c>
      <c r="G1936" s="10" t="s">
        <v>5477</v>
      </c>
      <c r="H1936" s="10" t="s">
        <v>5478</v>
      </c>
      <c r="I1936" s="10" t="s">
        <v>290</v>
      </c>
    </row>
    <row r="1937" spans="1:9" x14ac:dyDescent="0.15">
      <c r="A1937" s="9">
        <v>1936</v>
      </c>
      <c r="B1937" s="10" t="s">
        <v>9</v>
      </c>
      <c r="C1937" s="10" t="s">
        <v>299</v>
      </c>
      <c r="D1937" s="10" t="s">
        <v>300</v>
      </c>
      <c r="E1937" s="11" t="str">
        <f>+HYPERLINK("http://trademark.i-assist.jp/data/china/image_1898th/78610143.pdf", "78610143")</f>
        <v>78610143</v>
      </c>
      <c r="F1937" s="10" t="s">
        <v>5479</v>
      </c>
      <c r="G1937" s="10" t="s">
        <v>5480</v>
      </c>
      <c r="H1937" s="10" t="s">
        <v>5481</v>
      </c>
      <c r="I1937" s="10" t="s">
        <v>290</v>
      </c>
    </row>
    <row r="1938" spans="1:9" x14ac:dyDescent="0.15">
      <c r="A1938" s="9">
        <v>1937</v>
      </c>
      <c r="B1938" s="10" t="s">
        <v>9</v>
      </c>
      <c r="C1938" s="10" t="s">
        <v>299</v>
      </c>
      <c r="D1938" s="10" t="s">
        <v>300</v>
      </c>
      <c r="E1938" s="11" t="str">
        <f>+HYPERLINK("http://trademark.i-assist.jp/data/china/image_1898th/78610200.pdf", "78610200")</f>
        <v>78610200</v>
      </c>
      <c r="F1938" s="10" t="s">
        <v>5482</v>
      </c>
      <c r="G1938" s="10" t="s">
        <v>5396</v>
      </c>
      <c r="H1938" s="10" t="s">
        <v>5483</v>
      </c>
      <c r="I1938" s="10" t="s">
        <v>290</v>
      </c>
    </row>
    <row r="1939" spans="1:9" x14ac:dyDescent="0.15">
      <c r="A1939" s="9">
        <v>1938</v>
      </c>
      <c r="B1939" s="10" t="s">
        <v>9</v>
      </c>
      <c r="C1939" s="10" t="s">
        <v>299</v>
      </c>
      <c r="D1939" s="10" t="s">
        <v>300</v>
      </c>
      <c r="E1939" s="11" t="str">
        <f>+HYPERLINK("http://trademark.i-assist.jp/data/china/image_1898th/78610577.pdf", "78610577")</f>
        <v>78610577</v>
      </c>
      <c r="F1939" s="10" t="s">
        <v>5484</v>
      </c>
      <c r="G1939" s="10" t="s">
        <v>5485</v>
      </c>
      <c r="H1939" s="10" t="s">
        <v>5486</v>
      </c>
      <c r="I1939" s="10" t="s">
        <v>290</v>
      </c>
    </row>
    <row r="1940" spans="1:9" x14ac:dyDescent="0.15">
      <c r="A1940" s="9">
        <v>1939</v>
      </c>
      <c r="B1940" s="10" t="s">
        <v>9</v>
      </c>
      <c r="C1940" s="10" t="s">
        <v>299</v>
      </c>
      <c r="D1940" s="10" t="s">
        <v>300</v>
      </c>
      <c r="E1940" s="11" t="str">
        <f>+HYPERLINK("http://trademark.i-assist.jp/data/china/image_1898th/78610715.pdf", "78610715")</f>
        <v>78610715</v>
      </c>
      <c r="F1940" s="10" t="s">
        <v>5487</v>
      </c>
      <c r="G1940" s="10" t="s">
        <v>87</v>
      </c>
      <c r="H1940" s="10" t="s">
        <v>5488</v>
      </c>
      <c r="I1940" s="10" t="s">
        <v>290</v>
      </c>
    </row>
    <row r="1941" spans="1:9" x14ac:dyDescent="0.15">
      <c r="A1941" s="9">
        <v>1940</v>
      </c>
      <c r="B1941" s="10" t="s">
        <v>9</v>
      </c>
      <c r="C1941" s="10" t="s">
        <v>299</v>
      </c>
      <c r="D1941" s="10" t="s">
        <v>300</v>
      </c>
      <c r="E1941" s="11" t="str">
        <f>+HYPERLINK("http://trademark.i-assist.jp/data/china/image_1898th/78610733.pdf", "78610733")</f>
        <v>78610733</v>
      </c>
      <c r="F1941" s="10" t="s">
        <v>5489</v>
      </c>
      <c r="G1941" s="10" t="s">
        <v>295</v>
      </c>
      <c r="H1941" s="10" t="s">
        <v>5490</v>
      </c>
      <c r="I1941" s="10" t="s">
        <v>290</v>
      </c>
    </row>
    <row r="1942" spans="1:9" x14ac:dyDescent="0.15">
      <c r="A1942" s="9">
        <v>1941</v>
      </c>
      <c r="B1942" s="10" t="s">
        <v>9</v>
      </c>
      <c r="C1942" s="10" t="s">
        <v>299</v>
      </c>
      <c r="D1942" s="10" t="s">
        <v>300</v>
      </c>
      <c r="E1942" s="11" t="str">
        <f>+HYPERLINK("http://trademark.i-assist.jp/data/china/image_1898th/78610971.pdf", "78610971")</f>
        <v>78610971</v>
      </c>
      <c r="F1942" s="10" t="s">
        <v>5491</v>
      </c>
      <c r="G1942" s="10" t="s">
        <v>5492</v>
      </c>
      <c r="H1942" s="10" t="s">
        <v>5493</v>
      </c>
      <c r="I1942" s="10" t="s">
        <v>290</v>
      </c>
    </row>
    <row r="1943" spans="1:9" x14ac:dyDescent="0.15">
      <c r="A1943" s="9">
        <v>1942</v>
      </c>
      <c r="B1943" s="10" t="s">
        <v>9</v>
      </c>
      <c r="C1943" s="10" t="s">
        <v>299</v>
      </c>
      <c r="D1943" s="10" t="s">
        <v>300</v>
      </c>
      <c r="E1943" s="11" t="str">
        <f>+HYPERLINK("http://trademark.i-assist.jp/data/china/image_1898th/78611093.pdf", "78611093")</f>
        <v>78611093</v>
      </c>
      <c r="F1943" s="10" t="s">
        <v>5494</v>
      </c>
      <c r="G1943" s="10" t="s">
        <v>5495</v>
      </c>
      <c r="H1943" s="10" t="s">
        <v>5496</v>
      </c>
      <c r="I1943" s="10" t="s">
        <v>290</v>
      </c>
    </row>
    <row r="1944" spans="1:9" x14ac:dyDescent="0.15">
      <c r="A1944" s="9">
        <v>1943</v>
      </c>
      <c r="B1944" s="10" t="s">
        <v>9</v>
      </c>
      <c r="C1944" s="10" t="s">
        <v>299</v>
      </c>
      <c r="D1944" s="10" t="s">
        <v>300</v>
      </c>
      <c r="E1944" s="11" t="str">
        <f>+HYPERLINK("http://trademark.i-assist.jp/data/china/image_1898th/78611104.pdf", "78611104")</f>
        <v>78611104</v>
      </c>
      <c r="F1944" s="10" t="s">
        <v>5497</v>
      </c>
      <c r="G1944" s="10" t="s">
        <v>5495</v>
      </c>
      <c r="H1944" s="10" t="s">
        <v>5498</v>
      </c>
      <c r="I1944" s="10" t="s">
        <v>290</v>
      </c>
    </row>
    <row r="1945" spans="1:9" x14ac:dyDescent="0.15">
      <c r="A1945" s="9">
        <v>1944</v>
      </c>
      <c r="B1945" s="10" t="s">
        <v>9</v>
      </c>
      <c r="C1945" s="10" t="s">
        <v>299</v>
      </c>
      <c r="D1945" s="10" t="s">
        <v>300</v>
      </c>
      <c r="E1945" s="11" t="str">
        <f>+HYPERLINK("http://trademark.i-assist.jp/data/china/image_1898th/78611123.pdf", "78611123")</f>
        <v>78611123</v>
      </c>
      <c r="F1945" s="10" t="s">
        <v>5499</v>
      </c>
      <c r="G1945" s="10" t="s">
        <v>5500</v>
      </c>
      <c r="H1945" s="10" t="s">
        <v>5501</v>
      </c>
      <c r="I1945" s="10" t="s">
        <v>290</v>
      </c>
    </row>
    <row r="1946" spans="1:9" x14ac:dyDescent="0.15">
      <c r="A1946" s="9">
        <v>1945</v>
      </c>
      <c r="B1946" s="10" t="s">
        <v>9</v>
      </c>
      <c r="C1946" s="10" t="s">
        <v>299</v>
      </c>
      <c r="D1946" s="10" t="s">
        <v>300</v>
      </c>
      <c r="E1946" s="11" t="str">
        <f>+HYPERLINK("http://trademark.i-assist.jp/data/china/image_1898th/78611240.pdf", "78611240")</f>
        <v>78611240</v>
      </c>
      <c r="F1946" s="10" t="s">
        <v>5502</v>
      </c>
      <c r="G1946" s="10" t="s">
        <v>5503</v>
      </c>
      <c r="H1946" s="10" t="s">
        <v>5504</v>
      </c>
      <c r="I1946" s="10" t="s">
        <v>290</v>
      </c>
    </row>
    <row r="1947" spans="1:9" x14ac:dyDescent="0.15">
      <c r="A1947" s="9">
        <v>1946</v>
      </c>
      <c r="B1947" s="10" t="s">
        <v>9</v>
      </c>
      <c r="C1947" s="10" t="s">
        <v>299</v>
      </c>
      <c r="D1947" s="10" t="s">
        <v>300</v>
      </c>
      <c r="E1947" s="11" t="str">
        <f>+HYPERLINK("http://trademark.i-assist.jp/data/china/image_1898th/78611258.pdf", "78611258")</f>
        <v>78611258</v>
      </c>
      <c r="F1947" s="10" t="s">
        <v>5505</v>
      </c>
      <c r="G1947" s="10" t="s">
        <v>5506</v>
      </c>
      <c r="H1947" s="10" t="s">
        <v>5507</v>
      </c>
      <c r="I1947" s="10" t="s">
        <v>290</v>
      </c>
    </row>
    <row r="1948" spans="1:9" x14ac:dyDescent="0.15">
      <c r="A1948" s="9">
        <v>1947</v>
      </c>
      <c r="B1948" s="10" t="s">
        <v>9</v>
      </c>
      <c r="C1948" s="10" t="s">
        <v>299</v>
      </c>
      <c r="D1948" s="10" t="s">
        <v>300</v>
      </c>
      <c r="E1948" s="11" t="str">
        <f>+HYPERLINK("http://trademark.i-assist.jp/data/china/image_1898th/78611469.pdf", "78611469")</f>
        <v>78611469</v>
      </c>
      <c r="F1948" s="10" t="s">
        <v>5508</v>
      </c>
      <c r="G1948" s="10" t="s">
        <v>5509</v>
      </c>
      <c r="H1948" s="10" t="s">
        <v>5510</v>
      </c>
      <c r="I1948" s="10" t="s">
        <v>290</v>
      </c>
    </row>
    <row r="1949" spans="1:9" x14ac:dyDescent="0.15">
      <c r="A1949" s="9">
        <v>1948</v>
      </c>
      <c r="B1949" s="10" t="s">
        <v>9</v>
      </c>
      <c r="C1949" s="10" t="s">
        <v>299</v>
      </c>
      <c r="D1949" s="10" t="s">
        <v>300</v>
      </c>
      <c r="E1949" s="11" t="str">
        <f>+HYPERLINK("http://trademark.i-assist.jp/data/china/image_1898th/78611644.pdf", "78611644")</f>
        <v>78611644</v>
      </c>
      <c r="F1949" s="10" t="s">
        <v>5511</v>
      </c>
      <c r="G1949" s="10" t="s">
        <v>281</v>
      </c>
      <c r="H1949" s="10" t="s">
        <v>5512</v>
      </c>
      <c r="I1949" s="10" t="s">
        <v>290</v>
      </c>
    </row>
    <row r="1950" spans="1:9" x14ac:dyDescent="0.15">
      <c r="A1950" s="9">
        <v>1949</v>
      </c>
      <c r="B1950" s="10" t="s">
        <v>9</v>
      </c>
      <c r="C1950" s="10" t="s">
        <v>299</v>
      </c>
      <c r="D1950" s="10" t="s">
        <v>300</v>
      </c>
      <c r="E1950" s="11" t="str">
        <f>+HYPERLINK("http://trademark.i-assist.jp/data/china/image_1898th/78612096.pdf", "78612096")</f>
        <v>78612096</v>
      </c>
      <c r="F1950" s="10" t="s">
        <v>5513</v>
      </c>
      <c r="G1950" s="10" t="s">
        <v>5514</v>
      </c>
      <c r="H1950" s="10" t="s">
        <v>5515</v>
      </c>
      <c r="I1950" s="10" t="s">
        <v>290</v>
      </c>
    </row>
    <row r="1951" spans="1:9" x14ac:dyDescent="0.15">
      <c r="A1951" s="9">
        <v>1950</v>
      </c>
      <c r="B1951" s="10" t="s">
        <v>9</v>
      </c>
      <c r="C1951" s="10" t="s">
        <v>299</v>
      </c>
      <c r="D1951" s="10" t="s">
        <v>300</v>
      </c>
      <c r="E1951" s="11" t="str">
        <f>+HYPERLINK("http://trademark.i-assist.jp/data/china/image_1898th/78612583.pdf", "78612583")</f>
        <v>78612583</v>
      </c>
      <c r="F1951" s="10" t="s">
        <v>5516</v>
      </c>
      <c r="G1951" s="10" t="s">
        <v>175</v>
      </c>
      <c r="H1951" s="10" t="s">
        <v>5517</v>
      </c>
      <c r="I1951" s="10" t="s">
        <v>290</v>
      </c>
    </row>
    <row r="1952" spans="1:9" x14ac:dyDescent="0.15">
      <c r="A1952" s="9">
        <v>1951</v>
      </c>
      <c r="B1952" s="10" t="s">
        <v>9</v>
      </c>
      <c r="C1952" s="10" t="s">
        <v>299</v>
      </c>
      <c r="D1952" s="10" t="s">
        <v>300</v>
      </c>
      <c r="E1952" s="11" t="str">
        <f>+HYPERLINK("http://trademark.i-assist.jp/data/china/image_1898th/78612695.pdf", "78612695")</f>
        <v>78612695</v>
      </c>
      <c r="F1952" s="10" t="s">
        <v>5518</v>
      </c>
      <c r="G1952" s="10" t="s">
        <v>5519</v>
      </c>
      <c r="H1952" s="10" t="s">
        <v>5520</v>
      </c>
      <c r="I1952" s="10" t="s">
        <v>290</v>
      </c>
    </row>
    <row r="1953" spans="1:9" x14ac:dyDescent="0.15">
      <c r="A1953" s="9">
        <v>1952</v>
      </c>
      <c r="B1953" s="10" t="s">
        <v>9</v>
      </c>
      <c r="C1953" s="10" t="s">
        <v>299</v>
      </c>
      <c r="D1953" s="10" t="s">
        <v>300</v>
      </c>
      <c r="E1953" s="11" t="str">
        <f>+HYPERLINK("http://trademark.i-assist.jp/data/china/image_1898th/78612991.pdf", "78612991")</f>
        <v>78612991</v>
      </c>
      <c r="F1953" s="10" t="s">
        <v>5521</v>
      </c>
      <c r="G1953" s="10" t="s">
        <v>5522</v>
      </c>
      <c r="H1953" s="10" t="s">
        <v>5523</v>
      </c>
      <c r="I1953" s="10" t="s">
        <v>290</v>
      </c>
    </row>
    <row r="1954" spans="1:9" x14ac:dyDescent="0.15">
      <c r="A1954" s="9">
        <v>1953</v>
      </c>
      <c r="B1954" s="10" t="s">
        <v>9</v>
      </c>
      <c r="C1954" s="10" t="s">
        <v>299</v>
      </c>
      <c r="D1954" s="10" t="s">
        <v>300</v>
      </c>
      <c r="E1954" s="11" t="str">
        <f>+HYPERLINK("http://trademark.i-assist.jp/data/china/image_1898th/78613263.pdf", "78613263")</f>
        <v>78613263</v>
      </c>
      <c r="F1954" s="10" t="s">
        <v>5524</v>
      </c>
      <c r="G1954" s="10" t="s">
        <v>5525</v>
      </c>
      <c r="H1954" s="10" t="s">
        <v>5526</v>
      </c>
      <c r="I1954" s="10" t="s">
        <v>290</v>
      </c>
    </row>
    <row r="1955" spans="1:9" x14ac:dyDescent="0.15">
      <c r="A1955" s="9">
        <v>1954</v>
      </c>
      <c r="B1955" s="10" t="s">
        <v>9</v>
      </c>
      <c r="C1955" s="10" t="s">
        <v>299</v>
      </c>
      <c r="D1955" s="10" t="s">
        <v>300</v>
      </c>
      <c r="E1955" s="11" t="str">
        <f>+HYPERLINK("http://trademark.i-assist.jp/data/china/image_1898th/78613451.pdf", "78613451")</f>
        <v>78613451</v>
      </c>
      <c r="F1955" s="10" t="s">
        <v>5527</v>
      </c>
      <c r="G1955" s="10" t="s">
        <v>5380</v>
      </c>
      <c r="H1955" s="10" t="s">
        <v>5528</v>
      </c>
      <c r="I1955" s="10" t="s">
        <v>290</v>
      </c>
    </row>
    <row r="1956" spans="1:9" x14ac:dyDescent="0.15">
      <c r="A1956" s="9">
        <v>1955</v>
      </c>
      <c r="B1956" s="10" t="s">
        <v>9</v>
      </c>
      <c r="C1956" s="10" t="s">
        <v>299</v>
      </c>
      <c r="D1956" s="10" t="s">
        <v>300</v>
      </c>
      <c r="E1956" s="11" t="str">
        <f>+HYPERLINK("http://trademark.i-assist.jp/data/china/image_1898th/78613456.pdf", "78613456")</f>
        <v>78613456</v>
      </c>
      <c r="F1956" s="10" t="s">
        <v>5529</v>
      </c>
      <c r="G1956" s="10" t="s">
        <v>5530</v>
      </c>
      <c r="H1956" s="10" t="s">
        <v>5531</v>
      </c>
      <c r="I1956" s="10" t="s">
        <v>290</v>
      </c>
    </row>
    <row r="1957" spans="1:9" x14ac:dyDescent="0.15">
      <c r="A1957" s="9">
        <v>1956</v>
      </c>
      <c r="B1957" s="10" t="s">
        <v>9</v>
      </c>
      <c r="C1957" s="10" t="s">
        <v>299</v>
      </c>
      <c r="D1957" s="10" t="s">
        <v>300</v>
      </c>
      <c r="E1957" s="11" t="str">
        <f>+HYPERLINK("http://trademark.i-assist.jp/data/china/image_1898th/78613463.pdf", "78613463")</f>
        <v>78613463</v>
      </c>
      <c r="F1957" s="10" t="s">
        <v>5532</v>
      </c>
      <c r="G1957" s="10" t="s">
        <v>5533</v>
      </c>
      <c r="H1957" s="10" t="s">
        <v>5534</v>
      </c>
      <c r="I1957" s="10" t="s">
        <v>290</v>
      </c>
    </row>
    <row r="1958" spans="1:9" x14ac:dyDescent="0.15">
      <c r="A1958" s="9">
        <v>1957</v>
      </c>
      <c r="B1958" s="10" t="s">
        <v>9</v>
      </c>
      <c r="C1958" s="10" t="s">
        <v>299</v>
      </c>
      <c r="D1958" s="10" t="s">
        <v>300</v>
      </c>
      <c r="E1958" s="11" t="str">
        <f>+HYPERLINK("http://trademark.i-assist.jp/data/china/image_1898th/78613677.pdf", "78613677")</f>
        <v>78613677</v>
      </c>
      <c r="F1958" s="10" t="s">
        <v>5535</v>
      </c>
      <c r="G1958" s="10" t="s">
        <v>5298</v>
      </c>
      <c r="H1958" s="10" t="s">
        <v>5536</v>
      </c>
      <c r="I1958" s="10" t="s">
        <v>290</v>
      </c>
    </row>
    <row r="1959" spans="1:9" x14ac:dyDescent="0.15">
      <c r="A1959" s="9">
        <v>1958</v>
      </c>
      <c r="B1959" s="10" t="s">
        <v>9</v>
      </c>
      <c r="C1959" s="10" t="s">
        <v>299</v>
      </c>
      <c r="D1959" s="10" t="s">
        <v>300</v>
      </c>
      <c r="E1959" s="11" t="str">
        <f>+HYPERLINK("http://trademark.i-assist.jp/data/china/image_1898th/78613743.pdf", "78613743")</f>
        <v>78613743</v>
      </c>
      <c r="F1959" s="10" t="s">
        <v>5537</v>
      </c>
      <c r="G1959" s="10" t="s">
        <v>87</v>
      </c>
      <c r="H1959" s="10" t="s">
        <v>5538</v>
      </c>
      <c r="I1959" s="10" t="s">
        <v>290</v>
      </c>
    </row>
    <row r="1960" spans="1:9" x14ac:dyDescent="0.15">
      <c r="A1960" s="9">
        <v>1959</v>
      </c>
      <c r="B1960" s="10" t="s">
        <v>9</v>
      </c>
      <c r="C1960" s="10" t="s">
        <v>299</v>
      </c>
      <c r="D1960" s="10" t="s">
        <v>300</v>
      </c>
      <c r="E1960" s="11" t="str">
        <f>+HYPERLINK("http://trademark.i-assist.jp/data/china/image_1898th/78613802.pdf", "78613802")</f>
        <v>78613802</v>
      </c>
      <c r="F1960" s="10" t="s">
        <v>5539</v>
      </c>
      <c r="G1960" s="10" t="s">
        <v>5540</v>
      </c>
      <c r="H1960" s="10" t="s">
        <v>5541</v>
      </c>
      <c r="I1960" s="10" t="s">
        <v>290</v>
      </c>
    </row>
    <row r="1961" spans="1:9" x14ac:dyDescent="0.15">
      <c r="A1961" s="9">
        <v>1960</v>
      </c>
      <c r="B1961" s="10" t="s">
        <v>9</v>
      </c>
      <c r="C1961" s="10" t="s">
        <v>299</v>
      </c>
      <c r="D1961" s="10" t="s">
        <v>300</v>
      </c>
      <c r="E1961" s="11" t="str">
        <f>+HYPERLINK("http://trademark.i-assist.jp/data/china/image_1898th/78613932.pdf", "78613932")</f>
        <v>78613932</v>
      </c>
      <c r="F1961" s="10" t="s">
        <v>5542</v>
      </c>
      <c r="G1961" s="10" t="s">
        <v>5543</v>
      </c>
      <c r="H1961" s="10" t="s">
        <v>5544</v>
      </c>
      <c r="I1961" s="10" t="s">
        <v>290</v>
      </c>
    </row>
    <row r="1962" spans="1:9" x14ac:dyDescent="0.15">
      <c r="A1962" s="9">
        <v>1961</v>
      </c>
      <c r="B1962" s="10" t="s">
        <v>9</v>
      </c>
      <c r="C1962" s="10" t="s">
        <v>299</v>
      </c>
      <c r="D1962" s="10" t="s">
        <v>300</v>
      </c>
      <c r="E1962" s="11" t="str">
        <f>+HYPERLINK("http://trademark.i-assist.jp/data/china/image_1898th/78613964.pdf", "78613964")</f>
        <v>78613964</v>
      </c>
      <c r="F1962" s="10" t="s">
        <v>5545</v>
      </c>
      <c r="G1962" s="10" t="s">
        <v>5546</v>
      </c>
      <c r="H1962" s="10" t="s">
        <v>5547</v>
      </c>
      <c r="I1962" s="10" t="s">
        <v>290</v>
      </c>
    </row>
    <row r="1963" spans="1:9" x14ac:dyDescent="0.15">
      <c r="A1963" s="9">
        <v>1962</v>
      </c>
      <c r="B1963" s="10" t="s">
        <v>9</v>
      </c>
      <c r="C1963" s="10" t="s">
        <v>299</v>
      </c>
      <c r="D1963" s="10" t="s">
        <v>300</v>
      </c>
      <c r="E1963" s="11" t="str">
        <f>+HYPERLINK("http://trademark.i-assist.jp/data/china/image_1898th/78614116.pdf", "78614116")</f>
        <v>78614116</v>
      </c>
      <c r="F1963" s="10" t="s">
        <v>5548</v>
      </c>
      <c r="G1963" s="10" t="s">
        <v>5549</v>
      </c>
      <c r="H1963" s="10" t="s">
        <v>5550</v>
      </c>
      <c r="I1963" s="10" t="s">
        <v>290</v>
      </c>
    </row>
    <row r="1964" spans="1:9" x14ac:dyDescent="0.15">
      <c r="A1964" s="9">
        <v>1963</v>
      </c>
      <c r="B1964" s="10" t="s">
        <v>9</v>
      </c>
      <c r="C1964" s="10" t="s">
        <v>299</v>
      </c>
      <c r="D1964" s="10" t="s">
        <v>300</v>
      </c>
      <c r="E1964" s="11" t="str">
        <f>+HYPERLINK("http://trademark.i-assist.jp/data/china/image_1898th/78614143.pdf", "78614143")</f>
        <v>78614143</v>
      </c>
      <c r="F1964" s="10" t="s">
        <v>5551</v>
      </c>
      <c r="G1964" s="10" t="s">
        <v>255</v>
      </c>
      <c r="H1964" s="10" t="s">
        <v>5552</v>
      </c>
      <c r="I1964" s="10" t="s">
        <v>290</v>
      </c>
    </row>
    <row r="1965" spans="1:9" x14ac:dyDescent="0.15">
      <c r="A1965" s="9">
        <v>1964</v>
      </c>
      <c r="B1965" s="10" t="s">
        <v>9</v>
      </c>
      <c r="C1965" s="10" t="s">
        <v>299</v>
      </c>
      <c r="D1965" s="10" t="s">
        <v>300</v>
      </c>
      <c r="E1965" s="11" t="str">
        <f>+HYPERLINK("http://trademark.i-assist.jp/data/china/image_1898th/78614278.pdf", "78614278")</f>
        <v>78614278</v>
      </c>
      <c r="F1965" s="10" t="s">
        <v>5553</v>
      </c>
      <c r="G1965" s="10" t="s">
        <v>5554</v>
      </c>
      <c r="H1965" s="10" t="s">
        <v>5555</v>
      </c>
      <c r="I1965" s="10" t="s">
        <v>290</v>
      </c>
    </row>
    <row r="1966" spans="1:9" x14ac:dyDescent="0.15">
      <c r="A1966" s="9">
        <v>1965</v>
      </c>
      <c r="B1966" s="10" t="s">
        <v>9</v>
      </c>
      <c r="C1966" s="10" t="s">
        <v>299</v>
      </c>
      <c r="D1966" s="10" t="s">
        <v>300</v>
      </c>
      <c r="E1966" s="11" t="str">
        <f>+HYPERLINK("http://trademark.i-assist.jp/data/china/image_1898th/78614414.pdf", "78614414")</f>
        <v>78614414</v>
      </c>
      <c r="F1966" s="10" t="s">
        <v>5556</v>
      </c>
      <c r="G1966" s="10" t="s">
        <v>5557</v>
      </c>
      <c r="H1966" s="10" t="s">
        <v>5558</v>
      </c>
      <c r="I1966" s="10" t="s">
        <v>290</v>
      </c>
    </row>
    <row r="1967" spans="1:9" x14ac:dyDescent="0.15">
      <c r="A1967" s="9">
        <v>1966</v>
      </c>
      <c r="B1967" s="10" t="s">
        <v>9</v>
      </c>
      <c r="C1967" s="10" t="s">
        <v>299</v>
      </c>
      <c r="D1967" s="10" t="s">
        <v>300</v>
      </c>
      <c r="E1967" s="11" t="str">
        <f>+HYPERLINK("http://trademark.i-assist.jp/data/china/image_1898th/78614426.pdf", "78614426")</f>
        <v>78614426</v>
      </c>
      <c r="F1967" s="10" t="s">
        <v>5559</v>
      </c>
      <c r="G1967" s="10" t="s">
        <v>5560</v>
      </c>
      <c r="H1967" s="10" t="s">
        <v>5561</v>
      </c>
      <c r="I1967" s="10" t="s">
        <v>290</v>
      </c>
    </row>
    <row r="1968" spans="1:9" x14ac:dyDescent="0.15">
      <c r="A1968" s="9">
        <v>1967</v>
      </c>
      <c r="B1968" s="10" t="s">
        <v>9</v>
      </c>
      <c r="C1968" s="10" t="s">
        <v>299</v>
      </c>
      <c r="D1968" s="10" t="s">
        <v>300</v>
      </c>
      <c r="E1968" s="11" t="str">
        <f>+HYPERLINK("http://trademark.i-assist.jp/data/china/image_1898th/78614443.pdf", "78614443")</f>
        <v>78614443</v>
      </c>
      <c r="F1968" s="10" t="s">
        <v>5562</v>
      </c>
      <c r="G1968" s="10" t="s">
        <v>291</v>
      </c>
      <c r="H1968" s="10" t="s">
        <v>5563</v>
      </c>
      <c r="I1968" s="10" t="s">
        <v>290</v>
      </c>
    </row>
    <row r="1969" spans="1:9" x14ac:dyDescent="0.15">
      <c r="A1969" s="9">
        <v>1968</v>
      </c>
      <c r="B1969" s="10" t="s">
        <v>9</v>
      </c>
      <c r="C1969" s="10" t="s">
        <v>299</v>
      </c>
      <c r="D1969" s="10" t="s">
        <v>300</v>
      </c>
      <c r="E1969" s="11" t="str">
        <f>+HYPERLINK("http://trademark.i-assist.jp/data/china/image_1898th/78614772.pdf", "78614772")</f>
        <v>78614772</v>
      </c>
      <c r="F1969" s="10" t="s">
        <v>5564</v>
      </c>
      <c r="G1969" s="10" t="s">
        <v>5565</v>
      </c>
      <c r="H1969" s="10" t="s">
        <v>5566</v>
      </c>
      <c r="I1969" s="10" t="s">
        <v>290</v>
      </c>
    </row>
    <row r="1970" spans="1:9" x14ac:dyDescent="0.15">
      <c r="A1970" s="9">
        <v>1969</v>
      </c>
      <c r="B1970" s="10" t="s">
        <v>9</v>
      </c>
      <c r="C1970" s="10" t="s">
        <v>299</v>
      </c>
      <c r="D1970" s="10" t="s">
        <v>300</v>
      </c>
      <c r="E1970" s="11" t="str">
        <f>+HYPERLINK("http://trademark.i-assist.jp/data/china/image_1898th/78615158.pdf", "78615158")</f>
        <v>78615158</v>
      </c>
      <c r="F1970" s="10" t="s">
        <v>5567</v>
      </c>
      <c r="G1970" s="10" t="s">
        <v>5568</v>
      </c>
      <c r="H1970" s="10" t="s">
        <v>5569</v>
      </c>
      <c r="I1970" s="10" t="s">
        <v>290</v>
      </c>
    </row>
    <row r="1971" spans="1:9" x14ac:dyDescent="0.15">
      <c r="A1971" s="9">
        <v>1970</v>
      </c>
      <c r="B1971" s="10" t="s">
        <v>9</v>
      </c>
      <c r="C1971" s="10" t="s">
        <v>299</v>
      </c>
      <c r="D1971" s="10" t="s">
        <v>300</v>
      </c>
      <c r="E1971" s="11" t="str">
        <f>+HYPERLINK("http://trademark.i-assist.jp/data/china/image_1898th/78615166.pdf", "78615166")</f>
        <v>78615166</v>
      </c>
      <c r="F1971" s="10" t="s">
        <v>5570</v>
      </c>
      <c r="G1971" s="10" t="s">
        <v>5568</v>
      </c>
      <c r="H1971" s="10" t="s">
        <v>5571</v>
      </c>
      <c r="I1971" s="10" t="s">
        <v>290</v>
      </c>
    </row>
    <row r="1972" spans="1:9" x14ac:dyDescent="0.15">
      <c r="A1972" s="9">
        <v>1971</v>
      </c>
      <c r="B1972" s="10" t="s">
        <v>9</v>
      </c>
      <c r="C1972" s="10" t="s">
        <v>299</v>
      </c>
      <c r="D1972" s="10" t="s">
        <v>300</v>
      </c>
      <c r="E1972" s="11" t="str">
        <f>+HYPERLINK("http://trademark.i-assist.jp/data/china/image_1898th/78615230.pdf", "78615230")</f>
        <v>78615230</v>
      </c>
      <c r="F1972" s="10" t="s">
        <v>5572</v>
      </c>
      <c r="G1972" s="10" t="s">
        <v>5573</v>
      </c>
      <c r="H1972" s="10" t="s">
        <v>5574</v>
      </c>
      <c r="I1972" s="10" t="s">
        <v>290</v>
      </c>
    </row>
    <row r="1973" spans="1:9" x14ac:dyDescent="0.15">
      <c r="A1973" s="9">
        <v>1972</v>
      </c>
      <c r="B1973" s="10" t="s">
        <v>9</v>
      </c>
      <c r="C1973" s="10" t="s">
        <v>299</v>
      </c>
      <c r="D1973" s="10" t="s">
        <v>300</v>
      </c>
      <c r="E1973" s="11" t="str">
        <f>+HYPERLINK("http://trademark.i-assist.jp/data/china/image_1898th/78615281.pdf", "78615281")</f>
        <v>78615281</v>
      </c>
      <c r="F1973" s="10" t="s">
        <v>5575</v>
      </c>
      <c r="G1973" s="10" t="s">
        <v>5576</v>
      </c>
      <c r="H1973" s="10" t="s">
        <v>5577</v>
      </c>
      <c r="I1973" s="10" t="s">
        <v>290</v>
      </c>
    </row>
    <row r="1974" spans="1:9" x14ac:dyDescent="0.15">
      <c r="A1974" s="9">
        <v>1973</v>
      </c>
      <c r="B1974" s="10" t="s">
        <v>9</v>
      </c>
      <c r="C1974" s="10" t="s">
        <v>299</v>
      </c>
      <c r="D1974" s="10" t="s">
        <v>300</v>
      </c>
      <c r="E1974" s="11" t="str">
        <f>+HYPERLINK("http://trademark.i-assist.jp/data/china/image_1898th/78615303.pdf", "78615303")</f>
        <v>78615303</v>
      </c>
      <c r="F1974" s="10" t="s">
        <v>5578</v>
      </c>
      <c r="G1974" s="10" t="s">
        <v>5468</v>
      </c>
      <c r="H1974" s="10" t="s">
        <v>5579</v>
      </c>
      <c r="I1974" s="10" t="s">
        <v>290</v>
      </c>
    </row>
    <row r="1975" spans="1:9" x14ac:dyDescent="0.15">
      <c r="A1975" s="9">
        <v>1974</v>
      </c>
      <c r="B1975" s="10" t="s">
        <v>9</v>
      </c>
      <c r="C1975" s="10" t="s">
        <v>299</v>
      </c>
      <c r="D1975" s="10" t="s">
        <v>300</v>
      </c>
      <c r="E1975" s="11" t="str">
        <f>+HYPERLINK("http://trademark.i-assist.jp/data/china/image_1898th/78615369.pdf", "78615369")</f>
        <v>78615369</v>
      </c>
      <c r="F1975" s="10" t="s">
        <v>5580</v>
      </c>
      <c r="G1975" s="10" t="s">
        <v>5581</v>
      </c>
      <c r="H1975" s="10" t="s">
        <v>5582</v>
      </c>
      <c r="I1975" s="10" t="s">
        <v>290</v>
      </c>
    </row>
    <row r="1976" spans="1:9" x14ac:dyDescent="0.15">
      <c r="A1976" s="9">
        <v>1975</v>
      </c>
      <c r="B1976" s="10" t="s">
        <v>9</v>
      </c>
      <c r="C1976" s="10" t="s">
        <v>299</v>
      </c>
      <c r="D1976" s="10" t="s">
        <v>300</v>
      </c>
      <c r="E1976" s="11" t="str">
        <f>+HYPERLINK("http://trademark.i-assist.jp/data/china/image_1898th/78615519.pdf", "78615519")</f>
        <v>78615519</v>
      </c>
      <c r="F1976" s="10" t="s">
        <v>5583</v>
      </c>
      <c r="G1976" s="10" t="s">
        <v>5584</v>
      </c>
      <c r="H1976" s="10" t="s">
        <v>5585</v>
      </c>
      <c r="I1976" s="10" t="s">
        <v>290</v>
      </c>
    </row>
    <row r="1977" spans="1:9" x14ac:dyDescent="0.15">
      <c r="A1977" s="9">
        <v>1976</v>
      </c>
      <c r="B1977" s="10" t="s">
        <v>9</v>
      </c>
      <c r="C1977" s="10" t="s">
        <v>299</v>
      </c>
      <c r="D1977" s="10" t="s">
        <v>300</v>
      </c>
      <c r="E1977" s="11" t="str">
        <f>+HYPERLINK("http://trademark.i-assist.jp/data/china/image_1898th/78615655.pdf", "78615655")</f>
        <v>78615655</v>
      </c>
      <c r="F1977" s="10" t="s">
        <v>5586</v>
      </c>
      <c r="G1977" s="10" t="s">
        <v>5587</v>
      </c>
      <c r="H1977" s="10" t="s">
        <v>5588</v>
      </c>
      <c r="I1977" s="10" t="s">
        <v>290</v>
      </c>
    </row>
    <row r="1978" spans="1:9" x14ac:dyDescent="0.15">
      <c r="A1978" s="9">
        <v>1977</v>
      </c>
      <c r="B1978" s="10" t="s">
        <v>9</v>
      </c>
      <c r="C1978" s="10" t="s">
        <v>299</v>
      </c>
      <c r="D1978" s="10" t="s">
        <v>300</v>
      </c>
      <c r="E1978" s="11" t="str">
        <f>+HYPERLINK("http://trademark.i-assist.jp/data/china/image_1898th/78615707.pdf", "78615707")</f>
        <v>78615707</v>
      </c>
      <c r="F1978" s="10" t="s">
        <v>5589</v>
      </c>
      <c r="G1978" s="10" t="s">
        <v>5590</v>
      </c>
      <c r="H1978" s="10" t="s">
        <v>5591</v>
      </c>
      <c r="I1978" s="10" t="s">
        <v>290</v>
      </c>
    </row>
    <row r="1979" spans="1:9" x14ac:dyDescent="0.15">
      <c r="A1979" s="9">
        <v>1978</v>
      </c>
      <c r="B1979" s="10" t="s">
        <v>9</v>
      </c>
      <c r="C1979" s="10" t="s">
        <v>299</v>
      </c>
      <c r="D1979" s="10" t="s">
        <v>300</v>
      </c>
      <c r="E1979" s="11" t="str">
        <f>+HYPERLINK("http://trademark.i-assist.jp/data/china/image_1898th/78616207.pdf", "78616207")</f>
        <v>78616207</v>
      </c>
      <c r="F1979" s="10" t="s">
        <v>5592</v>
      </c>
      <c r="G1979" s="10" t="s">
        <v>5593</v>
      </c>
      <c r="H1979" s="10" t="s">
        <v>5594</v>
      </c>
      <c r="I1979" s="10" t="s">
        <v>290</v>
      </c>
    </row>
    <row r="1980" spans="1:9" x14ac:dyDescent="0.15">
      <c r="A1980" s="9">
        <v>1979</v>
      </c>
      <c r="B1980" s="10" t="s">
        <v>9</v>
      </c>
      <c r="C1980" s="10" t="s">
        <v>299</v>
      </c>
      <c r="D1980" s="10" t="s">
        <v>300</v>
      </c>
      <c r="E1980" s="11" t="str">
        <f>+HYPERLINK("http://trademark.i-assist.jp/data/china/image_1898th/78616259.pdf", "78616259")</f>
        <v>78616259</v>
      </c>
      <c r="F1980" s="10" t="s">
        <v>5595</v>
      </c>
      <c r="G1980" s="10" t="s">
        <v>25</v>
      </c>
      <c r="H1980" s="10" t="s">
        <v>5596</v>
      </c>
      <c r="I1980" s="10" t="s">
        <v>290</v>
      </c>
    </row>
    <row r="1981" spans="1:9" x14ac:dyDescent="0.15">
      <c r="A1981" s="9">
        <v>1980</v>
      </c>
      <c r="B1981" s="10" t="s">
        <v>9</v>
      </c>
      <c r="C1981" s="10" t="s">
        <v>299</v>
      </c>
      <c r="D1981" s="10" t="s">
        <v>300</v>
      </c>
      <c r="E1981" s="11" t="str">
        <f>+HYPERLINK("http://trademark.i-assist.jp/data/china/image_1898th/78616265.pdf", "78616265")</f>
        <v>78616265</v>
      </c>
      <c r="F1981" s="10" t="s">
        <v>5597</v>
      </c>
      <c r="G1981" s="10" t="s">
        <v>25</v>
      </c>
      <c r="H1981" s="10" t="s">
        <v>5598</v>
      </c>
      <c r="I1981" s="10" t="s">
        <v>290</v>
      </c>
    </row>
    <row r="1982" spans="1:9" x14ac:dyDescent="0.15">
      <c r="A1982" s="9">
        <v>1981</v>
      </c>
      <c r="B1982" s="10" t="s">
        <v>9</v>
      </c>
      <c r="C1982" s="10" t="s">
        <v>299</v>
      </c>
      <c r="D1982" s="10" t="s">
        <v>300</v>
      </c>
      <c r="E1982" s="11" t="str">
        <f>+HYPERLINK("http://trademark.i-assist.jp/data/china/image_1898th/78616420.pdf", "78616420")</f>
        <v>78616420</v>
      </c>
      <c r="F1982" s="10" t="s">
        <v>5599</v>
      </c>
      <c r="G1982" s="10" t="s">
        <v>5600</v>
      </c>
      <c r="H1982" s="10" t="s">
        <v>5601</v>
      </c>
      <c r="I1982" s="10" t="s">
        <v>290</v>
      </c>
    </row>
    <row r="1983" spans="1:9" x14ac:dyDescent="0.15">
      <c r="A1983" s="9">
        <v>1982</v>
      </c>
      <c r="B1983" s="10" t="s">
        <v>9</v>
      </c>
      <c r="C1983" s="10" t="s">
        <v>299</v>
      </c>
      <c r="D1983" s="10" t="s">
        <v>300</v>
      </c>
      <c r="E1983" s="11" t="str">
        <f>+HYPERLINK("http://trademark.i-assist.jp/data/china/image_1898th/78616456.pdf", "78616456")</f>
        <v>78616456</v>
      </c>
      <c r="F1983" s="10" t="s">
        <v>5602</v>
      </c>
      <c r="G1983" s="10" t="s">
        <v>5603</v>
      </c>
      <c r="H1983" s="10" t="s">
        <v>5604</v>
      </c>
      <c r="I1983" s="10" t="s">
        <v>290</v>
      </c>
    </row>
    <row r="1984" spans="1:9" x14ac:dyDescent="0.15">
      <c r="A1984" s="9">
        <v>1983</v>
      </c>
      <c r="B1984" s="10" t="s">
        <v>9</v>
      </c>
      <c r="C1984" s="10" t="s">
        <v>299</v>
      </c>
      <c r="D1984" s="10" t="s">
        <v>300</v>
      </c>
      <c r="E1984" s="11" t="str">
        <f>+HYPERLINK("http://trademark.i-assist.jp/data/china/image_1898th/78616503.pdf", "78616503")</f>
        <v>78616503</v>
      </c>
      <c r="F1984" s="10" t="s">
        <v>5605</v>
      </c>
      <c r="G1984" s="10" t="s">
        <v>5606</v>
      </c>
      <c r="H1984" s="10" t="s">
        <v>5607</v>
      </c>
      <c r="I1984" s="10" t="s">
        <v>290</v>
      </c>
    </row>
    <row r="1985" spans="1:9" x14ac:dyDescent="0.15">
      <c r="A1985" s="9">
        <v>1984</v>
      </c>
      <c r="B1985" s="10" t="s">
        <v>9</v>
      </c>
      <c r="C1985" s="10" t="s">
        <v>299</v>
      </c>
      <c r="D1985" s="10" t="s">
        <v>300</v>
      </c>
      <c r="E1985" s="11" t="str">
        <f>+HYPERLINK("http://trademark.i-assist.jp/data/china/image_1898th/78616523.pdf", "78616523")</f>
        <v>78616523</v>
      </c>
      <c r="F1985" s="10" t="s">
        <v>5608</v>
      </c>
      <c r="G1985" s="10" t="s">
        <v>174</v>
      </c>
      <c r="H1985" s="10" t="s">
        <v>5609</v>
      </c>
      <c r="I1985" s="10" t="s">
        <v>290</v>
      </c>
    </row>
    <row r="1986" spans="1:9" x14ac:dyDescent="0.15">
      <c r="A1986" s="9">
        <v>1985</v>
      </c>
      <c r="B1986" s="10" t="s">
        <v>9</v>
      </c>
      <c r="C1986" s="10" t="s">
        <v>299</v>
      </c>
      <c r="D1986" s="10" t="s">
        <v>300</v>
      </c>
      <c r="E1986" s="11" t="str">
        <f>+HYPERLINK("http://trademark.i-assist.jp/data/china/image_1898th/78616763.pdf", "78616763")</f>
        <v>78616763</v>
      </c>
      <c r="F1986" s="10" t="s">
        <v>5610</v>
      </c>
      <c r="G1986" s="10" t="s">
        <v>5611</v>
      </c>
      <c r="H1986" s="10" t="s">
        <v>5612</v>
      </c>
      <c r="I1986" s="10" t="s">
        <v>290</v>
      </c>
    </row>
    <row r="1987" spans="1:9" x14ac:dyDescent="0.15">
      <c r="A1987" s="9">
        <v>1986</v>
      </c>
      <c r="B1987" s="10" t="s">
        <v>9</v>
      </c>
      <c r="C1987" s="10" t="s">
        <v>299</v>
      </c>
      <c r="D1987" s="10" t="s">
        <v>300</v>
      </c>
      <c r="E1987" s="11" t="str">
        <f>+HYPERLINK("http://trademark.i-assist.jp/data/china/image_1898th/78616946.pdf", "78616946")</f>
        <v>78616946</v>
      </c>
      <c r="F1987" s="10" t="s">
        <v>5613</v>
      </c>
      <c r="G1987" s="10" t="s">
        <v>5614</v>
      </c>
      <c r="H1987" s="10" t="s">
        <v>5615</v>
      </c>
      <c r="I1987" s="10" t="s">
        <v>290</v>
      </c>
    </row>
    <row r="1988" spans="1:9" x14ac:dyDescent="0.15">
      <c r="A1988" s="9">
        <v>1987</v>
      </c>
      <c r="B1988" s="10" t="s">
        <v>9</v>
      </c>
      <c r="C1988" s="10" t="s">
        <v>299</v>
      </c>
      <c r="D1988" s="10" t="s">
        <v>300</v>
      </c>
      <c r="E1988" s="11" t="str">
        <f>+HYPERLINK("http://trademark.i-assist.jp/data/china/image_1898th/78616969.pdf", "78616969")</f>
        <v>78616969</v>
      </c>
      <c r="F1988" s="10" t="s">
        <v>5616</v>
      </c>
      <c r="G1988" s="10" t="s">
        <v>5617</v>
      </c>
      <c r="H1988" s="10" t="s">
        <v>5618</v>
      </c>
      <c r="I1988" s="10" t="s">
        <v>290</v>
      </c>
    </row>
    <row r="1989" spans="1:9" x14ac:dyDescent="0.15">
      <c r="A1989" s="9">
        <v>1988</v>
      </c>
      <c r="B1989" s="10" t="s">
        <v>9</v>
      </c>
      <c r="C1989" s="10" t="s">
        <v>299</v>
      </c>
      <c r="D1989" s="10" t="s">
        <v>300</v>
      </c>
      <c r="E1989" s="11" t="str">
        <f>+HYPERLINK("http://trademark.i-assist.jp/data/china/image_1898th/78617084.pdf", "78617084")</f>
        <v>78617084</v>
      </c>
      <c r="F1989" s="10" t="s">
        <v>5619</v>
      </c>
      <c r="G1989" s="10" t="s">
        <v>5606</v>
      </c>
      <c r="H1989" s="10" t="s">
        <v>5620</v>
      </c>
      <c r="I1989" s="10" t="s">
        <v>290</v>
      </c>
    </row>
    <row r="1990" spans="1:9" x14ac:dyDescent="0.15">
      <c r="A1990" s="9">
        <v>1989</v>
      </c>
      <c r="B1990" s="10" t="s">
        <v>9</v>
      </c>
      <c r="C1990" s="10" t="s">
        <v>299</v>
      </c>
      <c r="D1990" s="10" t="s">
        <v>300</v>
      </c>
      <c r="E1990" s="11" t="str">
        <f>+HYPERLINK("http://trademark.i-assist.jp/data/china/image_1898th/78617480.pdf", "78617480")</f>
        <v>78617480</v>
      </c>
      <c r="F1990" s="10" t="s">
        <v>5621</v>
      </c>
      <c r="G1990" s="10" t="s">
        <v>5622</v>
      </c>
      <c r="H1990" s="10" t="s">
        <v>5623</v>
      </c>
      <c r="I1990" s="10" t="s">
        <v>290</v>
      </c>
    </row>
    <row r="1991" spans="1:9" x14ac:dyDescent="0.15">
      <c r="A1991" s="9">
        <v>1990</v>
      </c>
      <c r="B1991" s="10" t="s">
        <v>9</v>
      </c>
      <c r="C1991" s="10" t="s">
        <v>299</v>
      </c>
      <c r="D1991" s="10" t="s">
        <v>300</v>
      </c>
      <c r="E1991" s="11" t="str">
        <f>+HYPERLINK("http://trademark.i-assist.jp/data/china/image_1898th/78617624.pdf", "78617624")</f>
        <v>78617624</v>
      </c>
      <c r="F1991" s="10" t="s">
        <v>5624</v>
      </c>
      <c r="G1991" s="10" t="s">
        <v>5625</v>
      </c>
      <c r="H1991" s="10" t="s">
        <v>5626</v>
      </c>
      <c r="I1991" s="10" t="s">
        <v>290</v>
      </c>
    </row>
    <row r="1992" spans="1:9" x14ac:dyDescent="0.15">
      <c r="A1992" s="9">
        <v>1991</v>
      </c>
      <c r="B1992" s="10" t="s">
        <v>9</v>
      </c>
      <c r="C1992" s="10" t="s">
        <v>299</v>
      </c>
      <c r="D1992" s="10" t="s">
        <v>300</v>
      </c>
      <c r="E1992" s="11" t="str">
        <f>+HYPERLINK("http://trademark.i-assist.jp/data/china/image_1898th/78617856.pdf", "78617856")</f>
        <v>78617856</v>
      </c>
      <c r="F1992" s="10" t="s">
        <v>5627</v>
      </c>
      <c r="G1992" s="10" t="s">
        <v>5628</v>
      </c>
      <c r="H1992" s="10" t="s">
        <v>5629</v>
      </c>
      <c r="I1992" s="10" t="s">
        <v>290</v>
      </c>
    </row>
    <row r="1993" spans="1:9" x14ac:dyDescent="0.15">
      <c r="A1993" s="9">
        <v>1992</v>
      </c>
      <c r="B1993" s="10" t="s">
        <v>9</v>
      </c>
      <c r="C1993" s="10" t="s">
        <v>299</v>
      </c>
      <c r="D1993" s="10" t="s">
        <v>300</v>
      </c>
      <c r="E1993" s="11" t="str">
        <f>+HYPERLINK("http://trademark.i-assist.jp/data/china/image_1898th/78617934.pdf", "78617934")</f>
        <v>78617934</v>
      </c>
      <c r="F1993" s="10" t="s">
        <v>5630</v>
      </c>
      <c r="G1993" s="10" t="s">
        <v>87</v>
      </c>
      <c r="H1993" s="10" t="s">
        <v>5631</v>
      </c>
      <c r="I1993" s="10" t="s">
        <v>290</v>
      </c>
    </row>
    <row r="1994" spans="1:9" x14ac:dyDescent="0.15">
      <c r="A1994" s="9">
        <v>1993</v>
      </c>
      <c r="B1994" s="10" t="s">
        <v>9</v>
      </c>
      <c r="C1994" s="10" t="s">
        <v>299</v>
      </c>
      <c r="D1994" s="10" t="s">
        <v>300</v>
      </c>
      <c r="E1994" s="11" t="str">
        <f>+HYPERLINK("http://trademark.i-assist.jp/data/china/image_1898th/78618172.pdf", "78618172")</f>
        <v>78618172</v>
      </c>
      <c r="F1994" s="10" t="s">
        <v>5632</v>
      </c>
      <c r="G1994" s="10" t="s">
        <v>5633</v>
      </c>
      <c r="H1994" s="10" t="s">
        <v>5634</v>
      </c>
      <c r="I1994" s="10" t="s">
        <v>290</v>
      </c>
    </row>
    <row r="1995" spans="1:9" x14ac:dyDescent="0.15">
      <c r="A1995" s="9">
        <v>1994</v>
      </c>
      <c r="B1995" s="10" t="s">
        <v>9</v>
      </c>
      <c r="C1995" s="10" t="s">
        <v>299</v>
      </c>
      <c r="D1995" s="10" t="s">
        <v>300</v>
      </c>
      <c r="E1995" s="11" t="str">
        <f>+HYPERLINK("http://trademark.i-assist.jp/data/china/image_1898th/78618268.pdf", "78618268")</f>
        <v>78618268</v>
      </c>
      <c r="F1995" s="10" t="s">
        <v>5635</v>
      </c>
      <c r="G1995" s="10" t="s">
        <v>5380</v>
      </c>
      <c r="H1995" s="10" t="s">
        <v>5636</v>
      </c>
      <c r="I1995" s="10" t="s">
        <v>290</v>
      </c>
    </row>
    <row r="1996" spans="1:9" x14ac:dyDescent="0.15">
      <c r="A1996" s="9">
        <v>1995</v>
      </c>
      <c r="B1996" s="10" t="s">
        <v>9</v>
      </c>
      <c r="C1996" s="10" t="s">
        <v>299</v>
      </c>
      <c r="D1996" s="10" t="s">
        <v>300</v>
      </c>
      <c r="E1996" s="11" t="str">
        <f>+HYPERLINK("http://trademark.i-assist.jp/data/china/image_1898th/78618333.pdf", "78618333")</f>
        <v>78618333</v>
      </c>
      <c r="F1996" s="10" t="s">
        <v>5637</v>
      </c>
      <c r="G1996" s="10" t="s">
        <v>5638</v>
      </c>
      <c r="H1996" s="10" t="s">
        <v>5639</v>
      </c>
      <c r="I1996" s="10" t="s">
        <v>290</v>
      </c>
    </row>
    <row r="1997" spans="1:9" x14ac:dyDescent="0.15">
      <c r="A1997" s="9">
        <v>1996</v>
      </c>
      <c r="B1997" s="10" t="s">
        <v>9</v>
      </c>
      <c r="C1997" s="10" t="s">
        <v>299</v>
      </c>
      <c r="D1997" s="10" t="s">
        <v>300</v>
      </c>
      <c r="E1997" s="11" t="str">
        <f>+HYPERLINK("http://trademark.i-assist.jp/data/china/image_1898th/78618402.pdf", "78618402")</f>
        <v>78618402</v>
      </c>
      <c r="F1997" s="10" t="s">
        <v>5640</v>
      </c>
      <c r="G1997" s="10" t="s">
        <v>294</v>
      </c>
      <c r="H1997" s="10" t="s">
        <v>5641</v>
      </c>
      <c r="I1997" s="10" t="s">
        <v>290</v>
      </c>
    </row>
    <row r="1998" spans="1:9" x14ac:dyDescent="0.15">
      <c r="A1998" s="9">
        <v>1997</v>
      </c>
      <c r="B1998" s="10" t="s">
        <v>9</v>
      </c>
      <c r="C1998" s="10" t="s">
        <v>299</v>
      </c>
      <c r="D1998" s="10" t="s">
        <v>300</v>
      </c>
      <c r="E1998" s="11" t="str">
        <f>+HYPERLINK("http://trademark.i-assist.jp/data/china/image_1898th/78618497.pdf", "78618497")</f>
        <v>78618497</v>
      </c>
      <c r="F1998" s="10" t="s">
        <v>5642</v>
      </c>
      <c r="G1998" s="10" t="s">
        <v>5643</v>
      </c>
      <c r="H1998" s="10" t="s">
        <v>5644</v>
      </c>
      <c r="I1998" s="10" t="s">
        <v>290</v>
      </c>
    </row>
    <row r="1999" spans="1:9" x14ac:dyDescent="0.15">
      <c r="A1999" s="9">
        <v>1998</v>
      </c>
      <c r="B1999" s="10" t="s">
        <v>9</v>
      </c>
      <c r="C1999" s="10" t="s">
        <v>299</v>
      </c>
      <c r="D1999" s="10" t="s">
        <v>300</v>
      </c>
      <c r="E1999" s="11" t="str">
        <f>+HYPERLINK("http://trademark.i-assist.jp/data/china/image_1898th/78618646.pdf", "78618646")</f>
        <v>78618646</v>
      </c>
      <c r="F1999" s="10" t="s">
        <v>5645</v>
      </c>
      <c r="G1999" s="10" t="s">
        <v>5646</v>
      </c>
      <c r="H1999" s="10" t="s">
        <v>5647</v>
      </c>
      <c r="I1999" s="10" t="s">
        <v>290</v>
      </c>
    </row>
    <row r="2000" spans="1:9" x14ac:dyDescent="0.15">
      <c r="A2000" s="9">
        <v>1999</v>
      </c>
      <c r="B2000" s="10" t="s">
        <v>9</v>
      </c>
      <c r="C2000" s="10" t="s">
        <v>299</v>
      </c>
      <c r="D2000" s="10" t="s">
        <v>300</v>
      </c>
      <c r="E2000" s="11" t="str">
        <f>+HYPERLINK("http://trademark.i-assist.jp/data/china/image_1898th/78618660.pdf", "78618660")</f>
        <v>78618660</v>
      </c>
      <c r="F2000" s="10" t="s">
        <v>5648</v>
      </c>
      <c r="G2000" s="10" t="s">
        <v>5649</v>
      </c>
      <c r="H2000" s="10" t="s">
        <v>5650</v>
      </c>
      <c r="I2000" s="10" t="s">
        <v>290</v>
      </c>
    </row>
    <row r="2001" spans="1:9" x14ac:dyDescent="0.15">
      <c r="A2001" s="9">
        <v>2000</v>
      </c>
      <c r="B2001" s="10" t="s">
        <v>9</v>
      </c>
      <c r="C2001" s="10" t="s">
        <v>299</v>
      </c>
      <c r="D2001" s="10" t="s">
        <v>300</v>
      </c>
      <c r="E2001" s="11" t="str">
        <f>+HYPERLINK("http://trademark.i-assist.jp/data/china/image_1898th/78618787.pdf", "78618787")</f>
        <v>78618787</v>
      </c>
      <c r="F2001" s="10" t="s">
        <v>19</v>
      </c>
      <c r="G2001" s="10" t="s">
        <v>5651</v>
      </c>
      <c r="H2001" s="10" t="s">
        <v>5652</v>
      </c>
      <c r="I2001" s="10" t="s">
        <v>290</v>
      </c>
    </row>
    <row r="2002" spans="1:9" x14ac:dyDescent="0.15">
      <c r="A2002" s="9">
        <v>2001</v>
      </c>
      <c r="B2002" s="10" t="s">
        <v>9</v>
      </c>
      <c r="C2002" s="10" t="s">
        <v>299</v>
      </c>
      <c r="D2002" s="10" t="s">
        <v>300</v>
      </c>
      <c r="E2002" s="11" t="str">
        <f>+HYPERLINK("http://trademark.i-assist.jp/data/china/image_1898th/78619074.pdf", "78619074")</f>
        <v>78619074</v>
      </c>
      <c r="F2002" s="10" t="s">
        <v>5653</v>
      </c>
      <c r="G2002" s="10" t="s">
        <v>5654</v>
      </c>
      <c r="H2002" s="10" t="s">
        <v>5655</v>
      </c>
      <c r="I2002" s="10" t="s">
        <v>290</v>
      </c>
    </row>
    <row r="2003" spans="1:9" x14ac:dyDescent="0.15">
      <c r="A2003" s="9">
        <v>2002</v>
      </c>
      <c r="B2003" s="10" t="s">
        <v>9</v>
      </c>
      <c r="C2003" s="10" t="s">
        <v>299</v>
      </c>
      <c r="D2003" s="10" t="s">
        <v>300</v>
      </c>
      <c r="E2003" s="11" t="str">
        <f>+HYPERLINK("http://trademark.i-assist.jp/data/china/image_1898th/78619400.pdf", "78619400")</f>
        <v>78619400</v>
      </c>
      <c r="F2003" s="10" t="s">
        <v>5656</v>
      </c>
      <c r="G2003" s="10" t="s">
        <v>5657</v>
      </c>
      <c r="H2003" s="10" t="s">
        <v>5658</v>
      </c>
      <c r="I2003" s="10" t="s">
        <v>290</v>
      </c>
    </row>
    <row r="2004" spans="1:9" x14ac:dyDescent="0.15">
      <c r="A2004" s="9">
        <v>2003</v>
      </c>
      <c r="B2004" s="10" t="s">
        <v>9</v>
      </c>
      <c r="C2004" s="10" t="s">
        <v>299</v>
      </c>
      <c r="D2004" s="10" t="s">
        <v>300</v>
      </c>
      <c r="E2004" s="11" t="str">
        <f>+HYPERLINK("http://trademark.i-assist.jp/data/china/image_1898th/78619453.pdf", "78619453")</f>
        <v>78619453</v>
      </c>
      <c r="F2004" s="10" t="s">
        <v>5659</v>
      </c>
      <c r="G2004" s="10" t="s">
        <v>5660</v>
      </c>
      <c r="H2004" s="10" t="s">
        <v>5661</v>
      </c>
      <c r="I2004" s="10" t="s">
        <v>290</v>
      </c>
    </row>
    <row r="2005" spans="1:9" x14ac:dyDescent="0.15">
      <c r="A2005" s="9">
        <v>2004</v>
      </c>
      <c r="B2005" s="10" t="s">
        <v>9</v>
      </c>
      <c r="C2005" s="10" t="s">
        <v>299</v>
      </c>
      <c r="D2005" s="10" t="s">
        <v>300</v>
      </c>
      <c r="E2005" s="11" t="str">
        <f>+HYPERLINK("http://trademark.i-assist.jp/data/china/image_1898th/78619495.pdf", "78619495")</f>
        <v>78619495</v>
      </c>
      <c r="F2005" s="10" t="s">
        <v>5662</v>
      </c>
      <c r="G2005" s="10" t="s">
        <v>5663</v>
      </c>
      <c r="H2005" s="10" t="s">
        <v>5664</v>
      </c>
      <c r="I2005" s="10" t="s">
        <v>290</v>
      </c>
    </row>
    <row r="2006" spans="1:9" x14ac:dyDescent="0.15">
      <c r="A2006" s="9">
        <v>2005</v>
      </c>
      <c r="B2006" s="10" t="s">
        <v>9</v>
      </c>
      <c r="C2006" s="10" t="s">
        <v>299</v>
      </c>
      <c r="D2006" s="10" t="s">
        <v>300</v>
      </c>
      <c r="E2006" s="11" t="str">
        <f>+HYPERLINK("http://trademark.i-assist.jp/data/china/image_1898th/78619604.pdf", "78619604")</f>
        <v>78619604</v>
      </c>
      <c r="F2006" s="10" t="s">
        <v>5665</v>
      </c>
      <c r="G2006" s="10" t="s">
        <v>5666</v>
      </c>
      <c r="H2006" s="10" t="s">
        <v>5667</v>
      </c>
      <c r="I2006" s="10" t="s">
        <v>290</v>
      </c>
    </row>
    <row r="2007" spans="1:9" x14ac:dyDescent="0.15">
      <c r="A2007" s="9">
        <v>2006</v>
      </c>
      <c r="B2007" s="10" t="s">
        <v>9</v>
      </c>
      <c r="C2007" s="10" t="s">
        <v>299</v>
      </c>
      <c r="D2007" s="10" t="s">
        <v>300</v>
      </c>
      <c r="E2007" s="11" t="str">
        <f>+HYPERLINK("http://trademark.i-assist.jp/data/china/image_1898th/78619663.pdf", "78619663")</f>
        <v>78619663</v>
      </c>
      <c r="F2007" s="10" t="s">
        <v>5668</v>
      </c>
      <c r="G2007" s="10" t="s">
        <v>5465</v>
      </c>
      <c r="H2007" s="10" t="s">
        <v>5669</v>
      </c>
      <c r="I2007" s="10" t="s">
        <v>290</v>
      </c>
    </row>
    <row r="2008" spans="1:9" x14ac:dyDescent="0.15">
      <c r="A2008" s="9">
        <v>2007</v>
      </c>
      <c r="B2008" s="10" t="s">
        <v>9</v>
      </c>
      <c r="C2008" s="10" t="s">
        <v>299</v>
      </c>
      <c r="D2008" s="10" t="s">
        <v>300</v>
      </c>
      <c r="E2008" s="11" t="str">
        <f>+HYPERLINK("http://trademark.i-assist.jp/data/china/image_1898th/78619675.pdf", "78619675")</f>
        <v>78619675</v>
      </c>
      <c r="F2008" s="10" t="s">
        <v>5670</v>
      </c>
      <c r="G2008" s="10" t="s">
        <v>5671</v>
      </c>
      <c r="H2008" s="10" t="s">
        <v>5672</v>
      </c>
      <c r="I2008" s="10" t="s">
        <v>290</v>
      </c>
    </row>
    <row r="2009" spans="1:9" x14ac:dyDescent="0.15">
      <c r="A2009" s="9">
        <v>2008</v>
      </c>
      <c r="B2009" s="10" t="s">
        <v>9</v>
      </c>
      <c r="C2009" s="10" t="s">
        <v>299</v>
      </c>
      <c r="D2009" s="10" t="s">
        <v>300</v>
      </c>
      <c r="E2009" s="11" t="str">
        <f>+HYPERLINK("http://trademark.i-assist.jp/data/china/image_1898th/78619816.pdf", "78619816")</f>
        <v>78619816</v>
      </c>
      <c r="F2009" s="10" t="s">
        <v>5673</v>
      </c>
      <c r="G2009" s="10" t="s">
        <v>5674</v>
      </c>
      <c r="H2009" s="10" t="s">
        <v>5675</v>
      </c>
      <c r="I2009" s="10" t="s">
        <v>290</v>
      </c>
    </row>
    <row r="2010" spans="1:9" x14ac:dyDescent="0.15">
      <c r="A2010" s="9">
        <v>2009</v>
      </c>
      <c r="B2010" s="10" t="s">
        <v>9</v>
      </c>
      <c r="C2010" s="10" t="s">
        <v>299</v>
      </c>
      <c r="D2010" s="10" t="s">
        <v>300</v>
      </c>
      <c r="E2010" s="11" t="str">
        <f>+HYPERLINK("http://trademark.i-assist.jp/data/china/image_1898th/78619864.pdf", "78619864")</f>
        <v>78619864</v>
      </c>
      <c r="F2010" s="10" t="s">
        <v>5676</v>
      </c>
      <c r="G2010" s="10" t="s">
        <v>5677</v>
      </c>
      <c r="H2010" s="10" t="s">
        <v>5678</v>
      </c>
      <c r="I2010" s="10" t="s">
        <v>290</v>
      </c>
    </row>
    <row r="2011" spans="1:9" x14ac:dyDescent="0.15">
      <c r="A2011" s="9">
        <v>2010</v>
      </c>
      <c r="B2011" s="10" t="s">
        <v>9</v>
      </c>
      <c r="C2011" s="10" t="s">
        <v>299</v>
      </c>
      <c r="D2011" s="10" t="s">
        <v>300</v>
      </c>
      <c r="E2011" s="11" t="str">
        <f>+HYPERLINK("http://trademark.i-assist.jp/data/china/image_1898th/78619928.pdf", "78619928")</f>
        <v>78619928</v>
      </c>
      <c r="F2011" s="10" t="s">
        <v>5679</v>
      </c>
      <c r="G2011" s="10" t="s">
        <v>5680</v>
      </c>
      <c r="H2011" s="10" t="s">
        <v>5681</v>
      </c>
      <c r="I2011" s="10" t="s">
        <v>290</v>
      </c>
    </row>
    <row r="2012" spans="1:9" x14ac:dyDescent="0.15">
      <c r="A2012" s="9">
        <v>2011</v>
      </c>
      <c r="B2012" s="10" t="s">
        <v>9</v>
      </c>
      <c r="C2012" s="10" t="s">
        <v>299</v>
      </c>
      <c r="D2012" s="10" t="s">
        <v>300</v>
      </c>
      <c r="E2012" s="11" t="str">
        <f>+HYPERLINK("http://trademark.i-assist.jp/data/china/image_1898th/78620015.pdf", "78620015")</f>
        <v>78620015</v>
      </c>
      <c r="F2012" s="10" t="s">
        <v>5682</v>
      </c>
      <c r="G2012" s="10" t="s">
        <v>25</v>
      </c>
      <c r="H2012" s="10" t="s">
        <v>5683</v>
      </c>
      <c r="I2012" s="10" t="s">
        <v>290</v>
      </c>
    </row>
    <row r="2013" spans="1:9" x14ac:dyDescent="0.15">
      <c r="A2013" s="9">
        <v>2012</v>
      </c>
      <c r="B2013" s="10" t="s">
        <v>9</v>
      </c>
      <c r="C2013" s="10" t="s">
        <v>299</v>
      </c>
      <c r="D2013" s="10" t="s">
        <v>300</v>
      </c>
      <c r="E2013" s="11" t="str">
        <f>+HYPERLINK("http://trademark.i-assist.jp/data/china/image_1898th/78620143.pdf", "78620143")</f>
        <v>78620143</v>
      </c>
      <c r="F2013" s="10" t="s">
        <v>5684</v>
      </c>
      <c r="G2013" s="10" t="s">
        <v>5492</v>
      </c>
      <c r="H2013" s="10" t="s">
        <v>5685</v>
      </c>
      <c r="I2013" s="10" t="s">
        <v>290</v>
      </c>
    </row>
    <row r="2014" spans="1:9" x14ac:dyDescent="0.15">
      <c r="A2014" s="9">
        <v>2013</v>
      </c>
      <c r="B2014" s="10" t="s">
        <v>9</v>
      </c>
      <c r="C2014" s="10" t="s">
        <v>299</v>
      </c>
      <c r="D2014" s="10" t="s">
        <v>300</v>
      </c>
      <c r="E2014" s="11" t="str">
        <f>+HYPERLINK("http://trademark.i-assist.jp/data/china/image_1898th/78620168.pdf", "78620168")</f>
        <v>78620168</v>
      </c>
      <c r="F2014" s="10" t="s">
        <v>5686</v>
      </c>
      <c r="G2014" s="10" t="s">
        <v>5687</v>
      </c>
      <c r="H2014" s="10" t="s">
        <v>5688</v>
      </c>
      <c r="I2014" s="10" t="s">
        <v>290</v>
      </c>
    </row>
    <row r="2015" spans="1:9" x14ac:dyDescent="0.15">
      <c r="A2015" s="9">
        <v>2014</v>
      </c>
      <c r="B2015" s="10" t="s">
        <v>9</v>
      </c>
      <c r="C2015" s="10" t="s">
        <v>299</v>
      </c>
      <c r="D2015" s="10" t="s">
        <v>300</v>
      </c>
      <c r="E2015" s="11" t="str">
        <f>+HYPERLINK("http://trademark.i-assist.jp/data/china/image_1898th/78620371.pdf", "78620371")</f>
        <v>78620371</v>
      </c>
      <c r="F2015" s="10" t="s">
        <v>5689</v>
      </c>
      <c r="G2015" s="10" t="s">
        <v>174</v>
      </c>
      <c r="H2015" s="10" t="s">
        <v>5690</v>
      </c>
      <c r="I2015" s="10" t="s">
        <v>290</v>
      </c>
    </row>
    <row r="2016" spans="1:9" x14ac:dyDescent="0.15">
      <c r="A2016" s="9">
        <v>2015</v>
      </c>
      <c r="B2016" s="10" t="s">
        <v>9</v>
      </c>
      <c r="C2016" s="10" t="s">
        <v>299</v>
      </c>
      <c r="D2016" s="10" t="s">
        <v>300</v>
      </c>
      <c r="E2016" s="11" t="str">
        <f>+HYPERLINK("http://trademark.i-assist.jp/data/china/image_1898th/78620604.pdf", "78620604")</f>
        <v>78620604</v>
      </c>
      <c r="F2016" s="10" t="s">
        <v>5691</v>
      </c>
      <c r="G2016" s="10" t="s">
        <v>5692</v>
      </c>
      <c r="H2016" s="10" t="s">
        <v>5693</v>
      </c>
      <c r="I2016" s="10" t="s">
        <v>290</v>
      </c>
    </row>
    <row r="2017" spans="1:9" x14ac:dyDescent="0.15">
      <c r="A2017" s="9">
        <v>2016</v>
      </c>
      <c r="B2017" s="10" t="s">
        <v>9</v>
      </c>
      <c r="C2017" s="10" t="s">
        <v>299</v>
      </c>
      <c r="D2017" s="10" t="s">
        <v>300</v>
      </c>
      <c r="E2017" s="11" t="str">
        <f>+HYPERLINK("http://trademark.i-assist.jp/data/china/image_1898th/78620693.pdf", "78620693")</f>
        <v>78620693</v>
      </c>
      <c r="F2017" s="10" t="s">
        <v>5694</v>
      </c>
      <c r="G2017" s="10" t="s">
        <v>5695</v>
      </c>
      <c r="H2017" s="10" t="s">
        <v>5696</v>
      </c>
      <c r="I2017" s="10" t="s">
        <v>290</v>
      </c>
    </row>
    <row r="2018" spans="1:9" x14ac:dyDescent="0.15">
      <c r="A2018" s="9">
        <v>2017</v>
      </c>
      <c r="B2018" s="10" t="s">
        <v>9</v>
      </c>
      <c r="C2018" s="10" t="s">
        <v>299</v>
      </c>
      <c r="D2018" s="10" t="s">
        <v>300</v>
      </c>
      <c r="E2018" s="11" t="str">
        <f>+HYPERLINK("http://trademark.i-assist.jp/data/china/image_1898th/78620809.pdf", "78620809")</f>
        <v>78620809</v>
      </c>
      <c r="F2018" s="10" t="s">
        <v>5697</v>
      </c>
      <c r="G2018" s="10" t="s">
        <v>2318</v>
      </c>
      <c r="H2018" s="10" t="s">
        <v>5698</v>
      </c>
      <c r="I2018" s="10" t="s">
        <v>290</v>
      </c>
    </row>
    <row r="2019" spans="1:9" x14ac:dyDescent="0.15">
      <c r="A2019" s="9">
        <v>2018</v>
      </c>
      <c r="B2019" s="10" t="s">
        <v>9</v>
      </c>
      <c r="C2019" s="10" t="s">
        <v>299</v>
      </c>
      <c r="D2019" s="10" t="s">
        <v>300</v>
      </c>
      <c r="E2019" s="11" t="str">
        <f>+HYPERLINK("http://trademark.i-assist.jp/data/china/image_1898th/78621120.pdf", "78621120")</f>
        <v>78621120</v>
      </c>
      <c r="F2019" s="10" t="s">
        <v>5699</v>
      </c>
      <c r="G2019" s="10" t="s">
        <v>277</v>
      </c>
      <c r="H2019" s="10" t="s">
        <v>5700</v>
      </c>
      <c r="I2019" s="10" t="s">
        <v>290</v>
      </c>
    </row>
    <row r="2020" spans="1:9" x14ac:dyDescent="0.15">
      <c r="A2020" s="9">
        <v>2019</v>
      </c>
      <c r="B2020" s="10" t="s">
        <v>9</v>
      </c>
      <c r="C2020" s="10" t="s">
        <v>299</v>
      </c>
      <c r="D2020" s="10" t="s">
        <v>300</v>
      </c>
      <c r="E2020" s="11" t="str">
        <f>+HYPERLINK("http://trademark.i-assist.jp/data/china/image_1898th/78621491.pdf", "78621491")</f>
        <v>78621491</v>
      </c>
      <c r="F2020" s="10" t="s">
        <v>5701</v>
      </c>
      <c r="G2020" s="10" t="s">
        <v>5702</v>
      </c>
      <c r="H2020" s="10" t="s">
        <v>5703</v>
      </c>
      <c r="I2020" s="10" t="s">
        <v>290</v>
      </c>
    </row>
    <row r="2021" spans="1:9" x14ac:dyDescent="0.15">
      <c r="A2021" s="9">
        <v>2020</v>
      </c>
      <c r="B2021" s="10" t="s">
        <v>9</v>
      </c>
      <c r="C2021" s="10" t="s">
        <v>299</v>
      </c>
      <c r="D2021" s="10" t="s">
        <v>300</v>
      </c>
      <c r="E2021" s="11" t="str">
        <f>+HYPERLINK("http://trademark.i-assist.jp/data/china/image_1898th/78621660.pdf", "78621660")</f>
        <v>78621660</v>
      </c>
      <c r="F2021" s="10" t="s">
        <v>5704</v>
      </c>
      <c r="G2021" s="10" t="s">
        <v>292</v>
      </c>
      <c r="H2021" s="10" t="s">
        <v>5705</v>
      </c>
      <c r="I2021" s="10" t="s">
        <v>290</v>
      </c>
    </row>
    <row r="2022" spans="1:9" x14ac:dyDescent="0.15">
      <c r="A2022" s="9">
        <v>2021</v>
      </c>
      <c r="B2022" s="10" t="s">
        <v>9</v>
      </c>
      <c r="C2022" s="10" t="s">
        <v>299</v>
      </c>
      <c r="D2022" s="10" t="s">
        <v>300</v>
      </c>
      <c r="E2022" s="11" t="str">
        <f>+HYPERLINK("http://trademark.i-assist.jp/data/china/image_1898th/78621729.pdf", "78621729")</f>
        <v>78621729</v>
      </c>
      <c r="F2022" s="10" t="s">
        <v>5706</v>
      </c>
      <c r="G2022" s="10" t="s">
        <v>5380</v>
      </c>
      <c r="H2022" s="10" t="s">
        <v>5707</v>
      </c>
      <c r="I2022" s="10" t="s">
        <v>290</v>
      </c>
    </row>
    <row r="2023" spans="1:9" x14ac:dyDescent="0.15">
      <c r="A2023" s="9">
        <v>2022</v>
      </c>
      <c r="B2023" s="10" t="s">
        <v>9</v>
      </c>
      <c r="C2023" s="10" t="s">
        <v>299</v>
      </c>
      <c r="D2023" s="10" t="s">
        <v>300</v>
      </c>
      <c r="E2023" s="11" t="str">
        <f>+HYPERLINK("http://trademark.i-assist.jp/data/china/image_1898th/78622029.pdf", "78622029")</f>
        <v>78622029</v>
      </c>
      <c r="F2023" s="10" t="s">
        <v>5708</v>
      </c>
      <c r="G2023" s="10" t="s">
        <v>5519</v>
      </c>
      <c r="H2023" s="10" t="s">
        <v>34</v>
      </c>
      <c r="I2023" s="10" t="s">
        <v>290</v>
      </c>
    </row>
    <row r="2024" spans="1:9" x14ac:dyDescent="0.15">
      <c r="A2024" s="9">
        <v>2023</v>
      </c>
      <c r="B2024" s="10" t="s">
        <v>9</v>
      </c>
      <c r="C2024" s="10" t="s">
        <v>299</v>
      </c>
      <c r="D2024" s="10" t="s">
        <v>300</v>
      </c>
      <c r="E2024" s="11" t="str">
        <f>+HYPERLINK("http://trademark.i-assist.jp/data/china/image_1898th/78622030.pdf", "78622030")</f>
        <v>78622030</v>
      </c>
      <c r="F2024" s="10" t="s">
        <v>5709</v>
      </c>
      <c r="G2024" s="10" t="s">
        <v>187</v>
      </c>
      <c r="H2024" s="10" t="s">
        <v>5710</v>
      </c>
      <c r="I2024" s="10" t="s">
        <v>290</v>
      </c>
    </row>
    <row r="2025" spans="1:9" x14ac:dyDescent="0.15">
      <c r="A2025" s="9">
        <v>2024</v>
      </c>
      <c r="B2025" s="10" t="s">
        <v>9</v>
      </c>
      <c r="C2025" s="10" t="s">
        <v>299</v>
      </c>
      <c r="D2025" s="10" t="s">
        <v>300</v>
      </c>
      <c r="E2025" s="11" t="str">
        <f>+HYPERLINK("http://trademark.i-assist.jp/data/china/image_1898th/78622444.pdf", "78622444")</f>
        <v>78622444</v>
      </c>
      <c r="F2025" s="10" t="s">
        <v>5711</v>
      </c>
      <c r="G2025" s="10" t="s">
        <v>5468</v>
      </c>
      <c r="H2025" s="10" t="s">
        <v>5712</v>
      </c>
      <c r="I2025" s="10" t="s">
        <v>290</v>
      </c>
    </row>
    <row r="2026" spans="1:9" x14ac:dyDescent="0.15">
      <c r="A2026" s="9">
        <v>2025</v>
      </c>
      <c r="B2026" s="10" t="s">
        <v>9</v>
      </c>
      <c r="C2026" s="10" t="s">
        <v>299</v>
      </c>
      <c r="D2026" s="10" t="s">
        <v>300</v>
      </c>
      <c r="E2026" s="11" t="str">
        <f>+HYPERLINK("http://trademark.i-assist.jp/data/china/image_1898th/78622702.pdf", "78622702")</f>
        <v>78622702</v>
      </c>
      <c r="F2026" s="10" t="s">
        <v>19</v>
      </c>
      <c r="G2026" s="10" t="s">
        <v>5713</v>
      </c>
      <c r="H2026" s="10" t="s">
        <v>5714</v>
      </c>
      <c r="I2026" s="10" t="s">
        <v>290</v>
      </c>
    </row>
    <row r="2027" spans="1:9" x14ac:dyDescent="0.15">
      <c r="A2027" s="9">
        <v>2026</v>
      </c>
      <c r="B2027" s="10" t="s">
        <v>9</v>
      </c>
      <c r="C2027" s="10" t="s">
        <v>299</v>
      </c>
      <c r="D2027" s="10" t="s">
        <v>300</v>
      </c>
      <c r="E2027" s="11" t="str">
        <f>+HYPERLINK("http://trademark.i-assist.jp/data/china/image_1898th/78622893.pdf", "78622893")</f>
        <v>78622893</v>
      </c>
      <c r="F2027" s="10" t="s">
        <v>5715</v>
      </c>
      <c r="G2027" s="10" t="s">
        <v>5716</v>
      </c>
      <c r="H2027" s="10" t="s">
        <v>43</v>
      </c>
      <c r="I2027" s="10" t="s">
        <v>290</v>
      </c>
    </row>
    <row r="2028" spans="1:9" x14ac:dyDescent="0.15">
      <c r="A2028" s="9">
        <v>2027</v>
      </c>
      <c r="B2028" s="10" t="s">
        <v>9</v>
      </c>
      <c r="C2028" s="10" t="s">
        <v>299</v>
      </c>
      <c r="D2028" s="10" t="s">
        <v>300</v>
      </c>
      <c r="E2028" s="11" t="str">
        <f>+HYPERLINK("http://trademark.i-assist.jp/data/china/image_1898th/78622937.pdf", "78622937")</f>
        <v>78622937</v>
      </c>
      <c r="F2028" s="10" t="s">
        <v>5717</v>
      </c>
      <c r="G2028" s="10" t="s">
        <v>5718</v>
      </c>
      <c r="H2028" s="10" t="s">
        <v>43</v>
      </c>
      <c r="I2028" s="10" t="s">
        <v>5719</v>
      </c>
    </row>
    <row r="2029" spans="1:9" x14ac:dyDescent="0.15">
      <c r="A2029" s="9">
        <v>2028</v>
      </c>
      <c r="B2029" s="10" t="s">
        <v>9</v>
      </c>
      <c r="C2029" s="10" t="s">
        <v>299</v>
      </c>
      <c r="D2029" s="10" t="s">
        <v>300</v>
      </c>
      <c r="E2029" s="11" t="str">
        <f>+HYPERLINK("http://trademark.i-assist.jp/data/china/image_1898th/78623039.pdf", "78623039")</f>
        <v>78623039</v>
      </c>
      <c r="F2029" s="10" t="s">
        <v>5720</v>
      </c>
      <c r="G2029" s="10" t="s">
        <v>5721</v>
      </c>
      <c r="H2029" s="10" t="s">
        <v>5722</v>
      </c>
      <c r="I2029" s="10" t="s">
        <v>5719</v>
      </c>
    </row>
    <row r="2030" spans="1:9" x14ac:dyDescent="0.15">
      <c r="A2030" s="9">
        <v>2029</v>
      </c>
      <c r="B2030" s="10" t="s">
        <v>9</v>
      </c>
      <c r="C2030" s="10" t="s">
        <v>299</v>
      </c>
      <c r="D2030" s="10" t="s">
        <v>300</v>
      </c>
      <c r="E2030" s="11" t="str">
        <f>+HYPERLINK("http://trademark.i-assist.jp/data/china/image_1898th/78623184.pdf", "78623184")</f>
        <v>78623184</v>
      </c>
      <c r="F2030" s="10" t="s">
        <v>5723</v>
      </c>
      <c r="G2030" s="10" t="s">
        <v>5724</v>
      </c>
      <c r="H2030" s="10" t="s">
        <v>5725</v>
      </c>
      <c r="I2030" s="10" t="s">
        <v>5719</v>
      </c>
    </row>
    <row r="2031" spans="1:9" x14ac:dyDescent="0.15">
      <c r="A2031" s="9">
        <v>2030</v>
      </c>
      <c r="B2031" s="10" t="s">
        <v>9</v>
      </c>
      <c r="C2031" s="10" t="s">
        <v>299</v>
      </c>
      <c r="D2031" s="10" t="s">
        <v>300</v>
      </c>
      <c r="E2031" s="11" t="str">
        <f>+HYPERLINK("http://trademark.i-assist.jp/data/china/image_1898th/78623396.pdf", "78623396")</f>
        <v>78623396</v>
      </c>
      <c r="F2031" s="10" t="s">
        <v>5726</v>
      </c>
      <c r="G2031" s="10" t="s">
        <v>5727</v>
      </c>
      <c r="H2031" s="10" t="s">
        <v>5728</v>
      </c>
      <c r="I2031" s="10" t="s">
        <v>5719</v>
      </c>
    </row>
    <row r="2032" spans="1:9" x14ac:dyDescent="0.15">
      <c r="A2032" s="9">
        <v>2031</v>
      </c>
      <c r="B2032" s="10" t="s">
        <v>9</v>
      </c>
      <c r="C2032" s="10" t="s">
        <v>299</v>
      </c>
      <c r="D2032" s="10" t="s">
        <v>300</v>
      </c>
      <c r="E2032" s="11" t="str">
        <f>+HYPERLINK("http://trademark.i-assist.jp/data/china/image_1898th/78623422.pdf", "78623422")</f>
        <v>78623422</v>
      </c>
      <c r="F2032" s="10" t="s">
        <v>5729</v>
      </c>
      <c r="G2032" s="10" t="s">
        <v>5730</v>
      </c>
      <c r="H2032" s="10" t="s">
        <v>5731</v>
      </c>
      <c r="I2032" s="10" t="s">
        <v>5719</v>
      </c>
    </row>
    <row r="2033" spans="1:9" x14ac:dyDescent="0.15">
      <c r="A2033" s="9">
        <v>2032</v>
      </c>
      <c r="B2033" s="10" t="s">
        <v>9</v>
      </c>
      <c r="C2033" s="10" t="s">
        <v>299</v>
      </c>
      <c r="D2033" s="10" t="s">
        <v>300</v>
      </c>
      <c r="E2033" s="11" t="str">
        <f>+HYPERLINK("http://trademark.i-assist.jp/data/china/image_1898th/78623592.pdf", "78623592")</f>
        <v>78623592</v>
      </c>
      <c r="F2033" s="10" t="s">
        <v>5732</v>
      </c>
      <c r="G2033" s="10" t="s">
        <v>5733</v>
      </c>
      <c r="H2033" s="10" t="s">
        <v>5734</v>
      </c>
      <c r="I2033" s="10" t="s">
        <v>5719</v>
      </c>
    </row>
    <row r="2034" spans="1:9" x14ac:dyDescent="0.15">
      <c r="A2034" s="9">
        <v>2033</v>
      </c>
      <c r="B2034" s="10" t="s">
        <v>9</v>
      </c>
      <c r="C2034" s="10" t="s">
        <v>299</v>
      </c>
      <c r="D2034" s="10" t="s">
        <v>300</v>
      </c>
      <c r="E2034" s="11" t="str">
        <f>+HYPERLINK("http://trademark.i-assist.jp/data/china/image_1898th/78623593.pdf", "78623593")</f>
        <v>78623593</v>
      </c>
      <c r="F2034" s="10" t="s">
        <v>5735</v>
      </c>
      <c r="G2034" s="10" t="s">
        <v>5736</v>
      </c>
      <c r="H2034" s="10" t="s">
        <v>5737</v>
      </c>
      <c r="I2034" s="10" t="s">
        <v>5719</v>
      </c>
    </row>
    <row r="2035" spans="1:9" x14ac:dyDescent="0.15">
      <c r="A2035" s="9">
        <v>2034</v>
      </c>
      <c r="B2035" s="10" t="s">
        <v>9</v>
      </c>
      <c r="C2035" s="10" t="s">
        <v>299</v>
      </c>
      <c r="D2035" s="10" t="s">
        <v>300</v>
      </c>
      <c r="E2035" s="11" t="str">
        <f>+HYPERLINK("http://trademark.i-assist.jp/data/china/image_1898th/78623679.pdf", "78623679")</f>
        <v>78623679</v>
      </c>
      <c r="F2035" s="10" t="s">
        <v>5738</v>
      </c>
      <c r="G2035" s="10" t="s">
        <v>5739</v>
      </c>
      <c r="H2035" s="10" t="s">
        <v>5740</v>
      </c>
      <c r="I2035" s="10" t="s">
        <v>5719</v>
      </c>
    </row>
    <row r="2036" spans="1:9" x14ac:dyDescent="0.15">
      <c r="A2036" s="9">
        <v>2035</v>
      </c>
      <c r="B2036" s="10" t="s">
        <v>9</v>
      </c>
      <c r="C2036" s="10" t="s">
        <v>299</v>
      </c>
      <c r="D2036" s="10" t="s">
        <v>300</v>
      </c>
      <c r="E2036" s="11" t="str">
        <f>+HYPERLINK("http://trademark.i-assist.jp/data/china/image_1898th/78623716.pdf", "78623716")</f>
        <v>78623716</v>
      </c>
      <c r="F2036" s="10" t="s">
        <v>5741</v>
      </c>
      <c r="G2036" s="10" t="s">
        <v>5742</v>
      </c>
      <c r="H2036" s="10" t="s">
        <v>5743</v>
      </c>
      <c r="I2036" s="10" t="s">
        <v>5719</v>
      </c>
    </row>
    <row r="2037" spans="1:9" x14ac:dyDescent="0.15">
      <c r="A2037" s="9">
        <v>2036</v>
      </c>
      <c r="B2037" s="10" t="s">
        <v>9</v>
      </c>
      <c r="C2037" s="10" t="s">
        <v>299</v>
      </c>
      <c r="D2037" s="10" t="s">
        <v>300</v>
      </c>
      <c r="E2037" s="11" t="str">
        <f>+HYPERLINK("http://trademark.i-assist.jp/data/china/image_1898th/78623764.pdf", "78623764")</f>
        <v>78623764</v>
      </c>
      <c r="F2037" s="10" t="s">
        <v>5744</v>
      </c>
      <c r="G2037" s="10" t="s">
        <v>5745</v>
      </c>
      <c r="H2037" s="10" t="s">
        <v>5746</v>
      </c>
      <c r="I2037" s="10" t="s">
        <v>5719</v>
      </c>
    </row>
    <row r="2038" spans="1:9" x14ac:dyDescent="0.15">
      <c r="A2038" s="9">
        <v>2037</v>
      </c>
      <c r="B2038" s="10" t="s">
        <v>9</v>
      </c>
      <c r="C2038" s="10" t="s">
        <v>299</v>
      </c>
      <c r="D2038" s="10" t="s">
        <v>300</v>
      </c>
      <c r="E2038" s="11" t="str">
        <f>+HYPERLINK("http://trademark.i-assist.jp/data/china/image_1898th/78623766.pdf", "78623766")</f>
        <v>78623766</v>
      </c>
      <c r="F2038" s="10" t="s">
        <v>5747</v>
      </c>
      <c r="G2038" s="10" t="s">
        <v>5748</v>
      </c>
      <c r="H2038" s="10" t="s">
        <v>5749</v>
      </c>
      <c r="I2038" s="10" t="s">
        <v>5719</v>
      </c>
    </row>
    <row r="2039" spans="1:9" x14ac:dyDescent="0.15">
      <c r="A2039" s="9">
        <v>2038</v>
      </c>
      <c r="B2039" s="10" t="s">
        <v>9</v>
      </c>
      <c r="C2039" s="10" t="s">
        <v>299</v>
      </c>
      <c r="D2039" s="10" t="s">
        <v>300</v>
      </c>
      <c r="E2039" s="11" t="str">
        <f>+HYPERLINK("http://trademark.i-assist.jp/data/china/image_1898th/78623807.pdf", "78623807")</f>
        <v>78623807</v>
      </c>
      <c r="F2039" s="10" t="s">
        <v>5750</v>
      </c>
      <c r="G2039" s="10" t="s">
        <v>5751</v>
      </c>
      <c r="H2039" s="10" t="s">
        <v>5752</v>
      </c>
      <c r="I2039" s="10" t="s">
        <v>5719</v>
      </c>
    </row>
    <row r="2040" spans="1:9" x14ac:dyDescent="0.15">
      <c r="A2040" s="9">
        <v>2039</v>
      </c>
      <c r="B2040" s="10" t="s">
        <v>9</v>
      </c>
      <c r="C2040" s="10" t="s">
        <v>299</v>
      </c>
      <c r="D2040" s="10" t="s">
        <v>300</v>
      </c>
      <c r="E2040" s="11" t="str">
        <f>+HYPERLINK("http://trademark.i-assist.jp/data/china/image_1898th/78623863.pdf", "78623863")</f>
        <v>78623863</v>
      </c>
      <c r="F2040" s="10" t="s">
        <v>5753</v>
      </c>
      <c r="G2040" s="10" t="s">
        <v>5754</v>
      </c>
      <c r="H2040" s="10" t="s">
        <v>5755</v>
      </c>
      <c r="I2040" s="10" t="s">
        <v>5719</v>
      </c>
    </row>
    <row r="2041" spans="1:9" x14ac:dyDescent="0.15">
      <c r="A2041" s="9">
        <v>2040</v>
      </c>
      <c r="B2041" s="10" t="s">
        <v>9</v>
      </c>
      <c r="C2041" s="10" t="s">
        <v>299</v>
      </c>
      <c r="D2041" s="10" t="s">
        <v>300</v>
      </c>
      <c r="E2041" s="11" t="str">
        <f>+HYPERLINK("http://trademark.i-assist.jp/data/china/image_1898th/78624002.pdf", "78624002")</f>
        <v>78624002</v>
      </c>
      <c r="F2041" s="10" t="s">
        <v>5756</v>
      </c>
      <c r="G2041" s="10" t="s">
        <v>5757</v>
      </c>
      <c r="H2041" s="10" t="s">
        <v>5758</v>
      </c>
      <c r="I2041" s="10" t="s">
        <v>5719</v>
      </c>
    </row>
    <row r="2042" spans="1:9" x14ac:dyDescent="0.15">
      <c r="A2042" s="9">
        <v>2041</v>
      </c>
      <c r="B2042" s="10" t="s">
        <v>9</v>
      </c>
      <c r="C2042" s="10" t="s">
        <v>299</v>
      </c>
      <c r="D2042" s="10" t="s">
        <v>300</v>
      </c>
      <c r="E2042" s="11" t="str">
        <f>+HYPERLINK("http://trademark.i-assist.jp/data/china/image_1898th/78624097.pdf", "78624097")</f>
        <v>78624097</v>
      </c>
      <c r="F2042" s="10" t="s">
        <v>5759</v>
      </c>
      <c r="G2042" s="10" t="s">
        <v>5760</v>
      </c>
      <c r="H2042" s="10" t="s">
        <v>5761</v>
      </c>
      <c r="I2042" s="10" t="s">
        <v>5719</v>
      </c>
    </row>
    <row r="2043" spans="1:9" x14ac:dyDescent="0.15">
      <c r="A2043" s="9">
        <v>2042</v>
      </c>
      <c r="B2043" s="10" t="s">
        <v>9</v>
      </c>
      <c r="C2043" s="10" t="s">
        <v>299</v>
      </c>
      <c r="D2043" s="10" t="s">
        <v>300</v>
      </c>
      <c r="E2043" s="11" t="str">
        <f>+HYPERLINK("http://trademark.i-assist.jp/data/china/image_1898th/78624155.pdf", "78624155")</f>
        <v>78624155</v>
      </c>
      <c r="F2043" s="10" t="s">
        <v>5762</v>
      </c>
      <c r="G2043" s="10" t="s">
        <v>5763</v>
      </c>
      <c r="H2043" s="10" t="s">
        <v>5764</v>
      </c>
      <c r="I2043" s="10" t="s">
        <v>5719</v>
      </c>
    </row>
    <row r="2044" spans="1:9" x14ac:dyDescent="0.15">
      <c r="A2044" s="9">
        <v>2043</v>
      </c>
      <c r="B2044" s="10" t="s">
        <v>9</v>
      </c>
      <c r="C2044" s="10" t="s">
        <v>299</v>
      </c>
      <c r="D2044" s="10" t="s">
        <v>300</v>
      </c>
      <c r="E2044" s="11" t="str">
        <f>+HYPERLINK("http://trademark.i-assist.jp/data/china/image_1898th/78624193.pdf", "78624193")</f>
        <v>78624193</v>
      </c>
      <c r="F2044" s="10" t="s">
        <v>5765</v>
      </c>
      <c r="G2044" s="10" t="s">
        <v>167</v>
      </c>
      <c r="H2044" s="10" t="s">
        <v>5766</v>
      </c>
      <c r="I2044" s="10" t="s">
        <v>5719</v>
      </c>
    </row>
    <row r="2045" spans="1:9" x14ac:dyDescent="0.15">
      <c r="A2045" s="9">
        <v>2044</v>
      </c>
      <c r="B2045" s="10" t="s">
        <v>9</v>
      </c>
      <c r="C2045" s="10" t="s">
        <v>299</v>
      </c>
      <c r="D2045" s="10" t="s">
        <v>300</v>
      </c>
      <c r="E2045" s="11" t="str">
        <f>+HYPERLINK("http://trademark.i-assist.jp/data/china/image_1898th/78624199.pdf", "78624199")</f>
        <v>78624199</v>
      </c>
      <c r="F2045" s="10" t="s">
        <v>5767</v>
      </c>
      <c r="G2045" s="10" t="s">
        <v>5768</v>
      </c>
      <c r="H2045" s="10" t="s">
        <v>5769</v>
      </c>
      <c r="I2045" s="10" t="s">
        <v>5719</v>
      </c>
    </row>
    <row r="2046" spans="1:9" x14ac:dyDescent="0.15">
      <c r="A2046" s="9">
        <v>2045</v>
      </c>
      <c r="B2046" s="10" t="s">
        <v>9</v>
      </c>
      <c r="C2046" s="10" t="s">
        <v>299</v>
      </c>
      <c r="D2046" s="10" t="s">
        <v>300</v>
      </c>
      <c r="E2046" s="11" t="str">
        <f>+HYPERLINK("http://trademark.i-assist.jp/data/china/image_1898th/78624330.pdf", "78624330")</f>
        <v>78624330</v>
      </c>
      <c r="F2046" s="10" t="s">
        <v>5770</v>
      </c>
      <c r="G2046" s="10" t="s">
        <v>5771</v>
      </c>
      <c r="H2046" s="10" t="s">
        <v>5772</v>
      </c>
      <c r="I2046" s="10" t="s">
        <v>5719</v>
      </c>
    </row>
    <row r="2047" spans="1:9" x14ac:dyDescent="0.15">
      <c r="A2047" s="9">
        <v>2046</v>
      </c>
      <c r="B2047" s="10" t="s">
        <v>9</v>
      </c>
      <c r="C2047" s="10" t="s">
        <v>299</v>
      </c>
      <c r="D2047" s="10" t="s">
        <v>300</v>
      </c>
      <c r="E2047" s="11" t="str">
        <f>+HYPERLINK("http://trademark.i-assist.jp/data/china/image_1898th/78624346.pdf", "78624346")</f>
        <v>78624346</v>
      </c>
      <c r="F2047" s="10" t="s">
        <v>5773</v>
      </c>
      <c r="G2047" s="10" t="s">
        <v>5774</v>
      </c>
      <c r="H2047" s="10" t="s">
        <v>5775</v>
      </c>
      <c r="I2047" s="10" t="s">
        <v>5719</v>
      </c>
    </row>
    <row r="2048" spans="1:9" x14ac:dyDescent="0.15">
      <c r="A2048" s="9">
        <v>2047</v>
      </c>
      <c r="B2048" s="10" t="s">
        <v>9</v>
      </c>
      <c r="C2048" s="10" t="s">
        <v>299</v>
      </c>
      <c r="D2048" s="10" t="s">
        <v>300</v>
      </c>
      <c r="E2048" s="11" t="str">
        <f>+HYPERLINK("http://trademark.i-assist.jp/data/china/image_1898th/78624441.pdf", "78624441")</f>
        <v>78624441</v>
      </c>
      <c r="F2048" s="10" t="s">
        <v>5776</v>
      </c>
      <c r="G2048" s="10" t="s">
        <v>5777</v>
      </c>
      <c r="H2048" s="10" t="s">
        <v>5778</v>
      </c>
      <c r="I2048" s="10" t="s">
        <v>5719</v>
      </c>
    </row>
    <row r="2049" spans="1:9" x14ac:dyDescent="0.15">
      <c r="A2049" s="9">
        <v>2048</v>
      </c>
      <c r="B2049" s="10" t="s">
        <v>9</v>
      </c>
      <c r="C2049" s="10" t="s">
        <v>299</v>
      </c>
      <c r="D2049" s="10" t="s">
        <v>300</v>
      </c>
      <c r="E2049" s="11" t="str">
        <f>+HYPERLINK("http://trademark.i-assist.jp/data/china/image_1898th/78624444.pdf", "78624444")</f>
        <v>78624444</v>
      </c>
      <c r="F2049" s="10" t="s">
        <v>5779</v>
      </c>
      <c r="G2049" s="10" t="s">
        <v>5780</v>
      </c>
      <c r="H2049" s="10" t="s">
        <v>5781</v>
      </c>
      <c r="I2049" s="10" t="s">
        <v>5719</v>
      </c>
    </row>
    <row r="2050" spans="1:9" x14ac:dyDescent="0.15">
      <c r="A2050" s="9">
        <v>2049</v>
      </c>
      <c r="B2050" s="10" t="s">
        <v>9</v>
      </c>
      <c r="C2050" s="10" t="s">
        <v>299</v>
      </c>
      <c r="D2050" s="10" t="s">
        <v>300</v>
      </c>
      <c r="E2050" s="11" t="str">
        <f>+HYPERLINK("http://trademark.i-assist.jp/data/china/image_1898th/78624747.pdf", "78624747")</f>
        <v>78624747</v>
      </c>
      <c r="F2050" s="10" t="s">
        <v>5782</v>
      </c>
      <c r="G2050" s="10" t="s">
        <v>5783</v>
      </c>
      <c r="H2050" s="10" t="s">
        <v>5784</v>
      </c>
      <c r="I2050" s="10" t="s">
        <v>5719</v>
      </c>
    </row>
    <row r="2051" spans="1:9" x14ac:dyDescent="0.15">
      <c r="A2051" s="9">
        <v>2050</v>
      </c>
      <c r="B2051" s="10" t="s">
        <v>9</v>
      </c>
      <c r="C2051" s="10" t="s">
        <v>299</v>
      </c>
      <c r="D2051" s="10" t="s">
        <v>300</v>
      </c>
      <c r="E2051" s="11" t="str">
        <f>+HYPERLINK("http://trademark.i-assist.jp/data/china/image_1898th/78624750.pdf", "78624750")</f>
        <v>78624750</v>
      </c>
      <c r="F2051" s="10" t="s">
        <v>5785</v>
      </c>
      <c r="G2051" s="10" t="s">
        <v>2164</v>
      </c>
      <c r="H2051" s="10" t="s">
        <v>5786</v>
      </c>
      <c r="I2051" s="10" t="s">
        <v>5719</v>
      </c>
    </row>
    <row r="2052" spans="1:9" x14ac:dyDescent="0.15">
      <c r="A2052" s="9">
        <v>2051</v>
      </c>
      <c r="B2052" s="10" t="s">
        <v>9</v>
      </c>
      <c r="C2052" s="10" t="s">
        <v>299</v>
      </c>
      <c r="D2052" s="10" t="s">
        <v>300</v>
      </c>
      <c r="E2052" s="11" t="str">
        <f>+HYPERLINK("http://trademark.i-assist.jp/data/china/image_1898th/78624866.pdf", "78624866")</f>
        <v>78624866</v>
      </c>
      <c r="F2052" s="10" t="s">
        <v>5787</v>
      </c>
      <c r="G2052" s="10" t="s">
        <v>5788</v>
      </c>
      <c r="H2052" s="10" t="s">
        <v>5789</v>
      </c>
      <c r="I2052" s="10" t="s">
        <v>5719</v>
      </c>
    </row>
    <row r="2053" spans="1:9" x14ac:dyDescent="0.15">
      <c r="A2053" s="9">
        <v>2052</v>
      </c>
      <c r="B2053" s="10" t="s">
        <v>9</v>
      </c>
      <c r="C2053" s="10" t="s">
        <v>299</v>
      </c>
      <c r="D2053" s="10" t="s">
        <v>300</v>
      </c>
      <c r="E2053" s="11" t="str">
        <f>+HYPERLINK("http://trademark.i-assist.jp/data/china/image_1898th/78624889.pdf", "78624889")</f>
        <v>78624889</v>
      </c>
      <c r="F2053" s="10" t="s">
        <v>5790</v>
      </c>
      <c r="G2053" s="10" t="s">
        <v>41</v>
      </c>
      <c r="H2053" s="10" t="s">
        <v>5791</v>
      </c>
      <c r="I2053" s="10" t="s">
        <v>5719</v>
      </c>
    </row>
    <row r="2054" spans="1:9" x14ac:dyDescent="0.15">
      <c r="A2054" s="9">
        <v>2053</v>
      </c>
      <c r="B2054" s="10" t="s">
        <v>9</v>
      </c>
      <c r="C2054" s="10" t="s">
        <v>299</v>
      </c>
      <c r="D2054" s="10" t="s">
        <v>300</v>
      </c>
      <c r="E2054" s="11" t="str">
        <f>+HYPERLINK("http://trademark.i-assist.jp/data/china/image_1898th/78624900.pdf", "78624900")</f>
        <v>78624900</v>
      </c>
      <c r="F2054" s="10" t="s">
        <v>5792</v>
      </c>
      <c r="G2054" s="10" t="s">
        <v>5793</v>
      </c>
      <c r="H2054" s="10" t="s">
        <v>5794</v>
      </c>
      <c r="I2054" s="10" t="s">
        <v>5719</v>
      </c>
    </row>
    <row r="2055" spans="1:9" x14ac:dyDescent="0.15">
      <c r="A2055" s="9">
        <v>2054</v>
      </c>
      <c r="B2055" s="10" t="s">
        <v>9</v>
      </c>
      <c r="C2055" s="10" t="s">
        <v>299</v>
      </c>
      <c r="D2055" s="10" t="s">
        <v>300</v>
      </c>
      <c r="E2055" s="11" t="str">
        <f>+HYPERLINK("http://trademark.i-assist.jp/data/china/image_1898th/78625093.pdf", "78625093")</f>
        <v>78625093</v>
      </c>
      <c r="F2055" s="10" t="s">
        <v>5795</v>
      </c>
      <c r="G2055" s="10" t="s">
        <v>5796</v>
      </c>
      <c r="H2055" s="10" t="s">
        <v>5797</v>
      </c>
      <c r="I2055" s="10" t="s">
        <v>5719</v>
      </c>
    </row>
    <row r="2056" spans="1:9" x14ac:dyDescent="0.15">
      <c r="A2056" s="9">
        <v>2055</v>
      </c>
      <c r="B2056" s="10" t="s">
        <v>9</v>
      </c>
      <c r="C2056" s="10" t="s">
        <v>299</v>
      </c>
      <c r="D2056" s="10" t="s">
        <v>300</v>
      </c>
      <c r="E2056" s="11" t="str">
        <f>+HYPERLINK("http://trademark.i-assist.jp/data/china/image_1898th/78625131.pdf", "78625131")</f>
        <v>78625131</v>
      </c>
      <c r="F2056" s="10" t="s">
        <v>5798</v>
      </c>
      <c r="G2056" s="10" t="s">
        <v>5739</v>
      </c>
      <c r="H2056" s="10" t="s">
        <v>5799</v>
      </c>
      <c r="I2056" s="10" t="s">
        <v>5719</v>
      </c>
    </row>
    <row r="2057" spans="1:9" x14ac:dyDescent="0.15">
      <c r="A2057" s="9">
        <v>2056</v>
      </c>
      <c r="B2057" s="10" t="s">
        <v>9</v>
      </c>
      <c r="C2057" s="10" t="s">
        <v>299</v>
      </c>
      <c r="D2057" s="10" t="s">
        <v>300</v>
      </c>
      <c r="E2057" s="11" t="str">
        <f>+HYPERLINK("http://trademark.i-assist.jp/data/china/image_1898th/78625140.pdf", "78625140")</f>
        <v>78625140</v>
      </c>
      <c r="F2057" s="10" t="s">
        <v>5800</v>
      </c>
      <c r="G2057" s="10" t="s">
        <v>5801</v>
      </c>
      <c r="H2057" s="10" t="s">
        <v>5802</v>
      </c>
      <c r="I2057" s="10" t="s">
        <v>5719</v>
      </c>
    </row>
    <row r="2058" spans="1:9" x14ac:dyDescent="0.15">
      <c r="A2058" s="9">
        <v>2057</v>
      </c>
      <c r="B2058" s="10" t="s">
        <v>9</v>
      </c>
      <c r="C2058" s="10" t="s">
        <v>299</v>
      </c>
      <c r="D2058" s="10" t="s">
        <v>300</v>
      </c>
      <c r="E2058" s="11" t="str">
        <f>+HYPERLINK("http://trademark.i-assist.jp/data/china/image_1898th/78625149.pdf", "78625149")</f>
        <v>78625149</v>
      </c>
      <c r="F2058" s="10" t="s">
        <v>5803</v>
      </c>
      <c r="G2058" s="10" t="s">
        <v>5739</v>
      </c>
      <c r="H2058" s="10" t="s">
        <v>5804</v>
      </c>
      <c r="I2058" s="10" t="s">
        <v>5719</v>
      </c>
    </row>
    <row r="2059" spans="1:9" x14ac:dyDescent="0.15">
      <c r="A2059" s="9">
        <v>2058</v>
      </c>
      <c r="B2059" s="10" t="s">
        <v>9</v>
      </c>
      <c r="C2059" s="10" t="s">
        <v>299</v>
      </c>
      <c r="D2059" s="10" t="s">
        <v>300</v>
      </c>
      <c r="E2059" s="11" t="str">
        <f>+HYPERLINK("http://trademark.i-assist.jp/data/china/image_1898th/78625160.pdf", "78625160")</f>
        <v>78625160</v>
      </c>
      <c r="F2059" s="10" t="s">
        <v>5805</v>
      </c>
      <c r="G2059" s="10" t="s">
        <v>5806</v>
      </c>
      <c r="H2059" s="10" t="s">
        <v>5807</v>
      </c>
      <c r="I2059" s="10" t="s">
        <v>5719</v>
      </c>
    </row>
    <row r="2060" spans="1:9" x14ac:dyDescent="0.15">
      <c r="A2060" s="9">
        <v>2059</v>
      </c>
      <c r="B2060" s="10" t="s">
        <v>9</v>
      </c>
      <c r="C2060" s="10" t="s">
        <v>299</v>
      </c>
      <c r="D2060" s="10" t="s">
        <v>300</v>
      </c>
      <c r="E2060" s="11" t="str">
        <f>+HYPERLINK("http://trademark.i-assist.jp/data/china/image_1898th/78625225.pdf", "78625225")</f>
        <v>78625225</v>
      </c>
      <c r="F2060" s="10" t="s">
        <v>5808</v>
      </c>
      <c r="G2060" s="10" t="s">
        <v>5809</v>
      </c>
      <c r="H2060" s="10" t="s">
        <v>5810</v>
      </c>
      <c r="I2060" s="10" t="s">
        <v>5719</v>
      </c>
    </row>
    <row r="2061" spans="1:9" x14ac:dyDescent="0.15">
      <c r="A2061" s="9">
        <v>2060</v>
      </c>
      <c r="B2061" s="10" t="s">
        <v>9</v>
      </c>
      <c r="C2061" s="10" t="s">
        <v>299</v>
      </c>
      <c r="D2061" s="10" t="s">
        <v>300</v>
      </c>
      <c r="E2061" s="11" t="str">
        <f>+HYPERLINK("http://trademark.i-assist.jp/data/china/image_1898th/78625313.pdf", "78625313")</f>
        <v>78625313</v>
      </c>
      <c r="F2061" s="10" t="s">
        <v>5811</v>
      </c>
      <c r="G2061" s="10" t="s">
        <v>5811</v>
      </c>
      <c r="H2061" s="10" t="s">
        <v>5812</v>
      </c>
      <c r="I2061" s="10" t="s">
        <v>5719</v>
      </c>
    </row>
    <row r="2062" spans="1:9" x14ac:dyDescent="0.15">
      <c r="A2062" s="9">
        <v>2061</v>
      </c>
      <c r="B2062" s="10" t="s">
        <v>9</v>
      </c>
      <c r="C2062" s="10" t="s">
        <v>299</v>
      </c>
      <c r="D2062" s="10" t="s">
        <v>300</v>
      </c>
      <c r="E2062" s="11" t="str">
        <f>+HYPERLINK("http://trademark.i-assist.jp/data/china/image_1898th/78625452.pdf", "78625452")</f>
        <v>78625452</v>
      </c>
      <c r="F2062" s="10" t="s">
        <v>5813</v>
      </c>
      <c r="G2062" s="10" t="s">
        <v>5814</v>
      </c>
      <c r="H2062" s="10" t="s">
        <v>5815</v>
      </c>
      <c r="I2062" s="10" t="s">
        <v>5719</v>
      </c>
    </row>
    <row r="2063" spans="1:9" x14ac:dyDescent="0.15">
      <c r="A2063" s="9">
        <v>2062</v>
      </c>
      <c r="B2063" s="10" t="s">
        <v>9</v>
      </c>
      <c r="C2063" s="10" t="s">
        <v>299</v>
      </c>
      <c r="D2063" s="10" t="s">
        <v>300</v>
      </c>
      <c r="E2063" s="11" t="str">
        <f>+HYPERLINK("http://trademark.i-assist.jp/data/china/image_1898th/78625653.pdf", "78625653")</f>
        <v>78625653</v>
      </c>
      <c r="F2063" s="10" t="s">
        <v>5816</v>
      </c>
      <c r="G2063" s="10" t="s">
        <v>5817</v>
      </c>
      <c r="H2063" s="10" t="s">
        <v>5818</v>
      </c>
      <c r="I2063" s="10" t="s">
        <v>5719</v>
      </c>
    </row>
    <row r="2064" spans="1:9" x14ac:dyDescent="0.15">
      <c r="A2064" s="9">
        <v>2063</v>
      </c>
      <c r="B2064" s="10" t="s">
        <v>9</v>
      </c>
      <c r="C2064" s="10" t="s">
        <v>299</v>
      </c>
      <c r="D2064" s="10" t="s">
        <v>300</v>
      </c>
      <c r="E2064" s="11" t="str">
        <f>+HYPERLINK("http://trademark.i-assist.jp/data/china/image_1898th/78625676.pdf", "78625676")</f>
        <v>78625676</v>
      </c>
      <c r="F2064" s="10" t="s">
        <v>5819</v>
      </c>
      <c r="G2064" s="10" t="s">
        <v>5820</v>
      </c>
      <c r="H2064" s="10" t="s">
        <v>5821</v>
      </c>
      <c r="I2064" s="10" t="s">
        <v>5719</v>
      </c>
    </row>
    <row r="2065" spans="1:9" x14ac:dyDescent="0.15">
      <c r="A2065" s="9">
        <v>2064</v>
      </c>
      <c r="B2065" s="10" t="s">
        <v>9</v>
      </c>
      <c r="C2065" s="10" t="s">
        <v>299</v>
      </c>
      <c r="D2065" s="10" t="s">
        <v>300</v>
      </c>
      <c r="E2065" s="11" t="str">
        <f>+HYPERLINK("http://trademark.i-assist.jp/data/china/image_1898th/78625869.pdf", "78625869")</f>
        <v>78625869</v>
      </c>
      <c r="F2065" s="10" t="s">
        <v>5822</v>
      </c>
      <c r="G2065" s="10" t="s">
        <v>5823</v>
      </c>
      <c r="H2065" s="10" t="s">
        <v>5824</v>
      </c>
      <c r="I2065" s="10" t="s">
        <v>5719</v>
      </c>
    </row>
    <row r="2066" spans="1:9" x14ac:dyDescent="0.15">
      <c r="A2066" s="9">
        <v>2065</v>
      </c>
      <c r="B2066" s="10" t="s">
        <v>9</v>
      </c>
      <c r="C2066" s="10" t="s">
        <v>299</v>
      </c>
      <c r="D2066" s="10" t="s">
        <v>300</v>
      </c>
      <c r="E2066" s="11" t="str">
        <f>+HYPERLINK("http://trademark.i-assist.jp/data/china/image_1898th/78625872.pdf", "78625872")</f>
        <v>78625872</v>
      </c>
      <c r="F2066" s="10" t="s">
        <v>5825</v>
      </c>
      <c r="G2066" s="10" t="s">
        <v>5823</v>
      </c>
      <c r="H2066" s="10" t="s">
        <v>5826</v>
      </c>
      <c r="I2066" s="10" t="s">
        <v>5719</v>
      </c>
    </row>
    <row r="2067" spans="1:9" x14ac:dyDescent="0.15">
      <c r="A2067" s="9">
        <v>2066</v>
      </c>
      <c r="B2067" s="10" t="s">
        <v>9</v>
      </c>
      <c r="C2067" s="10" t="s">
        <v>299</v>
      </c>
      <c r="D2067" s="10" t="s">
        <v>300</v>
      </c>
      <c r="E2067" s="11" t="str">
        <f>+HYPERLINK("http://trademark.i-assist.jp/data/china/image_1898th/78625941.pdf", "78625941")</f>
        <v>78625941</v>
      </c>
      <c r="F2067" s="10" t="s">
        <v>5827</v>
      </c>
      <c r="G2067" s="10" t="s">
        <v>5828</v>
      </c>
      <c r="H2067" s="10" t="s">
        <v>5829</v>
      </c>
      <c r="I2067" s="10" t="s">
        <v>5719</v>
      </c>
    </row>
    <row r="2068" spans="1:9" x14ac:dyDescent="0.15">
      <c r="A2068" s="9">
        <v>2067</v>
      </c>
      <c r="B2068" s="10" t="s">
        <v>9</v>
      </c>
      <c r="C2068" s="10" t="s">
        <v>299</v>
      </c>
      <c r="D2068" s="10" t="s">
        <v>300</v>
      </c>
      <c r="E2068" s="11" t="str">
        <f>+HYPERLINK("http://trademark.i-assist.jp/data/china/image_1898th/78626155.pdf", "78626155")</f>
        <v>78626155</v>
      </c>
      <c r="F2068" s="10" t="s">
        <v>5830</v>
      </c>
      <c r="G2068" s="10" t="s">
        <v>5831</v>
      </c>
      <c r="H2068" s="10" t="s">
        <v>5832</v>
      </c>
      <c r="I2068" s="10" t="s">
        <v>5719</v>
      </c>
    </row>
    <row r="2069" spans="1:9" x14ac:dyDescent="0.15">
      <c r="A2069" s="9">
        <v>2068</v>
      </c>
      <c r="B2069" s="10" t="s">
        <v>9</v>
      </c>
      <c r="C2069" s="10" t="s">
        <v>299</v>
      </c>
      <c r="D2069" s="10" t="s">
        <v>300</v>
      </c>
      <c r="E2069" s="11" t="str">
        <f>+HYPERLINK("http://trademark.i-assist.jp/data/china/image_1898th/78626288.pdf", "78626288")</f>
        <v>78626288</v>
      </c>
      <c r="F2069" s="10" t="s">
        <v>5833</v>
      </c>
      <c r="G2069" s="10" t="s">
        <v>5834</v>
      </c>
      <c r="H2069" s="10" t="s">
        <v>5835</v>
      </c>
      <c r="I2069" s="10" t="s">
        <v>5719</v>
      </c>
    </row>
    <row r="2070" spans="1:9" x14ac:dyDescent="0.15">
      <c r="A2070" s="9">
        <v>2069</v>
      </c>
      <c r="B2070" s="10" t="s">
        <v>9</v>
      </c>
      <c r="C2070" s="10" t="s">
        <v>299</v>
      </c>
      <c r="D2070" s="10" t="s">
        <v>300</v>
      </c>
      <c r="E2070" s="11" t="str">
        <f>+HYPERLINK("http://trademark.i-assist.jp/data/china/image_1898th/78626392.pdf", "78626392")</f>
        <v>78626392</v>
      </c>
      <c r="F2070" s="10" t="s">
        <v>5836</v>
      </c>
      <c r="G2070" s="10" t="s">
        <v>5837</v>
      </c>
      <c r="H2070" s="10" t="s">
        <v>5838</v>
      </c>
      <c r="I2070" s="10" t="s">
        <v>5719</v>
      </c>
    </row>
    <row r="2071" spans="1:9" x14ac:dyDescent="0.15">
      <c r="A2071" s="9">
        <v>2070</v>
      </c>
      <c r="B2071" s="10" t="s">
        <v>9</v>
      </c>
      <c r="C2071" s="10" t="s">
        <v>299</v>
      </c>
      <c r="D2071" s="10" t="s">
        <v>300</v>
      </c>
      <c r="E2071" s="11" t="str">
        <f>+HYPERLINK("http://trademark.i-assist.jp/data/china/image_1898th/78626491.pdf", "78626491")</f>
        <v>78626491</v>
      </c>
      <c r="F2071" s="10" t="s">
        <v>5839</v>
      </c>
      <c r="G2071" s="10" t="s">
        <v>5727</v>
      </c>
      <c r="H2071" s="10" t="s">
        <v>5840</v>
      </c>
      <c r="I2071" s="10" t="s">
        <v>5719</v>
      </c>
    </row>
    <row r="2072" spans="1:9" x14ac:dyDescent="0.15">
      <c r="A2072" s="9">
        <v>2071</v>
      </c>
      <c r="B2072" s="10" t="s">
        <v>9</v>
      </c>
      <c r="C2072" s="10" t="s">
        <v>299</v>
      </c>
      <c r="D2072" s="10" t="s">
        <v>300</v>
      </c>
      <c r="E2072" s="11" t="str">
        <f>+HYPERLINK("http://trademark.i-assist.jp/data/china/image_1898th/78626500.pdf", "78626500")</f>
        <v>78626500</v>
      </c>
      <c r="F2072" s="10" t="s">
        <v>5841</v>
      </c>
      <c r="G2072" s="10" t="s">
        <v>5842</v>
      </c>
      <c r="H2072" s="10" t="s">
        <v>5843</v>
      </c>
      <c r="I2072" s="10" t="s">
        <v>5719</v>
      </c>
    </row>
    <row r="2073" spans="1:9" x14ac:dyDescent="0.15">
      <c r="A2073" s="9">
        <v>2072</v>
      </c>
      <c r="B2073" s="10" t="s">
        <v>9</v>
      </c>
      <c r="C2073" s="10" t="s">
        <v>299</v>
      </c>
      <c r="D2073" s="10" t="s">
        <v>300</v>
      </c>
      <c r="E2073" s="11" t="str">
        <f>+HYPERLINK("http://trademark.i-assist.jp/data/china/image_1898th/78626612.pdf", "78626612")</f>
        <v>78626612</v>
      </c>
      <c r="F2073" s="10" t="s">
        <v>5844</v>
      </c>
      <c r="G2073" s="10" t="s">
        <v>5845</v>
      </c>
      <c r="H2073" s="10" t="s">
        <v>5846</v>
      </c>
      <c r="I2073" s="10" t="s">
        <v>5719</v>
      </c>
    </row>
    <row r="2074" spans="1:9" x14ac:dyDescent="0.15">
      <c r="A2074" s="9">
        <v>2073</v>
      </c>
      <c r="B2074" s="10" t="s">
        <v>9</v>
      </c>
      <c r="C2074" s="10" t="s">
        <v>299</v>
      </c>
      <c r="D2074" s="10" t="s">
        <v>300</v>
      </c>
      <c r="E2074" s="11" t="str">
        <f>+HYPERLINK("http://trademark.i-assist.jp/data/china/image_1898th/78626619.pdf", "78626619")</f>
        <v>78626619</v>
      </c>
      <c r="F2074" s="10" t="s">
        <v>5847</v>
      </c>
      <c r="G2074" s="10" t="s">
        <v>5848</v>
      </c>
      <c r="H2074" s="10" t="s">
        <v>5849</v>
      </c>
      <c r="I2074" s="10" t="s">
        <v>5719</v>
      </c>
    </row>
    <row r="2075" spans="1:9" x14ac:dyDescent="0.15">
      <c r="A2075" s="9">
        <v>2074</v>
      </c>
      <c r="B2075" s="10" t="s">
        <v>9</v>
      </c>
      <c r="C2075" s="10" t="s">
        <v>299</v>
      </c>
      <c r="D2075" s="10" t="s">
        <v>300</v>
      </c>
      <c r="E2075" s="11" t="str">
        <f>+HYPERLINK("http://trademark.i-assist.jp/data/china/image_1898th/78626667.pdf", "78626667")</f>
        <v>78626667</v>
      </c>
      <c r="F2075" s="10" t="s">
        <v>5850</v>
      </c>
      <c r="G2075" s="10" t="s">
        <v>5851</v>
      </c>
      <c r="H2075" s="10" t="s">
        <v>5852</v>
      </c>
      <c r="I2075" s="10" t="s">
        <v>5719</v>
      </c>
    </row>
    <row r="2076" spans="1:9" x14ac:dyDescent="0.15">
      <c r="A2076" s="9">
        <v>2075</v>
      </c>
      <c r="B2076" s="10" t="s">
        <v>9</v>
      </c>
      <c r="C2076" s="10" t="s">
        <v>299</v>
      </c>
      <c r="D2076" s="10" t="s">
        <v>300</v>
      </c>
      <c r="E2076" s="11" t="str">
        <f>+HYPERLINK("http://trademark.i-assist.jp/data/china/image_1898th/78627113.pdf", "78627113")</f>
        <v>78627113</v>
      </c>
      <c r="F2076" s="10" t="s">
        <v>5853</v>
      </c>
      <c r="G2076" s="10" t="s">
        <v>5854</v>
      </c>
      <c r="H2076" s="10" t="s">
        <v>5855</v>
      </c>
      <c r="I2076" s="10" t="s">
        <v>5719</v>
      </c>
    </row>
    <row r="2077" spans="1:9" x14ac:dyDescent="0.15">
      <c r="A2077" s="9">
        <v>2076</v>
      </c>
      <c r="B2077" s="10" t="s">
        <v>9</v>
      </c>
      <c r="C2077" s="10" t="s">
        <v>299</v>
      </c>
      <c r="D2077" s="10" t="s">
        <v>300</v>
      </c>
      <c r="E2077" s="11" t="str">
        <f>+HYPERLINK("http://trademark.i-assist.jp/data/china/image_1898th/78627227.pdf", "78627227")</f>
        <v>78627227</v>
      </c>
      <c r="F2077" s="10" t="s">
        <v>5856</v>
      </c>
      <c r="G2077" s="10" t="s">
        <v>5857</v>
      </c>
      <c r="H2077" s="10" t="s">
        <v>5858</v>
      </c>
      <c r="I2077" s="10" t="s">
        <v>5719</v>
      </c>
    </row>
    <row r="2078" spans="1:9" x14ac:dyDescent="0.15">
      <c r="A2078" s="9">
        <v>2077</v>
      </c>
      <c r="B2078" s="10" t="s">
        <v>9</v>
      </c>
      <c r="C2078" s="10" t="s">
        <v>299</v>
      </c>
      <c r="D2078" s="10" t="s">
        <v>300</v>
      </c>
      <c r="E2078" s="11" t="str">
        <f>+HYPERLINK("http://trademark.i-assist.jp/data/china/image_1898th/78627313.pdf", "78627313")</f>
        <v>78627313</v>
      </c>
      <c r="F2078" s="10" t="s">
        <v>5859</v>
      </c>
      <c r="G2078" s="10" t="s">
        <v>5860</v>
      </c>
      <c r="H2078" s="10" t="s">
        <v>5861</v>
      </c>
      <c r="I2078" s="10" t="s">
        <v>5719</v>
      </c>
    </row>
    <row r="2079" spans="1:9" x14ac:dyDescent="0.15">
      <c r="A2079" s="9">
        <v>2078</v>
      </c>
      <c r="B2079" s="10" t="s">
        <v>9</v>
      </c>
      <c r="C2079" s="10" t="s">
        <v>299</v>
      </c>
      <c r="D2079" s="10" t="s">
        <v>300</v>
      </c>
      <c r="E2079" s="11" t="str">
        <f>+HYPERLINK("http://trademark.i-assist.jp/data/china/image_1898th/78627426.pdf", "78627426")</f>
        <v>78627426</v>
      </c>
      <c r="F2079" s="10" t="s">
        <v>5862</v>
      </c>
      <c r="G2079" s="10" t="s">
        <v>5863</v>
      </c>
      <c r="H2079" s="10" t="s">
        <v>5864</v>
      </c>
      <c r="I2079" s="10" t="s">
        <v>5719</v>
      </c>
    </row>
    <row r="2080" spans="1:9" x14ac:dyDescent="0.15">
      <c r="A2080" s="9">
        <v>2079</v>
      </c>
      <c r="B2080" s="10" t="s">
        <v>9</v>
      </c>
      <c r="C2080" s="10" t="s">
        <v>299</v>
      </c>
      <c r="D2080" s="10" t="s">
        <v>300</v>
      </c>
      <c r="E2080" s="11" t="str">
        <f>+HYPERLINK("http://trademark.i-assist.jp/data/china/image_1898th/78627452.pdf", "78627452")</f>
        <v>78627452</v>
      </c>
      <c r="F2080" s="10" t="s">
        <v>5865</v>
      </c>
      <c r="G2080" s="10" t="s">
        <v>5866</v>
      </c>
      <c r="H2080" s="10" t="s">
        <v>5867</v>
      </c>
      <c r="I2080" s="10" t="s">
        <v>5719</v>
      </c>
    </row>
    <row r="2081" spans="1:9" x14ac:dyDescent="0.15">
      <c r="A2081" s="9">
        <v>2080</v>
      </c>
      <c r="B2081" s="10" t="s">
        <v>9</v>
      </c>
      <c r="C2081" s="10" t="s">
        <v>299</v>
      </c>
      <c r="D2081" s="10" t="s">
        <v>300</v>
      </c>
      <c r="E2081" s="11" t="str">
        <f>+HYPERLINK("http://trademark.i-assist.jp/data/china/image_1898th/78627478.pdf", "78627478")</f>
        <v>78627478</v>
      </c>
      <c r="F2081" s="10" t="s">
        <v>5868</v>
      </c>
      <c r="G2081" s="10" t="s">
        <v>285</v>
      </c>
      <c r="H2081" s="10" t="s">
        <v>5869</v>
      </c>
      <c r="I2081" s="10" t="s">
        <v>5719</v>
      </c>
    </row>
    <row r="2082" spans="1:9" x14ac:dyDescent="0.15">
      <c r="A2082" s="9">
        <v>2081</v>
      </c>
      <c r="B2082" s="10" t="s">
        <v>9</v>
      </c>
      <c r="C2082" s="10" t="s">
        <v>299</v>
      </c>
      <c r="D2082" s="10" t="s">
        <v>300</v>
      </c>
      <c r="E2082" s="11" t="str">
        <f>+HYPERLINK("http://trademark.i-assist.jp/data/china/image_1898th/78627495.pdf", "78627495")</f>
        <v>78627495</v>
      </c>
      <c r="F2082" s="10" t="s">
        <v>5870</v>
      </c>
      <c r="G2082" s="10" t="s">
        <v>5871</v>
      </c>
      <c r="H2082" s="10" t="s">
        <v>5872</v>
      </c>
      <c r="I2082" s="10" t="s">
        <v>5719</v>
      </c>
    </row>
    <row r="2083" spans="1:9" x14ac:dyDescent="0.15">
      <c r="A2083" s="9">
        <v>2082</v>
      </c>
      <c r="B2083" s="10" t="s">
        <v>9</v>
      </c>
      <c r="C2083" s="10" t="s">
        <v>299</v>
      </c>
      <c r="D2083" s="10" t="s">
        <v>300</v>
      </c>
      <c r="E2083" s="11" t="str">
        <f>+HYPERLINK("http://trademark.i-assist.jp/data/china/image_1898th/78627773.pdf", "78627773")</f>
        <v>78627773</v>
      </c>
      <c r="F2083" s="10" t="s">
        <v>5873</v>
      </c>
      <c r="G2083" s="10" t="s">
        <v>5874</v>
      </c>
      <c r="H2083" s="10" t="s">
        <v>5875</v>
      </c>
      <c r="I2083" s="10" t="s">
        <v>5719</v>
      </c>
    </row>
    <row r="2084" spans="1:9" x14ac:dyDescent="0.15">
      <c r="A2084" s="9">
        <v>2083</v>
      </c>
      <c r="B2084" s="10" t="s">
        <v>9</v>
      </c>
      <c r="C2084" s="10" t="s">
        <v>299</v>
      </c>
      <c r="D2084" s="10" t="s">
        <v>300</v>
      </c>
      <c r="E2084" s="11" t="str">
        <f>+HYPERLINK("http://trademark.i-assist.jp/data/china/image_1898th/78627921.pdf", "78627921")</f>
        <v>78627921</v>
      </c>
      <c r="F2084" s="10" t="s">
        <v>5876</v>
      </c>
      <c r="G2084" s="10" t="s">
        <v>5877</v>
      </c>
      <c r="H2084" s="10" t="s">
        <v>5878</v>
      </c>
      <c r="I2084" s="10" t="s">
        <v>5719</v>
      </c>
    </row>
    <row r="2085" spans="1:9" x14ac:dyDescent="0.15">
      <c r="A2085" s="9">
        <v>2084</v>
      </c>
      <c r="B2085" s="10" t="s">
        <v>9</v>
      </c>
      <c r="C2085" s="10" t="s">
        <v>299</v>
      </c>
      <c r="D2085" s="10" t="s">
        <v>300</v>
      </c>
      <c r="E2085" s="11" t="str">
        <f>+HYPERLINK("http://trademark.i-assist.jp/data/china/image_1898th/78627934.pdf", "78627934")</f>
        <v>78627934</v>
      </c>
      <c r="F2085" s="10" t="s">
        <v>5879</v>
      </c>
      <c r="G2085" s="10" t="s">
        <v>5880</v>
      </c>
      <c r="H2085" s="10" t="s">
        <v>5881</v>
      </c>
      <c r="I2085" s="10" t="s">
        <v>5719</v>
      </c>
    </row>
    <row r="2086" spans="1:9" x14ac:dyDescent="0.15">
      <c r="A2086" s="9">
        <v>2085</v>
      </c>
      <c r="B2086" s="10" t="s">
        <v>9</v>
      </c>
      <c r="C2086" s="10" t="s">
        <v>299</v>
      </c>
      <c r="D2086" s="10" t="s">
        <v>300</v>
      </c>
      <c r="E2086" s="11" t="str">
        <f>+HYPERLINK("http://trademark.i-assist.jp/data/china/image_1898th/78628040.pdf", "78628040")</f>
        <v>78628040</v>
      </c>
      <c r="F2086" s="10" t="s">
        <v>5882</v>
      </c>
      <c r="G2086" s="10" t="s">
        <v>5883</v>
      </c>
      <c r="H2086" s="10" t="s">
        <v>5884</v>
      </c>
      <c r="I2086" s="10" t="s">
        <v>5719</v>
      </c>
    </row>
    <row r="2087" spans="1:9" x14ac:dyDescent="0.15">
      <c r="A2087" s="9">
        <v>2086</v>
      </c>
      <c r="B2087" s="10" t="s">
        <v>9</v>
      </c>
      <c r="C2087" s="10" t="s">
        <v>299</v>
      </c>
      <c r="D2087" s="10" t="s">
        <v>300</v>
      </c>
      <c r="E2087" s="11" t="str">
        <f>+HYPERLINK("http://trademark.i-assist.jp/data/china/image_1898th/78628114.pdf", "78628114")</f>
        <v>78628114</v>
      </c>
      <c r="F2087" s="10" t="s">
        <v>5885</v>
      </c>
      <c r="G2087" s="10" t="s">
        <v>5886</v>
      </c>
      <c r="H2087" s="10" t="s">
        <v>5887</v>
      </c>
      <c r="I2087" s="10" t="s">
        <v>5719</v>
      </c>
    </row>
    <row r="2088" spans="1:9" x14ac:dyDescent="0.15">
      <c r="A2088" s="9">
        <v>2087</v>
      </c>
      <c r="B2088" s="10" t="s">
        <v>9</v>
      </c>
      <c r="C2088" s="10" t="s">
        <v>299</v>
      </c>
      <c r="D2088" s="10" t="s">
        <v>300</v>
      </c>
      <c r="E2088" s="11" t="str">
        <f>+HYPERLINK("http://trademark.i-assist.jp/data/china/image_1898th/78628160.pdf", "78628160")</f>
        <v>78628160</v>
      </c>
      <c r="F2088" s="10" t="s">
        <v>5888</v>
      </c>
      <c r="G2088" s="10" t="s">
        <v>5889</v>
      </c>
      <c r="H2088" s="10" t="s">
        <v>5890</v>
      </c>
      <c r="I2088" s="10" t="s">
        <v>5719</v>
      </c>
    </row>
    <row r="2089" spans="1:9" x14ac:dyDescent="0.15">
      <c r="A2089" s="9">
        <v>2088</v>
      </c>
      <c r="B2089" s="10" t="s">
        <v>9</v>
      </c>
      <c r="C2089" s="10" t="s">
        <v>299</v>
      </c>
      <c r="D2089" s="10" t="s">
        <v>300</v>
      </c>
      <c r="E2089" s="11" t="str">
        <f>+HYPERLINK("http://trademark.i-assist.jp/data/china/image_1898th/78628456.pdf", "78628456")</f>
        <v>78628456</v>
      </c>
      <c r="F2089" s="10" t="s">
        <v>5891</v>
      </c>
      <c r="G2089" s="10" t="s">
        <v>5892</v>
      </c>
      <c r="H2089" s="10" t="s">
        <v>5893</v>
      </c>
      <c r="I2089" s="10" t="s">
        <v>5719</v>
      </c>
    </row>
    <row r="2090" spans="1:9" x14ac:dyDescent="0.15">
      <c r="A2090" s="9">
        <v>2089</v>
      </c>
      <c r="B2090" s="10" t="s">
        <v>9</v>
      </c>
      <c r="C2090" s="10" t="s">
        <v>299</v>
      </c>
      <c r="D2090" s="10" t="s">
        <v>300</v>
      </c>
      <c r="E2090" s="11" t="str">
        <f>+HYPERLINK("http://trademark.i-assist.jp/data/china/image_1898th/78628513.pdf", "78628513")</f>
        <v>78628513</v>
      </c>
      <c r="F2090" s="10" t="s">
        <v>5894</v>
      </c>
      <c r="G2090" s="10" t="s">
        <v>5895</v>
      </c>
      <c r="H2090" s="10" t="s">
        <v>5896</v>
      </c>
      <c r="I2090" s="10" t="s">
        <v>5719</v>
      </c>
    </row>
    <row r="2091" spans="1:9" x14ac:dyDescent="0.15">
      <c r="A2091" s="9">
        <v>2090</v>
      </c>
      <c r="B2091" s="10" t="s">
        <v>9</v>
      </c>
      <c r="C2091" s="10" t="s">
        <v>299</v>
      </c>
      <c r="D2091" s="10" t="s">
        <v>300</v>
      </c>
      <c r="E2091" s="11" t="str">
        <f>+HYPERLINK("http://trademark.i-assist.jp/data/china/image_1898th/78628560.pdf", "78628560")</f>
        <v>78628560</v>
      </c>
      <c r="F2091" s="10" t="s">
        <v>5897</v>
      </c>
      <c r="G2091" s="10" t="s">
        <v>155</v>
      </c>
      <c r="H2091" s="10" t="s">
        <v>5898</v>
      </c>
      <c r="I2091" s="10" t="s">
        <v>5719</v>
      </c>
    </row>
    <row r="2092" spans="1:9" x14ac:dyDescent="0.15">
      <c r="A2092" s="9">
        <v>2091</v>
      </c>
      <c r="B2092" s="10" t="s">
        <v>9</v>
      </c>
      <c r="C2092" s="10" t="s">
        <v>299</v>
      </c>
      <c r="D2092" s="10" t="s">
        <v>300</v>
      </c>
      <c r="E2092" s="11" t="str">
        <f>+HYPERLINK("http://trademark.i-assist.jp/data/china/image_1898th/78628596.pdf", "78628596")</f>
        <v>78628596</v>
      </c>
      <c r="F2092" s="10" t="s">
        <v>5899</v>
      </c>
      <c r="G2092" s="10" t="s">
        <v>5900</v>
      </c>
      <c r="H2092" s="10" t="s">
        <v>5901</v>
      </c>
      <c r="I2092" s="10" t="s">
        <v>5719</v>
      </c>
    </row>
    <row r="2093" spans="1:9" x14ac:dyDescent="0.15">
      <c r="A2093" s="9">
        <v>2092</v>
      </c>
      <c r="B2093" s="10" t="s">
        <v>9</v>
      </c>
      <c r="C2093" s="10" t="s">
        <v>299</v>
      </c>
      <c r="D2093" s="10" t="s">
        <v>300</v>
      </c>
      <c r="E2093" s="11" t="str">
        <f>+HYPERLINK("http://trademark.i-assist.jp/data/china/image_1898th/78628613.pdf", "78628613")</f>
        <v>78628613</v>
      </c>
      <c r="F2093" s="10" t="s">
        <v>5902</v>
      </c>
      <c r="G2093" s="10" t="s">
        <v>5903</v>
      </c>
      <c r="H2093" s="10" t="s">
        <v>5904</v>
      </c>
      <c r="I2093" s="10" t="s">
        <v>5719</v>
      </c>
    </row>
    <row r="2094" spans="1:9" x14ac:dyDescent="0.15">
      <c r="A2094" s="9">
        <v>2093</v>
      </c>
      <c r="B2094" s="10" t="s">
        <v>9</v>
      </c>
      <c r="C2094" s="10" t="s">
        <v>299</v>
      </c>
      <c r="D2094" s="10" t="s">
        <v>300</v>
      </c>
      <c r="E2094" s="11" t="str">
        <f>+HYPERLINK("http://trademark.i-assist.jp/data/china/image_1898th/78628793.pdf", "78628793")</f>
        <v>78628793</v>
      </c>
      <c r="F2094" s="10" t="s">
        <v>5905</v>
      </c>
      <c r="G2094" s="10" t="s">
        <v>5906</v>
      </c>
      <c r="H2094" s="10" t="s">
        <v>5907</v>
      </c>
      <c r="I2094" s="10" t="s">
        <v>5719</v>
      </c>
    </row>
    <row r="2095" spans="1:9" x14ac:dyDescent="0.15">
      <c r="A2095" s="9">
        <v>2094</v>
      </c>
      <c r="B2095" s="10" t="s">
        <v>9</v>
      </c>
      <c r="C2095" s="10" t="s">
        <v>299</v>
      </c>
      <c r="D2095" s="10" t="s">
        <v>300</v>
      </c>
      <c r="E2095" s="11" t="str">
        <f>+HYPERLINK("http://trademark.i-assist.jp/data/china/image_1898th/78629103.pdf", "78629103")</f>
        <v>78629103</v>
      </c>
      <c r="F2095" s="10" t="s">
        <v>5908</v>
      </c>
      <c r="G2095" s="10" t="s">
        <v>5909</v>
      </c>
      <c r="H2095" s="10" t="s">
        <v>5910</v>
      </c>
      <c r="I2095" s="10" t="s">
        <v>5719</v>
      </c>
    </row>
    <row r="2096" spans="1:9" x14ac:dyDescent="0.15">
      <c r="A2096" s="9">
        <v>2095</v>
      </c>
      <c r="B2096" s="10" t="s">
        <v>9</v>
      </c>
      <c r="C2096" s="10" t="s">
        <v>299</v>
      </c>
      <c r="D2096" s="10" t="s">
        <v>300</v>
      </c>
      <c r="E2096" s="11" t="str">
        <f>+HYPERLINK("http://trademark.i-assist.jp/data/china/image_1898th/78629133.pdf", "78629133")</f>
        <v>78629133</v>
      </c>
      <c r="F2096" s="10" t="s">
        <v>5911</v>
      </c>
      <c r="G2096" s="10" t="s">
        <v>5912</v>
      </c>
      <c r="H2096" s="10" t="s">
        <v>5913</v>
      </c>
      <c r="I2096" s="10" t="s">
        <v>5719</v>
      </c>
    </row>
    <row r="2097" spans="1:9" x14ac:dyDescent="0.15">
      <c r="A2097" s="9">
        <v>2096</v>
      </c>
      <c r="B2097" s="10" t="s">
        <v>9</v>
      </c>
      <c r="C2097" s="10" t="s">
        <v>299</v>
      </c>
      <c r="D2097" s="10" t="s">
        <v>300</v>
      </c>
      <c r="E2097" s="11" t="str">
        <f>+HYPERLINK("http://trademark.i-assist.jp/data/china/image_1898th/78629328.pdf", "78629328")</f>
        <v>78629328</v>
      </c>
      <c r="F2097" s="10" t="s">
        <v>5914</v>
      </c>
      <c r="G2097" s="10" t="s">
        <v>5915</v>
      </c>
      <c r="H2097" s="10" t="s">
        <v>5916</v>
      </c>
      <c r="I2097" s="10" t="s">
        <v>5719</v>
      </c>
    </row>
    <row r="2098" spans="1:9" x14ac:dyDescent="0.15">
      <c r="A2098" s="9">
        <v>2097</v>
      </c>
      <c r="B2098" s="10" t="s">
        <v>9</v>
      </c>
      <c r="C2098" s="10" t="s">
        <v>299</v>
      </c>
      <c r="D2098" s="10" t="s">
        <v>300</v>
      </c>
      <c r="E2098" s="11" t="str">
        <f>+HYPERLINK("http://trademark.i-assist.jp/data/china/image_1898th/78629406.pdf", "78629406")</f>
        <v>78629406</v>
      </c>
      <c r="F2098" s="10" t="s">
        <v>5917</v>
      </c>
      <c r="G2098" s="10" t="s">
        <v>5918</v>
      </c>
      <c r="H2098" s="10" t="s">
        <v>5919</v>
      </c>
      <c r="I2098" s="10" t="s">
        <v>5719</v>
      </c>
    </row>
    <row r="2099" spans="1:9" x14ac:dyDescent="0.15">
      <c r="A2099" s="9">
        <v>2098</v>
      </c>
      <c r="B2099" s="10" t="s">
        <v>9</v>
      </c>
      <c r="C2099" s="10" t="s">
        <v>299</v>
      </c>
      <c r="D2099" s="10" t="s">
        <v>300</v>
      </c>
      <c r="E2099" s="11" t="str">
        <f>+HYPERLINK("http://trademark.i-assist.jp/data/china/image_1898th/78629538.pdf", "78629538")</f>
        <v>78629538</v>
      </c>
      <c r="F2099" s="10" t="s">
        <v>5920</v>
      </c>
      <c r="G2099" s="10" t="s">
        <v>5921</v>
      </c>
      <c r="H2099" s="10" t="s">
        <v>5922</v>
      </c>
      <c r="I2099" s="10" t="s">
        <v>5719</v>
      </c>
    </row>
    <row r="2100" spans="1:9" x14ac:dyDescent="0.15">
      <c r="A2100" s="9">
        <v>2099</v>
      </c>
      <c r="B2100" s="10" t="s">
        <v>9</v>
      </c>
      <c r="C2100" s="10" t="s">
        <v>299</v>
      </c>
      <c r="D2100" s="10" t="s">
        <v>300</v>
      </c>
      <c r="E2100" s="11" t="str">
        <f>+HYPERLINK("http://trademark.i-assist.jp/data/china/image_1898th/78629630.pdf", "78629630")</f>
        <v>78629630</v>
      </c>
      <c r="F2100" s="10" t="s">
        <v>5923</v>
      </c>
      <c r="G2100" s="10" t="s">
        <v>5924</v>
      </c>
      <c r="H2100" s="10" t="s">
        <v>5925</v>
      </c>
      <c r="I2100" s="10" t="s">
        <v>5719</v>
      </c>
    </row>
    <row r="2101" spans="1:9" x14ac:dyDescent="0.15">
      <c r="A2101" s="9">
        <v>2100</v>
      </c>
      <c r="B2101" s="10" t="s">
        <v>9</v>
      </c>
      <c r="C2101" s="10" t="s">
        <v>299</v>
      </c>
      <c r="D2101" s="10" t="s">
        <v>300</v>
      </c>
      <c r="E2101" s="11" t="str">
        <f>+HYPERLINK("http://trademark.i-assist.jp/data/china/image_1898th/78629815.pdf", "78629815")</f>
        <v>78629815</v>
      </c>
      <c r="F2101" s="10" t="s">
        <v>5926</v>
      </c>
      <c r="G2101" s="10" t="s">
        <v>5927</v>
      </c>
      <c r="H2101" s="10" t="s">
        <v>5928</v>
      </c>
      <c r="I2101" s="10" t="s">
        <v>5719</v>
      </c>
    </row>
    <row r="2102" spans="1:9" x14ac:dyDescent="0.15">
      <c r="A2102" s="9">
        <v>2101</v>
      </c>
      <c r="B2102" s="10" t="s">
        <v>9</v>
      </c>
      <c r="C2102" s="10" t="s">
        <v>299</v>
      </c>
      <c r="D2102" s="10" t="s">
        <v>300</v>
      </c>
      <c r="E2102" s="11" t="str">
        <f>+HYPERLINK("http://trademark.i-assist.jp/data/china/image_1898th/78629874.pdf", "78629874")</f>
        <v>78629874</v>
      </c>
      <c r="F2102" s="10" t="s">
        <v>5929</v>
      </c>
      <c r="G2102" s="10" t="s">
        <v>5930</v>
      </c>
      <c r="H2102" s="10" t="s">
        <v>5931</v>
      </c>
      <c r="I2102" s="10" t="s">
        <v>5719</v>
      </c>
    </row>
    <row r="2103" spans="1:9" x14ac:dyDescent="0.15">
      <c r="A2103" s="9">
        <v>2102</v>
      </c>
      <c r="B2103" s="10" t="s">
        <v>9</v>
      </c>
      <c r="C2103" s="10" t="s">
        <v>299</v>
      </c>
      <c r="D2103" s="10" t="s">
        <v>300</v>
      </c>
      <c r="E2103" s="11" t="str">
        <f>+HYPERLINK("http://trademark.i-assist.jp/data/china/image_1898th/78629877.pdf", "78629877")</f>
        <v>78629877</v>
      </c>
      <c r="F2103" s="10" t="s">
        <v>5932</v>
      </c>
      <c r="G2103" s="10" t="s">
        <v>5042</v>
      </c>
      <c r="H2103" s="10" t="s">
        <v>5933</v>
      </c>
      <c r="I2103" s="10" t="s">
        <v>5719</v>
      </c>
    </row>
    <row r="2104" spans="1:9" x14ac:dyDescent="0.15">
      <c r="A2104" s="9">
        <v>2103</v>
      </c>
      <c r="B2104" s="10" t="s">
        <v>9</v>
      </c>
      <c r="C2104" s="10" t="s">
        <v>299</v>
      </c>
      <c r="D2104" s="10" t="s">
        <v>300</v>
      </c>
      <c r="E2104" s="11" t="str">
        <f>+HYPERLINK("http://trademark.i-assist.jp/data/china/image_1898th/78630019.pdf", "78630019")</f>
        <v>78630019</v>
      </c>
      <c r="F2104" s="10" t="s">
        <v>5934</v>
      </c>
      <c r="G2104" s="10" t="s">
        <v>5935</v>
      </c>
      <c r="H2104" s="10" t="s">
        <v>5936</v>
      </c>
      <c r="I2104" s="10" t="s">
        <v>5719</v>
      </c>
    </row>
    <row r="2105" spans="1:9" x14ac:dyDescent="0.15">
      <c r="A2105" s="9">
        <v>2104</v>
      </c>
      <c r="B2105" s="10" t="s">
        <v>9</v>
      </c>
      <c r="C2105" s="10" t="s">
        <v>299</v>
      </c>
      <c r="D2105" s="10" t="s">
        <v>300</v>
      </c>
      <c r="E2105" s="11" t="str">
        <f>+HYPERLINK("http://trademark.i-assist.jp/data/china/image_1898th/78630265.pdf", "78630265")</f>
        <v>78630265</v>
      </c>
      <c r="F2105" s="10" t="s">
        <v>5937</v>
      </c>
      <c r="G2105" s="10" t="s">
        <v>5938</v>
      </c>
      <c r="H2105" s="10" t="s">
        <v>5939</v>
      </c>
      <c r="I2105" s="10" t="s">
        <v>5719</v>
      </c>
    </row>
    <row r="2106" spans="1:9" x14ac:dyDescent="0.15">
      <c r="A2106" s="9">
        <v>2105</v>
      </c>
      <c r="B2106" s="10" t="s">
        <v>9</v>
      </c>
      <c r="C2106" s="10" t="s">
        <v>299</v>
      </c>
      <c r="D2106" s="10" t="s">
        <v>300</v>
      </c>
      <c r="E2106" s="11" t="str">
        <f>+HYPERLINK("http://trademark.i-assist.jp/data/china/image_1898th/78630271.pdf", "78630271")</f>
        <v>78630271</v>
      </c>
      <c r="F2106" s="10" t="s">
        <v>5940</v>
      </c>
      <c r="G2106" s="10" t="s">
        <v>5941</v>
      </c>
      <c r="H2106" s="10" t="s">
        <v>5942</v>
      </c>
      <c r="I2106" s="10" t="s">
        <v>5719</v>
      </c>
    </row>
    <row r="2107" spans="1:9" x14ac:dyDescent="0.15">
      <c r="A2107" s="9">
        <v>2106</v>
      </c>
      <c r="B2107" s="10" t="s">
        <v>9</v>
      </c>
      <c r="C2107" s="10" t="s">
        <v>299</v>
      </c>
      <c r="D2107" s="10" t="s">
        <v>300</v>
      </c>
      <c r="E2107" s="11" t="str">
        <f>+HYPERLINK("http://trademark.i-assist.jp/data/china/image_1898th/78630398.pdf", "78630398")</f>
        <v>78630398</v>
      </c>
      <c r="F2107" s="10" t="s">
        <v>5943</v>
      </c>
      <c r="G2107" s="10" t="s">
        <v>5793</v>
      </c>
      <c r="H2107" s="10" t="s">
        <v>5944</v>
      </c>
      <c r="I2107" s="10" t="s">
        <v>5719</v>
      </c>
    </row>
    <row r="2108" spans="1:9" x14ac:dyDescent="0.15">
      <c r="A2108" s="9">
        <v>2107</v>
      </c>
      <c r="B2108" s="10" t="s">
        <v>9</v>
      </c>
      <c r="C2108" s="10" t="s">
        <v>299</v>
      </c>
      <c r="D2108" s="10" t="s">
        <v>300</v>
      </c>
      <c r="E2108" s="11" t="str">
        <f>+HYPERLINK("http://trademark.i-assist.jp/data/china/image_1898th/78630512.pdf", "78630512")</f>
        <v>78630512</v>
      </c>
      <c r="F2108" s="10" t="s">
        <v>5945</v>
      </c>
      <c r="G2108" s="10" t="s">
        <v>5946</v>
      </c>
      <c r="H2108" s="10" t="s">
        <v>5947</v>
      </c>
      <c r="I2108" s="10" t="s">
        <v>5719</v>
      </c>
    </row>
    <row r="2109" spans="1:9" x14ac:dyDescent="0.15">
      <c r="A2109" s="9">
        <v>2108</v>
      </c>
      <c r="B2109" s="10" t="s">
        <v>9</v>
      </c>
      <c r="C2109" s="10" t="s">
        <v>299</v>
      </c>
      <c r="D2109" s="10" t="s">
        <v>300</v>
      </c>
      <c r="E2109" s="11" t="str">
        <f>+HYPERLINK("http://trademark.i-assist.jp/data/china/image_1898th/78630519.pdf", "78630519")</f>
        <v>78630519</v>
      </c>
      <c r="F2109" s="10" t="s">
        <v>5948</v>
      </c>
      <c r="G2109" s="10" t="s">
        <v>5949</v>
      </c>
      <c r="H2109" s="10" t="s">
        <v>5950</v>
      </c>
      <c r="I2109" s="10" t="s">
        <v>5719</v>
      </c>
    </row>
    <row r="2110" spans="1:9" x14ac:dyDescent="0.15">
      <c r="A2110" s="9">
        <v>2109</v>
      </c>
      <c r="B2110" s="10" t="s">
        <v>9</v>
      </c>
      <c r="C2110" s="10" t="s">
        <v>299</v>
      </c>
      <c r="D2110" s="10" t="s">
        <v>300</v>
      </c>
      <c r="E2110" s="11" t="str">
        <f>+HYPERLINK("http://trademark.i-assist.jp/data/china/image_1898th/78630943.pdf", "78630943")</f>
        <v>78630943</v>
      </c>
      <c r="F2110" s="10" t="s">
        <v>5951</v>
      </c>
      <c r="G2110" s="10" t="s">
        <v>5952</v>
      </c>
      <c r="H2110" s="10" t="s">
        <v>5953</v>
      </c>
      <c r="I2110" s="10" t="s">
        <v>5719</v>
      </c>
    </row>
    <row r="2111" spans="1:9" x14ac:dyDescent="0.15">
      <c r="A2111" s="9">
        <v>2110</v>
      </c>
      <c r="B2111" s="10" t="s">
        <v>9</v>
      </c>
      <c r="C2111" s="10" t="s">
        <v>299</v>
      </c>
      <c r="D2111" s="10" t="s">
        <v>300</v>
      </c>
      <c r="E2111" s="11" t="str">
        <f>+HYPERLINK("http://trademark.i-assist.jp/data/china/image_1898th/78630971.pdf", "78630971")</f>
        <v>78630971</v>
      </c>
      <c r="F2111" s="10" t="s">
        <v>5954</v>
      </c>
      <c r="G2111" s="10" t="s">
        <v>5955</v>
      </c>
      <c r="H2111" s="10" t="s">
        <v>5956</v>
      </c>
      <c r="I2111" s="10" t="s">
        <v>5719</v>
      </c>
    </row>
    <row r="2112" spans="1:9" x14ac:dyDescent="0.15">
      <c r="A2112" s="9">
        <v>2111</v>
      </c>
      <c r="B2112" s="10" t="s">
        <v>9</v>
      </c>
      <c r="C2112" s="10" t="s">
        <v>299</v>
      </c>
      <c r="D2112" s="10" t="s">
        <v>300</v>
      </c>
      <c r="E2112" s="11" t="str">
        <f>+HYPERLINK("http://trademark.i-assist.jp/data/china/image_1898th/78631080.pdf", "78631080")</f>
        <v>78631080</v>
      </c>
      <c r="F2112" s="10" t="s">
        <v>5957</v>
      </c>
      <c r="G2112" s="10" t="s">
        <v>5958</v>
      </c>
      <c r="H2112" s="10" t="s">
        <v>34</v>
      </c>
      <c r="I2112" s="10" t="s">
        <v>5719</v>
      </c>
    </row>
    <row r="2113" spans="1:9" x14ac:dyDescent="0.15">
      <c r="A2113" s="9">
        <v>2112</v>
      </c>
      <c r="B2113" s="10" t="s">
        <v>9</v>
      </c>
      <c r="C2113" s="10" t="s">
        <v>299</v>
      </c>
      <c r="D2113" s="10" t="s">
        <v>300</v>
      </c>
      <c r="E2113" s="11" t="str">
        <f>+HYPERLINK("http://trademark.i-assist.jp/data/china/image_1898th/78631169.pdf", "78631169")</f>
        <v>78631169</v>
      </c>
      <c r="F2113" s="10" t="s">
        <v>5959</v>
      </c>
      <c r="G2113" s="10" t="s">
        <v>5960</v>
      </c>
      <c r="H2113" s="10" t="s">
        <v>5961</v>
      </c>
      <c r="I2113" s="10" t="s">
        <v>5719</v>
      </c>
    </row>
    <row r="2114" spans="1:9" x14ac:dyDescent="0.15">
      <c r="A2114" s="9">
        <v>2113</v>
      </c>
      <c r="B2114" s="10" t="s">
        <v>9</v>
      </c>
      <c r="C2114" s="10" t="s">
        <v>299</v>
      </c>
      <c r="D2114" s="10" t="s">
        <v>300</v>
      </c>
      <c r="E2114" s="11" t="str">
        <f>+HYPERLINK("http://trademark.i-assist.jp/data/china/image_1898th/78631210.pdf", "78631210")</f>
        <v>78631210</v>
      </c>
      <c r="F2114" s="10" t="s">
        <v>5962</v>
      </c>
      <c r="G2114" s="10" t="s">
        <v>5963</v>
      </c>
      <c r="H2114" s="10" t="s">
        <v>5964</v>
      </c>
      <c r="I2114" s="10" t="s">
        <v>5719</v>
      </c>
    </row>
    <row r="2115" spans="1:9" x14ac:dyDescent="0.15">
      <c r="A2115" s="9">
        <v>2114</v>
      </c>
      <c r="B2115" s="10" t="s">
        <v>9</v>
      </c>
      <c r="C2115" s="10" t="s">
        <v>299</v>
      </c>
      <c r="D2115" s="10" t="s">
        <v>300</v>
      </c>
      <c r="E2115" s="11" t="str">
        <f>+HYPERLINK("http://trademark.i-assist.jp/data/china/image_1898th/78631439.pdf", "78631439")</f>
        <v>78631439</v>
      </c>
      <c r="F2115" s="10" t="s">
        <v>5965</v>
      </c>
      <c r="G2115" s="10" t="s">
        <v>5806</v>
      </c>
      <c r="H2115" s="10" t="s">
        <v>5966</v>
      </c>
      <c r="I2115" s="10" t="s">
        <v>5719</v>
      </c>
    </row>
    <row r="2116" spans="1:9" x14ac:dyDescent="0.15">
      <c r="A2116" s="9">
        <v>2115</v>
      </c>
      <c r="B2116" s="10" t="s">
        <v>9</v>
      </c>
      <c r="C2116" s="10" t="s">
        <v>299</v>
      </c>
      <c r="D2116" s="10" t="s">
        <v>300</v>
      </c>
      <c r="E2116" s="11" t="str">
        <f>+HYPERLINK("http://trademark.i-assist.jp/data/china/image_1898th/78631443.pdf", "78631443")</f>
        <v>78631443</v>
      </c>
      <c r="F2116" s="10" t="s">
        <v>5967</v>
      </c>
      <c r="G2116" s="10" t="s">
        <v>5968</v>
      </c>
      <c r="H2116" s="10" t="s">
        <v>5969</v>
      </c>
      <c r="I2116" s="10" t="s">
        <v>5719</v>
      </c>
    </row>
    <row r="2117" spans="1:9" x14ac:dyDescent="0.15">
      <c r="A2117" s="9">
        <v>2116</v>
      </c>
      <c r="B2117" s="10" t="s">
        <v>9</v>
      </c>
      <c r="C2117" s="10" t="s">
        <v>299</v>
      </c>
      <c r="D2117" s="10" t="s">
        <v>300</v>
      </c>
      <c r="E2117" s="11" t="str">
        <f>+HYPERLINK("http://trademark.i-assist.jp/data/china/image_1898th/78631515.pdf", "78631515")</f>
        <v>78631515</v>
      </c>
      <c r="F2117" s="10" t="s">
        <v>5970</v>
      </c>
      <c r="G2117" s="10" t="s">
        <v>5971</v>
      </c>
      <c r="H2117" s="10" t="s">
        <v>5972</v>
      </c>
      <c r="I2117" s="10" t="s">
        <v>5719</v>
      </c>
    </row>
    <row r="2118" spans="1:9" x14ac:dyDescent="0.15">
      <c r="A2118" s="9">
        <v>2117</v>
      </c>
      <c r="B2118" s="10" t="s">
        <v>9</v>
      </c>
      <c r="C2118" s="10" t="s">
        <v>299</v>
      </c>
      <c r="D2118" s="10" t="s">
        <v>300</v>
      </c>
      <c r="E2118" s="11" t="str">
        <f>+HYPERLINK("http://trademark.i-assist.jp/data/china/image_1898th/78631775.pdf", "78631775")</f>
        <v>78631775</v>
      </c>
      <c r="F2118" s="10" t="s">
        <v>5973</v>
      </c>
      <c r="G2118" s="10" t="s">
        <v>5974</v>
      </c>
      <c r="H2118" s="10" t="s">
        <v>5975</v>
      </c>
      <c r="I2118" s="10" t="s">
        <v>5719</v>
      </c>
    </row>
    <row r="2119" spans="1:9" x14ac:dyDescent="0.15">
      <c r="A2119" s="9">
        <v>2118</v>
      </c>
      <c r="B2119" s="10" t="s">
        <v>9</v>
      </c>
      <c r="C2119" s="10" t="s">
        <v>299</v>
      </c>
      <c r="D2119" s="10" t="s">
        <v>300</v>
      </c>
      <c r="E2119" s="11" t="str">
        <f>+HYPERLINK("http://trademark.i-assist.jp/data/china/image_1898th/78631815.pdf", "78631815")</f>
        <v>78631815</v>
      </c>
      <c r="F2119" s="10" t="s">
        <v>5976</v>
      </c>
      <c r="G2119" s="10" t="s">
        <v>237</v>
      </c>
      <c r="H2119" s="10" t="s">
        <v>5977</v>
      </c>
      <c r="I2119" s="10" t="s">
        <v>5719</v>
      </c>
    </row>
    <row r="2120" spans="1:9" x14ac:dyDescent="0.15">
      <c r="A2120" s="9">
        <v>2119</v>
      </c>
      <c r="B2120" s="10" t="s">
        <v>9</v>
      </c>
      <c r="C2120" s="10" t="s">
        <v>299</v>
      </c>
      <c r="D2120" s="10" t="s">
        <v>300</v>
      </c>
      <c r="E2120" s="11" t="str">
        <f>+HYPERLINK("http://trademark.i-assist.jp/data/china/image_1898th/78631975.pdf", "78631975")</f>
        <v>78631975</v>
      </c>
      <c r="F2120" s="10" t="s">
        <v>5978</v>
      </c>
      <c r="G2120" s="10" t="s">
        <v>5979</v>
      </c>
      <c r="H2120" s="10" t="s">
        <v>5980</v>
      </c>
      <c r="I2120" s="10" t="s">
        <v>5719</v>
      </c>
    </row>
    <row r="2121" spans="1:9" x14ac:dyDescent="0.15">
      <c r="A2121" s="9">
        <v>2120</v>
      </c>
      <c r="B2121" s="10" t="s">
        <v>9</v>
      </c>
      <c r="C2121" s="10" t="s">
        <v>299</v>
      </c>
      <c r="D2121" s="10" t="s">
        <v>300</v>
      </c>
      <c r="E2121" s="11" t="str">
        <f>+HYPERLINK("http://trademark.i-assist.jp/data/china/image_1898th/78632018.pdf", "78632018")</f>
        <v>78632018</v>
      </c>
      <c r="F2121" s="10" t="s">
        <v>5981</v>
      </c>
      <c r="G2121" s="10" t="s">
        <v>5982</v>
      </c>
      <c r="H2121" s="10" t="s">
        <v>5983</v>
      </c>
      <c r="I2121" s="10" t="s">
        <v>5719</v>
      </c>
    </row>
    <row r="2122" spans="1:9" x14ac:dyDescent="0.15">
      <c r="A2122" s="9">
        <v>2121</v>
      </c>
      <c r="B2122" s="10" t="s">
        <v>9</v>
      </c>
      <c r="C2122" s="10" t="s">
        <v>299</v>
      </c>
      <c r="D2122" s="10" t="s">
        <v>300</v>
      </c>
      <c r="E2122" s="11" t="str">
        <f>+HYPERLINK("http://trademark.i-assist.jp/data/china/image_1898th/78632163.pdf", "78632163")</f>
        <v>78632163</v>
      </c>
      <c r="F2122" s="10" t="s">
        <v>19</v>
      </c>
      <c r="G2122" s="10" t="s">
        <v>5984</v>
      </c>
      <c r="H2122" s="10" t="s">
        <v>5985</v>
      </c>
      <c r="I2122" s="10" t="s">
        <v>5719</v>
      </c>
    </row>
    <row r="2123" spans="1:9" x14ac:dyDescent="0.15">
      <c r="A2123" s="9">
        <v>2122</v>
      </c>
      <c r="B2123" s="10" t="s">
        <v>9</v>
      </c>
      <c r="C2123" s="10" t="s">
        <v>299</v>
      </c>
      <c r="D2123" s="10" t="s">
        <v>300</v>
      </c>
      <c r="E2123" s="11" t="str">
        <f>+HYPERLINK("http://trademark.i-assist.jp/data/china/image_1898th/78632330.pdf", "78632330")</f>
        <v>78632330</v>
      </c>
      <c r="F2123" s="10" t="s">
        <v>19</v>
      </c>
      <c r="G2123" s="10" t="s">
        <v>5986</v>
      </c>
      <c r="H2123" s="10" t="s">
        <v>5987</v>
      </c>
      <c r="I2123" s="10" t="s">
        <v>5719</v>
      </c>
    </row>
    <row r="2124" spans="1:9" x14ac:dyDescent="0.15">
      <c r="A2124" s="9">
        <v>2123</v>
      </c>
      <c r="B2124" s="10" t="s">
        <v>9</v>
      </c>
      <c r="C2124" s="10" t="s">
        <v>299</v>
      </c>
      <c r="D2124" s="10" t="s">
        <v>300</v>
      </c>
      <c r="E2124" s="11" t="str">
        <f>+HYPERLINK("http://trademark.i-assist.jp/data/china/image_1898th/78632634.pdf", "78632634")</f>
        <v>78632634</v>
      </c>
      <c r="F2124" s="10" t="s">
        <v>5988</v>
      </c>
      <c r="G2124" s="10" t="s">
        <v>5989</v>
      </c>
      <c r="H2124" s="10" t="s">
        <v>5990</v>
      </c>
      <c r="I2124" s="10" t="s">
        <v>5719</v>
      </c>
    </row>
    <row r="2125" spans="1:9" x14ac:dyDescent="0.15">
      <c r="A2125" s="9">
        <v>2124</v>
      </c>
      <c r="B2125" s="10" t="s">
        <v>9</v>
      </c>
      <c r="C2125" s="10" t="s">
        <v>299</v>
      </c>
      <c r="D2125" s="10" t="s">
        <v>300</v>
      </c>
      <c r="E2125" s="11" t="str">
        <f>+HYPERLINK("http://trademark.i-assist.jp/data/china/image_1898th/78632636.pdf", "78632636")</f>
        <v>78632636</v>
      </c>
      <c r="F2125" s="10" t="s">
        <v>5991</v>
      </c>
      <c r="G2125" s="10" t="s">
        <v>5952</v>
      </c>
      <c r="H2125" s="10" t="s">
        <v>5992</v>
      </c>
      <c r="I2125" s="10" t="s">
        <v>5719</v>
      </c>
    </row>
    <row r="2126" spans="1:9" x14ac:dyDescent="0.15">
      <c r="A2126" s="9">
        <v>2125</v>
      </c>
      <c r="B2126" s="10" t="s">
        <v>9</v>
      </c>
      <c r="C2126" s="10" t="s">
        <v>299</v>
      </c>
      <c r="D2126" s="10" t="s">
        <v>300</v>
      </c>
      <c r="E2126" s="11" t="str">
        <f>+HYPERLINK("http://trademark.i-assist.jp/data/china/image_1898th/78632865.pdf", "78632865")</f>
        <v>78632865</v>
      </c>
      <c r="F2126" s="10" t="s">
        <v>5993</v>
      </c>
      <c r="G2126" s="10" t="s">
        <v>5994</v>
      </c>
      <c r="H2126" s="10" t="s">
        <v>5995</v>
      </c>
      <c r="I2126" s="10" t="s">
        <v>5719</v>
      </c>
    </row>
    <row r="2127" spans="1:9" x14ac:dyDescent="0.15">
      <c r="A2127" s="9">
        <v>2126</v>
      </c>
      <c r="B2127" s="10" t="s">
        <v>9</v>
      </c>
      <c r="C2127" s="10" t="s">
        <v>299</v>
      </c>
      <c r="D2127" s="10" t="s">
        <v>300</v>
      </c>
      <c r="E2127" s="11" t="str">
        <f>+HYPERLINK("http://trademark.i-assist.jp/data/china/image_1898th/78632873.pdf", "78632873")</f>
        <v>78632873</v>
      </c>
      <c r="F2127" s="10" t="s">
        <v>5996</v>
      </c>
      <c r="G2127" s="10" t="s">
        <v>5997</v>
      </c>
      <c r="H2127" s="10" t="s">
        <v>5998</v>
      </c>
      <c r="I2127" s="10" t="s">
        <v>5719</v>
      </c>
    </row>
    <row r="2128" spans="1:9" x14ac:dyDescent="0.15">
      <c r="A2128" s="9">
        <v>2127</v>
      </c>
      <c r="B2128" s="10" t="s">
        <v>9</v>
      </c>
      <c r="C2128" s="10" t="s">
        <v>299</v>
      </c>
      <c r="D2128" s="10" t="s">
        <v>300</v>
      </c>
      <c r="E2128" s="11" t="str">
        <f>+HYPERLINK("http://trademark.i-assist.jp/data/china/image_1898th/78633155.pdf", "78633155")</f>
        <v>78633155</v>
      </c>
      <c r="F2128" s="10" t="s">
        <v>5999</v>
      </c>
      <c r="G2128" s="10" t="s">
        <v>6000</v>
      </c>
      <c r="H2128" s="10" t="s">
        <v>6001</v>
      </c>
      <c r="I2128" s="10" t="s">
        <v>5719</v>
      </c>
    </row>
    <row r="2129" spans="1:9" x14ac:dyDescent="0.15">
      <c r="A2129" s="9">
        <v>2128</v>
      </c>
      <c r="B2129" s="10" t="s">
        <v>9</v>
      </c>
      <c r="C2129" s="10" t="s">
        <v>299</v>
      </c>
      <c r="D2129" s="10" t="s">
        <v>300</v>
      </c>
      <c r="E2129" s="11" t="str">
        <f>+HYPERLINK("http://trademark.i-assist.jp/data/china/image_1898th/78633192.pdf", "78633192")</f>
        <v>78633192</v>
      </c>
      <c r="F2129" s="10" t="s">
        <v>6002</v>
      </c>
      <c r="G2129" s="10" t="s">
        <v>6003</v>
      </c>
      <c r="H2129" s="10" t="s">
        <v>6004</v>
      </c>
      <c r="I2129" s="10" t="s">
        <v>5719</v>
      </c>
    </row>
    <row r="2130" spans="1:9" x14ac:dyDescent="0.15">
      <c r="A2130" s="9">
        <v>2129</v>
      </c>
      <c r="B2130" s="10" t="s">
        <v>9</v>
      </c>
      <c r="C2130" s="10" t="s">
        <v>299</v>
      </c>
      <c r="D2130" s="10" t="s">
        <v>300</v>
      </c>
      <c r="E2130" s="11" t="str">
        <f>+HYPERLINK("http://trademark.i-assist.jp/data/china/image_1898th/78633229.pdf", "78633229")</f>
        <v>78633229</v>
      </c>
      <c r="F2130" s="10" t="s">
        <v>6005</v>
      </c>
      <c r="G2130" s="10" t="s">
        <v>6006</v>
      </c>
      <c r="H2130" s="10" t="s">
        <v>6007</v>
      </c>
      <c r="I2130" s="10" t="s">
        <v>5719</v>
      </c>
    </row>
    <row r="2131" spans="1:9" x14ac:dyDescent="0.15">
      <c r="A2131" s="9">
        <v>2130</v>
      </c>
      <c r="B2131" s="10" t="s">
        <v>9</v>
      </c>
      <c r="C2131" s="10" t="s">
        <v>299</v>
      </c>
      <c r="D2131" s="10" t="s">
        <v>300</v>
      </c>
      <c r="E2131" s="11" t="str">
        <f>+HYPERLINK("http://trademark.i-assist.jp/data/china/image_1898th/78633418.pdf", "78633418")</f>
        <v>78633418</v>
      </c>
      <c r="F2131" s="10" t="s">
        <v>6008</v>
      </c>
      <c r="G2131" s="10" t="s">
        <v>6009</v>
      </c>
      <c r="H2131" s="10" t="s">
        <v>6010</v>
      </c>
      <c r="I2131" s="10" t="s">
        <v>5719</v>
      </c>
    </row>
    <row r="2132" spans="1:9" x14ac:dyDescent="0.15">
      <c r="A2132" s="9">
        <v>2131</v>
      </c>
      <c r="B2132" s="10" t="s">
        <v>9</v>
      </c>
      <c r="C2132" s="10" t="s">
        <v>299</v>
      </c>
      <c r="D2132" s="10" t="s">
        <v>300</v>
      </c>
      <c r="E2132" s="11" t="str">
        <f>+HYPERLINK("http://trademark.i-assist.jp/data/china/image_1898th/78633624.pdf", "78633624")</f>
        <v>78633624</v>
      </c>
      <c r="F2132" s="10" t="s">
        <v>6011</v>
      </c>
      <c r="G2132" s="10" t="s">
        <v>110</v>
      </c>
      <c r="H2132" s="10" t="s">
        <v>6012</v>
      </c>
      <c r="I2132" s="10" t="s">
        <v>5719</v>
      </c>
    </row>
    <row r="2133" spans="1:9" x14ac:dyDescent="0.15">
      <c r="A2133" s="9">
        <v>2132</v>
      </c>
      <c r="B2133" s="10" t="s">
        <v>9</v>
      </c>
      <c r="C2133" s="10" t="s">
        <v>299</v>
      </c>
      <c r="D2133" s="10" t="s">
        <v>300</v>
      </c>
      <c r="E2133" s="11" t="str">
        <f>+HYPERLINK("http://trademark.i-assist.jp/data/china/image_1898th/78633672.pdf", "78633672")</f>
        <v>78633672</v>
      </c>
      <c r="F2133" s="10" t="s">
        <v>6013</v>
      </c>
      <c r="G2133" s="10" t="s">
        <v>3526</v>
      </c>
      <c r="H2133" s="10" t="s">
        <v>6014</v>
      </c>
      <c r="I2133" s="10" t="s">
        <v>5719</v>
      </c>
    </row>
    <row r="2134" spans="1:9" x14ac:dyDescent="0.15">
      <c r="A2134" s="9">
        <v>2133</v>
      </c>
      <c r="B2134" s="10" t="s">
        <v>9</v>
      </c>
      <c r="C2134" s="10" t="s">
        <v>299</v>
      </c>
      <c r="D2134" s="10" t="s">
        <v>300</v>
      </c>
      <c r="E2134" s="11" t="str">
        <f>+HYPERLINK("http://trademark.i-assist.jp/data/china/image_1898th/78633820.pdf", "78633820")</f>
        <v>78633820</v>
      </c>
      <c r="F2134" s="10" t="s">
        <v>6015</v>
      </c>
      <c r="G2134" s="10" t="s">
        <v>5796</v>
      </c>
      <c r="H2134" s="10" t="s">
        <v>6016</v>
      </c>
      <c r="I2134" s="10" t="s">
        <v>5719</v>
      </c>
    </row>
    <row r="2135" spans="1:9" x14ac:dyDescent="0.15">
      <c r="A2135" s="9">
        <v>2134</v>
      </c>
      <c r="B2135" s="10" t="s">
        <v>9</v>
      </c>
      <c r="C2135" s="10" t="s">
        <v>299</v>
      </c>
      <c r="D2135" s="10" t="s">
        <v>300</v>
      </c>
      <c r="E2135" s="11" t="str">
        <f>+HYPERLINK("http://trademark.i-assist.jp/data/china/image_1898th/78633851.pdf", "78633851")</f>
        <v>78633851</v>
      </c>
      <c r="F2135" s="10" t="s">
        <v>6017</v>
      </c>
      <c r="G2135" s="10" t="s">
        <v>236</v>
      </c>
      <c r="H2135" s="10" t="s">
        <v>6018</v>
      </c>
      <c r="I2135" s="10" t="s">
        <v>5719</v>
      </c>
    </row>
    <row r="2136" spans="1:9" x14ac:dyDescent="0.15">
      <c r="A2136" s="9">
        <v>2135</v>
      </c>
      <c r="B2136" s="10" t="s">
        <v>9</v>
      </c>
      <c r="C2136" s="10" t="s">
        <v>299</v>
      </c>
      <c r="D2136" s="10" t="s">
        <v>300</v>
      </c>
      <c r="E2136" s="11" t="str">
        <f>+HYPERLINK("http://trademark.i-assist.jp/data/china/image_1898th/78633893.pdf", "78633893")</f>
        <v>78633893</v>
      </c>
      <c r="F2136" s="10" t="s">
        <v>6019</v>
      </c>
      <c r="G2136" s="10" t="s">
        <v>6020</v>
      </c>
      <c r="H2136" s="10" t="s">
        <v>6021</v>
      </c>
      <c r="I2136" s="10" t="s">
        <v>5719</v>
      </c>
    </row>
    <row r="2137" spans="1:9" x14ac:dyDescent="0.15">
      <c r="A2137" s="9">
        <v>2136</v>
      </c>
      <c r="B2137" s="10" t="s">
        <v>9</v>
      </c>
      <c r="C2137" s="10" t="s">
        <v>299</v>
      </c>
      <c r="D2137" s="10" t="s">
        <v>300</v>
      </c>
      <c r="E2137" s="11" t="str">
        <f>+HYPERLINK("http://trademark.i-assist.jp/data/china/image_1898th/78634078.pdf", "78634078")</f>
        <v>78634078</v>
      </c>
      <c r="F2137" s="10" t="s">
        <v>6022</v>
      </c>
      <c r="G2137" s="10" t="s">
        <v>5845</v>
      </c>
      <c r="H2137" s="10" t="s">
        <v>6023</v>
      </c>
      <c r="I2137" s="10" t="s">
        <v>5719</v>
      </c>
    </row>
    <row r="2138" spans="1:9" x14ac:dyDescent="0.15">
      <c r="A2138" s="9">
        <v>2137</v>
      </c>
      <c r="B2138" s="10" t="s">
        <v>9</v>
      </c>
      <c r="C2138" s="10" t="s">
        <v>299</v>
      </c>
      <c r="D2138" s="10" t="s">
        <v>300</v>
      </c>
      <c r="E2138" s="11" t="str">
        <f>+HYPERLINK("http://trademark.i-assist.jp/data/china/image_1898th/78634414.pdf", "78634414")</f>
        <v>78634414</v>
      </c>
      <c r="F2138" s="10" t="s">
        <v>6024</v>
      </c>
      <c r="G2138" s="10" t="s">
        <v>5877</v>
      </c>
      <c r="H2138" s="10" t="s">
        <v>6025</v>
      </c>
      <c r="I2138" s="10" t="s">
        <v>5719</v>
      </c>
    </row>
    <row r="2139" spans="1:9" x14ac:dyDescent="0.15">
      <c r="A2139" s="9">
        <v>2138</v>
      </c>
      <c r="B2139" s="10" t="s">
        <v>9</v>
      </c>
      <c r="C2139" s="10" t="s">
        <v>299</v>
      </c>
      <c r="D2139" s="10" t="s">
        <v>300</v>
      </c>
      <c r="E2139" s="11" t="str">
        <f>+HYPERLINK("http://trademark.i-assist.jp/data/china/image_1898th/78634444.pdf", "78634444")</f>
        <v>78634444</v>
      </c>
      <c r="F2139" s="10" t="s">
        <v>6026</v>
      </c>
      <c r="G2139" s="10" t="s">
        <v>6027</v>
      </c>
      <c r="H2139" s="10" t="s">
        <v>6028</v>
      </c>
      <c r="I2139" s="10" t="s">
        <v>5719</v>
      </c>
    </row>
    <row r="2140" spans="1:9" x14ac:dyDescent="0.15">
      <c r="A2140" s="9">
        <v>2139</v>
      </c>
      <c r="B2140" s="10" t="s">
        <v>9</v>
      </c>
      <c r="C2140" s="10" t="s">
        <v>299</v>
      </c>
      <c r="D2140" s="10" t="s">
        <v>300</v>
      </c>
      <c r="E2140" s="11" t="str">
        <f>+HYPERLINK("http://trademark.i-assist.jp/data/china/image_1898th/78634526.pdf", "78634526")</f>
        <v>78634526</v>
      </c>
      <c r="F2140" s="10" t="s">
        <v>6029</v>
      </c>
      <c r="G2140" s="10" t="s">
        <v>5739</v>
      </c>
      <c r="H2140" s="10" t="s">
        <v>6030</v>
      </c>
      <c r="I2140" s="10" t="s">
        <v>5719</v>
      </c>
    </row>
    <row r="2141" spans="1:9" x14ac:dyDescent="0.15">
      <c r="A2141" s="9">
        <v>2140</v>
      </c>
      <c r="B2141" s="10" t="s">
        <v>9</v>
      </c>
      <c r="C2141" s="10" t="s">
        <v>299</v>
      </c>
      <c r="D2141" s="10" t="s">
        <v>300</v>
      </c>
      <c r="E2141" s="11" t="str">
        <f>+HYPERLINK("http://trademark.i-assist.jp/data/china/image_1898th/78634665.pdf", "78634665")</f>
        <v>78634665</v>
      </c>
      <c r="F2141" s="10" t="s">
        <v>6031</v>
      </c>
      <c r="G2141" s="10" t="s">
        <v>6032</v>
      </c>
      <c r="H2141" s="10" t="s">
        <v>6033</v>
      </c>
      <c r="I2141" s="10" t="s">
        <v>5719</v>
      </c>
    </row>
    <row r="2142" spans="1:9" x14ac:dyDescent="0.15">
      <c r="A2142" s="9">
        <v>2141</v>
      </c>
      <c r="B2142" s="10" t="s">
        <v>9</v>
      </c>
      <c r="C2142" s="10" t="s">
        <v>299</v>
      </c>
      <c r="D2142" s="10" t="s">
        <v>300</v>
      </c>
      <c r="E2142" s="11" t="str">
        <f>+HYPERLINK("http://trademark.i-assist.jp/data/china/image_1898th/78634989.pdf", "78634989")</f>
        <v>78634989</v>
      </c>
      <c r="F2142" s="10" t="s">
        <v>6034</v>
      </c>
      <c r="G2142" s="10" t="s">
        <v>6035</v>
      </c>
      <c r="H2142" s="10" t="s">
        <v>6036</v>
      </c>
      <c r="I2142" s="10" t="s">
        <v>5719</v>
      </c>
    </row>
    <row r="2143" spans="1:9" x14ac:dyDescent="0.15">
      <c r="A2143" s="9">
        <v>2142</v>
      </c>
      <c r="B2143" s="10" t="s">
        <v>9</v>
      </c>
      <c r="C2143" s="10" t="s">
        <v>299</v>
      </c>
      <c r="D2143" s="10" t="s">
        <v>300</v>
      </c>
      <c r="E2143" s="11" t="str">
        <f>+HYPERLINK("http://trademark.i-assist.jp/data/china/image_1898th/78635014.pdf", "78635014")</f>
        <v>78635014</v>
      </c>
      <c r="F2143" s="10" t="s">
        <v>6037</v>
      </c>
      <c r="G2143" s="10" t="s">
        <v>6038</v>
      </c>
      <c r="H2143" s="10" t="s">
        <v>6039</v>
      </c>
      <c r="I2143" s="10" t="s">
        <v>5719</v>
      </c>
    </row>
    <row r="2144" spans="1:9" x14ac:dyDescent="0.15">
      <c r="A2144" s="9">
        <v>2143</v>
      </c>
      <c r="B2144" s="10" t="s">
        <v>9</v>
      </c>
      <c r="C2144" s="10" t="s">
        <v>299</v>
      </c>
      <c r="D2144" s="10" t="s">
        <v>300</v>
      </c>
      <c r="E2144" s="11" t="str">
        <f>+HYPERLINK("http://trademark.i-assist.jp/data/china/image_1898th/78635030.pdf", "78635030")</f>
        <v>78635030</v>
      </c>
      <c r="F2144" s="10" t="s">
        <v>6040</v>
      </c>
      <c r="G2144" s="10" t="s">
        <v>6041</v>
      </c>
      <c r="H2144" s="10" t="s">
        <v>6042</v>
      </c>
      <c r="I2144" s="10" t="s">
        <v>5719</v>
      </c>
    </row>
    <row r="2145" spans="1:9" x14ac:dyDescent="0.15">
      <c r="A2145" s="9">
        <v>2144</v>
      </c>
      <c r="B2145" s="10" t="s">
        <v>9</v>
      </c>
      <c r="C2145" s="10" t="s">
        <v>299</v>
      </c>
      <c r="D2145" s="10" t="s">
        <v>300</v>
      </c>
      <c r="E2145" s="11" t="str">
        <f>+HYPERLINK("http://trademark.i-assist.jp/data/china/image_1898th/78635077.pdf", "78635077")</f>
        <v>78635077</v>
      </c>
      <c r="F2145" s="10" t="s">
        <v>6043</v>
      </c>
      <c r="G2145" s="10" t="s">
        <v>6044</v>
      </c>
      <c r="H2145" s="10" t="s">
        <v>6045</v>
      </c>
      <c r="I2145" s="10" t="s">
        <v>5719</v>
      </c>
    </row>
    <row r="2146" spans="1:9" x14ac:dyDescent="0.15">
      <c r="A2146" s="9">
        <v>2145</v>
      </c>
      <c r="B2146" s="10" t="s">
        <v>9</v>
      </c>
      <c r="C2146" s="10" t="s">
        <v>299</v>
      </c>
      <c r="D2146" s="10" t="s">
        <v>300</v>
      </c>
      <c r="E2146" s="11" t="str">
        <f>+HYPERLINK("http://trademark.i-assist.jp/data/china/image_1898th/78635084.pdf", "78635084")</f>
        <v>78635084</v>
      </c>
      <c r="F2146" s="10" t="s">
        <v>6046</v>
      </c>
      <c r="G2146" s="10" t="s">
        <v>6047</v>
      </c>
      <c r="H2146" s="10" t="s">
        <v>6048</v>
      </c>
      <c r="I2146" s="10" t="s">
        <v>5719</v>
      </c>
    </row>
    <row r="2147" spans="1:9" x14ac:dyDescent="0.15">
      <c r="A2147" s="9">
        <v>2146</v>
      </c>
      <c r="B2147" s="10" t="s">
        <v>9</v>
      </c>
      <c r="C2147" s="10" t="s">
        <v>299</v>
      </c>
      <c r="D2147" s="10" t="s">
        <v>300</v>
      </c>
      <c r="E2147" s="11" t="str">
        <f>+HYPERLINK("http://trademark.i-assist.jp/data/china/image_1898th/78635291.pdf", "78635291")</f>
        <v>78635291</v>
      </c>
      <c r="F2147" s="10" t="s">
        <v>6049</v>
      </c>
      <c r="G2147" s="10" t="s">
        <v>6050</v>
      </c>
      <c r="H2147" s="10" t="s">
        <v>6051</v>
      </c>
      <c r="I2147" s="10" t="s">
        <v>5719</v>
      </c>
    </row>
    <row r="2148" spans="1:9" x14ac:dyDescent="0.15">
      <c r="A2148" s="9">
        <v>2147</v>
      </c>
      <c r="B2148" s="10" t="s">
        <v>9</v>
      </c>
      <c r="C2148" s="10" t="s">
        <v>299</v>
      </c>
      <c r="D2148" s="10" t="s">
        <v>300</v>
      </c>
      <c r="E2148" s="11" t="str">
        <f>+HYPERLINK("http://trademark.i-assist.jp/data/china/image_1898th/78635369.pdf", "78635369")</f>
        <v>78635369</v>
      </c>
      <c r="F2148" s="10" t="s">
        <v>6052</v>
      </c>
      <c r="G2148" s="10" t="s">
        <v>6053</v>
      </c>
      <c r="H2148" s="10" t="s">
        <v>6054</v>
      </c>
      <c r="I2148" s="10" t="s">
        <v>5719</v>
      </c>
    </row>
    <row r="2149" spans="1:9" x14ac:dyDescent="0.15">
      <c r="A2149" s="9">
        <v>2148</v>
      </c>
      <c r="B2149" s="10" t="s">
        <v>9</v>
      </c>
      <c r="C2149" s="10" t="s">
        <v>299</v>
      </c>
      <c r="D2149" s="10" t="s">
        <v>300</v>
      </c>
      <c r="E2149" s="11" t="str">
        <f>+HYPERLINK("http://trademark.i-assist.jp/data/china/image_1898th/78635563.pdf", "78635563")</f>
        <v>78635563</v>
      </c>
      <c r="F2149" s="10" t="s">
        <v>6055</v>
      </c>
      <c r="G2149" s="10" t="s">
        <v>6056</v>
      </c>
      <c r="H2149" s="10" t="s">
        <v>6057</v>
      </c>
      <c r="I2149" s="10" t="s">
        <v>5719</v>
      </c>
    </row>
    <row r="2150" spans="1:9" x14ac:dyDescent="0.15">
      <c r="A2150" s="9">
        <v>2149</v>
      </c>
      <c r="B2150" s="10" t="s">
        <v>9</v>
      </c>
      <c r="C2150" s="10" t="s">
        <v>299</v>
      </c>
      <c r="D2150" s="10" t="s">
        <v>300</v>
      </c>
      <c r="E2150" s="11" t="str">
        <f>+HYPERLINK("http://trademark.i-assist.jp/data/china/image_1898th/78635867.pdf", "78635867")</f>
        <v>78635867</v>
      </c>
      <c r="F2150" s="10" t="s">
        <v>6058</v>
      </c>
      <c r="G2150" s="10" t="s">
        <v>6059</v>
      </c>
      <c r="H2150" s="10" t="s">
        <v>6060</v>
      </c>
      <c r="I2150" s="10" t="s">
        <v>5719</v>
      </c>
    </row>
    <row r="2151" spans="1:9" x14ac:dyDescent="0.15">
      <c r="A2151" s="9">
        <v>2150</v>
      </c>
      <c r="B2151" s="10" t="s">
        <v>9</v>
      </c>
      <c r="C2151" s="10" t="s">
        <v>299</v>
      </c>
      <c r="D2151" s="10" t="s">
        <v>300</v>
      </c>
      <c r="E2151" s="11" t="str">
        <f>+HYPERLINK("http://trademark.i-assist.jp/data/china/image_1898th/78636268.pdf", "78636268")</f>
        <v>78636268</v>
      </c>
      <c r="F2151" s="10" t="s">
        <v>6061</v>
      </c>
      <c r="G2151" s="10" t="s">
        <v>6062</v>
      </c>
      <c r="H2151" s="10" t="s">
        <v>6063</v>
      </c>
      <c r="I2151" s="10" t="s">
        <v>5719</v>
      </c>
    </row>
    <row r="2152" spans="1:9" x14ac:dyDescent="0.15">
      <c r="A2152" s="9">
        <v>2151</v>
      </c>
      <c r="B2152" s="10" t="s">
        <v>9</v>
      </c>
      <c r="C2152" s="10" t="s">
        <v>299</v>
      </c>
      <c r="D2152" s="10" t="s">
        <v>300</v>
      </c>
      <c r="E2152" s="11" t="str">
        <f>+HYPERLINK("http://trademark.i-assist.jp/data/china/image_1898th/78636468.pdf", "78636468")</f>
        <v>78636468</v>
      </c>
      <c r="F2152" s="10" t="s">
        <v>6064</v>
      </c>
      <c r="G2152" s="10" t="s">
        <v>6065</v>
      </c>
      <c r="H2152" s="10" t="s">
        <v>6066</v>
      </c>
      <c r="I2152" s="10" t="s">
        <v>5719</v>
      </c>
    </row>
    <row r="2153" spans="1:9" x14ac:dyDescent="0.15">
      <c r="A2153" s="9">
        <v>2152</v>
      </c>
      <c r="B2153" s="10" t="s">
        <v>9</v>
      </c>
      <c r="C2153" s="10" t="s">
        <v>299</v>
      </c>
      <c r="D2153" s="10" t="s">
        <v>300</v>
      </c>
      <c r="E2153" s="11" t="str">
        <f>+HYPERLINK("http://trademark.i-assist.jp/data/china/image_1898th/78636504.pdf", "78636504")</f>
        <v>78636504</v>
      </c>
      <c r="F2153" s="10" t="s">
        <v>6067</v>
      </c>
      <c r="G2153" s="10" t="s">
        <v>4598</v>
      </c>
      <c r="H2153" s="10" t="s">
        <v>6068</v>
      </c>
      <c r="I2153" s="10" t="s">
        <v>5719</v>
      </c>
    </row>
    <row r="2154" spans="1:9" x14ac:dyDescent="0.15">
      <c r="A2154" s="9">
        <v>2153</v>
      </c>
      <c r="B2154" s="10" t="s">
        <v>9</v>
      </c>
      <c r="C2154" s="10" t="s">
        <v>299</v>
      </c>
      <c r="D2154" s="10" t="s">
        <v>300</v>
      </c>
      <c r="E2154" s="11" t="str">
        <f>+HYPERLINK("http://trademark.i-assist.jp/data/china/image_1898th/78636758.pdf", "78636758")</f>
        <v>78636758</v>
      </c>
      <c r="F2154" s="10" t="s">
        <v>6069</v>
      </c>
      <c r="G2154" s="10" t="s">
        <v>5823</v>
      </c>
      <c r="H2154" s="10" t="s">
        <v>6070</v>
      </c>
      <c r="I2154" s="10" t="s">
        <v>5719</v>
      </c>
    </row>
    <row r="2155" spans="1:9" x14ac:dyDescent="0.15">
      <c r="A2155" s="9">
        <v>2154</v>
      </c>
      <c r="B2155" s="10" t="s">
        <v>9</v>
      </c>
      <c r="C2155" s="10" t="s">
        <v>299</v>
      </c>
      <c r="D2155" s="10" t="s">
        <v>300</v>
      </c>
      <c r="E2155" s="11" t="str">
        <f>+HYPERLINK("http://trademark.i-assist.jp/data/china/image_1898th/78636826.pdf", "78636826")</f>
        <v>78636826</v>
      </c>
      <c r="F2155" s="10" t="s">
        <v>6071</v>
      </c>
      <c r="G2155" s="10" t="s">
        <v>5727</v>
      </c>
      <c r="H2155" s="10" t="s">
        <v>6072</v>
      </c>
      <c r="I2155" s="10" t="s">
        <v>5719</v>
      </c>
    </row>
    <row r="2156" spans="1:9" x14ac:dyDescent="0.15">
      <c r="A2156" s="9">
        <v>2155</v>
      </c>
      <c r="B2156" s="10" t="s">
        <v>9</v>
      </c>
      <c r="C2156" s="10" t="s">
        <v>299</v>
      </c>
      <c r="D2156" s="10" t="s">
        <v>300</v>
      </c>
      <c r="E2156" s="11" t="str">
        <f>+HYPERLINK("http://trademark.i-assist.jp/data/china/image_1898th/78636857.pdf", "78636857")</f>
        <v>78636857</v>
      </c>
      <c r="F2156" s="10" t="s">
        <v>6073</v>
      </c>
      <c r="G2156" s="10" t="s">
        <v>6074</v>
      </c>
      <c r="H2156" s="10" t="s">
        <v>6075</v>
      </c>
      <c r="I2156" s="10" t="s">
        <v>5719</v>
      </c>
    </row>
    <row r="2157" spans="1:9" x14ac:dyDescent="0.15">
      <c r="A2157" s="9">
        <v>2156</v>
      </c>
      <c r="B2157" s="10" t="s">
        <v>9</v>
      </c>
      <c r="C2157" s="10" t="s">
        <v>299</v>
      </c>
      <c r="D2157" s="10" t="s">
        <v>300</v>
      </c>
      <c r="E2157" s="11" t="str">
        <f>+HYPERLINK("http://trademark.i-assist.jp/data/china/image_1898th/78636923.pdf", "78636923")</f>
        <v>78636923</v>
      </c>
      <c r="F2157" s="10" t="s">
        <v>6076</v>
      </c>
      <c r="G2157" s="10" t="s">
        <v>5739</v>
      </c>
      <c r="H2157" s="10" t="s">
        <v>6077</v>
      </c>
      <c r="I2157" s="10" t="s">
        <v>5719</v>
      </c>
    </row>
    <row r="2158" spans="1:9" x14ac:dyDescent="0.15">
      <c r="A2158" s="9">
        <v>2157</v>
      </c>
      <c r="B2158" s="10" t="s">
        <v>9</v>
      </c>
      <c r="C2158" s="10" t="s">
        <v>299</v>
      </c>
      <c r="D2158" s="10" t="s">
        <v>300</v>
      </c>
      <c r="E2158" s="11" t="str">
        <f>+HYPERLINK("http://trademark.i-assist.jp/data/china/image_1898th/78636963.pdf", "78636963")</f>
        <v>78636963</v>
      </c>
      <c r="F2158" s="10" t="s">
        <v>19</v>
      </c>
      <c r="G2158" s="10" t="s">
        <v>6078</v>
      </c>
      <c r="H2158" s="10" t="s">
        <v>6079</v>
      </c>
      <c r="I2158" s="10" t="s">
        <v>5719</v>
      </c>
    </row>
    <row r="2159" spans="1:9" x14ac:dyDescent="0.15">
      <c r="A2159" s="9">
        <v>2158</v>
      </c>
      <c r="B2159" s="10" t="s">
        <v>9</v>
      </c>
      <c r="C2159" s="10" t="s">
        <v>299</v>
      </c>
      <c r="D2159" s="10" t="s">
        <v>300</v>
      </c>
      <c r="E2159" s="11" t="str">
        <f>+HYPERLINK("http://trademark.i-assist.jp/data/china/image_1898th/78637045.pdf", "78637045")</f>
        <v>78637045</v>
      </c>
      <c r="F2159" s="10" t="s">
        <v>6080</v>
      </c>
      <c r="G2159" s="10" t="s">
        <v>5780</v>
      </c>
      <c r="H2159" s="10" t="s">
        <v>6081</v>
      </c>
      <c r="I2159" s="10" t="s">
        <v>5719</v>
      </c>
    </row>
    <row r="2160" spans="1:9" x14ac:dyDescent="0.15">
      <c r="A2160" s="9">
        <v>2159</v>
      </c>
      <c r="B2160" s="10" t="s">
        <v>9</v>
      </c>
      <c r="C2160" s="10" t="s">
        <v>299</v>
      </c>
      <c r="D2160" s="10" t="s">
        <v>300</v>
      </c>
      <c r="E2160" s="11" t="str">
        <f>+HYPERLINK("http://trademark.i-assist.jp/data/china/image_1898th/78637595.pdf", "78637595")</f>
        <v>78637595</v>
      </c>
      <c r="F2160" s="10" t="s">
        <v>6082</v>
      </c>
      <c r="G2160" s="10" t="s">
        <v>6083</v>
      </c>
      <c r="H2160" s="10" t="s">
        <v>6084</v>
      </c>
      <c r="I2160" s="10" t="s">
        <v>5719</v>
      </c>
    </row>
    <row r="2161" spans="1:9" x14ac:dyDescent="0.15">
      <c r="A2161" s="9">
        <v>2160</v>
      </c>
      <c r="B2161" s="10" t="s">
        <v>9</v>
      </c>
      <c r="C2161" s="10" t="s">
        <v>299</v>
      </c>
      <c r="D2161" s="10" t="s">
        <v>300</v>
      </c>
      <c r="E2161" s="11" t="str">
        <f>+HYPERLINK("http://trademark.i-assist.jp/data/china/image_1898th/78637619.pdf", "78637619")</f>
        <v>78637619</v>
      </c>
      <c r="F2161" s="10" t="s">
        <v>6085</v>
      </c>
      <c r="G2161" s="10" t="s">
        <v>6086</v>
      </c>
      <c r="H2161" s="10" t="s">
        <v>6087</v>
      </c>
      <c r="I2161" s="10" t="s">
        <v>5719</v>
      </c>
    </row>
    <row r="2162" spans="1:9" x14ac:dyDescent="0.15">
      <c r="A2162" s="9">
        <v>2161</v>
      </c>
      <c r="B2162" s="10" t="s">
        <v>9</v>
      </c>
      <c r="C2162" s="10" t="s">
        <v>299</v>
      </c>
      <c r="D2162" s="10" t="s">
        <v>300</v>
      </c>
      <c r="E2162" s="11" t="str">
        <f>+HYPERLINK("http://trademark.i-assist.jp/data/china/image_1898th/78637839.pdf", "78637839")</f>
        <v>78637839</v>
      </c>
      <c r="F2162" s="10" t="s">
        <v>6088</v>
      </c>
      <c r="G2162" s="10" t="s">
        <v>6089</v>
      </c>
      <c r="H2162" s="10" t="s">
        <v>6090</v>
      </c>
      <c r="I2162" s="10" t="s">
        <v>5719</v>
      </c>
    </row>
    <row r="2163" spans="1:9" x14ac:dyDescent="0.15">
      <c r="A2163" s="9">
        <v>2162</v>
      </c>
      <c r="B2163" s="10" t="s">
        <v>9</v>
      </c>
      <c r="C2163" s="10" t="s">
        <v>299</v>
      </c>
      <c r="D2163" s="10" t="s">
        <v>300</v>
      </c>
      <c r="E2163" s="11" t="str">
        <f>+HYPERLINK("http://trademark.i-assist.jp/data/china/image_1898th/78638013.pdf", "78638013")</f>
        <v>78638013</v>
      </c>
      <c r="F2163" s="10" t="s">
        <v>6091</v>
      </c>
      <c r="G2163" s="10" t="s">
        <v>5984</v>
      </c>
      <c r="H2163" s="10" t="s">
        <v>6092</v>
      </c>
      <c r="I2163" s="10" t="s">
        <v>5719</v>
      </c>
    </row>
    <row r="2164" spans="1:9" x14ac:dyDescent="0.15">
      <c r="A2164" s="9">
        <v>2163</v>
      </c>
      <c r="B2164" s="10" t="s">
        <v>9</v>
      </c>
      <c r="C2164" s="10" t="s">
        <v>299</v>
      </c>
      <c r="D2164" s="10" t="s">
        <v>300</v>
      </c>
      <c r="E2164" s="11" t="str">
        <f>+HYPERLINK("http://trademark.i-assist.jp/data/china/image_1898th/78638148.pdf", "78638148")</f>
        <v>78638148</v>
      </c>
      <c r="F2164" s="10" t="s">
        <v>6093</v>
      </c>
      <c r="G2164" s="10" t="s">
        <v>6094</v>
      </c>
      <c r="H2164" s="10" t="s">
        <v>6095</v>
      </c>
      <c r="I2164" s="10" t="s">
        <v>5719</v>
      </c>
    </row>
    <row r="2165" spans="1:9" x14ac:dyDescent="0.15">
      <c r="A2165" s="9">
        <v>2164</v>
      </c>
      <c r="B2165" s="10" t="s">
        <v>9</v>
      </c>
      <c r="C2165" s="10" t="s">
        <v>299</v>
      </c>
      <c r="D2165" s="10" t="s">
        <v>300</v>
      </c>
      <c r="E2165" s="11" t="str">
        <f>+HYPERLINK("http://trademark.i-assist.jp/data/china/image_1898th/78638153.pdf", "78638153")</f>
        <v>78638153</v>
      </c>
      <c r="F2165" s="10" t="s">
        <v>19</v>
      </c>
      <c r="G2165" s="10" t="s">
        <v>6096</v>
      </c>
      <c r="H2165" s="10" t="s">
        <v>6097</v>
      </c>
      <c r="I2165" s="10" t="s">
        <v>5719</v>
      </c>
    </row>
    <row r="2166" spans="1:9" x14ac:dyDescent="0.15">
      <c r="A2166" s="9">
        <v>2165</v>
      </c>
      <c r="B2166" s="10" t="s">
        <v>9</v>
      </c>
      <c r="C2166" s="10" t="s">
        <v>299</v>
      </c>
      <c r="D2166" s="10" t="s">
        <v>300</v>
      </c>
      <c r="E2166" s="11" t="str">
        <f>+HYPERLINK("http://trademark.i-assist.jp/data/china/image_1898th/78638192.pdf", "78638192")</f>
        <v>78638192</v>
      </c>
      <c r="F2166" s="10" t="s">
        <v>6098</v>
      </c>
      <c r="G2166" s="10" t="s">
        <v>5806</v>
      </c>
      <c r="H2166" s="10" t="s">
        <v>6099</v>
      </c>
      <c r="I2166" s="10" t="s">
        <v>5719</v>
      </c>
    </row>
    <row r="2167" spans="1:9" x14ac:dyDescent="0.15">
      <c r="A2167" s="9">
        <v>2166</v>
      </c>
      <c r="B2167" s="10" t="s">
        <v>9</v>
      </c>
      <c r="C2167" s="10" t="s">
        <v>299</v>
      </c>
      <c r="D2167" s="10" t="s">
        <v>300</v>
      </c>
      <c r="E2167" s="11" t="str">
        <f>+HYPERLINK("http://trademark.i-assist.jp/data/china/image_1898th/78638540.pdf", "78638540")</f>
        <v>78638540</v>
      </c>
      <c r="F2167" s="10" t="s">
        <v>6100</v>
      </c>
      <c r="G2167" s="10" t="s">
        <v>6101</v>
      </c>
      <c r="H2167" s="10" t="s">
        <v>6102</v>
      </c>
      <c r="I2167" s="10" t="s">
        <v>5719</v>
      </c>
    </row>
    <row r="2168" spans="1:9" x14ac:dyDescent="0.15">
      <c r="A2168" s="9">
        <v>2167</v>
      </c>
      <c r="B2168" s="10" t="s">
        <v>9</v>
      </c>
      <c r="C2168" s="10" t="s">
        <v>299</v>
      </c>
      <c r="D2168" s="10" t="s">
        <v>300</v>
      </c>
      <c r="E2168" s="11" t="str">
        <f>+HYPERLINK("http://trademark.i-assist.jp/data/china/image_1898th/78638772.pdf", "78638772")</f>
        <v>78638772</v>
      </c>
      <c r="F2168" s="10" t="s">
        <v>6103</v>
      </c>
      <c r="G2168" s="10" t="s">
        <v>6104</v>
      </c>
      <c r="H2168" s="10" t="s">
        <v>6105</v>
      </c>
      <c r="I2168" s="10" t="s">
        <v>5719</v>
      </c>
    </row>
    <row r="2169" spans="1:9" x14ac:dyDescent="0.15">
      <c r="A2169" s="9">
        <v>2168</v>
      </c>
      <c r="B2169" s="10" t="s">
        <v>9</v>
      </c>
      <c r="C2169" s="10" t="s">
        <v>299</v>
      </c>
      <c r="D2169" s="10" t="s">
        <v>300</v>
      </c>
      <c r="E2169" s="11" t="str">
        <f>+HYPERLINK("http://trademark.i-assist.jp/data/china/image_1898th/78638988.pdf", "78638988")</f>
        <v>78638988</v>
      </c>
      <c r="F2169" s="10" t="s">
        <v>6106</v>
      </c>
      <c r="G2169" s="10" t="s">
        <v>205</v>
      </c>
      <c r="H2169" s="10" t="s">
        <v>34</v>
      </c>
      <c r="I2169" s="10" t="s">
        <v>5719</v>
      </c>
    </row>
    <row r="2170" spans="1:9" x14ac:dyDescent="0.15">
      <c r="A2170" s="9">
        <v>2169</v>
      </c>
      <c r="B2170" s="10" t="s">
        <v>9</v>
      </c>
      <c r="C2170" s="10" t="s">
        <v>299</v>
      </c>
      <c r="D2170" s="10" t="s">
        <v>300</v>
      </c>
      <c r="E2170" s="11" t="str">
        <f>+HYPERLINK("http://trademark.i-assist.jp/data/china/image_1898th/78639518.pdf", "78639518")</f>
        <v>78639518</v>
      </c>
      <c r="F2170" s="10" t="s">
        <v>6107</v>
      </c>
      <c r="G2170" s="10" t="s">
        <v>6108</v>
      </c>
      <c r="H2170" s="10" t="s">
        <v>6109</v>
      </c>
      <c r="I2170" s="10" t="s">
        <v>5719</v>
      </c>
    </row>
    <row r="2171" spans="1:9" x14ac:dyDescent="0.15">
      <c r="A2171" s="9">
        <v>2170</v>
      </c>
      <c r="B2171" s="10" t="s">
        <v>9</v>
      </c>
      <c r="C2171" s="10" t="s">
        <v>299</v>
      </c>
      <c r="D2171" s="10" t="s">
        <v>300</v>
      </c>
      <c r="E2171" s="11" t="str">
        <f>+HYPERLINK("http://trademark.i-assist.jp/data/china/image_1898th/78639524.pdf", "78639524")</f>
        <v>78639524</v>
      </c>
      <c r="F2171" s="10" t="s">
        <v>6110</v>
      </c>
      <c r="G2171" s="10" t="s">
        <v>110</v>
      </c>
      <c r="H2171" s="10" t="s">
        <v>6111</v>
      </c>
      <c r="I2171" s="10" t="s">
        <v>5719</v>
      </c>
    </row>
    <row r="2172" spans="1:9" x14ac:dyDescent="0.15">
      <c r="A2172" s="9">
        <v>2171</v>
      </c>
      <c r="B2172" s="10" t="s">
        <v>9</v>
      </c>
      <c r="C2172" s="10" t="s">
        <v>299</v>
      </c>
      <c r="D2172" s="10" t="s">
        <v>300</v>
      </c>
      <c r="E2172" s="11" t="str">
        <f>+HYPERLINK("http://trademark.i-assist.jp/data/china/image_1898th/78639712.pdf", "78639712")</f>
        <v>78639712</v>
      </c>
      <c r="F2172" s="10" t="s">
        <v>6112</v>
      </c>
      <c r="G2172" s="10" t="s">
        <v>6113</v>
      </c>
      <c r="H2172" s="10" t="s">
        <v>6114</v>
      </c>
      <c r="I2172" s="10" t="s">
        <v>5719</v>
      </c>
    </row>
    <row r="2173" spans="1:9" x14ac:dyDescent="0.15">
      <c r="A2173" s="9">
        <v>2172</v>
      </c>
      <c r="B2173" s="10" t="s">
        <v>9</v>
      </c>
      <c r="C2173" s="10" t="s">
        <v>299</v>
      </c>
      <c r="D2173" s="10" t="s">
        <v>300</v>
      </c>
      <c r="E2173" s="11" t="str">
        <f>+HYPERLINK("http://trademark.i-assist.jp/data/china/image_1898th/78639718.pdf", "78639718")</f>
        <v>78639718</v>
      </c>
      <c r="F2173" s="10" t="s">
        <v>6115</v>
      </c>
      <c r="G2173" s="10" t="s">
        <v>236</v>
      </c>
      <c r="H2173" s="10" t="s">
        <v>6116</v>
      </c>
      <c r="I2173" s="10" t="s">
        <v>5719</v>
      </c>
    </row>
    <row r="2174" spans="1:9" x14ac:dyDescent="0.15">
      <c r="A2174" s="9">
        <v>2173</v>
      </c>
      <c r="B2174" s="10" t="s">
        <v>9</v>
      </c>
      <c r="C2174" s="10" t="s">
        <v>299</v>
      </c>
      <c r="D2174" s="10" t="s">
        <v>300</v>
      </c>
      <c r="E2174" s="11" t="str">
        <f>+HYPERLINK("http://trademark.i-assist.jp/data/china/image_1898th/78639782.pdf", "78639782")</f>
        <v>78639782</v>
      </c>
      <c r="F2174" s="10" t="s">
        <v>6117</v>
      </c>
      <c r="G2174" s="10" t="s">
        <v>6118</v>
      </c>
      <c r="H2174" s="10" t="s">
        <v>6119</v>
      </c>
      <c r="I2174" s="10" t="s">
        <v>5719</v>
      </c>
    </row>
    <row r="2175" spans="1:9" x14ac:dyDescent="0.15">
      <c r="A2175" s="9">
        <v>2174</v>
      </c>
      <c r="B2175" s="10" t="s">
        <v>9</v>
      </c>
      <c r="C2175" s="10" t="s">
        <v>299</v>
      </c>
      <c r="D2175" s="10" t="s">
        <v>300</v>
      </c>
      <c r="E2175" s="11" t="str">
        <f>+HYPERLINK("http://trademark.i-assist.jp/data/china/image_1898th/78640425.pdf", "78640425")</f>
        <v>78640425</v>
      </c>
      <c r="F2175" s="10" t="s">
        <v>6120</v>
      </c>
      <c r="G2175" s="10" t="s">
        <v>6121</v>
      </c>
      <c r="H2175" s="10" t="s">
        <v>6122</v>
      </c>
      <c r="I2175" s="10" t="s">
        <v>5719</v>
      </c>
    </row>
    <row r="2176" spans="1:9" x14ac:dyDescent="0.15">
      <c r="A2176" s="9">
        <v>2175</v>
      </c>
      <c r="B2176" s="10" t="s">
        <v>9</v>
      </c>
      <c r="C2176" s="10" t="s">
        <v>299</v>
      </c>
      <c r="D2176" s="10" t="s">
        <v>300</v>
      </c>
      <c r="E2176" s="11" t="str">
        <f>+HYPERLINK("http://trademark.i-assist.jp/data/china/image_1898th/78640569.pdf", "78640569")</f>
        <v>78640569</v>
      </c>
      <c r="F2176" s="10" t="s">
        <v>6123</v>
      </c>
      <c r="G2176" s="10" t="s">
        <v>5823</v>
      </c>
      <c r="H2176" s="10" t="s">
        <v>6124</v>
      </c>
      <c r="I2176" s="10" t="s">
        <v>5719</v>
      </c>
    </row>
    <row r="2177" spans="1:9" x14ac:dyDescent="0.15">
      <c r="A2177" s="9">
        <v>2176</v>
      </c>
      <c r="B2177" s="10" t="s">
        <v>9</v>
      </c>
      <c r="C2177" s="10" t="s">
        <v>299</v>
      </c>
      <c r="D2177" s="10" t="s">
        <v>300</v>
      </c>
      <c r="E2177" s="11" t="str">
        <f>+HYPERLINK("http://trademark.i-assist.jp/data/china/image_1898th/78640702.pdf", "78640702")</f>
        <v>78640702</v>
      </c>
      <c r="F2177" s="10" t="s">
        <v>6125</v>
      </c>
      <c r="G2177" s="10" t="s">
        <v>6126</v>
      </c>
      <c r="H2177" s="10" t="s">
        <v>6127</v>
      </c>
      <c r="I2177" s="10" t="s">
        <v>5719</v>
      </c>
    </row>
    <row r="2178" spans="1:9" x14ac:dyDescent="0.15">
      <c r="A2178" s="9">
        <v>2177</v>
      </c>
      <c r="B2178" s="10" t="s">
        <v>9</v>
      </c>
      <c r="C2178" s="10" t="s">
        <v>299</v>
      </c>
      <c r="D2178" s="10" t="s">
        <v>300</v>
      </c>
      <c r="E2178" s="11" t="str">
        <f>+HYPERLINK("http://trademark.i-assist.jp/data/china/image_1898th/78640756.pdf", "78640756")</f>
        <v>78640756</v>
      </c>
      <c r="F2178" s="10" t="s">
        <v>6128</v>
      </c>
      <c r="G2178" s="10" t="s">
        <v>6129</v>
      </c>
      <c r="H2178" s="10" t="s">
        <v>6130</v>
      </c>
      <c r="I2178" s="10" t="s">
        <v>5719</v>
      </c>
    </row>
    <row r="2179" spans="1:9" x14ac:dyDescent="0.15">
      <c r="A2179" s="9">
        <v>2178</v>
      </c>
      <c r="B2179" s="10" t="s">
        <v>9</v>
      </c>
      <c r="C2179" s="10" t="s">
        <v>299</v>
      </c>
      <c r="D2179" s="10" t="s">
        <v>300</v>
      </c>
      <c r="E2179" s="11" t="str">
        <f>+HYPERLINK("http://trademark.i-assist.jp/data/china/image_1898th/78640806.pdf", "78640806")</f>
        <v>78640806</v>
      </c>
      <c r="F2179" s="10" t="s">
        <v>6131</v>
      </c>
      <c r="G2179" s="10" t="s">
        <v>6132</v>
      </c>
      <c r="H2179" s="10" t="s">
        <v>6133</v>
      </c>
      <c r="I2179" s="10" t="s">
        <v>5719</v>
      </c>
    </row>
    <row r="2180" spans="1:9" x14ac:dyDescent="0.15">
      <c r="A2180" s="9">
        <v>2179</v>
      </c>
      <c r="B2180" s="10" t="s">
        <v>9</v>
      </c>
      <c r="C2180" s="10" t="s">
        <v>299</v>
      </c>
      <c r="D2180" s="10" t="s">
        <v>300</v>
      </c>
      <c r="E2180" s="11" t="str">
        <f>+HYPERLINK("http://trademark.i-assist.jp/data/china/image_1898th/78640913.pdf", "78640913")</f>
        <v>78640913</v>
      </c>
      <c r="F2180" s="10" t="s">
        <v>6134</v>
      </c>
      <c r="G2180" s="10" t="s">
        <v>6135</v>
      </c>
      <c r="H2180" s="10" t="s">
        <v>148</v>
      </c>
      <c r="I2180" s="10" t="s">
        <v>5719</v>
      </c>
    </row>
    <row r="2181" spans="1:9" x14ac:dyDescent="0.15">
      <c r="A2181" s="9">
        <v>2180</v>
      </c>
      <c r="B2181" s="10" t="s">
        <v>9</v>
      </c>
      <c r="C2181" s="10" t="s">
        <v>299</v>
      </c>
      <c r="D2181" s="10" t="s">
        <v>300</v>
      </c>
      <c r="E2181" s="11" t="str">
        <f>+HYPERLINK("http://trademark.i-assist.jp/data/china/image_1898th/78640965.pdf", "78640965")</f>
        <v>78640965</v>
      </c>
      <c r="F2181" s="10" t="s">
        <v>6136</v>
      </c>
      <c r="G2181" s="10" t="s">
        <v>5866</v>
      </c>
      <c r="H2181" s="10" t="s">
        <v>6137</v>
      </c>
      <c r="I2181" s="10" t="s">
        <v>5719</v>
      </c>
    </row>
    <row r="2182" spans="1:9" x14ac:dyDescent="0.15">
      <c r="A2182" s="9">
        <v>2181</v>
      </c>
      <c r="B2182" s="10" t="s">
        <v>9</v>
      </c>
      <c r="C2182" s="10" t="s">
        <v>299</v>
      </c>
      <c r="D2182" s="10" t="s">
        <v>300</v>
      </c>
      <c r="E2182" s="11" t="str">
        <f>+HYPERLINK("http://trademark.i-assist.jp/data/china/image_1898th/78641018.pdf", "78641018")</f>
        <v>78641018</v>
      </c>
      <c r="F2182" s="10" t="s">
        <v>6138</v>
      </c>
      <c r="G2182" s="10" t="s">
        <v>6139</v>
      </c>
      <c r="H2182" s="10" t="s">
        <v>6140</v>
      </c>
      <c r="I2182" s="10" t="s">
        <v>5719</v>
      </c>
    </row>
    <row r="2183" spans="1:9" x14ac:dyDescent="0.15">
      <c r="A2183" s="9">
        <v>2182</v>
      </c>
      <c r="B2183" s="10" t="s">
        <v>9</v>
      </c>
      <c r="C2183" s="10" t="s">
        <v>299</v>
      </c>
      <c r="D2183" s="10" t="s">
        <v>300</v>
      </c>
      <c r="E2183" s="11" t="str">
        <f>+HYPERLINK("http://trademark.i-assist.jp/data/china/image_1898th/78641193.pdf", "78641193")</f>
        <v>78641193</v>
      </c>
      <c r="F2183" s="10" t="s">
        <v>6141</v>
      </c>
      <c r="G2183" s="10" t="s">
        <v>6142</v>
      </c>
      <c r="H2183" s="10" t="s">
        <v>6143</v>
      </c>
      <c r="I2183" s="10" t="s">
        <v>5719</v>
      </c>
    </row>
    <row r="2184" spans="1:9" x14ac:dyDescent="0.15">
      <c r="A2184" s="9">
        <v>2183</v>
      </c>
      <c r="B2184" s="10" t="s">
        <v>9</v>
      </c>
      <c r="C2184" s="10" t="s">
        <v>299</v>
      </c>
      <c r="D2184" s="10" t="s">
        <v>300</v>
      </c>
      <c r="E2184" s="11" t="str">
        <f>+HYPERLINK("http://trademark.i-assist.jp/data/china/image_1898th/78641224.pdf", "78641224")</f>
        <v>78641224</v>
      </c>
      <c r="F2184" s="10" t="s">
        <v>6144</v>
      </c>
      <c r="G2184" s="10" t="s">
        <v>6145</v>
      </c>
      <c r="H2184" s="10" t="s">
        <v>6146</v>
      </c>
      <c r="I2184" s="10" t="s">
        <v>5719</v>
      </c>
    </row>
    <row r="2185" spans="1:9" x14ac:dyDescent="0.15">
      <c r="A2185" s="9">
        <v>2184</v>
      </c>
      <c r="B2185" s="10" t="s">
        <v>9</v>
      </c>
      <c r="C2185" s="10" t="s">
        <v>299</v>
      </c>
      <c r="D2185" s="10" t="s">
        <v>300</v>
      </c>
      <c r="E2185" s="11" t="str">
        <f>+HYPERLINK("http://trademark.i-assist.jp/data/china/image_1898th/78641394.pdf", "78641394")</f>
        <v>78641394</v>
      </c>
      <c r="F2185" s="10" t="s">
        <v>19</v>
      </c>
      <c r="G2185" s="10" t="s">
        <v>5984</v>
      </c>
      <c r="H2185" s="10" t="s">
        <v>6147</v>
      </c>
      <c r="I2185" s="10" t="s">
        <v>5719</v>
      </c>
    </row>
    <row r="2186" spans="1:9" x14ac:dyDescent="0.15">
      <c r="A2186" s="9">
        <v>2185</v>
      </c>
      <c r="B2186" s="10" t="s">
        <v>9</v>
      </c>
      <c r="C2186" s="10" t="s">
        <v>299</v>
      </c>
      <c r="D2186" s="10" t="s">
        <v>300</v>
      </c>
      <c r="E2186" s="11" t="str">
        <f>+HYPERLINK("http://trademark.i-assist.jp/data/china/image_1898th/78641419.pdf", "78641419")</f>
        <v>78641419</v>
      </c>
      <c r="F2186" s="10" t="s">
        <v>6148</v>
      </c>
      <c r="G2186" s="10" t="s">
        <v>6149</v>
      </c>
      <c r="H2186" s="10" t="s">
        <v>6150</v>
      </c>
      <c r="I2186" s="10" t="s">
        <v>5719</v>
      </c>
    </row>
    <row r="2187" spans="1:9" x14ac:dyDescent="0.15">
      <c r="A2187" s="9">
        <v>2186</v>
      </c>
      <c r="B2187" s="10" t="s">
        <v>9</v>
      </c>
      <c r="C2187" s="10" t="s">
        <v>299</v>
      </c>
      <c r="D2187" s="10" t="s">
        <v>300</v>
      </c>
      <c r="E2187" s="11" t="str">
        <f>+HYPERLINK("http://trademark.i-assist.jp/data/china/image_1898th/78641430.pdf", "78641430")</f>
        <v>78641430</v>
      </c>
      <c r="F2187" s="10" t="s">
        <v>6151</v>
      </c>
      <c r="G2187" s="10" t="s">
        <v>5727</v>
      </c>
      <c r="H2187" s="10" t="s">
        <v>6152</v>
      </c>
      <c r="I2187" s="10" t="s">
        <v>5719</v>
      </c>
    </row>
    <row r="2188" spans="1:9" x14ac:dyDescent="0.15">
      <c r="A2188" s="9">
        <v>2187</v>
      </c>
      <c r="B2188" s="10" t="s">
        <v>9</v>
      </c>
      <c r="C2188" s="10" t="s">
        <v>299</v>
      </c>
      <c r="D2188" s="10" t="s">
        <v>300</v>
      </c>
      <c r="E2188" s="11" t="str">
        <f>+HYPERLINK("http://trademark.i-assist.jp/data/china/image_1898th/78641435.pdf", "78641435")</f>
        <v>78641435</v>
      </c>
      <c r="F2188" s="10" t="s">
        <v>6153</v>
      </c>
      <c r="G2188" s="10" t="s">
        <v>6154</v>
      </c>
      <c r="H2188" s="10" t="s">
        <v>6155</v>
      </c>
      <c r="I2188" s="10" t="s">
        <v>5719</v>
      </c>
    </row>
    <row r="2189" spans="1:9" x14ac:dyDescent="0.15">
      <c r="A2189" s="9">
        <v>2188</v>
      </c>
      <c r="B2189" s="10" t="s">
        <v>9</v>
      </c>
      <c r="C2189" s="10" t="s">
        <v>299</v>
      </c>
      <c r="D2189" s="10" t="s">
        <v>300</v>
      </c>
      <c r="E2189" s="11" t="str">
        <f>+HYPERLINK("http://trademark.i-assist.jp/data/china/image_1898th/78641515.pdf", "78641515")</f>
        <v>78641515</v>
      </c>
      <c r="F2189" s="10" t="s">
        <v>6156</v>
      </c>
      <c r="G2189" s="10" t="s">
        <v>5739</v>
      </c>
      <c r="H2189" s="10" t="s">
        <v>6157</v>
      </c>
      <c r="I2189" s="10" t="s">
        <v>5719</v>
      </c>
    </row>
    <row r="2190" spans="1:9" x14ac:dyDescent="0.15">
      <c r="A2190" s="9">
        <v>2189</v>
      </c>
      <c r="B2190" s="10" t="s">
        <v>9</v>
      </c>
      <c r="C2190" s="10" t="s">
        <v>299</v>
      </c>
      <c r="D2190" s="10" t="s">
        <v>300</v>
      </c>
      <c r="E2190" s="11" t="str">
        <f>+HYPERLINK("http://trademark.i-assist.jp/data/china/image_1898th/78641785.pdf", "78641785")</f>
        <v>78641785</v>
      </c>
      <c r="F2190" s="10" t="s">
        <v>6158</v>
      </c>
      <c r="G2190" s="10" t="s">
        <v>6159</v>
      </c>
      <c r="H2190" s="10" t="s">
        <v>6160</v>
      </c>
      <c r="I2190" s="10" t="s">
        <v>5719</v>
      </c>
    </row>
    <row r="2191" spans="1:9" x14ac:dyDescent="0.15">
      <c r="A2191" s="9">
        <v>2190</v>
      </c>
      <c r="B2191" s="10" t="s">
        <v>9</v>
      </c>
      <c r="C2191" s="10" t="s">
        <v>299</v>
      </c>
      <c r="D2191" s="10" t="s">
        <v>300</v>
      </c>
      <c r="E2191" s="11" t="str">
        <f>+HYPERLINK("http://trademark.i-assist.jp/data/china/image_1898th/78642142.pdf", "78642142")</f>
        <v>78642142</v>
      </c>
      <c r="F2191" s="10" t="s">
        <v>6161</v>
      </c>
      <c r="G2191" s="10" t="s">
        <v>6162</v>
      </c>
      <c r="H2191" s="10" t="s">
        <v>6163</v>
      </c>
      <c r="I2191" s="10" t="s">
        <v>5719</v>
      </c>
    </row>
    <row r="2192" spans="1:9" x14ac:dyDescent="0.15">
      <c r="A2192" s="9">
        <v>2191</v>
      </c>
      <c r="B2192" s="10" t="s">
        <v>9</v>
      </c>
      <c r="C2192" s="10" t="s">
        <v>299</v>
      </c>
      <c r="D2192" s="10" t="s">
        <v>300</v>
      </c>
      <c r="E2192" s="11" t="str">
        <f>+HYPERLINK("http://trademark.i-assist.jp/data/china/image_1898th/78642213.pdf", "78642213")</f>
        <v>78642213</v>
      </c>
      <c r="F2192" s="10" t="s">
        <v>6164</v>
      </c>
      <c r="G2192" s="10" t="s">
        <v>6165</v>
      </c>
      <c r="H2192" s="10" t="s">
        <v>6166</v>
      </c>
      <c r="I2192" s="10" t="s">
        <v>5719</v>
      </c>
    </row>
    <row r="2193" spans="1:9" x14ac:dyDescent="0.15">
      <c r="A2193" s="9">
        <v>2192</v>
      </c>
      <c r="B2193" s="10" t="s">
        <v>9</v>
      </c>
      <c r="C2193" s="10" t="s">
        <v>299</v>
      </c>
      <c r="D2193" s="10" t="s">
        <v>300</v>
      </c>
      <c r="E2193" s="11" t="str">
        <f>+HYPERLINK("http://trademark.i-assist.jp/data/china/image_1898th/78642235.pdf", "78642235")</f>
        <v>78642235</v>
      </c>
      <c r="F2193" s="10" t="s">
        <v>6167</v>
      </c>
      <c r="G2193" s="10" t="s">
        <v>6165</v>
      </c>
      <c r="H2193" s="10" t="s">
        <v>6168</v>
      </c>
      <c r="I2193" s="10" t="s">
        <v>5719</v>
      </c>
    </row>
    <row r="2194" spans="1:9" x14ac:dyDescent="0.15">
      <c r="A2194" s="9">
        <v>2193</v>
      </c>
      <c r="B2194" s="10" t="s">
        <v>9</v>
      </c>
      <c r="C2194" s="10" t="s">
        <v>299</v>
      </c>
      <c r="D2194" s="10" t="s">
        <v>300</v>
      </c>
      <c r="E2194" s="11" t="str">
        <f>+HYPERLINK("http://trademark.i-assist.jp/data/china/image_1898th/78642329.pdf", "78642329")</f>
        <v>78642329</v>
      </c>
      <c r="F2194" s="10" t="s">
        <v>6169</v>
      </c>
      <c r="G2194" s="10" t="s">
        <v>6170</v>
      </c>
      <c r="H2194" s="10" t="s">
        <v>6171</v>
      </c>
      <c r="I2194" s="10" t="s">
        <v>5719</v>
      </c>
    </row>
    <row r="2195" spans="1:9" x14ac:dyDescent="0.15">
      <c r="A2195" s="9">
        <v>2194</v>
      </c>
      <c r="B2195" s="10" t="s">
        <v>9</v>
      </c>
      <c r="C2195" s="10" t="s">
        <v>299</v>
      </c>
      <c r="D2195" s="10" t="s">
        <v>300</v>
      </c>
      <c r="E2195" s="11" t="str">
        <f>+HYPERLINK("http://trademark.i-assist.jp/data/china/image_1898th/78642480.pdf", "78642480")</f>
        <v>78642480</v>
      </c>
      <c r="F2195" s="10" t="s">
        <v>6172</v>
      </c>
      <c r="G2195" s="10" t="s">
        <v>6173</v>
      </c>
      <c r="H2195" s="10" t="s">
        <v>6174</v>
      </c>
      <c r="I2195" s="10" t="s">
        <v>5719</v>
      </c>
    </row>
    <row r="2196" spans="1:9" x14ac:dyDescent="0.15">
      <c r="A2196" s="9">
        <v>2195</v>
      </c>
      <c r="B2196" s="10" t="s">
        <v>9</v>
      </c>
      <c r="C2196" s="10" t="s">
        <v>299</v>
      </c>
      <c r="D2196" s="10" t="s">
        <v>300</v>
      </c>
      <c r="E2196" s="11" t="str">
        <f>+HYPERLINK("http://trademark.i-assist.jp/data/china/image_1898th/78642675.pdf", "78642675")</f>
        <v>78642675</v>
      </c>
      <c r="F2196" s="10" t="s">
        <v>6175</v>
      </c>
      <c r="G2196" s="10" t="s">
        <v>6035</v>
      </c>
      <c r="H2196" s="10" t="s">
        <v>6176</v>
      </c>
      <c r="I2196" s="10" t="s">
        <v>5719</v>
      </c>
    </row>
    <row r="2197" spans="1:9" x14ac:dyDescent="0.15">
      <c r="A2197" s="9">
        <v>2196</v>
      </c>
      <c r="B2197" s="10" t="s">
        <v>9</v>
      </c>
      <c r="C2197" s="10" t="s">
        <v>299</v>
      </c>
      <c r="D2197" s="10" t="s">
        <v>300</v>
      </c>
      <c r="E2197" s="11" t="str">
        <f>+HYPERLINK("http://trademark.i-assist.jp/data/china/image_1898th/78642867.pdf", "78642867")</f>
        <v>78642867</v>
      </c>
      <c r="F2197" s="10" t="s">
        <v>19</v>
      </c>
      <c r="G2197" s="10" t="s">
        <v>6177</v>
      </c>
      <c r="H2197" s="10" t="s">
        <v>6178</v>
      </c>
      <c r="I2197" s="10" t="s">
        <v>5719</v>
      </c>
    </row>
    <row r="2198" spans="1:9" x14ac:dyDescent="0.15">
      <c r="A2198" s="9">
        <v>2197</v>
      </c>
      <c r="B2198" s="10" t="s">
        <v>9</v>
      </c>
      <c r="C2198" s="10" t="s">
        <v>299</v>
      </c>
      <c r="D2198" s="10" t="s">
        <v>300</v>
      </c>
      <c r="E2198" s="11" t="str">
        <f>+HYPERLINK("http://trademark.i-assist.jp/data/china/image_1898th/78642961.pdf", "78642961")</f>
        <v>78642961</v>
      </c>
      <c r="F2198" s="10" t="s">
        <v>6179</v>
      </c>
      <c r="G2198" s="10" t="s">
        <v>6180</v>
      </c>
      <c r="H2198" s="10" t="s">
        <v>6181</v>
      </c>
      <c r="I2198" s="10" t="s">
        <v>5719</v>
      </c>
    </row>
    <row r="2199" spans="1:9" x14ac:dyDescent="0.15">
      <c r="A2199" s="9">
        <v>2198</v>
      </c>
      <c r="B2199" s="10" t="s">
        <v>9</v>
      </c>
      <c r="C2199" s="10" t="s">
        <v>299</v>
      </c>
      <c r="D2199" s="10" t="s">
        <v>300</v>
      </c>
      <c r="E2199" s="11" t="str">
        <f>+HYPERLINK("http://trademark.i-assist.jp/data/china/image_1898th/78643019.pdf", "78643019")</f>
        <v>78643019</v>
      </c>
      <c r="F2199" s="10" t="s">
        <v>6182</v>
      </c>
      <c r="G2199" s="10" t="s">
        <v>5806</v>
      </c>
      <c r="H2199" s="10" t="s">
        <v>6183</v>
      </c>
      <c r="I2199" s="10" t="s">
        <v>5719</v>
      </c>
    </row>
    <row r="2200" spans="1:9" x14ac:dyDescent="0.15">
      <c r="A2200" s="9">
        <v>2199</v>
      </c>
      <c r="B2200" s="10" t="s">
        <v>9</v>
      </c>
      <c r="C2200" s="10" t="s">
        <v>299</v>
      </c>
      <c r="D2200" s="10" t="s">
        <v>300</v>
      </c>
      <c r="E2200" s="11" t="str">
        <f>+HYPERLINK("http://trademark.i-assist.jp/data/china/image_1898th/78643059.pdf", "78643059")</f>
        <v>78643059</v>
      </c>
      <c r="F2200" s="10" t="s">
        <v>6184</v>
      </c>
      <c r="G2200" s="10" t="s">
        <v>5900</v>
      </c>
      <c r="H2200" s="10" t="s">
        <v>6185</v>
      </c>
      <c r="I2200" s="10" t="s">
        <v>5719</v>
      </c>
    </row>
    <row r="2201" spans="1:9" x14ac:dyDescent="0.15">
      <c r="A2201" s="9">
        <v>2200</v>
      </c>
      <c r="B2201" s="10" t="s">
        <v>9</v>
      </c>
      <c r="C2201" s="10" t="s">
        <v>299</v>
      </c>
      <c r="D2201" s="10" t="s">
        <v>300</v>
      </c>
      <c r="E2201" s="11" t="str">
        <f>+HYPERLINK("http://trademark.i-assist.jp/data/china/image_1898th/78643065.pdf", "78643065")</f>
        <v>78643065</v>
      </c>
      <c r="F2201" s="10" t="s">
        <v>6186</v>
      </c>
      <c r="G2201" s="10" t="s">
        <v>6187</v>
      </c>
      <c r="H2201" s="10" t="s">
        <v>6188</v>
      </c>
      <c r="I2201" s="10" t="s">
        <v>5719</v>
      </c>
    </row>
    <row r="2202" spans="1:9" x14ac:dyDescent="0.15">
      <c r="A2202" s="9">
        <v>2201</v>
      </c>
      <c r="B2202" s="10" t="s">
        <v>9</v>
      </c>
      <c r="C2202" s="10" t="s">
        <v>299</v>
      </c>
      <c r="D2202" s="10" t="s">
        <v>300</v>
      </c>
      <c r="E2202" s="11" t="str">
        <f>+HYPERLINK("http://trademark.i-assist.jp/data/china/image_1898th/78643080.pdf", "78643080")</f>
        <v>78643080</v>
      </c>
      <c r="F2202" s="10" t="s">
        <v>6189</v>
      </c>
      <c r="G2202" s="10" t="s">
        <v>6190</v>
      </c>
      <c r="H2202" s="10" t="s">
        <v>6191</v>
      </c>
      <c r="I2202" s="10" t="s">
        <v>5719</v>
      </c>
    </row>
    <row r="2203" spans="1:9" x14ac:dyDescent="0.15">
      <c r="A2203" s="9">
        <v>2202</v>
      </c>
      <c r="B2203" s="10" t="s">
        <v>9</v>
      </c>
      <c r="C2203" s="10" t="s">
        <v>299</v>
      </c>
      <c r="D2203" s="10" t="s">
        <v>300</v>
      </c>
      <c r="E2203" s="11" t="str">
        <f>+HYPERLINK("http://trademark.i-assist.jp/data/china/image_1898th/78643298.pdf", "78643298")</f>
        <v>78643298</v>
      </c>
      <c r="F2203" s="10" t="s">
        <v>6192</v>
      </c>
      <c r="G2203" s="10" t="s">
        <v>5886</v>
      </c>
      <c r="H2203" s="10" t="s">
        <v>6193</v>
      </c>
      <c r="I2203" s="10" t="s">
        <v>5719</v>
      </c>
    </row>
    <row r="2204" spans="1:9" x14ac:dyDescent="0.15">
      <c r="A2204" s="9">
        <v>2203</v>
      </c>
      <c r="B2204" s="10" t="s">
        <v>9</v>
      </c>
      <c r="C2204" s="10" t="s">
        <v>299</v>
      </c>
      <c r="D2204" s="10" t="s">
        <v>300</v>
      </c>
      <c r="E2204" s="11" t="str">
        <f>+HYPERLINK("http://trademark.i-assist.jp/data/china/image_1898th/78643447.pdf", "78643447")</f>
        <v>78643447</v>
      </c>
      <c r="F2204" s="10" t="s">
        <v>6194</v>
      </c>
      <c r="G2204" s="10" t="s">
        <v>6195</v>
      </c>
      <c r="H2204" s="10" t="s">
        <v>6196</v>
      </c>
      <c r="I2204" s="10" t="s">
        <v>5719</v>
      </c>
    </row>
    <row r="2205" spans="1:9" x14ac:dyDescent="0.15">
      <c r="A2205" s="9">
        <v>2204</v>
      </c>
      <c r="B2205" s="10" t="s">
        <v>9</v>
      </c>
      <c r="C2205" s="10" t="s">
        <v>299</v>
      </c>
      <c r="D2205" s="10" t="s">
        <v>300</v>
      </c>
      <c r="E2205" s="11" t="str">
        <f>+HYPERLINK("http://trademark.i-assist.jp/data/china/image_1898th/78643504.pdf", "78643504")</f>
        <v>78643504</v>
      </c>
      <c r="F2205" s="10" t="s">
        <v>6197</v>
      </c>
      <c r="G2205" s="10" t="s">
        <v>6198</v>
      </c>
      <c r="H2205" s="10" t="s">
        <v>6199</v>
      </c>
      <c r="I2205" s="10" t="s">
        <v>5719</v>
      </c>
    </row>
    <row r="2206" spans="1:9" x14ac:dyDescent="0.15">
      <c r="A2206" s="9">
        <v>2205</v>
      </c>
      <c r="B2206" s="10" t="s">
        <v>9</v>
      </c>
      <c r="C2206" s="10" t="s">
        <v>299</v>
      </c>
      <c r="D2206" s="10" t="s">
        <v>300</v>
      </c>
      <c r="E2206" s="11" t="str">
        <f>+HYPERLINK("http://trademark.i-assist.jp/data/china/image_1898th/78643630.pdf", "78643630")</f>
        <v>78643630</v>
      </c>
      <c r="F2206" s="10" t="s">
        <v>6200</v>
      </c>
      <c r="G2206" s="10" t="s">
        <v>6003</v>
      </c>
      <c r="H2206" s="10" t="s">
        <v>6201</v>
      </c>
      <c r="I2206" s="10" t="s">
        <v>5719</v>
      </c>
    </row>
    <row r="2207" spans="1:9" x14ac:dyDescent="0.15">
      <c r="A2207" s="9">
        <v>2206</v>
      </c>
      <c r="B2207" s="10" t="s">
        <v>9</v>
      </c>
      <c r="C2207" s="10" t="s">
        <v>299</v>
      </c>
      <c r="D2207" s="10" t="s">
        <v>300</v>
      </c>
      <c r="E2207" s="11" t="str">
        <f>+HYPERLINK("http://trademark.i-assist.jp/data/china/image_1898th/78643741.pdf", "78643741")</f>
        <v>78643741</v>
      </c>
      <c r="F2207" s="10" t="s">
        <v>6202</v>
      </c>
      <c r="G2207" s="10" t="s">
        <v>285</v>
      </c>
      <c r="H2207" s="10" t="s">
        <v>6203</v>
      </c>
      <c r="I2207" s="10" t="s">
        <v>5719</v>
      </c>
    </row>
    <row r="2208" spans="1:9" x14ac:dyDescent="0.15">
      <c r="A2208" s="9">
        <v>2207</v>
      </c>
      <c r="B2208" s="10" t="s">
        <v>9</v>
      </c>
      <c r="C2208" s="10" t="s">
        <v>299</v>
      </c>
      <c r="D2208" s="10" t="s">
        <v>300</v>
      </c>
      <c r="E2208" s="11" t="str">
        <f>+HYPERLINK("http://trademark.i-assist.jp/data/china/image_1898th/78643826.pdf", "78643826")</f>
        <v>78643826</v>
      </c>
      <c r="F2208" s="10" t="s">
        <v>6204</v>
      </c>
      <c r="G2208" s="10" t="s">
        <v>6205</v>
      </c>
      <c r="H2208" s="10" t="s">
        <v>6206</v>
      </c>
      <c r="I2208" s="10" t="s">
        <v>5719</v>
      </c>
    </row>
    <row r="2209" spans="1:9" x14ac:dyDescent="0.15">
      <c r="A2209" s="9">
        <v>2208</v>
      </c>
      <c r="B2209" s="10" t="s">
        <v>9</v>
      </c>
      <c r="C2209" s="10" t="s">
        <v>299</v>
      </c>
      <c r="D2209" s="10" t="s">
        <v>300</v>
      </c>
      <c r="E2209" s="11" t="str">
        <f>+HYPERLINK("http://trademark.i-assist.jp/data/china/image_1898th/78643847.pdf", "78643847")</f>
        <v>78643847</v>
      </c>
      <c r="F2209" s="10" t="s">
        <v>6207</v>
      </c>
      <c r="G2209" s="10" t="s">
        <v>205</v>
      </c>
      <c r="H2209" s="10" t="s">
        <v>34</v>
      </c>
      <c r="I2209" s="10" t="s">
        <v>5719</v>
      </c>
    </row>
    <row r="2210" spans="1:9" x14ac:dyDescent="0.15">
      <c r="A2210" s="9">
        <v>2209</v>
      </c>
      <c r="B2210" s="10" t="s">
        <v>9</v>
      </c>
      <c r="C2210" s="10" t="s">
        <v>299</v>
      </c>
      <c r="D2210" s="10" t="s">
        <v>300</v>
      </c>
      <c r="E2210" s="11" t="str">
        <f>+HYPERLINK("http://trademark.i-assist.jp/data/china/image_1898th/78643876.pdf", "78643876")</f>
        <v>78643876</v>
      </c>
      <c r="F2210" s="10" t="s">
        <v>6208</v>
      </c>
      <c r="G2210" s="10" t="s">
        <v>285</v>
      </c>
      <c r="H2210" s="10" t="s">
        <v>6209</v>
      </c>
      <c r="I2210" s="10" t="s">
        <v>5719</v>
      </c>
    </row>
    <row r="2211" spans="1:9" x14ac:dyDescent="0.15">
      <c r="A2211" s="9">
        <v>2210</v>
      </c>
      <c r="B2211" s="10" t="s">
        <v>9</v>
      </c>
      <c r="C2211" s="10" t="s">
        <v>299</v>
      </c>
      <c r="D2211" s="10" t="s">
        <v>300</v>
      </c>
      <c r="E2211" s="11" t="str">
        <f>+HYPERLINK("http://trademark.i-assist.jp/data/china/image_1898th/78644014.pdf", "78644014")</f>
        <v>78644014</v>
      </c>
      <c r="F2211" s="10" t="s">
        <v>6210</v>
      </c>
      <c r="G2211" s="10" t="s">
        <v>5874</v>
      </c>
      <c r="H2211" s="10" t="s">
        <v>6211</v>
      </c>
      <c r="I2211" s="10" t="s">
        <v>5719</v>
      </c>
    </row>
    <row r="2212" spans="1:9" x14ac:dyDescent="0.15">
      <c r="A2212" s="9">
        <v>2211</v>
      </c>
      <c r="B2212" s="10" t="s">
        <v>9</v>
      </c>
      <c r="C2212" s="10" t="s">
        <v>299</v>
      </c>
      <c r="D2212" s="10" t="s">
        <v>300</v>
      </c>
      <c r="E2212" s="11" t="str">
        <f>+HYPERLINK("http://trademark.i-assist.jp/data/china/image_1898th/78644021.pdf", "78644021")</f>
        <v>78644021</v>
      </c>
      <c r="F2212" s="10" t="s">
        <v>6212</v>
      </c>
      <c r="G2212" s="10" t="s">
        <v>5906</v>
      </c>
      <c r="H2212" s="10" t="s">
        <v>6213</v>
      </c>
      <c r="I2212" s="10" t="s">
        <v>5719</v>
      </c>
    </row>
    <row r="2213" spans="1:9" x14ac:dyDescent="0.15">
      <c r="A2213" s="9">
        <v>2212</v>
      </c>
      <c r="B2213" s="10" t="s">
        <v>9</v>
      </c>
      <c r="C2213" s="10" t="s">
        <v>299</v>
      </c>
      <c r="D2213" s="10" t="s">
        <v>300</v>
      </c>
      <c r="E2213" s="11" t="str">
        <f>+HYPERLINK("http://trademark.i-assist.jp/data/china/image_1898th/78644027.pdf", "78644027")</f>
        <v>78644027</v>
      </c>
      <c r="F2213" s="10" t="s">
        <v>6214</v>
      </c>
      <c r="G2213" s="10" t="s">
        <v>5874</v>
      </c>
      <c r="H2213" s="10" t="s">
        <v>6215</v>
      </c>
      <c r="I2213" s="10" t="s">
        <v>5719</v>
      </c>
    </row>
    <row r="2214" spans="1:9" x14ac:dyDescent="0.15">
      <c r="A2214" s="9">
        <v>2213</v>
      </c>
      <c r="B2214" s="10" t="s">
        <v>9</v>
      </c>
      <c r="C2214" s="10" t="s">
        <v>299</v>
      </c>
      <c r="D2214" s="10" t="s">
        <v>300</v>
      </c>
      <c r="E2214" s="11" t="str">
        <f>+HYPERLINK("http://trademark.i-assist.jp/data/china/image_1898th/78644099.pdf", "78644099")</f>
        <v>78644099</v>
      </c>
      <c r="F2214" s="10" t="s">
        <v>6216</v>
      </c>
      <c r="G2214" s="10" t="s">
        <v>6217</v>
      </c>
      <c r="H2214" s="10" t="s">
        <v>6218</v>
      </c>
      <c r="I2214" s="10" t="s">
        <v>5719</v>
      </c>
    </row>
    <row r="2215" spans="1:9" x14ac:dyDescent="0.15">
      <c r="A2215" s="9">
        <v>2214</v>
      </c>
      <c r="B2215" s="10" t="s">
        <v>9</v>
      </c>
      <c r="C2215" s="10" t="s">
        <v>299</v>
      </c>
      <c r="D2215" s="10" t="s">
        <v>300</v>
      </c>
      <c r="E2215" s="11" t="str">
        <f>+HYPERLINK("http://trademark.i-assist.jp/data/china/image_1898th/78644116.pdf", "78644116")</f>
        <v>78644116</v>
      </c>
      <c r="F2215" s="10" t="s">
        <v>6219</v>
      </c>
      <c r="G2215" s="10" t="s">
        <v>6220</v>
      </c>
      <c r="H2215" s="10" t="s">
        <v>6221</v>
      </c>
      <c r="I2215" s="10" t="s">
        <v>5719</v>
      </c>
    </row>
    <row r="2216" spans="1:9" x14ac:dyDescent="0.15">
      <c r="A2216" s="9">
        <v>2215</v>
      </c>
      <c r="B2216" s="10" t="s">
        <v>9</v>
      </c>
      <c r="C2216" s="10" t="s">
        <v>299</v>
      </c>
      <c r="D2216" s="10" t="s">
        <v>300</v>
      </c>
      <c r="E2216" s="11" t="str">
        <f>+HYPERLINK("http://trademark.i-assist.jp/data/china/image_1898th/78644278.pdf", "78644278")</f>
        <v>78644278</v>
      </c>
      <c r="F2216" s="10" t="s">
        <v>6222</v>
      </c>
      <c r="G2216" s="10" t="s">
        <v>6223</v>
      </c>
      <c r="H2216" s="10" t="s">
        <v>6224</v>
      </c>
      <c r="I2216" s="10" t="s">
        <v>5719</v>
      </c>
    </row>
    <row r="2217" spans="1:9" x14ac:dyDescent="0.15">
      <c r="A2217" s="9">
        <v>2216</v>
      </c>
      <c r="B2217" s="10" t="s">
        <v>9</v>
      </c>
      <c r="C2217" s="10" t="s">
        <v>299</v>
      </c>
      <c r="D2217" s="10" t="s">
        <v>300</v>
      </c>
      <c r="E2217" s="11" t="str">
        <f>+HYPERLINK("http://trademark.i-assist.jp/data/china/image_1898th/78644298.pdf", "78644298")</f>
        <v>78644298</v>
      </c>
      <c r="F2217" s="10" t="s">
        <v>6225</v>
      </c>
      <c r="G2217" s="10" t="s">
        <v>6226</v>
      </c>
      <c r="H2217" s="10" t="s">
        <v>6227</v>
      </c>
      <c r="I2217" s="10" t="s">
        <v>5719</v>
      </c>
    </row>
    <row r="2218" spans="1:9" x14ac:dyDescent="0.15">
      <c r="A2218" s="9">
        <v>2217</v>
      </c>
      <c r="B2218" s="10" t="s">
        <v>9</v>
      </c>
      <c r="C2218" s="10" t="s">
        <v>299</v>
      </c>
      <c r="D2218" s="10" t="s">
        <v>300</v>
      </c>
      <c r="E2218" s="11" t="str">
        <f>+HYPERLINK("http://trademark.i-assist.jp/data/china/image_1898th/78644431.pdf", "78644431")</f>
        <v>78644431</v>
      </c>
      <c r="F2218" s="10" t="s">
        <v>6228</v>
      </c>
      <c r="G2218" s="10" t="s">
        <v>6229</v>
      </c>
      <c r="H2218" s="10" t="s">
        <v>6230</v>
      </c>
      <c r="I2218" s="10" t="s">
        <v>5719</v>
      </c>
    </row>
    <row r="2219" spans="1:9" x14ac:dyDescent="0.15">
      <c r="A2219" s="9">
        <v>2218</v>
      </c>
      <c r="B2219" s="10" t="s">
        <v>9</v>
      </c>
      <c r="C2219" s="10" t="s">
        <v>299</v>
      </c>
      <c r="D2219" s="10" t="s">
        <v>300</v>
      </c>
      <c r="E2219" s="11" t="str">
        <f>+HYPERLINK("http://trademark.i-assist.jp/data/china/image_1898th/78644469.pdf", "78644469")</f>
        <v>78644469</v>
      </c>
      <c r="F2219" s="10" t="s">
        <v>19</v>
      </c>
      <c r="G2219" s="10" t="s">
        <v>6231</v>
      </c>
      <c r="H2219" s="10" t="s">
        <v>6232</v>
      </c>
      <c r="I2219" s="10" t="s">
        <v>5719</v>
      </c>
    </row>
    <row r="2220" spans="1:9" x14ac:dyDescent="0.15">
      <c r="A2220" s="9">
        <v>2219</v>
      </c>
      <c r="B2220" s="10" t="s">
        <v>9</v>
      </c>
      <c r="C2220" s="10" t="s">
        <v>299</v>
      </c>
      <c r="D2220" s="10" t="s">
        <v>300</v>
      </c>
      <c r="E2220" s="11" t="str">
        <f>+HYPERLINK("http://trademark.i-assist.jp/data/china/image_1898th/78644742.pdf", "78644742")</f>
        <v>78644742</v>
      </c>
      <c r="F2220" s="10" t="s">
        <v>6233</v>
      </c>
      <c r="G2220" s="10" t="s">
        <v>5935</v>
      </c>
      <c r="H2220" s="10" t="s">
        <v>6234</v>
      </c>
      <c r="I2220" s="10" t="s">
        <v>5719</v>
      </c>
    </row>
    <row r="2221" spans="1:9" x14ac:dyDescent="0.15">
      <c r="A2221" s="9">
        <v>2220</v>
      </c>
      <c r="B2221" s="10" t="s">
        <v>9</v>
      </c>
      <c r="C2221" s="10" t="s">
        <v>299</v>
      </c>
      <c r="D2221" s="10" t="s">
        <v>300</v>
      </c>
      <c r="E2221" s="11" t="str">
        <f>+HYPERLINK("http://trademark.i-assist.jp/data/china/image_1898th/78644748.pdf", "78644748")</f>
        <v>78644748</v>
      </c>
      <c r="F2221" s="10" t="s">
        <v>6235</v>
      </c>
      <c r="G2221" s="10" t="s">
        <v>5727</v>
      </c>
      <c r="H2221" s="10" t="s">
        <v>6236</v>
      </c>
      <c r="I2221" s="10" t="s">
        <v>5719</v>
      </c>
    </row>
    <row r="2222" spans="1:9" x14ac:dyDescent="0.15">
      <c r="A2222" s="9">
        <v>2221</v>
      </c>
      <c r="B2222" s="10" t="s">
        <v>9</v>
      </c>
      <c r="C2222" s="10" t="s">
        <v>299</v>
      </c>
      <c r="D2222" s="10" t="s">
        <v>300</v>
      </c>
      <c r="E2222" s="11" t="str">
        <f>+HYPERLINK("http://trademark.i-assist.jp/data/china/image_1898th/78645406.pdf", "78645406")</f>
        <v>78645406</v>
      </c>
      <c r="F2222" s="10" t="s">
        <v>6237</v>
      </c>
      <c r="G2222" s="10" t="s">
        <v>6238</v>
      </c>
      <c r="H2222" s="10" t="s">
        <v>6239</v>
      </c>
      <c r="I2222" s="10" t="s">
        <v>5719</v>
      </c>
    </row>
    <row r="2223" spans="1:9" x14ac:dyDescent="0.15">
      <c r="A2223" s="9">
        <v>2222</v>
      </c>
      <c r="B2223" s="10" t="s">
        <v>9</v>
      </c>
      <c r="C2223" s="10" t="s">
        <v>299</v>
      </c>
      <c r="D2223" s="10" t="s">
        <v>300</v>
      </c>
      <c r="E2223" s="11" t="str">
        <f>+HYPERLINK("http://trademark.i-assist.jp/data/china/image_1898th/78645530.pdf", "78645530")</f>
        <v>78645530</v>
      </c>
      <c r="F2223" s="10" t="s">
        <v>6240</v>
      </c>
      <c r="G2223" s="10" t="s">
        <v>6241</v>
      </c>
      <c r="H2223" s="10" t="s">
        <v>6242</v>
      </c>
      <c r="I2223" s="10" t="s">
        <v>5719</v>
      </c>
    </row>
    <row r="2224" spans="1:9" x14ac:dyDescent="0.15">
      <c r="A2224" s="9">
        <v>2223</v>
      </c>
      <c r="B2224" s="10" t="s">
        <v>9</v>
      </c>
      <c r="C2224" s="10" t="s">
        <v>299</v>
      </c>
      <c r="D2224" s="10" t="s">
        <v>300</v>
      </c>
      <c r="E2224" s="11" t="str">
        <f>+HYPERLINK("http://trademark.i-assist.jp/data/china/image_1898th/78645764.pdf", "78645764")</f>
        <v>78645764</v>
      </c>
      <c r="F2224" s="10" t="s">
        <v>6243</v>
      </c>
      <c r="G2224" s="10" t="s">
        <v>5997</v>
      </c>
      <c r="H2224" s="10" t="s">
        <v>6244</v>
      </c>
      <c r="I2224" s="10" t="s">
        <v>5719</v>
      </c>
    </row>
    <row r="2225" spans="1:9" x14ac:dyDescent="0.15">
      <c r="A2225" s="9">
        <v>2224</v>
      </c>
      <c r="B2225" s="10" t="s">
        <v>9</v>
      </c>
      <c r="C2225" s="10" t="s">
        <v>299</v>
      </c>
      <c r="D2225" s="10" t="s">
        <v>300</v>
      </c>
      <c r="E2225" s="11" t="str">
        <f>+HYPERLINK("http://trademark.i-assist.jp/data/china/image_1898th/78646061.pdf", "78646061")</f>
        <v>78646061</v>
      </c>
      <c r="F2225" s="10" t="s">
        <v>6245</v>
      </c>
      <c r="G2225" s="10" t="s">
        <v>5727</v>
      </c>
      <c r="H2225" s="10" t="s">
        <v>6246</v>
      </c>
      <c r="I2225" s="10" t="s">
        <v>5719</v>
      </c>
    </row>
    <row r="2226" spans="1:9" x14ac:dyDescent="0.15">
      <c r="A2226" s="9">
        <v>2225</v>
      </c>
      <c r="B2226" s="10" t="s">
        <v>9</v>
      </c>
      <c r="C2226" s="10" t="s">
        <v>299</v>
      </c>
      <c r="D2226" s="10" t="s">
        <v>300</v>
      </c>
      <c r="E2226" s="11" t="str">
        <f>+HYPERLINK("http://trademark.i-assist.jp/data/china/image_1898th/78646159.pdf", "78646159")</f>
        <v>78646159</v>
      </c>
      <c r="F2226" s="10" t="s">
        <v>6247</v>
      </c>
      <c r="G2226" s="10" t="s">
        <v>5739</v>
      </c>
      <c r="H2226" s="10" t="s">
        <v>6248</v>
      </c>
      <c r="I2226" s="10" t="s">
        <v>5719</v>
      </c>
    </row>
    <row r="2227" spans="1:9" x14ac:dyDescent="0.15">
      <c r="A2227" s="9">
        <v>2226</v>
      </c>
      <c r="B2227" s="10" t="s">
        <v>9</v>
      </c>
      <c r="C2227" s="10" t="s">
        <v>299</v>
      </c>
      <c r="D2227" s="10" t="s">
        <v>300</v>
      </c>
      <c r="E2227" s="11" t="str">
        <f>+HYPERLINK("http://trademark.i-assist.jp/data/china/image_1898th/78646257.pdf", "78646257")</f>
        <v>78646257</v>
      </c>
      <c r="F2227" s="10" t="s">
        <v>6249</v>
      </c>
      <c r="G2227" s="10" t="s">
        <v>6198</v>
      </c>
      <c r="H2227" s="10" t="s">
        <v>34</v>
      </c>
      <c r="I2227" s="10" t="s">
        <v>5719</v>
      </c>
    </row>
    <row r="2228" spans="1:9" x14ac:dyDescent="0.15">
      <c r="A2228" s="9">
        <v>2227</v>
      </c>
      <c r="B2228" s="10" t="s">
        <v>9</v>
      </c>
      <c r="C2228" s="10" t="s">
        <v>299</v>
      </c>
      <c r="D2228" s="10" t="s">
        <v>300</v>
      </c>
      <c r="E2228" s="11" t="str">
        <f>+HYPERLINK("http://trademark.i-assist.jp/data/china/image_1898th/78646378.pdf", "78646378")</f>
        <v>78646378</v>
      </c>
      <c r="F2228" s="10" t="s">
        <v>6250</v>
      </c>
      <c r="G2228" s="10" t="s">
        <v>6251</v>
      </c>
      <c r="H2228" s="10" t="s">
        <v>6252</v>
      </c>
      <c r="I2228" s="10" t="s">
        <v>5719</v>
      </c>
    </row>
    <row r="2229" spans="1:9" x14ac:dyDescent="0.15">
      <c r="A2229" s="9">
        <v>2228</v>
      </c>
      <c r="B2229" s="10" t="s">
        <v>9</v>
      </c>
      <c r="C2229" s="10" t="s">
        <v>299</v>
      </c>
      <c r="D2229" s="10" t="s">
        <v>300</v>
      </c>
      <c r="E2229" s="11" t="str">
        <f>+HYPERLINK("http://trademark.i-assist.jp/data/china/image_1898th/78646429.pdf", "78646429")</f>
        <v>78646429</v>
      </c>
      <c r="F2229" s="10" t="s">
        <v>6253</v>
      </c>
      <c r="G2229" s="10" t="s">
        <v>5768</v>
      </c>
      <c r="H2229" s="10" t="s">
        <v>6254</v>
      </c>
      <c r="I2229" s="10" t="s">
        <v>5719</v>
      </c>
    </row>
    <row r="2230" spans="1:9" x14ac:dyDescent="0.15">
      <c r="A2230" s="9">
        <v>2229</v>
      </c>
      <c r="B2230" s="10" t="s">
        <v>9</v>
      </c>
      <c r="C2230" s="10" t="s">
        <v>299</v>
      </c>
      <c r="D2230" s="10" t="s">
        <v>300</v>
      </c>
      <c r="E2230" s="11" t="str">
        <f>+HYPERLINK("http://trademark.i-assist.jp/data/china/image_1898th/78646544.pdf", "78646544")</f>
        <v>78646544</v>
      </c>
      <c r="F2230" s="10" t="s">
        <v>6255</v>
      </c>
      <c r="G2230" s="10" t="s">
        <v>6256</v>
      </c>
      <c r="H2230" s="10" t="s">
        <v>6257</v>
      </c>
      <c r="I2230" s="10" t="s">
        <v>5719</v>
      </c>
    </row>
    <row r="2231" spans="1:9" x14ac:dyDescent="0.15">
      <c r="A2231" s="9">
        <v>2230</v>
      </c>
      <c r="B2231" s="10" t="s">
        <v>9</v>
      </c>
      <c r="C2231" s="10" t="s">
        <v>299</v>
      </c>
      <c r="D2231" s="10" t="s">
        <v>300</v>
      </c>
      <c r="E2231" s="11" t="str">
        <f>+HYPERLINK("http://trademark.i-assist.jp/data/china/image_1898th/78646587.pdf", "78646587")</f>
        <v>78646587</v>
      </c>
      <c r="F2231" s="10" t="s">
        <v>6258</v>
      </c>
      <c r="G2231" s="10" t="s">
        <v>6198</v>
      </c>
      <c r="H2231" s="10" t="s">
        <v>6259</v>
      </c>
      <c r="I2231" s="10" t="s">
        <v>5719</v>
      </c>
    </row>
    <row r="2232" spans="1:9" x14ac:dyDescent="0.15">
      <c r="A2232" s="9">
        <v>2231</v>
      </c>
      <c r="B2232" s="10" t="s">
        <v>9</v>
      </c>
      <c r="C2232" s="10" t="s">
        <v>299</v>
      </c>
      <c r="D2232" s="10" t="s">
        <v>300</v>
      </c>
      <c r="E2232" s="11" t="str">
        <f>+HYPERLINK("http://trademark.i-assist.jp/data/china/image_1898th/78647008.pdf", "78647008")</f>
        <v>78647008</v>
      </c>
      <c r="F2232" s="10" t="s">
        <v>6260</v>
      </c>
      <c r="G2232" s="10" t="s">
        <v>6078</v>
      </c>
      <c r="H2232" s="10" t="s">
        <v>6261</v>
      </c>
      <c r="I2232" s="10" t="s">
        <v>5719</v>
      </c>
    </row>
    <row r="2233" spans="1:9" x14ac:dyDescent="0.15">
      <c r="A2233" s="9">
        <v>2232</v>
      </c>
      <c r="B2233" s="10" t="s">
        <v>9</v>
      </c>
      <c r="C2233" s="10" t="s">
        <v>299</v>
      </c>
      <c r="D2233" s="10" t="s">
        <v>300</v>
      </c>
      <c r="E2233" s="11" t="str">
        <f>+HYPERLINK("http://trademark.i-assist.jp/data/china/image_1898th/78647074.pdf", "78647074")</f>
        <v>78647074</v>
      </c>
      <c r="F2233" s="10" t="s">
        <v>6262</v>
      </c>
      <c r="G2233" s="10" t="s">
        <v>6263</v>
      </c>
      <c r="H2233" s="10" t="s">
        <v>6264</v>
      </c>
      <c r="I2233" s="10" t="s">
        <v>5719</v>
      </c>
    </row>
    <row r="2234" spans="1:9" x14ac:dyDescent="0.15">
      <c r="A2234" s="9">
        <v>2233</v>
      </c>
      <c r="B2234" s="10" t="s">
        <v>9</v>
      </c>
      <c r="C2234" s="10" t="s">
        <v>299</v>
      </c>
      <c r="D2234" s="10" t="s">
        <v>300</v>
      </c>
      <c r="E2234" s="11" t="str">
        <f>+HYPERLINK("http://trademark.i-assist.jp/data/china/image_1898th/78647147.pdf", "78647147")</f>
        <v>78647147</v>
      </c>
      <c r="F2234" s="10" t="s">
        <v>6265</v>
      </c>
      <c r="G2234" s="10" t="s">
        <v>6266</v>
      </c>
      <c r="H2234" s="10" t="s">
        <v>6267</v>
      </c>
      <c r="I2234" s="10" t="s">
        <v>5719</v>
      </c>
    </row>
    <row r="2235" spans="1:9" x14ac:dyDescent="0.15">
      <c r="A2235" s="9">
        <v>2234</v>
      </c>
      <c r="B2235" s="10" t="s">
        <v>9</v>
      </c>
      <c r="C2235" s="10" t="s">
        <v>299</v>
      </c>
      <c r="D2235" s="10" t="s">
        <v>300</v>
      </c>
      <c r="E2235" s="11" t="str">
        <f>+HYPERLINK("http://trademark.i-assist.jp/data/china/image_1898th/78647316.pdf", "78647316")</f>
        <v>78647316</v>
      </c>
      <c r="F2235" s="10" t="s">
        <v>6268</v>
      </c>
      <c r="G2235" s="10" t="s">
        <v>6269</v>
      </c>
      <c r="H2235" s="10" t="s">
        <v>6270</v>
      </c>
      <c r="I2235" s="10" t="s">
        <v>5719</v>
      </c>
    </row>
    <row r="2236" spans="1:9" x14ac:dyDescent="0.15">
      <c r="A2236" s="9">
        <v>2235</v>
      </c>
      <c r="B2236" s="10" t="s">
        <v>9</v>
      </c>
      <c r="C2236" s="10" t="s">
        <v>299</v>
      </c>
      <c r="D2236" s="10" t="s">
        <v>300</v>
      </c>
      <c r="E2236" s="11" t="str">
        <f>+HYPERLINK("http://trademark.i-assist.jp/data/china/image_1898th/78647438.pdf", "78647438")</f>
        <v>78647438</v>
      </c>
      <c r="F2236" s="10" t="s">
        <v>6271</v>
      </c>
      <c r="G2236" s="10" t="s">
        <v>5828</v>
      </c>
      <c r="H2236" s="10" t="s">
        <v>6272</v>
      </c>
      <c r="I2236" s="10" t="s">
        <v>5719</v>
      </c>
    </row>
    <row r="2237" spans="1:9" x14ac:dyDescent="0.15">
      <c r="A2237" s="9">
        <v>2236</v>
      </c>
      <c r="B2237" s="10" t="s">
        <v>9</v>
      </c>
      <c r="C2237" s="10" t="s">
        <v>299</v>
      </c>
      <c r="D2237" s="10" t="s">
        <v>300</v>
      </c>
      <c r="E2237" s="11" t="str">
        <f>+HYPERLINK("http://trademark.i-assist.jp/data/china/image_1898th/78647451.pdf", "78647451")</f>
        <v>78647451</v>
      </c>
      <c r="F2237" s="10" t="s">
        <v>6273</v>
      </c>
      <c r="G2237" s="10" t="s">
        <v>5900</v>
      </c>
      <c r="H2237" s="10" t="s">
        <v>6274</v>
      </c>
      <c r="I2237" s="10" t="s">
        <v>5719</v>
      </c>
    </row>
    <row r="2238" spans="1:9" x14ac:dyDescent="0.15">
      <c r="A2238" s="9">
        <v>2237</v>
      </c>
      <c r="B2238" s="10" t="s">
        <v>9</v>
      </c>
      <c r="C2238" s="10" t="s">
        <v>299</v>
      </c>
      <c r="D2238" s="10" t="s">
        <v>300</v>
      </c>
      <c r="E2238" s="11" t="str">
        <f>+HYPERLINK("http://trademark.i-assist.jp/data/china/image_1898th/78647460.pdf", "78647460")</f>
        <v>78647460</v>
      </c>
      <c r="F2238" s="10" t="s">
        <v>6275</v>
      </c>
      <c r="G2238" s="10" t="s">
        <v>5900</v>
      </c>
      <c r="H2238" s="10" t="s">
        <v>6276</v>
      </c>
      <c r="I2238" s="10" t="s">
        <v>5719</v>
      </c>
    </row>
    <row r="2239" spans="1:9" x14ac:dyDescent="0.15">
      <c r="A2239" s="9">
        <v>2238</v>
      </c>
      <c r="B2239" s="10" t="s">
        <v>9</v>
      </c>
      <c r="C2239" s="10" t="s">
        <v>299</v>
      </c>
      <c r="D2239" s="10" t="s">
        <v>300</v>
      </c>
      <c r="E2239" s="11" t="str">
        <f>+HYPERLINK("http://trademark.i-assist.jp/data/china/image_1898th/78647461.pdf", "78647461")</f>
        <v>78647461</v>
      </c>
      <c r="F2239" s="10" t="s">
        <v>6277</v>
      </c>
      <c r="G2239" s="10" t="s">
        <v>6278</v>
      </c>
      <c r="H2239" s="10" t="s">
        <v>6279</v>
      </c>
      <c r="I2239" s="10" t="s">
        <v>5719</v>
      </c>
    </row>
    <row r="2240" spans="1:9" x14ac:dyDescent="0.15">
      <c r="A2240" s="9">
        <v>2239</v>
      </c>
      <c r="B2240" s="10" t="s">
        <v>9</v>
      </c>
      <c r="C2240" s="10" t="s">
        <v>299</v>
      </c>
      <c r="D2240" s="10" t="s">
        <v>300</v>
      </c>
      <c r="E2240" s="11" t="str">
        <f>+HYPERLINK("http://trademark.i-assist.jp/data/china/image_1898th/78647524.pdf", "78647524")</f>
        <v>78647524</v>
      </c>
      <c r="F2240" s="10" t="s">
        <v>6280</v>
      </c>
      <c r="G2240" s="10" t="s">
        <v>206</v>
      </c>
      <c r="H2240" s="10" t="s">
        <v>6281</v>
      </c>
      <c r="I2240" s="10" t="s">
        <v>5719</v>
      </c>
    </row>
    <row r="2241" spans="1:9" x14ac:dyDescent="0.15">
      <c r="A2241" s="9">
        <v>2240</v>
      </c>
      <c r="B2241" s="10" t="s">
        <v>9</v>
      </c>
      <c r="C2241" s="10" t="s">
        <v>299</v>
      </c>
      <c r="D2241" s="10" t="s">
        <v>300</v>
      </c>
      <c r="E2241" s="11" t="str">
        <f>+HYPERLINK("http://trademark.i-assist.jp/data/china/image_1898th/78647589.pdf", "78647589")</f>
        <v>78647589</v>
      </c>
      <c r="F2241" s="10" t="s">
        <v>6282</v>
      </c>
      <c r="G2241" s="10" t="s">
        <v>5984</v>
      </c>
      <c r="H2241" s="10" t="s">
        <v>6283</v>
      </c>
      <c r="I2241" s="10" t="s">
        <v>5719</v>
      </c>
    </row>
    <row r="2242" spans="1:9" x14ac:dyDescent="0.15">
      <c r="A2242" s="9">
        <v>2241</v>
      </c>
      <c r="B2242" s="10" t="s">
        <v>9</v>
      </c>
      <c r="C2242" s="10" t="s">
        <v>299</v>
      </c>
      <c r="D2242" s="10" t="s">
        <v>300</v>
      </c>
      <c r="E2242" s="11" t="str">
        <f>+HYPERLINK("http://trademark.i-assist.jp/data/china/image_1898th/78647881.pdf", "78647881")</f>
        <v>78647881</v>
      </c>
      <c r="F2242" s="10" t="s">
        <v>6284</v>
      </c>
      <c r="G2242" s="10" t="s">
        <v>5739</v>
      </c>
      <c r="H2242" s="10" t="s">
        <v>6285</v>
      </c>
      <c r="I2242" s="10" t="s">
        <v>5719</v>
      </c>
    </row>
    <row r="2243" spans="1:9" x14ac:dyDescent="0.15">
      <c r="A2243" s="9">
        <v>2242</v>
      </c>
      <c r="B2243" s="10" t="s">
        <v>9</v>
      </c>
      <c r="C2243" s="10" t="s">
        <v>299</v>
      </c>
      <c r="D2243" s="10" t="s">
        <v>300</v>
      </c>
      <c r="E2243" s="11" t="str">
        <f>+HYPERLINK("http://trademark.i-assist.jp/data/china/image_1898th/78647958.pdf", "78647958")</f>
        <v>78647958</v>
      </c>
      <c r="F2243" s="10" t="s">
        <v>6286</v>
      </c>
      <c r="G2243" s="10" t="s">
        <v>6287</v>
      </c>
      <c r="H2243" s="10" t="s">
        <v>6288</v>
      </c>
      <c r="I2243" s="10" t="s">
        <v>5719</v>
      </c>
    </row>
    <row r="2244" spans="1:9" x14ac:dyDescent="0.15">
      <c r="A2244" s="9">
        <v>2243</v>
      </c>
      <c r="B2244" s="10" t="s">
        <v>9</v>
      </c>
      <c r="C2244" s="10" t="s">
        <v>299</v>
      </c>
      <c r="D2244" s="10" t="s">
        <v>300</v>
      </c>
      <c r="E2244" s="11" t="str">
        <f>+HYPERLINK("http://trademark.i-assist.jp/data/china/image_1898th/78648320.pdf", "78648320")</f>
        <v>78648320</v>
      </c>
      <c r="F2244" s="10" t="s">
        <v>6289</v>
      </c>
      <c r="G2244" s="10" t="s">
        <v>6165</v>
      </c>
      <c r="H2244" s="10" t="s">
        <v>6290</v>
      </c>
      <c r="I2244" s="10" t="s">
        <v>5719</v>
      </c>
    </row>
    <row r="2245" spans="1:9" x14ac:dyDescent="0.15">
      <c r="A2245" s="9">
        <v>2244</v>
      </c>
      <c r="B2245" s="10" t="s">
        <v>9</v>
      </c>
      <c r="C2245" s="10" t="s">
        <v>299</v>
      </c>
      <c r="D2245" s="10" t="s">
        <v>300</v>
      </c>
      <c r="E2245" s="11" t="str">
        <f>+HYPERLINK("http://trademark.i-assist.jp/data/china/image_1898th/78648350.pdf", "78648350")</f>
        <v>78648350</v>
      </c>
      <c r="F2245" s="10" t="s">
        <v>6291</v>
      </c>
      <c r="G2245" s="10" t="s">
        <v>6003</v>
      </c>
      <c r="H2245" s="10" t="s">
        <v>6292</v>
      </c>
      <c r="I2245" s="10" t="s">
        <v>5719</v>
      </c>
    </row>
    <row r="2246" spans="1:9" x14ac:dyDescent="0.15">
      <c r="A2246" s="9">
        <v>2245</v>
      </c>
      <c r="B2246" s="10" t="s">
        <v>9</v>
      </c>
      <c r="C2246" s="10" t="s">
        <v>299</v>
      </c>
      <c r="D2246" s="10" t="s">
        <v>300</v>
      </c>
      <c r="E2246" s="11" t="str">
        <f>+HYPERLINK("http://trademark.i-assist.jp/data/china/image_1898th/78648515.pdf", "78648515")</f>
        <v>78648515</v>
      </c>
      <c r="F2246" s="10" t="s">
        <v>6293</v>
      </c>
      <c r="G2246" s="10" t="s">
        <v>5468</v>
      </c>
      <c r="H2246" s="10" t="s">
        <v>6294</v>
      </c>
      <c r="I2246" s="10" t="s">
        <v>5719</v>
      </c>
    </row>
    <row r="2247" spans="1:9" x14ac:dyDescent="0.15">
      <c r="A2247" s="9">
        <v>2246</v>
      </c>
      <c r="B2247" s="10" t="s">
        <v>9</v>
      </c>
      <c r="C2247" s="10" t="s">
        <v>299</v>
      </c>
      <c r="D2247" s="10" t="s">
        <v>300</v>
      </c>
      <c r="E2247" s="11" t="str">
        <f>+HYPERLINK("http://trademark.i-assist.jp/data/china/image_1898th/78648586.pdf", "78648586")</f>
        <v>78648586</v>
      </c>
      <c r="F2247" s="10" t="s">
        <v>6295</v>
      </c>
      <c r="G2247" s="10" t="s">
        <v>6296</v>
      </c>
      <c r="H2247" s="10" t="s">
        <v>6297</v>
      </c>
      <c r="I2247" s="10" t="s">
        <v>5719</v>
      </c>
    </row>
    <row r="2248" spans="1:9" x14ac:dyDescent="0.15">
      <c r="A2248" s="9">
        <v>2247</v>
      </c>
      <c r="B2248" s="10" t="s">
        <v>9</v>
      </c>
      <c r="C2248" s="10" t="s">
        <v>299</v>
      </c>
      <c r="D2248" s="10" t="s">
        <v>300</v>
      </c>
      <c r="E2248" s="11" t="str">
        <f>+HYPERLINK("http://trademark.i-assist.jp/data/china/image_1898th/78648687.pdf", "78648687")</f>
        <v>78648687</v>
      </c>
      <c r="F2248" s="10" t="s">
        <v>19</v>
      </c>
      <c r="G2248" s="10" t="s">
        <v>266</v>
      </c>
      <c r="H2248" s="10" t="s">
        <v>6298</v>
      </c>
      <c r="I2248" s="10" t="s">
        <v>5719</v>
      </c>
    </row>
    <row r="2249" spans="1:9" x14ac:dyDescent="0.15">
      <c r="A2249" s="9">
        <v>2248</v>
      </c>
      <c r="B2249" s="10" t="s">
        <v>9</v>
      </c>
      <c r="C2249" s="10" t="s">
        <v>299</v>
      </c>
      <c r="D2249" s="10" t="s">
        <v>300</v>
      </c>
      <c r="E2249" s="11" t="str">
        <f>+HYPERLINK("http://trademark.i-assist.jp/data/china/image_1898th/78648701.pdf", "78648701")</f>
        <v>78648701</v>
      </c>
      <c r="F2249" s="10" t="s">
        <v>6299</v>
      </c>
      <c r="G2249" s="10" t="s">
        <v>6300</v>
      </c>
      <c r="H2249" s="10" t="s">
        <v>6301</v>
      </c>
      <c r="I2249" s="10" t="s">
        <v>5719</v>
      </c>
    </row>
    <row r="2250" spans="1:9" x14ac:dyDescent="0.15">
      <c r="A2250" s="9">
        <v>2249</v>
      </c>
      <c r="B2250" s="10" t="s">
        <v>9</v>
      </c>
      <c r="C2250" s="10" t="s">
        <v>299</v>
      </c>
      <c r="D2250" s="10" t="s">
        <v>300</v>
      </c>
      <c r="E2250" s="11" t="str">
        <f>+HYPERLINK("http://trademark.i-assist.jp/data/china/image_1898th/78648899.pdf", "78648899")</f>
        <v>78648899</v>
      </c>
      <c r="F2250" s="10" t="s">
        <v>6302</v>
      </c>
      <c r="G2250" s="10" t="s">
        <v>5986</v>
      </c>
      <c r="H2250" s="10" t="s">
        <v>6303</v>
      </c>
      <c r="I2250" s="10" t="s">
        <v>5719</v>
      </c>
    </row>
    <row r="2251" spans="1:9" x14ac:dyDescent="0.15">
      <c r="A2251" s="9">
        <v>2250</v>
      </c>
      <c r="B2251" s="10" t="s">
        <v>9</v>
      </c>
      <c r="C2251" s="10" t="s">
        <v>299</v>
      </c>
      <c r="D2251" s="10" t="s">
        <v>300</v>
      </c>
      <c r="E2251" s="11" t="str">
        <f>+HYPERLINK("http://trademark.i-assist.jp/data/china/image_1898th/78648984.pdf", "78648984")</f>
        <v>78648984</v>
      </c>
      <c r="F2251" s="10" t="s">
        <v>6304</v>
      </c>
      <c r="G2251" s="10" t="s">
        <v>6305</v>
      </c>
      <c r="H2251" s="10" t="s">
        <v>6306</v>
      </c>
      <c r="I2251" s="10" t="s">
        <v>5719</v>
      </c>
    </row>
    <row r="2252" spans="1:9" x14ac:dyDescent="0.15">
      <c r="A2252" s="9">
        <v>2251</v>
      </c>
      <c r="B2252" s="10" t="s">
        <v>9</v>
      </c>
      <c r="C2252" s="10" t="s">
        <v>299</v>
      </c>
      <c r="D2252" s="10" t="s">
        <v>300</v>
      </c>
      <c r="E2252" s="11" t="str">
        <f>+HYPERLINK("http://trademark.i-assist.jp/data/china/image_1898th/78649009.pdf", "78649009")</f>
        <v>78649009</v>
      </c>
      <c r="F2252" s="10" t="s">
        <v>6307</v>
      </c>
      <c r="G2252" s="10" t="s">
        <v>6308</v>
      </c>
      <c r="H2252" s="10" t="s">
        <v>6309</v>
      </c>
      <c r="I2252" s="10" t="s">
        <v>5719</v>
      </c>
    </row>
    <row r="2253" spans="1:9" x14ac:dyDescent="0.15">
      <c r="A2253" s="9">
        <v>2252</v>
      </c>
      <c r="B2253" s="10" t="s">
        <v>9</v>
      </c>
      <c r="C2253" s="10" t="s">
        <v>299</v>
      </c>
      <c r="D2253" s="10" t="s">
        <v>300</v>
      </c>
      <c r="E2253" s="11" t="str">
        <f>+HYPERLINK("http://trademark.i-assist.jp/data/china/image_1898th/78649075.pdf", "78649075")</f>
        <v>78649075</v>
      </c>
      <c r="F2253" s="10" t="s">
        <v>19</v>
      </c>
      <c r="G2253" s="10" t="s">
        <v>6266</v>
      </c>
      <c r="H2253" s="10" t="s">
        <v>6310</v>
      </c>
      <c r="I2253" s="10" t="s">
        <v>5719</v>
      </c>
    </row>
    <row r="2254" spans="1:9" x14ac:dyDescent="0.15">
      <c r="A2254" s="9">
        <v>2253</v>
      </c>
      <c r="B2254" s="10" t="s">
        <v>9</v>
      </c>
      <c r="C2254" s="10" t="s">
        <v>299</v>
      </c>
      <c r="D2254" s="10" t="s">
        <v>300</v>
      </c>
      <c r="E2254" s="11" t="str">
        <f>+HYPERLINK("http://trademark.i-assist.jp/data/china/image_1898th/78649127.pdf", "78649127")</f>
        <v>78649127</v>
      </c>
      <c r="F2254" s="10" t="s">
        <v>6311</v>
      </c>
      <c r="G2254" s="10" t="s">
        <v>6312</v>
      </c>
      <c r="H2254" s="10" t="s">
        <v>6313</v>
      </c>
      <c r="I2254" s="10" t="s">
        <v>5719</v>
      </c>
    </row>
    <row r="2255" spans="1:9" x14ac:dyDescent="0.15">
      <c r="A2255" s="9">
        <v>2254</v>
      </c>
      <c r="B2255" s="10" t="s">
        <v>9</v>
      </c>
      <c r="C2255" s="10" t="s">
        <v>299</v>
      </c>
      <c r="D2255" s="10" t="s">
        <v>300</v>
      </c>
      <c r="E2255" s="11" t="str">
        <f>+HYPERLINK("http://trademark.i-assist.jp/data/china/image_1898th/78649168.pdf", "78649168")</f>
        <v>78649168</v>
      </c>
      <c r="F2255" s="10" t="s">
        <v>6314</v>
      </c>
      <c r="G2255" s="10" t="s">
        <v>205</v>
      </c>
      <c r="H2255" s="10" t="s">
        <v>34</v>
      </c>
      <c r="I2255" s="10" t="s">
        <v>5719</v>
      </c>
    </row>
    <row r="2256" spans="1:9" x14ac:dyDescent="0.15">
      <c r="A2256" s="9">
        <v>2255</v>
      </c>
      <c r="B2256" s="10" t="s">
        <v>9</v>
      </c>
      <c r="C2256" s="10" t="s">
        <v>299</v>
      </c>
      <c r="D2256" s="10" t="s">
        <v>300</v>
      </c>
      <c r="E2256" s="11" t="str">
        <f>+HYPERLINK("http://trademark.i-assist.jp/data/china/image_1898th/78649508.pdf", "78649508")</f>
        <v>78649508</v>
      </c>
      <c r="F2256" s="10" t="s">
        <v>6315</v>
      </c>
      <c r="G2256" s="10" t="s">
        <v>6170</v>
      </c>
      <c r="H2256" s="10" t="s">
        <v>6316</v>
      </c>
      <c r="I2256" s="10" t="s">
        <v>5719</v>
      </c>
    </row>
    <row r="2257" spans="1:9" x14ac:dyDescent="0.15">
      <c r="A2257" s="9">
        <v>2256</v>
      </c>
      <c r="B2257" s="10" t="s">
        <v>9</v>
      </c>
      <c r="C2257" s="10" t="s">
        <v>299</v>
      </c>
      <c r="D2257" s="10" t="s">
        <v>300</v>
      </c>
      <c r="E2257" s="11" t="str">
        <f>+HYPERLINK("http://trademark.i-assist.jp/data/china/image_1898th/78649875.pdf", "78649875")</f>
        <v>78649875</v>
      </c>
      <c r="F2257" s="10" t="s">
        <v>6317</v>
      </c>
      <c r="G2257" s="10" t="s">
        <v>6318</v>
      </c>
      <c r="H2257" s="10" t="s">
        <v>6319</v>
      </c>
      <c r="I2257" s="10" t="s">
        <v>5719</v>
      </c>
    </row>
    <row r="2258" spans="1:9" x14ac:dyDescent="0.15">
      <c r="A2258" s="9">
        <v>2257</v>
      </c>
      <c r="B2258" s="10" t="s">
        <v>9</v>
      </c>
      <c r="C2258" s="10" t="s">
        <v>299</v>
      </c>
      <c r="D2258" s="10" t="s">
        <v>300</v>
      </c>
      <c r="E2258" s="11" t="str">
        <f>+HYPERLINK("http://trademark.i-assist.jp/data/china/image_1898th/78649877.pdf", "78649877")</f>
        <v>78649877</v>
      </c>
      <c r="F2258" s="10" t="s">
        <v>6320</v>
      </c>
      <c r="G2258" s="10" t="s">
        <v>6083</v>
      </c>
      <c r="H2258" s="10" t="s">
        <v>6321</v>
      </c>
      <c r="I2258" s="10" t="s">
        <v>5719</v>
      </c>
    </row>
    <row r="2259" spans="1:9" x14ac:dyDescent="0.15">
      <c r="A2259" s="9">
        <v>2258</v>
      </c>
      <c r="B2259" s="10" t="s">
        <v>9</v>
      </c>
      <c r="C2259" s="10" t="s">
        <v>299</v>
      </c>
      <c r="D2259" s="10" t="s">
        <v>300</v>
      </c>
      <c r="E2259" s="11" t="str">
        <f>+HYPERLINK("http://trademark.i-assist.jp/data/china/image_1898th/78649888.pdf", "78649888")</f>
        <v>78649888</v>
      </c>
      <c r="F2259" s="10" t="s">
        <v>6322</v>
      </c>
      <c r="G2259" s="10" t="s">
        <v>6229</v>
      </c>
      <c r="H2259" s="10" t="s">
        <v>6323</v>
      </c>
      <c r="I2259" s="10" t="s">
        <v>5719</v>
      </c>
    </row>
    <row r="2260" spans="1:9" x14ac:dyDescent="0.15">
      <c r="A2260" s="9">
        <v>2259</v>
      </c>
      <c r="B2260" s="10" t="s">
        <v>9</v>
      </c>
      <c r="C2260" s="10" t="s">
        <v>299</v>
      </c>
      <c r="D2260" s="10" t="s">
        <v>300</v>
      </c>
      <c r="E2260" s="11" t="str">
        <f>+HYPERLINK("http://trademark.i-assist.jp/data/china/image_1898th/78649934.pdf", "78649934")</f>
        <v>78649934</v>
      </c>
      <c r="F2260" s="10" t="s">
        <v>6324</v>
      </c>
      <c r="G2260" s="10" t="s">
        <v>5817</v>
      </c>
      <c r="H2260" s="10" t="s">
        <v>6325</v>
      </c>
      <c r="I2260" s="10" t="s">
        <v>5719</v>
      </c>
    </row>
    <row r="2261" spans="1:9" x14ac:dyDescent="0.15">
      <c r="A2261" s="9">
        <v>2260</v>
      </c>
      <c r="B2261" s="10" t="s">
        <v>9</v>
      </c>
      <c r="C2261" s="10" t="s">
        <v>299</v>
      </c>
      <c r="D2261" s="10" t="s">
        <v>300</v>
      </c>
      <c r="E2261" s="11" t="str">
        <f>+HYPERLINK("http://trademark.i-assist.jp/data/china/image_1898th/78649943.pdf", "78649943")</f>
        <v>78649943</v>
      </c>
      <c r="F2261" s="10" t="s">
        <v>6326</v>
      </c>
      <c r="G2261" s="10" t="s">
        <v>6327</v>
      </c>
      <c r="H2261" s="10" t="s">
        <v>6328</v>
      </c>
      <c r="I2261" s="10" t="s">
        <v>5719</v>
      </c>
    </row>
    <row r="2262" spans="1:9" x14ac:dyDescent="0.15">
      <c r="A2262" s="9">
        <v>2261</v>
      </c>
      <c r="B2262" s="10" t="s">
        <v>9</v>
      </c>
      <c r="C2262" s="10" t="s">
        <v>299</v>
      </c>
      <c r="D2262" s="10" t="s">
        <v>300</v>
      </c>
      <c r="E2262" s="11" t="str">
        <f>+HYPERLINK("http://trademark.i-assist.jp/data/china/image_1898th/78650046.pdf", "78650046")</f>
        <v>78650046</v>
      </c>
      <c r="F2262" s="10" t="s">
        <v>6329</v>
      </c>
      <c r="G2262" s="10" t="s">
        <v>285</v>
      </c>
      <c r="H2262" s="10" t="s">
        <v>6330</v>
      </c>
      <c r="I2262" s="10" t="s">
        <v>5719</v>
      </c>
    </row>
    <row r="2263" spans="1:9" x14ac:dyDescent="0.15">
      <c r="A2263" s="9">
        <v>2262</v>
      </c>
      <c r="B2263" s="10" t="s">
        <v>9</v>
      </c>
      <c r="C2263" s="10" t="s">
        <v>299</v>
      </c>
      <c r="D2263" s="10" t="s">
        <v>300</v>
      </c>
      <c r="E2263" s="11" t="str">
        <f>+HYPERLINK("http://trademark.i-assist.jp/data/china/image_1898th/78650307.pdf", "78650307")</f>
        <v>78650307</v>
      </c>
      <c r="F2263" s="10" t="s">
        <v>6331</v>
      </c>
      <c r="G2263" s="10" t="s">
        <v>5727</v>
      </c>
      <c r="H2263" s="10" t="s">
        <v>6332</v>
      </c>
      <c r="I2263" s="10" t="s">
        <v>5719</v>
      </c>
    </row>
    <row r="2264" spans="1:9" x14ac:dyDescent="0.15">
      <c r="A2264" s="9">
        <v>2263</v>
      </c>
      <c r="B2264" s="10" t="s">
        <v>9</v>
      </c>
      <c r="C2264" s="10" t="s">
        <v>299</v>
      </c>
      <c r="D2264" s="10" t="s">
        <v>300</v>
      </c>
      <c r="E2264" s="11" t="str">
        <f>+HYPERLINK("http://trademark.i-assist.jp/data/china/image_1898th/78650370.pdf", "78650370")</f>
        <v>78650370</v>
      </c>
      <c r="F2264" s="10" t="s">
        <v>6333</v>
      </c>
      <c r="G2264" s="10" t="s">
        <v>6334</v>
      </c>
      <c r="H2264" s="10" t="s">
        <v>6335</v>
      </c>
      <c r="I2264" s="10" t="s">
        <v>5719</v>
      </c>
    </row>
    <row r="2265" spans="1:9" x14ac:dyDescent="0.15">
      <c r="A2265" s="9">
        <v>2264</v>
      </c>
      <c r="B2265" s="10" t="s">
        <v>9</v>
      </c>
      <c r="C2265" s="10" t="s">
        <v>299</v>
      </c>
      <c r="D2265" s="10" t="s">
        <v>300</v>
      </c>
      <c r="E2265" s="11" t="str">
        <f>+HYPERLINK("http://trademark.i-assist.jp/data/china/image_1898th/78650549.pdf", "78650549")</f>
        <v>78650549</v>
      </c>
      <c r="F2265" s="10" t="s">
        <v>6336</v>
      </c>
      <c r="G2265" s="10" t="s">
        <v>6337</v>
      </c>
      <c r="H2265" s="10" t="s">
        <v>6338</v>
      </c>
      <c r="I2265" s="10" t="s">
        <v>5719</v>
      </c>
    </row>
    <row r="2266" spans="1:9" x14ac:dyDescent="0.15">
      <c r="A2266" s="9">
        <v>2265</v>
      </c>
      <c r="B2266" s="10" t="s">
        <v>9</v>
      </c>
      <c r="C2266" s="10" t="s">
        <v>299</v>
      </c>
      <c r="D2266" s="10" t="s">
        <v>300</v>
      </c>
      <c r="E2266" s="11" t="str">
        <f>+HYPERLINK("http://trademark.i-assist.jp/data/china/image_1898th/78650593.pdf", "78650593")</f>
        <v>78650593</v>
      </c>
      <c r="F2266" s="10" t="s">
        <v>6339</v>
      </c>
      <c r="G2266" s="10" t="s">
        <v>6340</v>
      </c>
      <c r="H2266" s="10" t="s">
        <v>6341</v>
      </c>
      <c r="I2266" s="10" t="s">
        <v>6342</v>
      </c>
    </row>
    <row r="2267" spans="1:9" x14ac:dyDescent="0.15">
      <c r="A2267" s="9">
        <v>2266</v>
      </c>
      <c r="B2267" s="10" t="s">
        <v>9</v>
      </c>
      <c r="C2267" s="10" t="s">
        <v>299</v>
      </c>
      <c r="D2267" s="10" t="s">
        <v>300</v>
      </c>
      <c r="E2267" s="11" t="str">
        <f>+HYPERLINK("http://trademark.i-assist.jp/data/china/image_1898th/78650771.pdf", "78650771")</f>
        <v>78650771</v>
      </c>
      <c r="F2267" s="10" t="s">
        <v>6343</v>
      </c>
      <c r="G2267" s="10" t="s">
        <v>6344</v>
      </c>
      <c r="H2267" s="10" t="s">
        <v>6345</v>
      </c>
      <c r="I2267" s="10" t="s">
        <v>6342</v>
      </c>
    </row>
    <row r="2268" spans="1:9" x14ac:dyDescent="0.15">
      <c r="A2268" s="9">
        <v>2267</v>
      </c>
      <c r="B2268" s="10" t="s">
        <v>9</v>
      </c>
      <c r="C2268" s="10" t="s">
        <v>299</v>
      </c>
      <c r="D2268" s="10" t="s">
        <v>300</v>
      </c>
      <c r="E2268" s="11" t="str">
        <f>+HYPERLINK("http://trademark.i-assist.jp/data/china/image_1898th/78650809.pdf", "78650809")</f>
        <v>78650809</v>
      </c>
      <c r="F2268" s="10" t="s">
        <v>6346</v>
      </c>
      <c r="G2268" s="10" t="s">
        <v>194</v>
      </c>
      <c r="H2268" s="10" t="s">
        <v>6347</v>
      </c>
      <c r="I2268" s="10" t="s">
        <v>6342</v>
      </c>
    </row>
    <row r="2269" spans="1:9" x14ac:dyDescent="0.15">
      <c r="A2269" s="9">
        <v>2268</v>
      </c>
      <c r="B2269" s="10" t="s">
        <v>9</v>
      </c>
      <c r="C2269" s="10" t="s">
        <v>299</v>
      </c>
      <c r="D2269" s="10" t="s">
        <v>300</v>
      </c>
      <c r="E2269" s="11" t="str">
        <f>+HYPERLINK("http://trademark.i-assist.jp/data/china/image_1898th/78650815.pdf", "78650815")</f>
        <v>78650815</v>
      </c>
      <c r="F2269" s="10" t="s">
        <v>6348</v>
      </c>
      <c r="G2269" s="10" t="s">
        <v>194</v>
      </c>
      <c r="H2269" s="10" t="s">
        <v>6349</v>
      </c>
      <c r="I2269" s="10" t="s">
        <v>6342</v>
      </c>
    </row>
    <row r="2270" spans="1:9" x14ac:dyDescent="0.15">
      <c r="A2270" s="9">
        <v>2269</v>
      </c>
      <c r="B2270" s="10" t="s">
        <v>9</v>
      </c>
      <c r="C2270" s="10" t="s">
        <v>299</v>
      </c>
      <c r="D2270" s="10" t="s">
        <v>300</v>
      </c>
      <c r="E2270" s="11" t="str">
        <f>+HYPERLINK("http://trademark.i-assist.jp/data/china/image_1898th/78650840.pdf", "78650840")</f>
        <v>78650840</v>
      </c>
      <c r="F2270" s="10" t="s">
        <v>6350</v>
      </c>
      <c r="G2270" s="10" t="s">
        <v>6351</v>
      </c>
      <c r="H2270" s="10" t="s">
        <v>6352</v>
      </c>
      <c r="I2270" s="10" t="s">
        <v>6342</v>
      </c>
    </row>
    <row r="2271" spans="1:9" x14ac:dyDescent="0.15">
      <c r="A2271" s="9">
        <v>2270</v>
      </c>
      <c r="B2271" s="10" t="s">
        <v>9</v>
      </c>
      <c r="C2271" s="10" t="s">
        <v>299</v>
      </c>
      <c r="D2271" s="10" t="s">
        <v>300</v>
      </c>
      <c r="E2271" s="11" t="str">
        <f>+HYPERLINK("http://trademark.i-assist.jp/data/china/image_1898th/78650874.pdf", "78650874")</f>
        <v>78650874</v>
      </c>
      <c r="F2271" s="10" t="s">
        <v>6353</v>
      </c>
      <c r="G2271" s="10" t="s">
        <v>6354</v>
      </c>
      <c r="H2271" s="10" t="s">
        <v>6355</v>
      </c>
      <c r="I2271" s="10" t="s">
        <v>6342</v>
      </c>
    </row>
    <row r="2272" spans="1:9" x14ac:dyDescent="0.15">
      <c r="A2272" s="9">
        <v>2271</v>
      </c>
      <c r="B2272" s="10" t="s">
        <v>9</v>
      </c>
      <c r="C2272" s="10" t="s">
        <v>299</v>
      </c>
      <c r="D2272" s="10" t="s">
        <v>300</v>
      </c>
      <c r="E2272" s="11" t="str">
        <f>+HYPERLINK("http://trademark.i-assist.jp/data/china/image_1898th/78650905.pdf", "78650905")</f>
        <v>78650905</v>
      </c>
      <c r="F2272" s="10" t="s">
        <v>6356</v>
      </c>
      <c r="G2272" s="10" t="s">
        <v>6357</v>
      </c>
      <c r="H2272" s="10" t="s">
        <v>6358</v>
      </c>
      <c r="I2272" s="10" t="s">
        <v>6342</v>
      </c>
    </row>
    <row r="2273" spans="1:9" x14ac:dyDescent="0.15">
      <c r="A2273" s="9">
        <v>2272</v>
      </c>
      <c r="B2273" s="10" t="s">
        <v>9</v>
      </c>
      <c r="C2273" s="10" t="s">
        <v>299</v>
      </c>
      <c r="D2273" s="10" t="s">
        <v>300</v>
      </c>
      <c r="E2273" s="11" t="str">
        <f>+HYPERLINK("http://trademark.i-assist.jp/data/china/image_1898th/78651134.pdf", "78651134")</f>
        <v>78651134</v>
      </c>
      <c r="F2273" s="10" t="s">
        <v>6359</v>
      </c>
      <c r="G2273" s="10" t="s">
        <v>6360</v>
      </c>
      <c r="H2273" s="10" t="s">
        <v>6361</v>
      </c>
      <c r="I2273" s="10" t="s">
        <v>6342</v>
      </c>
    </row>
    <row r="2274" spans="1:9" x14ac:dyDescent="0.15">
      <c r="A2274" s="9">
        <v>2273</v>
      </c>
      <c r="B2274" s="10" t="s">
        <v>9</v>
      </c>
      <c r="C2274" s="10" t="s">
        <v>299</v>
      </c>
      <c r="D2274" s="10" t="s">
        <v>300</v>
      </c>
      <c r="E2274" s="11" t="str">
        <f>+HYPERLINK("http://trademark.i-assist.jp/data/china/image_1898th/78651230.pdf", "78651230")</f>
        <v>78651230</v>
      </c>
      <c r="F2274" s="10" t="s">
        <v>6362</v>
      </c>
      <c r="G2274" s="10" t="s">
        <v>6363</v>
      </c>
      <c r="H2274" s="10" t="s">
        <v>6364</v>
      </c>
      <c r="I2274" s="10" t="s">
        <v>6342</v>
      </c>
    </row>
    <row r="2275" spans="1:9" x14ac:dyDescent="0.15">
      <c r="A2275" s="9">
        <v>2274</v>
      </c>
      <c r="B2275" s="10" t="s">
        <v>9</v>
      </c>
      <c r="C2275" s="10" t="s">
        <v>299</v>
      </c>
      <c r="D2275" s="10" t="s">
        <v>300</v>
      </c>
      <c r="E2275" s="11" t="str">
        <f>+HYPERLINK("http://trademark.i-assist.jp/data/china/image_1898th/78651352.pdf", "78651352")</f>
        <v>78651352</v>
      </c>
      <c r="F2275" s="10" t="s">
        <v>6365</v>
      </c>
      <c r="G2275" s="10" t="s">
        <v>6366</v>
      </c>
      <c r="H2275" s="10" t="s">
        <v>6367</v>
      </c>
      <c r="I2275" s="10" t="s">
        <v>6342</v>
      </c>
    </row>
    <row r="2276" spans="1:9" x14ac:dyDescent="0.15">
      <c r="A2276" s="9">
        <v>2275</v>
      </c>
      <c r="B2276" s="10" t="s">
        <v>9</v>
      </c>
      <c r="C2276" s="10" t="s">
        <v>299</v>
      </c>
      <c r="D2276" s="10" t="s">
        <v>300</v>
      </c>
      <c r="E2276" s="11" t="str">
        <f>+HYPERLINK("http://trademark.i-assist.jp/data/china/image_1898th/78651424.pdf", "78651424")</f>
        <v>78651424</v>
      </c>
      <c r="F2276" s="10" t="s">
        <v>6368</v>
      </c>
      <c r="G2276" s="10" t="s">
        <v>6369</v>
      </c>
      <c r="H2276" s="10" t="s">
        <v>6370</v>
      </c>
      <c r="I2276" s="10" t="s">
        <v>6342</v>
      </c>
    </row>
    <row r="2277" spans="1:9" x14ac:dyDescent="0.15">
      <c r="A2277" s="9">
        <v>2276</v>
      </c>
      <c r="B2277" s="10" t="s">
        <v>9</v>
      </c>
      <c r="C2277" s="10" t="s">
        <v>299</v>
      </c>
      <c r="D2277" s="10" t="s">
        <v>300</v>
      </c>
      <c r="E2277" s="11" t="str">
        <f>+HYPERLINK("http://trademark.i-assist.jp/data/china/image_1898th/78651492.pdf", "78651492")</f>
        <v>78651492</v>
      </c>
      <c r="F2277" s="10" t="s">
        <v>6371</v>
      </c>
      <c r="G2277" s="10" t="s">
        <v>6372</v>
      </c>
      <c r="H2277" s="10" t="s">
        <v>6373</v>
      </c>
      <c r="I2277" s="10" t="s">
        <v>6342</v>
      </c>
    </row>
    <row r="2278" spans="1:9" x14ac:dyDescent="0.15">
      <c r="A2278" s="9">
        <v>2277</v>
      </c>
      <c r="B2278" s="10" t="s">
        <v>9</v>
      </c>
      <c r="C2278" s="10" t="s">
        <v>299</v>
      </c>
      <c r="D2278" s="10" t="s">
        <v>300</v>
      </c>
      <c r="E2278" s="11" t="str">
        <f>+HYPERLINK("http://trademark.i-assist.jp/data/china/image_1898th/78651539.pdf", "78651539")</f>
        <v>78651539</v>
      </c>
      <c r="F2278" s="10" t="s">
        <v>6374</v>
      </c>
      <c r="G2278" s="10" t="s">
        <v>6375</v>
      </c>
      <c r="H2278" s="10" t="s">
        <v>6376</v>
      </c>
      <c r="I2278" s="10" t="s">
        <v>6342</v>
      </c>
    </row>
    <row r="2279" spans="1:9" x14ac:dyDescent="0.15">
      <c r="A2279" s="9">
        <v>2278</v>
      </c>
      <c r="B2279" s="10" t="s">
        <v>9</v>
      </c>
      <c r="C2279" s="10" t="s">
        <v>299</v>
      </c>
      <c r="D2279" s="10" t="s">
        <v>300</v>
      </c>
      <c r="E2279" s="11" t="str">
        <f>+HYPERLINK("http://trademark.i-assist.jp/data/china/image_1898th/78651546.pdf", "78651546")</f>
        <v>78651546</v>
      </c>
      <c r="F2279" s="10" t="s">
        <v>6377</v>
      </c>
      <c r="G2279" s="10" t="s">
        <v>6378</v>
      </c>
      <c r="H2279" s="10" t="s">
        <v>6379</v>
      </c>
      <c r="I2279" s="10" t="s">
        <v>6342</v>
      </c>
    </row>
    <row r="2280" spans="1:9" x14ac:dyDescent="0.15">
      <c r="A2280" s="9">
        <v>2279</v>
      </c>
      <c r="B2280" s="10" t="s">
        <v>9</v>
      </c>
      <c r="C2280" s="10" t="s">
        <v>299</v>
      </c>
      <c r="D2280" s="10" t="s">
        <v>300</v>
      </c>
      <c r="E2280" s="11" t="str">
        <f>+HYPERLINK("http://trademark.i-assist.jp/data/china/image_1898th/78651677.pdf", "78651677")</f>
        <v>78651677</v>
      </c>
      <c r="F2280" s="10" t="s">
        <v>6380</v>
      </c>
      <c r="G2280" s="10" t="s">
        <v>6381</v>
      </c>
      <c r="H2280" s="10" t="s">
        <v>6382</v>
      </c>
      <c r="I2280" s="10" t="s">
        <v>6342</v>
      </c>
    </row>
    <row r="2281" spans="1:9" x14ac:dyDescent="0.15">
      <c r="A2281" s="9">
        <v>2280</v>
      </c>
      <c r="B2281" s="10" t="s">
        <v>9</v>
      </c>
      <c r="C2281" s="10" t="s">
        <v>299</v>
      </c>
      <c r="D2281" s="10" t="s">
        <v>300</v>
      </c>
      <c r="E2281" s="11" t="str">
        <f>+HYPERLINK("http://trademark.i-assist.jp/data/china/image_1898th/78651701.pdf", "78651701")</f>
        <v>78651701</v>
      </c>
      <c r="F2281" s="10" t="s">
        <v>6383</v>
      </c>
      <c r="G2281" s="10" t="s">
        <v>6384</v>
      </c>
      <c r="H2281" s="10" t="s">
        <v>6385</v>
      </c>
      <c r="I2281" s="10" t="s">
        <v>6342</v>
      </c>
    </row>
    <row r="2282" spans="1:9" x14ac:dyDescent="0.15">
      <c r="A2282" s="9">
        <v>2281</v>
      </c>
      <c r="B2282" s="10" t="s">
        <v>9</v>
      </c>
      <c r="C2282" s="10" t="s">
        <v>299</v>
      </c>
      <c r="D2282" s="10" t="s">
        <v>300</v>
      </c>
      <c r="E2282" s="11" t="str">
        <f>+HYPERLINK("http://trademark.i-assist.jp/data/china/image_1898th/78651756.pdf", "78651756")</f>
        <v>78651756</v>
      </c>
      <c r="F2282" s="10" t="s">
        <v>6386</v>
      </c>
      <c r="G2282" s="10" t="s">
        <v>1385</v>
      </c>
      <c r="H2282" s="10" t="s">
        <v>6387</v>
      </c>
      <c r="I2282" s="10" t="s">
        <v>6342</v>
      </c>
    </row>
    <row r="2283" spans="1:9" x14ac:dyDescent="0.15">
      <c r="A2283" s="9">
        <v>2282</v>
      </c>
      <c r="B2283" s="10" t="s">
        <v>9</v>
      </c>
      <c r="C2283" s="10" t="s">
        <v>299</v>
      </c>
      <c r="D2283" s="10" t="s">
        <v>300</v>
      </c>
      <c r="E2283" s="11" t="str">
        <f>+HYPERLINK("http://trademark.i-assist.jp/data/china/image_1898th/78651823.pdf", "78651823")</f>
        <v>78651823</v>
      </c>
      <c r="F2283" s="10" t="s">
        <v>19</v>
      </c>
      <c r="G2283" s="10" t="s">
        <v>6388</v>
      </c>
      <c r="H2283" s="10" t="s">
        <v>6389</v>
      </c>
      <c r="I2283" s="10" t="s">
        <v>6342</v>
      </c>
    </row>
    <row r="2284" spans="1:9" x14ac:dyDescent="0.15">
      <c r="A2284" s="9">
        <v>2283</v>
      </c>
      <c r="B2284" s="10" t="s">
        <v>9</v>
      </c>
      <c r="C2284" s="10" t="s">
        <v>299</v>
      </c>
      <c r="D2284" s="10" t="s">
        <v>300</v>
      </c>
      <c r="E2284" s="11" t="str">
        <f>+HYPERLINK("http://trademark.i-assist.jp/data/china/image_1898th/78651844.pdf", "78651844")</f>
        <v>78651844</v>
      </c>
      <c r="F2284" s="10" t="s">
        <v>6390</v>
      </c>
      <c r="G2284" s="10" t="s">
        <v>6391</v>
      </c>
      <c r="H2284" s="10" t="s">
        <v>6392</v>
      </c>
      <c r="I2284" s="10" t="s">
        <v>6342</v>
      </c>
    </row>
    <row r="2285" spans="1:9" x14ac:dyDescent="0.15">
      <c r="A2285" s="9">
        <v>2284</v>
      </c>
      <c r="B2285" s="10" t="s">
        <v>9</v>
      </c>
      <c r="C2285" s="10" t="s">
        <v>299</v>
      </c>
      <c r="D2285" s="10" t="s">
        <v>300</v>
      </c>
      <c r="E2285" s="11" t="str">
        <f>+HYPERLINK("http://trademark.i-assist.jp/data/china/image_1898th/78652230.pdf", "78652230")</f>
        <v>78652230</v>
      </c>
      <c r="F2285" s="10" t="s">
        <v>6393</v>
      </c>
      <c r="G2285" s="10" t="s">
        <v>6394</v>
      </c>
      <c r="H2285" s="10" t="s">
        <v>6395</v>
      </c>
      <c r="I2285" s="10" t="s">
        <v>6342</v>
      </c>
    </row>
    <row r="2286" spans="1:9" x14ac:dyDescent="0.15">
      <c r="A2286" s="9">
        <v>2285</v>
      </c>
      <c r="B2286" s="10" t="s">
        <v>9</v>
      </c>
      <c r="C2286" s="10" t="s">
        <v>299</v>
      </c>
      <c r="D2286" s="10" t="s">
        <v>300</v>
      </c>
      <c r="E2286" s="11" t="str">
        <f>+HYPERLINK("http://trademark.i-assist.jp/data/china/image_1898th/78652289.pdf", "78652289")</f>
        <v>78652289</v>
      </c>
      <c r="F2286" s="10" t="s">
        <v>6396</v>
      </c>
      <c r="G2286" s="10" t="s">
        <v>6397</v>
      </c>
      <c r="H2286" s="10" t="s">
        <v>6398</v>
      </c>
      <c r="I2286" s="10" t="s">
        <v>6342</v>
      </c>
    </row>
    <row r="2287" spans="1:9" x14ac:dyDescent="0.15">
      <c r="A2287" s="9">
        <v>2286</v>
      </c>
      <c r="B2287" s="10" t="s">
        <v>9</v>
      </c>
      <c r="C2287" s="10" t="s">
        <v>299</v>
      </c>
      <c r="D2287" s="10" t="s">
        <v>300</v>
      </c>
      <c r="E2287" s="11" t="str">
        <f>+HYPERLINK("http://trademark.i-assist.jp/data/china/image_1898th/78652306.pdf", "78652306")</f>
        <v>78652306</v>
      </c>
      <c r="F2287" s="10" t="s">
        <v>6399</v>
      </c>
      <c r="G2287" s="10" t="s">
        <v>6400</v>
      </c>
      <c r="H2287" s="10" t="s">
        <v>6401</v>
      </c>
      <c r="I2287" s="10" t="s">
        <v>6342</v>
      </c>
    </row>
    <row r="2288" spans="1:9" x14ac:dyDescent="0.15">
      <c r="A2288" s="9">
        <v>2287</v>
      </c>
      <c r="B2288" s="10" t="s">
        <v>9</v>
      </c>
      <c r="C2288" s="10" t="s">
        <v>299</v>
      </c>
      <c r="D2288" s="10" t="s">
        <v>300</v>
      </c>
      <c r="E2288" s="11" t="str">
        <f>+HYPERLINK("http://trademark.i-assist.jp/data/china/image_1898th/78652311.pdf", "78652311")</f>
        <v>78652311</v>
      </c>
      <c r="F2288" s="10" t="s">
        <v>6402</v>
      </c>
      <c r="G2288" s="10" t="s">
        <v>6403</v>
      </c>
      <c r="H2288" s="10" t="s">
        <v>6404</v>
      </c>
      <c r="I2288" s="10" t="s">
        <v>6342</v>
      </c>
    </row>
    <row r="2289" spans="1:9" x14ac:dyDescent="0.15">
      <c r="A2289" s="9">
        <v>2288</v>
      </c>
      <c r="B2289" s="10" t="s">
        <v>9</v>
      </c>
      <c r="C2289" s="10" t="s">
        <v>299</v>
      </c>
      <c r="D2289" s="10" t="s">
        <v>300</v>
      </c>
      <c r="E2289" s="11" t="str">
        <f>+HYPERLINK("http://trademark.i-assist.jp/data/china/image_1898th/78652361.pdf", "78652361")</f>
        <v>78652361</v>
      </c>
      <c r="F2289" s="10" t="s">
        <v>6405</v>
      </c>
      <c r="G2289" s="10" t="s">
        <v>4694</v>
      </c>
      <c r="H2289" s="10" t="s">
        <v>6406</v>
      </c>
      <c r="I2289" s="10" t="s">
        <v>6342</v>
      </c>
    </row>
    <row r="2290" spans="1:9" x14ac:dyDescent="0.15">
      <c r="A2290" s="9">
        <v>2289</v>
      </c>
      <c r="B2290" s="10" t="s">
        <v>9</v>
      </c>
      <c r="C2290" s="10" t="s">
        <v>299</v>
      </c>
      <c r="D2290" s="10" t="s">
        <v>300</v>
      </c>
      <c r="E2290" s="11" t="str">
        <f>+HYPERLINK("http://trademark.i-assist.jp/data/china/image_1898th/78652478.pdf", "78652478")</f>
        <v>78652478</v>
      </c>
      <c r="F2290" s="10" t="s">
        <v>6407</v>
      </c>
      <c r="G2290" s="10" t="s">
        <v>6408</v>
      </c>
      <c r="H2290" s="10" t="s">
        <v>6409</v>
      </c>
      <c r="I2290" s="10" t="s">
        <v>6342</v>
      </c>
    </row>
    <row r="2291" spans="1:9" x14ac:dyDescent="0.15">
      <c r="A2291" s="9">
        <v>2290</v>
      </c>
      <c r="B2291" s="10" t="s">
        <v>9</v>
      </c>
      <c r="C2291" s="10" t="s">
        <v>299</v>
      </c>
      <c r="D2291" s="10" t="s">
        <v>300</v>
      </c>
      <c r="E2291" s="11" t="str">
        <f>+HYPERLINK("http://trademark.i-assist.jp/data/china/image_1898th/78652491.pdf", "78652491")</f>
        <v>78652491</v>
      </c>
      <c r="F2291" s="10" t="s">
        <v>6410</v>
      </c>
      <c r="G2291" s="10" t="s">
        <v>6411</v>
      </c>
      <c r="H2291" s="10" t="s">
        <v>6412</v>
      </c>
      <c r="I2291" s="10" t="s">
        <v>6342</v>
      </c>
    </row>
    <row r="2292" spans="1:9" x14ac:dyDescent="0.15">
      <c r="A2292" s="9">
        <v>2291</v>
      </c>
      <c r="B2292" s="10" t="s">
        <v>9</v>
      </c>
      <c r="C2292" s="10" t="s">
        <v>299</v>
      </c>
      <c r="D2292" s="10" t="s">
        <v>300</v>
      </c>
      <c r="E2292" s="11" t="str">
        <f>+HYPERLINK("http://trademark.i-assist.jp/data/china/image_1898th/78652751.pdf", "78652751")</f>
        <v>78652751</v>
      </c>
      <c r="F2292" s="10" t="s">
        <v>6413</v>
      </c>
      <c r="G2292" s="10" t="s">
        <v>6414</v>
      </c>
      <c r="H2292" s="10" t="s">
        <v>6415</v>
      </c>
      <c r="I2292" s="10" t="s">
        <v>6342</v>
      </c>
    </row>
    <row r="2293" spans="1:9" x14ac:dyDescent="0.15">
      <c r="A2293" s="9">
        <v>2292</v>
      </c>
      <c r="B2293" s="10" t="s">
        <v>9</v>
      </c>
      <c r="C2293" s="10" t="s">
        <v>299</v>
      </c>
      <c r="D2293" s="10" t="s">
        <v>300</v>
      </c>
      <c r="E2293" s="11" t="str">
        <f>+HYPERLINK("http://trademark.i-assist.jp/data/china/image_1898th/78652853.pdf", "78652853")</f>
        <v>78652853</v>
      </c>
      <c r="F2293" s="10" t="s">
        <v>6416</v>
      </c>
      <c r="G2293" s="10" t="s">
        <v>6417</v>
      </c>
      <c r="H2293" s="10" t="s">
        <v>6418</v>
      </c>
      <c r="I2293" s="10" t="s">
        <v>6342</v>
      </c>
    </row>
    <row r="2294" spans="1:9" x14ac:dyDescent="0.15">
      <c r="A2294" s="9">
        <v>2293</v>
      </c>
      <c r="B2294" s="10" t="s">
        <v>9</v>
      </c>
      <c r="C2294" s="10" t="s">
        <v>299</v>
      </c>
      <c r="D2294" s="10" t="s">
        <v>300</v>
      </c>
      <c r="E2294" s="11" t="str">
        <f>+HYPERLINK("http://trademark.i-assist.jp/data/china/image_1898th/78652881.pdf", "78652881")</f>
        <v>78652881</v>
      </c>
      <c r="F2294" s="10" t="s">
        <v>6419</v>
      </c>
      <c r="G2294" s="10" t="s">
        <v>6420</v>
      </c>
      <c r="H2294" s="10" t="s">
        <v>6421</v>
      </c>
      <c r="I2294" s="10" t="s">
        <v>6342</v>
      </c>
    </row>
    <row r="2295" spans="1:9" x14ac:dyDescent="0.15">
      <c r="A2295" s="9">
        <v>2294</v>
      </c>
      <c r="B2295" s="10" t="s">
        <v>9</v>
      </c>
      <c r="C2295" s="10" t="s">
        <v>299</v>
      </c>
      <c r="D2295" s="10" t="s">
        <v>300</v>
      </c>
      <c r="E2295" s="11" t="str">
        <f>+HYPERLINK("http://trademark.i-assist.jp/data/china/image_1898th/78652891.pdf", "78652891")</f>
        <v>78652891</v>
      </c>
      <c r="F2295" s="10" t="s">
        <v>6422</v>
      </c>
      <c r="G2295" s="10" t="s">
        <v>6423</v>
      </c>
      <c r="H2295" s="10" t="s">
        <v>6424</v>
      </c>
      <c r="I2295" s="10" t="s">
        <v>6342</v>
      </c>
    </row>
    <row r="2296" spans="1:9" x14ac:dyDescent="0.15">
      <c r="A2296" s="9">
        <v>2295</v>
      </c>
      <c r="B2296" s="10" t="s">
        <v>9</v>
      </c>
      <c r="C2296" s="10" t="s">
        <v>299</v>
      </c>
      <c r="D2296" s="10" t="s">
        <v>300</v>
      </c>
      <c r="E2296" s="11" t="str">
        <f>+HYPERLINK("http://trademark.i-assist.jp/data/china/image_1898th/78652970.pdf", "78652970")</f>
        <v>78652970</v>
      </c>
      <c r="F2296" s="10" t="s">
        <v>6425</v>
      </c>
      <c r="G2296" s="10" t="s">
        <v>6426</v>
      </c>
      <c r="H2296" s="10" t="s">
        <v>6427</v>
      </c>
      <c r="I2296" s="10" t="s">
        <v>6342</v>
      </c>
    </row>
    <row r="2297" spans="1:9" x14ac:dyDescent="0.15">
      <c r="A2297" s="9">
        <v>2296</v>
      </c>
      <c r="B2297" s="10" t="s">
        <v>9</v>
      </c>
      <c r="C2297" s="10" t="s">
        <v>299</v>
      </c>
      <c r="D2297" s="10" t="s">
        <v>300</v>
      </c>
      <c r="E2297" s="11" t="str">
        <f>+HYPERLINK("http://trademark.i-assist.jp/data/china/image_1898th/78653049.pdf", "78653049")</f>
        <v>78653049</v>
      </c>
      <c r="F2297" s="10" t="s">
        <v>6428</v>
      </c>
      <c r="G2297" s="10" t="s">
        <v>6429</v>
      </c>
      <c r="H2297" s="10" t="s">
        <v>6430</v>
      </c>
      <c r="I2297" s="10" t="s">
        <v>6342</v>
      </c>
    </row>
    <row r="2298" spans="1:9" x14ac:dyDescent="0.15">
      <c r="A2298" s="9">
        <v>2297</v>
      </c>
      <c r="B2298" s="10" t="s">
        <v>9</v>
      </c>
      <c r="C2298" s="10" t="s">
        <v>299</v>
      </c>
      <c r="D2298" s="10" t="s">
        <v>300</v>
      </c>
      <c r="E2298" s="11" t="str">
        <f>+HYPERLINK("http://trademark.i-assist.jp/data/china/image_1898th/78653082.pdf", "78653082")</f>
        <v>78653082</v>
      </c>
      <c r="F2298" s="10" t="s">
        <v>19</v>
      </c>
      <c r="G2298" s="10" t="s">
        <v>6431</v>
      </c>
      <c r="H2298" s="10" t="s">
        <v>6432</v>
      </c>
      <c r="I2298" s="10" t="s">
        <v>6342</v>
      </c>
    </row>
    <row r="2299" spans="1:9" x14ac:dyDescent="0.15">
      <c r="A2299" s="9">
        <v>2298</v>
      </c>
      <c r="B2299" s="10" t="s">
        <v>9</v>
      </c>
      <c r="C2299" s="10" t="s">
        <v>299</v>
      </c>
      <c r="D2299" s="10" t="s">
        <v>300</v>
      </c>
      <c r="E2299" s="11" t="str">
        <f>+HYPERLINK("http://trademark.i-assist.jp/data/china/image_1898th/78653408.pdf", "78653408")</f>
        <v>78653408</v>
      </c>
      <c r="F2299" s="10" t="s">
        <v>6433</v>
      </c>
      <c r="G2299" s="10" t="s">
        <v>6434</v>
      </c>
      <c r="H2299" s="10" t="s">
        <v>6435</v>
      </c>
      <c r="I2299" s="10" t="s">
        <v>6342</v>
      </c>
    </row>
    <row r="2300" spans="1:9" x14ac:dyDescent="0.15">
      <c r="A2300" s="9">
        <v>2299</v>
      </c>
      <c r="B2300" s="10" t="s">
        <v>9</v>
      </c>
      <c r="C2300" s="10" t="s">
        <v>299</v>
      </c>
      <c r="D2300" s="10" t="s">
        <v>300</v>
      </c>
      <c r="E2300" s="11" t="str">
        <f>+HYPERLINK("http://trademark.i-assist.jp/data/china/image_1898th/78653441.pdf", "78653441")</f>
        <v>78653441</v>
      </c>
      <c r="F2300" s="10" t="s">
        <v>6436</v>
      </c>
      <c r="G2300" s="10" t="s">
        <v>6437</v>
      </c>
      <c r="H2300" s="10" t="s">
        <v>6438</v>
      </c>
      <c r="I2300" s="10" t="s">
        <v>6342</v>
      </c>
    </row>
    <row r="2301" spans="1:9" x14ac:dyDescent="0.15">
      <c r="A2301" s="9">
        <v>2300</v>
      </c>
      <c r="B2301" s="10" t="s">
        <v>9</v>
      </c>
      <c r="C2301" s="10" t="s">
        <v>299</v>
      </c>
      <c r="D2301" s="10" t="s">
        <v>300</v>
      </c>
      <c r="E2301" s="11" t="str">
        <f>+HYPERLINK("http://trademark.i-assist.jp/data/china/image_1898th/78653444.pdf", "78653444")</f>
        <v>78653444</v>
      </c>
      <c r="F2301" s="10" t="s">
        <v>6439</v>
      </c>
      <c r="G2301" s="10" t="s">
        <v>6440</v>
      </c>
      <c r="H2301" s="10" t="s">
        <v>6441</v>
      </c>
      <c r="I2301" s="10" t="s">
        <v>6342</v>
      </c>
    </row>
    <row r="2302" spans="1:9" x14ac:dyDescent="0.15">
      <c r="A2302" s="9">
        <v>2301</v>
      </c>
      <c r="B2302" s="10" t="s">
        <v>9</v>
      </c>
      <c r="C2302" s="10" t="s">
        <v>299</v>
      </c>
      <c r="D2302" s="10" t="s">
        <v>300</v>
      </c>
      <c r="E2302" s="11" t="str">
        <f>+HYPERLINK("http://trademark.i-assist.jp/data/china/image_1898th/78653458.pdf", "78653458")</f>
        <v>78653458</v>
      </c>
      <c r="F2302" s="10" t="s">
        <v>6442</v>
      </c>
      <c r="G2302" s="10" t="s">
        <v>171</v>
      </c>
      <c r="H2302" s="10" t="s">
        <v>6443</v>
      </c>
      <c r="I2302" s="10" t="s">
        <v>6342</v>
      </c>
    </row>
    <row r="2303" spans="1:9" x14ac:dyDescent="0.15">
      <c r="A2303" s="9">
        <v>2302</v>
      </c>
      <c r="B2303" s="10" t="s">
        <v>9</v>
      </c>
      <c r="C2303" s="10" t="s">
        <v>299</v>
      </c>
      <c r="D2303" s="10" t="s">
        <v>300</v>
      </c>
      <c r="E2303" s="11" t="str">
        <f>+HYPERLINK("http://trademark.i-assist.jp/data/china/image_1898th/78653460.pdf", "78653460")</f>
        <v>78653460</v>
      </c>
      <c r="F2303" s="10" t="s">
        <v>19</v>
      </c>
      <c r="G2303" s="10" t="s">
        <v>6444</v>
      </c>
      <c r="H2303" s="10" t="s">
        <v>6445</v>
      </c>
      <c r="I2303" s="10" t="s">
        <v>6342</v>
      </c>
    </row>
    <row r="2304" spans="1:9" x14ac:dyDescent="0.15">
      <c r="A2304" s="9">
        <v>2303</v>
      </c>
      <c r="B2304" s="10" t="s">
        <v>9</v>
      </c>
      <c r="C2304" s="10" t="s">
        <v>299</v>
      </c>
      <c r="D2304" s="10" t="s">
        <v>300</v>
      </c>
      <c r="E2304" s="11" t="str">
        <f>+HYPERLINK("http://trademark.i-assist.jp/data/china/image_1898th/78653575.pdf", "78653575")</f>
        <v>78653575</v>
      </c>
      <c r="F2304" s="10" t="s">
        <v>6446</v>
      </c>
      <c r="G2304" s="10" t="s">
        <v>6447</v>
      </c>
      <c r="H2304" s="10" t="s">
        <v>6448</v>
      </c>
      <c r="I2304" s="10" t="s">
        <v>6342</v>
      </c>
    </row>
    <row r="2305" spans="1:9" x14ac:dyDescent="0.15">
      <c r="A2305" s="9">
        <v>2304</v>
      </c>
      <c r="B2305" s="10" t="s">
        <v>9</v>
      </c>
      <c r="C2305" s="10" t="s">
        <v>299</v>
      </c>
      <c r="D2305" s="10" t="s">
        <v>300</v>
      </c>
      <c r="E2305" s="11" t="str">
        <f>+HYPERLINK("http://trademark.i-assist.jp/data/china/image_1898th/78653729.pdf", "78653729")</f>
        <v>78653729</v>
      </c>
      <c r="F2305" s="10" t="s">
        <v>6449</v>
      </c>
      <c r="G2305" s="10" t="s">
        <v>6450</v>
      </c>
      <c r="H2305" s="10" t="s">
        <v>6451</v>
      </c>
      <c r="I2305" s="10" t="s">
        <v>6342</v>
      </c>
    </row>
    <row r="2306" spans="1:9" x14ac:dyDescent="0.15">
      <c r="A2306" s="9">
        <v>2305</v>
      </c>
      <c r="B2306" s="10" t="s">
        <v>9</v>
      </c>
      <c r="C2306" s="10" t="s">
        <v>299</v>
      </c>
      <c r="D2306" s="10" t="s">
        <v>300</v>
      </c>
      <c r="E2306" s="11" t="str">
        <f>+HYPERLINK("http://trademark.i-assist.jp/data/china/image_1898th/78653748.pdf", "78653748")</f>
        <v>78653748</v>
      </c>
      <c r="F2306" s="10" t="s">
        <v>6452</v>
      </c>
      <c r="G2306" s="10" t="s">
        <v>6453</v>
      </c>
      <c r="H2306" s="10" t="s">
        <v>6454</v>
      </c>
      <c r="I2306" s="10" t="s">
        <v>6342</v>
      </c>
    </row>
    <row r="2307" spans="1:9" x14ac:dyDescent="0.15">
      <c r="A2307" s="9">
        <v>2306</v>
      </c>
      <c r="B2307" s="10" t="s">
        <v>9</v>
      </c>
      <c r="C2307" s="10" t="s">
        <v>299</v>
      </c>
      <c r="D2307" s="10" t="s">
        <v>300</v>
      </c>
      <c r="E2307" s="11" t="str">
        <f>+HYPERLINK("http://trademark.i-assist.jp/data/china/image_1898th/78653755.pdf", "78653755")</f>
        <v>78653755</v>
      </c>
      <c r="F2307" s="10" t="s">
        <v>6455</v>
      </c>
      <c r="G2307" s="10" t="s">
        <v>6456</v>
      </c>
      <c r="H2307" s="10" t="s">
        <v>6457</v>
      </c>
      <c r="I2307" s="10" t="s">
        <v>6342</v>
      </c>
    </row>
    <row r="2308" spans="1:9" x14ac:dyDescent="0.15">
      <c r="A2308" s="9">
        <v>2307</v>
      </c>
      <c r="B2308" s="10" t="s">
        <v>9</v>
      </c>
      <c r="C2308" s="10" t="s">
        <v>299</v>
      </c>
      <c r="D2308" s="10" t="s">
        <v>300</v>
      </c>
      <c r="E2308" s="11" t="str">
        <f>+HYPERLINK("http://trademark.i-assist.jp/data/china/image_1898th/78653941.pdf", "78653941")</f>
        <v>78653941</v>
      </c>
      <c r="F2308" s="10" t="s">
        <v>6458</v>
      </c>
      <c r="G2308" s="10" t="s">
        <v>6459</v>
      </c>
      <c r="H2308" s="10" t="s">
        <v>6460</v>
      </c>
      <c r="I2308" s="10" t="s">
        <v>6342</v>
      </c>
    </row>
    <row r="2309" spans="1:9" x14ac:dyDescent="0.15">
      <c r="A2309" s="9">
        <v>2308</v>
      </c>
      <c r="B2309" s="10" t="s">
        <v>9</v>
      </c>
      <c r="C2309" s="10" t="s">
        <v>299</v>
      </c>
      <c r="D2309" s="10" t="s">
        <v>300</v>
      </c>
      <c r="E2309" s="11" t="str">
        <f>+HYPERLINK("http://trademark.i-assist.jp/data/china/image_1898th/78654011.pdf", "78654011")</f>
        <v>78654011</v>
      </c>
      <c r="F2309" s="10" t="s">
        <v>6461</v>
      </c>
      <c r="G2309" s="10" t="s">
        <v>6462</v>
      </c>
      <c r="H2309" s="10" t="s">
        <v>6463</v>
      </c>
      <c r="I2309" s="10" t="s">
        <v>6342</v>
      </c>
    </row>
    <row r="2310" spans="1:9" x14ac:dyDescent="0.15">
      <c r="A2310" s="9">
        <v>2309</v>
      </c>
      <c r="B2310" s="10" t="s">
        <v>9</v>
      </c>
      <c r="C2310" s="10" t="s">
        <v>299</v>
      </c>
      <c r="D2310" s="10" t="s">
        <v>300</v>
      </c>
      <c r="E2310" s="11" t="str">
        <f>+HYPERLINK("http://trademark.i-assist.jp/data/china/image_1898th/78654015.pdf", "78654015")</f>
        <v>78654015</v>
      </c>
      <c r="F2310" s="10" t="s">
        <v>6464</v>
      </c>
      <c r="G2310" s="10" t="s">
        <v>6465</v>
      </c>
      <c r="H2310" s="10" t="s">
        <v>6466</v>
      </c>
      <c r="I2310" s="10" t="s">
        <v>6342</v>
      </c>
    </row>
    <row r="2311" spans="1:9" x14ac:dyDescent="0.15">
      <c r="A2311" s="9">
        <v>2310</v>
      </c>
      <c r="B2311" s="10" t="s">
        <v>9</v>
      </c>
      <c r="C2311" s="10" t="s">
        <v>299</v>
      </c>
      <c r="D2311" s="10" t="s">
        <v>300</v>
      </c>
      <c r="E2311" s="11" t="str">
        <f>+HYPERLINK("http://trademark.i-assist.jp/data/china/image_1898th/78654261.pdf", "78654261")</f>
        <v>78654261</v>
      </c>
      <c r="F2311" s="10" t="s">
        <v>6467</v>
      </c>
      <c r="G2311" s="10" t="s">
        <v>5402</v>
      </c>
      <c r="H2311" s="10" t="s">
        <v>6468</v>
      </c>
      <c r="I2311" s="10" t="s">
        <v>6342</v>
      </c>
    </row>
    <row r="2312" spans="1:9" x14ac:dyDescent="0.15">
      <c r="A2312" s="9">
        <v>2311</v>
      </c>
      <c r="B2312" s="10" t="s">
        <v>9</v>
      </c>
      <c r="C2312" s="10" t="s">
        <v>299</v>
      </c>
      <c r="D2312" s="10" t="s">
        <v>300</v>
      </c>
      <c r="E2312" s="11" t="str">
        <f>+HYPERLINK("http://trademark.i-assist.jp/data/china/image_1898th/78654344.pdf", "78654344")</f>
        <v>78654344</v>
      </c>
      <c r="F2312" s="10" t="s">
        <v>6469</v>
      </c>
      <c r="G2312" s="10" t="s">
        <v>6470</v>
      </c>
      <c r="H2312" s="10" t="s">
        <v>6471</v>
      </c>
      <c r="I2312" s="10" t="s">
        <v>6342</v>
      </c>
    </row>
    <row r="2313" spans="1:9" x14ac:dyDescent="0.15">
      <c r="A2313" s="9">
        <v>2312</v>
      </c>
      <c r="B2313" s="10" t="s">
        <v>9</v>
      </c>
      <c r="C2313" s="10" t="s">
        <v>299</v>
      </c>
      <c r="D2313" s="10" t="s">
        <v>300</v>
      </c>
      <c r="E2313" s="11" t="str">
        <f>+HYPERLINK("http://trademark.i-assist.jp/data/china/image_1898th/78654404.pdf", "78654404")</f>
        <v>78654404</v>
      </c>
      <c r="F2313" s="10" t="s">
        <v>6472</v>
      </c>
      <c r="G2313" s="10" t="s">
        <v>6473</v>
      </c>
      <c r="H2313" s="10" t="s">
        <v>6474</v>
      </c>
      <c r="I2313" s="10" t="s">
        <v>6342</v>
      </c>
    </row>
    <row r="2314" spans="1:9" x14ac:dyDescent="0.15">
      <c r="A2314" s="9">
        <v>2313</v>
      </c>
      <c r="B2314" s="10" t="s">
        <v>9</v>
      </c>
      <c r="C2314" s="10" t="s">
        <v>299</v>
      </c>
      <c r="D2314" s="10" t="s">
        <v>300</v>
      </c>
      <c r="E2314" s="11" t="str">
        <f>+HYPERLINK("http://trademark.i-assist.jp/data/china/image_1898th/78654412.pdf", "78654412")</f>
        <v>78654412</v>
      </c>
      <c r="F2314" s="10" t="s">
        <v>6475</v>
      </c>
      <c r="G2314" s="10" t="s">
        <v>6391</v>
      </c>
      <c r="H2314" s="10" t="s">
        <v>6476</v>
      </c>
      <c r="I2314" s="10" t="s">
        <v>6342</v>
      </c>
    </row>
    <row r="2315" spans="1:9" x14ac:dyDescent="0.15">
      <c r="A2315" s="9">
        <v>2314</v>
      </c>
      <c r="B2315" s="10" t="s">
        <v>9</v>
      </c>
      <c r="C2315" s="10" t="s">
        <v>299</v>
      </c>
      <c r="D2315" s="10" t="s">
        <v>300</v>
      </c>
      <c r="E2315" s="11" t="str">
        <f>+HYPERLINK("http://trademark.i-assist.jp/data/china/image_1898th/78654466.pdf", "78654466")</f>
        <v>78654466</v>
      </c>
      <c r="F2315" s="10" t="s">
        <v>6477</v>
      </c>
      <c r="G2315" s="10" t="s">
        <v>6478</v>
      </c>
      <c r="H2315" s="10" t="s">
        <v>6479</v>
      </c>
      <c r="I2315" s="10" t="s">
        <v>6342</v>
      </c>
    </row>
    <row r="2316" spans="1:9" x14ac:dyDescent="0.15">
      <c r="A2316" s="9">
        <v>2315</v>
      </c>
      <c r="B2316" s="10" t="s">
        <v>9</v>
      </c>
      <c r="C2316" s="10" t="s">
        <v>299</v>
      </c>
      <c r="D2316" s="10" t="s">
        <v>300</v>
      </c>
      <c r="E2316" s="11" t="str">
        <f>+HYPERLINK("http://trademark.i-assist.jp/data/china/image_1898th/78654928.pdf", "78654928")</f>
        <v>78654928</v>
      </c>
      <c r="F2316" s="10" t="s">
        <v>6480</v>
      </c>
      <c r="G2316" s="10" t="s">
        <v>6481</v>
      </c>
      <c r="H2316" s="10" t="s">
        <v>6482</v>
      </c>
      <c r="I2316" s="10" t="s">
        <v>6342</v>
      </c>
    </row>
    <row r="2317" spans="1:9" x14ac:dyDescent="0.15">
      <c r="A2317" s="9">
        <v>2316</v>
      </c>
      <c r="B2317" s="10" t="s">
        <v>9</v>
      </c>
      <c r="C2317" s="10" t="s">
        <v>299</v>
      </c>
      <c r="D2317" s="10" t="s">
        <v>300</v>
      </c>
      <c r="E2317" s="11" t="str">
        <f>+HYPERLINK("http://trademark.i-assist.jp/data/china/image_1898th/78655163.pdf", "78655163")</f>
        <v>78655163</v>
      </c>
      <c r="F2317" s="10" t="s">
        <v>6483</v>
      </c>
      <c r="G2317" s="10" t="s">
        <v>6363</v>
      </c>
      <c r="H2317" s="10" t="s">
        <v>6484</v>
      </c>
      <c r="I2317" s="10" t="s">
        <v>6342</v>
      </c>
    </row>
    <row r="2318" spans="1:9" x14ac:dyDescent="0.15">
      <c r="A2318" s="9">
        <v>2317</v>
      </c>
      <c r="B2318" s="10" t="s">
        <v>9</v>
      </c>
      <c r="C2318" s="10" t="s">
        <v>299</v>
      </c>
      <c r="D2318" s="10" t="s">
        <v>300</v>
      </c>
      <c r="E2318" s="11" t="str">
        <f>+HYPERLINK("http://trademark.i-assist.jp/data/china/image_1898th/78655240.pdf", "78655240")</f>
        <v>78655240</v>
      </c>
      <c r="F2318" s="10" t="s">
        <v>6485</v>
      </c>
      <c r="G2318" s="10" t="s">
        <v>6486</v>
      </c>
      <c r="H2318" s="10" t="s">
        <v>6487</v>
      </c>
      <c r="I2318" s="10" t="s">
        <v>6342</v>
      </c>
    </row>
    <row r="2319" spans="1:9" x14ac:dyDescent="0.15">
      <c r="A2319" s="9">
        <v>2318</v>
      </c>
      <c r="B2319" s="10" t="s">
        <v>9</v>
      </c>
      <c r="C2319" s="10" t="s">
        <v>299</v>
      </c>
      <c r="D2319" s="10" t="s">
        <v>300</v>
      </c>
      <c r="E2319" s="11" t="str">
        <f>+HYPERLINK("http://trademark.i-assist.jp/data/china/image_1898th/78655259.pdf", "78655259")</f>
        <v>78655259</v>
      </c>
      <c r="F2319" s="10" t="s">
        <v>6488</v>
      </c>
      <c r="G2319" s="10" t="s">
        <v>6489</v>
      </c>
      <c r="H2319" s="10" t="s">
        <v>6490</v>
      </c>
      <c r="I2319" s="10" t="s">
        <v>6342</v>
      </c>
    </row>
    <row r="2320" spans="1:9" x14ac:dyDescent="0.15">
      <c r="A2320" s="9">
        <v>2319</v>
      </c>
      <c r="B2320" s="10" t="s">
        <v>9</v>
      </c>
      <c r="C2320" s="10" t="s">
        <v>299</v>
      </c>
      <c r="D2320" s="10" t="s">
        <v>300</v>
      </c>
      <c r="E2320" s="11" t="str">
        <f>+HYPERLINK("http://trademark.i-assist.jp/data/china/image_1898th/78655296.pdf", "78655296")</f>
        <v>78655296</v>
      </c>
      <c r="F2320" s="10" t="s">
        <v>6491</v>
      </c>
      <c r="G2320" s="10" t="s">
        <v>6492</v>
      </c>
      <c r="H2320" s="10" t="s">
        <v>6493</v>
      </c>
      <c r="I2320" s="10" t="s">
        <v>6342</v>
      </c>
    </row>
    <row r="2321" spans="1:9" x14ac:dyDescent="0.15">
      <c r="A2321" s="9">
        <v>2320</v>
      </c>
      <c r="B2321" s="10" t="s">
        <v>9</v>
      </c>
      <c r="C2321" s="10" t="s">
        <v>299</v>
      </c>
      <c r="D2321" s="10" t="s">
        <v>300</v>
      </c>
      <c r="E2321" s="11" t="str">
        <f>+HYPERLINK("http://trademark.i-assist.jp/data/china/image_1898th/78655517.pdf", "78655517")</f>
        <v>78655517</v>
      </c>
      <c r="F2321" s="10" t="s">
        <v>6494</v>
      </c>
      <c r="G2321" s="10" t="s">
        <v>6495</v>
      </c>
      <c r="H2321" s="10" t="s">
        <v>6496</v>
      </c>
      <c r="I2321" s="10" t="s">
        <v>6342</v>
      </c>
    </row>
    <row r="2322" spans="1:9" x14ac:dyDescent="0.15">
      <c r="A2322" s="9">
        <v>2321</v>
      </c>
      <c r="B2322" s="10" t="s">
        <v>9</v>
      </c>
      <c r="C2322" s="10" t="s">
        <v>299</v>
      </c>
      <c r="D2322" s="10" t="s">
        <v>300</v>
      </c>
      <c r="E2322" s="11" t="str">
        <f>+HYPERLINK("http://trademark.i-assist.jp/data/china/image_1898th/78655650.pdf", "78655650")</f>
        <v>78655650</v>
      </c>
      <c r="F2322" s="10" t="s">
        <v>6497</v>
      </c>
      <c r="G2322" s="10" t="s">
        <v>6498</v>
      </c>
      <c r="H2322" s="10" t="s">
        <v>6499</v>
      </c>
      <c r="I2322" s="10" t="s">
        <v>6342</v>
      </c>
    </row>
    <row r="2323" spans="1:9" x14ac:dyDescent="0.15">
      <c r="A2323" s="9">
        <v>2322</v>
      </c>
      <c r="B2323" s="10" t="s">
        <v>9</v>
      </c>
      <c r="C2323" s="10" t="s">
        <v>299</v>
      </c>
      <c r="D2323" s="10" t="s">
        <v>300</v>
      </c>
      <c r="E2323" s="11" t="str">
        <f>+HYPERLINK("http://trademark.i-assist.jp/data/china/image_1898th/78655677.pdf", "78655677")</f>
        <v>78655677</v>
      </c>
      <c r="F2323" s="10" t="s">
        <v>6500</v>
      </c>
      <c r="G2323" s="10" t="s">
        <v>6501</v>
      </c>
      <c r="H2323" s="10" t="s">
        <v>6502</v>
      </c>
      <c r="I2323" s="10" t="s">
        <v>6342</v>
      </c>
    </row>
    <row r="2324" spans="1:9" x14ac:dyDescent="0.15">
      <c r="A2324" s="9">
        <v>2323</v>
      </c>
      <c r="B2324" s="10" t="s">
        <v>9</v>
      </c>
      <c r="C2324" s="10" t="s">
        <v>299</v>
      </c>
      <c r="D2324" s="10" t="s">
        <v>300</v>
      </c>
      <c r="E2324" s="11" t="str">
        <f>+HYPERLINK("http://trademark.i-assist.jp/data/china/image_1898th/78655853.pdf", "78655853")</f>
        <v>78655853</v>
      </c>
      <c r="F2324" s="10" t="s">
        <v>6503</v>
      </c>
      <c r="G2324" s="10" t="s">
        <v>6423</v>
      </c>
      <c r="H2324" s="10" t="s">
        <v>6504</v>
      </c>
      <c r="I2324" s="10" t="s">
        <v>6342</v>
      </c>
    </row>
    <row r="2325" spans="1:9" x14ac:dyDescent="0.15">
      <c r="A2325" s="9">
        <v>2324</v>
      </c>
      <c r="B2325" s="10" t="s">
        <v>9</v>
      </c>
      <c r="C2325" s="10" t="s">
        <v>299</v>
      </c>
      <c r="D2325" s="10" t="s">
        <v>300</v>
      </c>
      <c r="E2325" s="11" t="str">
        <f>+HYPERLINK("http://trademark.i-assist.jp/data/china/image_1898th/78655858.pdf", "78655858")</f>
        <v>78655858</v>
      </c>
      <c r="F2325" s="10" t="s">
        <v>6505</v>
      </c>
      <c r="G2325" s="10" t="s">
        <v>6423</v>
      </c>
      <c r="H2325" s="10" t="s">
        <v>6506</v>
      </c>
      <c r="I2325" s="10" t="s">
        <v>6342</v>
      </c>
    </row>
    <row r="2326" spans="1:9" x14ac:dyDescent="0.15">
      <c r="A2326" s="9">
        <v>2325</v>
      </c>
      <c r="B2326" s="10" t="s">
        <v>9</v>
      </c>
      <c r="C2326" s="10" t="s">
        <v>299</v>
      </c>
      <c r="D2326" s="10" t="s">
        <v>300</v>
      </c>
      <c r="E2326" s="11" t="str">
        <f>+HYPERLINK("http://trademark.i-assist.jp/data/china/image_1898th/78655978.pdf", "78655978")</f>
        <v>78655978</v>
      </c>
      <c r="F2326" s="10" t="s">
        <v>6507</v>
      </c>
      <c r="G2326" s="10" t="s">
        <v>6508</v>
      </c>
      <c r="H2326" s="10" t="s">
        <v>6509</v>
      </c>
      <c r="I2326" s="10" t="s">
        <v>6342</v>
      </c>
    </row>
    <row r="2327" spans="1:9" x14ac:dyDescent="0.15">
      <c r="A2327" s="9">
        <v>2326</v>
      </c>
      <c r="B2327" s="10" t="s">
        <v>9</v>
      </c>
      <c r="C2327" s="10" t="s">
        <v>299</v>
      </c>
      <c r="D2327" s="10" t="s">
        <v>300</v>
      </c>
      <c r="E2327" s="11" t="str">
        <f>+HYPERLINK("http://trademark.i-assist.jp/data/china/image_1898th/78656309.pdf", "78656309")</f>
        <v>78656309</v>
      </c>
      <c r="F2327" s="10" t="s">
        <v>6510</v>
      </c>
      <c r="G2327" s="10" t="s">
        <v>194</v>
      </c>
      <c r="H2327" s="10" t="s">
        <v>6511</v>
      </c>
      <c r="I2327" s="10" t="s">
        <v>6342</v>
      </c>
    </row>
    <row r="2328" spans="1:9" x14ac:dyDescent="0.15">
      <c r="A2328" s="9">
        <v>2327</v>
      </c>
      <c r="B2328" s="10" t="s">
        <v>9</v>
      </c>
      <c r="C2328" s="10" t="s">
        <v>299</v>
      </c>
      <c r="D2328" s="10" t="s">
        <v>300</v>
      </c>
      <c r="E2328" s="11" t="str">
        <f>+HYPERLINK("http://trademark.i-assist.jp/data/china/image_1898th/78656541.pdf", "78656541")</f>
        <v>78656541</v>
      </c>
      <c r="F2328" s="10" t="s">
        <v>6512</v>
      </c>
      <c r="G2328" s="10" t="s">
        <v>6513</v>
      </c>
      <c r="H2328" s="10" t="s">
        <v>6514</v>
      </c>
      <c r="I2328" s="10" t="s">
        <v>6342</v>
      </c>
    </row>
    <row r="2329" spans="1:9" x14ac:dyDescent="0.15">
      <c r="A2329" s="9">
        <v>2328</v>
      </c>
      <c r="B2329" s="10" t="s">
        <v>9</v>
      </c>
      <c r="C2329" s="10" t="s">
        <v>299</v>
      </c>
      <c r="D2329" s="10" t="s">
        <v>300</v>
      </c>
      <c r="E2329" s="11" t="str">
        <f>+HYPERLINK("http://trademark.i-assist.jp/data/china/image_1898th/78656578.pdf", "78656578")</f>
        <v>78656578</v>
      </c>
      <c r="F2329" s="10" t="s">
        <v>19</v>
      </c>
      <c r="G2329" s="10" t="s">
        <v>6515</v>
      </c>
      <c r="H2329" s="10" t="s">
        <v>6516</v>
      </c>
      <c r="I2329" s="10" t="s">
        <v>6342</v>
      </c>
    </row>
    <row r="2330" spans="1:9" x14ac:dyDescent="0.15">
      <c r="A2330" s="9">
        <v>2329</v>
      </c>
      <c r="B2330" s="10" t="s">
        <v>9</v>
      </c>
      <c r="C2330" s="10" t="s">
        <v>299</v>
      </c>
      <c r="D2330" s="10" t="s">
        <v>300</v>
      </c>
      <c r="E2330" s="11" t="str">
        <f>+HYPERLINK("http://trademark.i-assist.jp/data/china/image_1898th/78656794.pdf", "78656794")</f>
        <v>78656794</v>
      </c>
      <c r="F2330" s="10" t="s">
        <v>6517</v>
      </c>
      <c r="G2330" s="10" t="s">
        <v>6518</v>
      </c>
      <c r="H2330" s="10" t="s">
        <v>6519</v>
      </c>
      <c r="I2330" s="10" t="s">
        <v>6342</v>
      </c>
    </row>
    <row r="2331" spans="1:9" x14ac:dyDescent="0.15">
      <c r="A2331" s="9">
        <v>2330</v>
      </c>
      <c r="B2331" s="10" t="s">
        <v>9</v>
      </c>
      <c r="C2331" s="10" t="s">
        <v>299</v>
      </c>
      <c r="D2331" s="10" t="s">
        <v>300</v>
      </c>
      <c r="E2331" s="11" t="str">
        <f>+HYPERLINK("http://trademark.i-assist.jp/data/china/image_1898th/78656964.pdf", "78656964")</f>
        <v>78656964</v>
      </c>
      <c r="F2331" s="10" t="s">
        <v>6520</v>
      </c>
      <c r="G2331" s="10" t="s">
        <v>6508</v>
      </c>
      <c r="H2331" s="10" t="s">
        <v>6521</v>
      </c>
      <c r="I2331" s="10" t="s">
        <v>6342</v>
      </c>
    </row>
    <row r="2332" spans="1:9" x14ac:dyDescent="0.15">
      <c r="A2332" s="9">
        <v>2331</v>
      </c>
      <c r="B2332" s="10" t="s">
        <v>9</v>
      </c>
      <c r="C2332" s="10" t="s">
        <v>299</v>
      </c>
      <c r="D2332" s="10" t="s">
        <v>300</v>
      </c>
      <c r="E2332" s="11" t="str">
        <f>+HYPERLINK("http://trademark.i-assist.jp/data/china/image_1898th/78657060.pdf", "78657060")</f>
        <v>78657060</v>
      </c>
      <c r="F2332" s="10" t="s">
        <v>6522</v>
      </c>
      <c r="G2332" s="10" t="s">
        <v>6523</v>
      </c>
      <c r="H2332" s="10" t="s">
        <v>6524</v>
      </c>
      <c r="I2332" s="10" t="s">
        <v>6342</v>
      </c>
    </row>
    <row r="2333" spans="1:9" x14ac:dyDescent="0.15">
      <c r="A2333" s="9">
        <v>2332</v>
      </c>
      <c r="B2333" s="10" t="s">
        <v>9</v>
      </c>
      <c r="C2333" s="10" t="s">
        <v>299</v>
      </c>
      <c r="D2333" s="10" t="s">
        <v>300</v>
      </c>
      <c r="E2333" s="11" t="str">
        <f>+HYPERLINK("http://trademark.i-assist.jp/data/china/image_1898th/78657219.pdf", "78657219")</f>
        <v>78657219</v>
      </c>
      <c r="F2333" s="10" t="s">
        <v>6525</v>
      </c>
      <c r="G2333" s="10" t="s">
        <v>6526</v>
      </c>
      <c r="H2333" s="10" t="s">
        <v>6527</v>
      </c>
      <c r="I2333" s="10" t="s">
        <v>6342</v>
      </c>
    </row>
    <row r="2334" spans="1:9" x14ac:dyDescent="0.15">
      <c r="A2334" s="9">
        <v>2333</v>
      </c>
      <c r="B2334" s="10" t="s">
        <v>9</v>
      </c>
      <c r="C2334" s="10" t="s">
        <v>299</v>
      </c>
      <c r="D2334" s="10" t="s">
        <v>300</v>
      </c>
      <c r="E2334" s="11" t="str">
        <f>+HYPERLINK("http://trademark.i-assist.jp/data/china/image_1898th/78657234.pdf", "78657234")</f>
        <v>78657234</v>
      </c>
      <c r="F2334" s="10" t="s">
        <v>6528</v>
      </c>
      <c r="G2334" s="10" t="s">
        <v>471</v>
      </c>
      <c r="H2334" s="10" t="s">
        <v>6529</v>
      </c>
      <c r="I2334" s="10" t="s">
        <v>6342</v>
      </c>
    </row>
    <row r="2335" spans="1:9" x14ac:dyDescent="0.15">
      <c r="A2335" s="9">
        <v>2334</v>
      </c>
      <c r="B2335" s="10" t="s">
        <v>9</v>
      </c>
      <c r="C2335" s="10" t="s">
        <v>299</v>
      </c>
      <c r="D2335" s="10" t="s">
        <v>300</v>
      </c>
      <c r="E2335" s="11" t="str">
        <f>+HYPERLINK("http://trademark.i-assist.jp/data/china/image_1898th/78657268.pdf", "78657268")</f>
        <v>78657268</v>
      </c>
      <c r="F2335" s="10" t="s">
        <v>6530</v>
      </c>
      <c r="G2335" s="10" t="s">
        <v>5963</v>
      </c>
      <c r="H2335" s="10" t="s">
        <v>6531</v>
      </c>
      <c r="I2335" s="10" t="s">
        <v>6342</v>
      </c>
    </row>
    <row r="2336" spans="1:9" x14ac:dyDescent="0.15">
      <c r="A2336" s="9">
        <v>2335</v>
      </c>
      <c r="B2336" s="10" t="s">
        <v>9</v>
      </c>
      <c r="C2336" s="10" t="s">
        <v>299</v>
      </c>
      <c r="D2336" s="10" t="s">
        <v>300</v>
      </c>
      <c r="E2336" s="11" t="str">
        <f>+HYPERLINK("http://trademark.i-assist.jp/data/china/image_1898th/78657277.pdf", "78657277")</f>
        <v>78657277</v>
      </c>
      <c r="F2336" s="10" t="s">
        <v>6532</v>
      </c>
      <c r="G2336" s="10" t="s">
        <v>471</v>
      </c>
      <c r="H2336" s="10" t="s">
        <v>6533</v>
      </c>
      <c r="I2336" s="10" t="s">
        <v>6342</v>
      </c>
    </row>
    <row r="2337" spans="1:9" x14ac:dyDescent="0.15">
      <c r="A2337" s="9">
        <v>2336</v>
      </c>
      <c r="B2337" s="10" t="s">
        <v>9</v>
      </c>
      <c r="C2337" s="10" t="s">
        <v>299</v>
      </c>
      <c r="D2337" s="10" t="s">
        <v>300</v>
      </c>
      <c r="E2337" s="11" t="str">
        <f>+HYPERLINK("http://trademark.i-assist.jp/data/china/image_1898th/78657422.pdf", "78657422")</f>
        <v>78657422</v>
      </c>
      <c r="F2337" s="10" t="s">
        <v>6534</v>
      </c>
      <c r="G2337" s="10" t="s">
        <v>6535</v>
      </c>
      <c r="H2337" s="10" t="s">
        <v>6536</v>
      </c>
      <c r="I2337" s="10" t="s">
        <v>6342</v>
      </c>
    </row>
    <row r="2338" spans="1:9" x14ac:dyDescent="0.15">
      <c r="A2338" s="9">
        <v>2337</v>
      </c>
      <c r="B2338" s="10" t="s">
        <v>9</v>
      </c>
      <c r="C2338" s="10" t="s">
        <v>299</v>
      </c>
      <c r="D2338" s="10" t="s">
        <v>300</v>
      </c>
      <c r="E2338" s="11" t="str">
        <f>+HYPERLINK("http://trademark.i-assist.jp/data/china/image_1898th/78657474.pdf", "78657474")</f>
        <v>78657474</v>
      </c>
      <c r="F2338" s="10" t="s">
        <v>6537</v>
      </c>
      <c r="G2338" s="10" t="s">
        <v>194</v>
      </c>
      <c r="H2338" s="10" t="s">
        <v>6538</v>
      </c>
      <c r="I2338" s="10" t="s">
        <v>6342</v>
      </c>
    </row>
    <row r="2339" spans="1:9" x14ac:dyDescent="0.15">
      <c r="A2339" s="9">
        <v>2338</v>
      </c>
      <c r="B2339" s="10" t="s">
        <v>9</v>
      </c>
      <c r="C2339" s="10" t="s">
        <v>299</v>
      </c>
      <c r="D2339" s="10" t="s">
        <v>300</v>
      </c>
      <c r="E2339" s="11" t="str">
        <f>+HYPERLINK("http://trademark.i-assist.jp/data/china/image_1898th/78657610.pdf", "78657610")</f>
        <v>78657610</v>
      </c>
      <c r="F2339" s="10" t="s">
        <v>6539</v>
      </c>
      <c r="G2339" s="10" t="s">
        <v>6540</v>
      </c>
      <c r="H2339" s="10" t="s">
        <v>6541</v>
      </c>
      <c r="I2339" s="10" t="s">
        <v>6342</v>
      </c>
    </row>
    <row r="2340" spans="1:9" x14ac:dyDescent="0.15">
      <c r="A2340" s="9">
        <v>2339</v>
      </c>
      <c r="B2340" s="10" t="s">
        <v>9</v>
      </c>
      <c r="C2340" s="10" t="s">
        <v>299</v>
      </c>
      <c r="D2340" s="10" t="s">
        <v>300</v>
      </c>
      <c r="E2340" s="11" t="str">
        <f>+HYPERLINK("http://trademark.i-assist.jp/data/china/image_1898th/78657623.pdf", "78657623")</f>
        <v>78657623</v>
      </c>
      <c r="F2340" s="10" t="s">
        <v>6542</v>
      </c>
      <c r="G2340" s="10" t="s">
        <v>6543</v>
      </c>
      <c r="H2340" s="10" t="s">
        <v>6544</v>
      </c>
      <c r="I2340" s="10" t="s">
        <v>6342</v>
      </c>
    </row>
    <row r="2341" spans="1:9" x14ac:dyDescent="0.15">
      <c r="A2341" s="9">
        <v>2340</v>
      </c>
      <c r="B2341" s="10" t="s">
        <v>9</v>
      </c>
      <c r="C2341" s="10" t="s">
        <v>299</v>
      </c>
      <c r="D2341" s="10" t="s">
        <v>300</v>
      </c>
      <c r="E2341" s="11" t="str">
        <f>+HYPERLINK("http://trademark.i-assist.jp/data/china/image_1898th/78658116.pdf", "78658116")</f>
        <v>78658116</v>
      </c>
      <c r="F2341" s="10" t="s">
        <v>6545</v>
      </c>
      <c r="G2341" s="10" t="s">
        <v>6546</v>
      </c>
      <c r="H2341" s="10" t="s">
        <v>6547</v>
      </c>
      <c r="I2341" s="10" t="s">
        <v>6342</v>
      </c>
    </row>
    <row r="2342" spans="1:9" x14ac:dyDescent="0.15">
      <c r="A2342" s="9">
        <v>2341</v>
      </c>
      <c r="B2342" s="10" t="s">
        <v>9</v>
      </c>
      <c r="C2342" s="10" t="s">
        <v>299</v>
      </c>
      <c r="D2342" s="10" t="s">
        <v>300</v>
      </c>
      <c r="E2342" s="11" t="str">
        <f>+HYPERLINK("http://trademark.i-assist.jp/data/china/image_1898th/78658225.pdf", "78658225")</f>
        <v>78658225</v>
      </c>
      <c r="F2342" s="10" t="s">
        <v>6548</v>
      </c>
      <c r="G2342" s="10" t="s">
        <v>6549</v>
      </c>
      <c r="H2342" s="10" t="s">
        <v>6550</v>
      </c>
      <c r="I2342" s="10" t="s">
        <v>6342</v>
      </c>
    </row>
    <row r="2343" spans="1:9" x14ac:dyDescent="0.15">
      <c r="A2343" s="9">
        <v>2342</v>
      </c>
      <c r="B2343" s="10" t="s">
        <v>9</v>
      </c>
      <c r="C2343" s="10" t="s">
        <v>299</v>
      </c>
      <c r="D2343" s="10" t="s">
        <v>300</v>
      </c>
      <c r="E2343" s="11" t="str">
        <f>+HYPERLINK("http://trademark.i-assist.jp/data/china/image_1898th/78658234.pdf", "78658234")</f>
        <v>78658234</v>
      </c>
      <c r="F2343" s="10" t="s">
        <v>6551</v>
      </c>
      <c r="G2343" s="10" t="s">
        <v>6552</v>
      </c>
      <c r="H2343" s="10" t="s">
        <v>6553</v>
      </c>
      <c r="I2343" s="10" t="s">
        <v>6342</v>
      </c>
    </row>
    <row r="2344" spans="1:9" x14ac:dyDescent="0.15">
      <c r="A2344" s="9">
        <v>2343</v>
      </c>
      <c r="B2344" s="10" t="s">
        <v>9</v>
      </c>
      <c r="C2344" s="10" t="s">
        <v>299</v>
      </c>
      <c r="D2344" s="10" t="s">
        <v>300</v>
      </c>
      <c r="E2344" s="11" t="str">
        <f>+HYPERLINK("http://trademark.i-assist.jp/data/china/image_1898th/78658493.pdf", "78658493")</f>
        <v>78658493</v>
      </c>
      <c r="F2344" s="10" t="s">
        <v>6554</v>
      </c>
      <c r="G2344" s="10" t="s">
        <v>6555</v>
      </c>
      <c r="H2344" s="10" t="s">
        <v>6556</v>
      </c>
      <c r="I2344" s="10" t="s">
        <v>6342</v>
      </c>
    </row>
    <row r="2345" spans="1:9" x14ac:dyDescent="0.15">
      <c r="A2345" s="9">
        <v>2344</v>
      </c>
      <c r="B2345" s="10" t="s">
        <v>9</v>
      </c>
      <c r="C2345" s="10" t="s">
        <v>299</v>
      </c>
      <c r="D2345" s="10" t="s">
        <v>300</v>
      </c>
      <c r="E2345" s="11" t="str">
        <f>+HYPERLINK("http://trademark.i-assist.jp/data/china/image_1898th/78658573.pdf", "78658573")</f>
        <v>78658573</v>
      </c>
      <c r="F2345" s="10" t="s">
        <v>6557</v>
      </c>
      <c r="G2345" s="10" t="s">
        <v>6558</v>
      </c>
      <c r="H2345" s="10" t="s">
        <v>6559</v>
      </c>
      <c r="I2345" s="10" t="s">
        <v>6342</v>
      </c>
    </row>
    <row r="2346" spans="1:9" x14ac:dyDescent="0.15">
      <c r="A2346" s="9">
        <v>2345</v>
      </c>
      <c r="B2346" s="10" t="s">
        <v>9</v>
      </c>
      <c r="C2346" s="10" t="s">
        <v>299</v>
      </c>
      <c r="D2346" s="10" t="s">
        <v>300</v>
      </c>
      <c r="E2346" s="11" t="str">
        <f>+HYPERLINK("http://trademark.i-assist.jp/data/china/image_1898th/78658726.pdf", "78658726")</f>
        <v>78658726</v>
      </c>
      <c r="F2346" s="10" t="s">
        <v>6560</v>
      </c>
      <c r="G2346" s="10" t="s">
        <v>6561</v>
      </c>
      <c r="H2346" s="10" t="s">
        <v>6562</v>
      </c>
      <c r="I2346" s="10" t="s">
        <v>6342</v>
      </c>
    </row>
    <row r="2347" spans="1:9" x14ac:dyDescent="0.15">
      <c r="A2347" s="9">
        <v>2346</v>
      </c>
      <c r="B2347" s="10" t="s">
        <v>9</v>
      </c>
      <c r="C2347" s="10" t="s">
        <v>299</v>
      </c>
      <c r="D2347" s="10" t="s">
        <v>300</v>
      </c>
      <c r="E2347" s="11" t="str">
        <f>+HYPERLINK("http://trademark.i-assist.jp/data/china/image_1898th/78658895.pdf", "78658895")</f>
        <v>78658895</v>
      </c>
      <c r="F2347" s="10" t="s">
        <v>6563</v>
      </c>
      <c r="G2347" s="10" t="s">
        <v>6564</v>
      </c>
      <c r="H2347" s="10" t="s">
        <v>6565</v>
      </c>
      <c r="I2347" s="10" t="s">
        <v>6342</v>
      </c>
    </row>
    <row r="2348" spans="1:9" x14ac:dyDescent="0.15">
      <c r="A2348" s="9">
        <v>2347</v>
      </c>
      <c r="B2348" s="10" t="s">
        <v>9</v>
      </c>
      <c r="C2348" s="10" t="s">
        <v>299</v>
      </c>
      <c r="D2348" s="10" t="s">
        <v>300</v>
      </c>
      <c r="E2348" s="11" t="str">
        <f>+HYPERLINK("http://trademark.i-assist.jp/data/china/image_1898th/78659027.pdf", "78659027")</f>
        <v>78659027</v>
      </c>
      <c r="F2348" s="10" t="s">
        <v>6566</v>
      </c>
      <c r="G2348" s="10" t="s">
        <v>6456</v>
      </c>
      <c r="H2348" s="10" t="s">
        <v>6567</v>
      </c>
      <c r="I2348" s="10" t="s">
        <v>6342</v>
      </c>
    </row>
    <row r="2349" spans="1:9" x14ac:dyDescent="0.15">
      <c r="A2349" s="9">
        <v>2348</v>
      </c>
      <c r="B2349" s="10" t="s">
        <v>9</v>
      </c>
      <c r="C2349" s="10" t="s">
        <v>299</v>
      </c>
      <c r="D2349" s="10" t="s">
        <v>300</v>
      </c>
      <c r="E2349" s="11" t="str">
        <f>+HYPERLINK("http://trademark.i-assist.jp/data/china/image_1898th/78659254.pdf", "78659254")</f>
        <v>78659254</v>
      </c>
      <c r="F2349" s="10" t="s">
        <v>6568</v>
      </c>
      <c r="G2349" s="10" t="s">
        <v>6569</v>
      </c>
      <c r="H2349" s="10" t="s">
        <v>6570</v>
      </c>
      <c r="I2349" s="10" t="s">
        <v>6342</v>
      </c>
    </row>
    <row r="2350" spans="1:9" x14ac:dyDescent="0.15">
      <c r="A2350" s="9">
        <v>2349</v>
      </c>
      <c r="B2350" s="10" t="s">
        <v>9</v>
      </c>
      <c r="C2350" s="10" t="s">
        <v>299</v>
      </c>
      <c r="D2350" s="10" t="s">
        <v>300</v>
      </c>
      <c r="E2350" s="11" t="str">
        <f>+HYPERLINK("http://trademark.i-assist.jp/data/china/image_1898th/78659320.pdf", "78659320")</f>
        <v>78659320</v>
      </c>
      <c r="F2350" s="10" t="s">
        <v>6571</v>
      </c>
      <c r="G2350" s="10" t="s">
        <v>6572</v>
      </c>
      <c r="H2350" s="10" t="s">
        <v>6573</v>
      </c>
      <c r="I2350" s="10" t="s">
        <v>6342</v>
      </c>
    </row>
    <row r="2351" spans="1:9" x14ac:dyDescent="0.15">
      <c r="A2351" s="9">
        <v>2350</v>
      </c>
      <c r="B2351" s="10" t="s">
        <v>9</v>
      </c>
      <c r="C2351" s="10" t="s">
        <v>299</v>
      </c>
      <c r="D2351" s="10" t="s">
        <v>300</v>
      </c>
      <c r="E2351" s="11" t="str">
        <f>+HYPERLINK("http://trademark.i-assist.jp/data/china/image_1898th/78659537.pdf", "78659537")</f>
        <v>78659537</v>
      </c>
      <c r="F2351" s="10" t="s">
        <v>6574</v>
      </c>
      <c r="G2351" s="10" t="s">
        <v>6575</v>
      </c>
      <c r="H2351" s="10" t="s">
        <v>6576</v>
      </c>
      <c r="I2351" s="10" t="s">
        <v>6342</v>
      </c>
    </row>
    <row r="2352" spans="1:9" x14ac:dyDescent="0.15">
      <c r="A2352" s="9">
        <v>2351</v>
      </c>
      <c r="B2352" s="10" t="s">
        <v>9</v>
      </c>
      <c r="C2352" s="10" t="s">
        <v>299</v>
      </c>
      <c r="D2352" s="10" t="s">
        <v>300</v>
      </c>
      <c r="E2352" s="11" t="str">
        <f>+HYPERLINK("http://trademark.i-assist.jp/data/china/image_1898th/78659557.pdf", "78659557")</f>
        <v>78659557</v>
      </c>
      <c r="F2352" s="10" t="s">
        <v>6577</v>
      </c>
      <c r="G2352" s="10" t="s">
        <v>6578</v>
      </c>
      <c r="H2352" s="10" t="s">
        <v>6579</v>
      </c>
      <c r="I2352" s="10" t="s">
        <v>6342</v>
      </c>
    </row>
    <row r="2353" spans="1:9" x14ac:dyDescent="0.15">
      <c r="A2353" s="9">
        <v>2352</v>
      </c>
      <c r="B2353" s="10" t="s">
        <v>9</v>
      </c>
      <c r="C2353" s="10" t="s">
        <v>299</v>
      </c>
      <c r="D2353" s="10" t="s">
        <v>300</v>
      </c>
      <c r="E2353" s="11" t="str">
        <f>+HYPERLINK("http://trademark.i-assist.jp/data/china/image_1898th/78659567.pdf", "78659567")</f>
        <v>78659567</v>
      </c>
      <c r="F2353" s="10" t="s">
        <v>6580</v>
      </c>
      <c r="G2353" s="10" t="s">
        <v>6581</v>
      </c>
      <c r="H2353" s="10" t="s">
        <v>6582</v>
      </c>
      <c r="I2353" s="10" t="s">
        <v>6342</v>
      </c>
    </row>
    <row r="2354" spans="1:9" x14ac:dyDescent="0.15">
      <c r="A2354" s="9">
        <v>2353</v>
      </c>
      <c r="B2354" s="10" t="s">
        <v>9</v>
      </c>
      <c r="C2354" s="10" t="s">
        <v>299</v>
      </c>
      <c r="D2354" s="10" t="s">
        <v>300</v>
      </c>
      <c r="E2354" s="11" t="str">
        <f>+HYPERLINK("http://trademark.i-assist.jp/data/china/image_1898th/78659611.pdf", "78659611")</f>
        <v>78659611</v>
      </c>
      <c r="F2354" s="10" t="s">
        <v>6583</v>
      </c>
      <c r="G2354" s="10" t="s">
        <v>6584</v>
      </c>
      <c r="H2354" s="10" t="s">
        <v>6585</v>
      </c>
      <c r="I2354" s="10" t="s">
        <v>6342</v>
      </c>
    </row>
    <row r="2355" spans="1:9" x14ac:dyDescent="0.15">
      <c r="A2355" s="9">
        <v>2354</v>
      </c>
      <c r="B2355" s="10" t="s">
        <v>9</v>
      </c>
      <c r="C2355" s="10" t="s">
        <v>299</v>
      </c>
      <c r="D2355" s="10" t="s">
        <v>300</v>
      </c>
      <c r="E2355" s="11" t="str">
        <f>+HYPERLINK("http://trademark.i-assist.jp/data/china/image_1898th/78659620.pdf", "78659620")</f>
        <v>78659620</v>
      </c>
      <c r="F2355" s="10" t="s">
        <v>6586</v>
      </c>
      <c r="G2355" s="10" t="s">
        <v>6558</v>
      </c>
      <c r="H2355" s="10" t="s">
        <v>6587</v>
      </c>
      <c r="I2355" s="10" t="s">
        <v>6342</v>
      </c>
    </row>
    <row r="2356" spans="1:9" x14ac:dyDescent="0.15">
      <c r="A2356" s="9">
        <v>2355</v>
      </c>
      <c r="B2356" s="10" t="s">
        <v>9</v>
      </c>
      <c r="C2356" s="10" t="s">
        <v>299</v>
      </c>
      <c r="D2356" s="10" t="s">
        <v>300</v>
      </c>
      <c r="E2356" s="11" t="str">
        <f>+HYPERLINK("http://trademark.i-assist.jp/data/china/image_1898th/78659988.pdf", "78659988")</f>
        <v>78659988</v>
      </c>
      <c r="F2356" s="10" t="s">
        <v>6588</v>
      </c>
      <c r="G2356" s="10" t="s">
        <v>6589</v>
      </c>
      <c r="H2356" s="10" t="s">
        <v>6590</v>
      </c>
      <c r="I2356" s="10" t="s">
        <v>6342</v>
      </c>
    </row>
    <row r="2357" spans="1:9" x14ac:dyDescent="0.15">
      <c r="A2357" s="9">
        <v>2356</v>
      </c>
      <c r="B2357" s="10" t="s">
        <v>9</v>
      </c>
      <c r="C2357" s="10" t="s">
        <v>299</v>
      </c>
      <c r="D2357" s="10" t="s">
        <v>300</v>
      </c>
      <c r="E2357" s="11" t="str">
        <f>+HYPERLINK("http://trademark.i-assist.jp/data/china/image_1898th/78659994.pdf", "78659994")</f>
        <v>78659994</v>
      </c>
      <c r="F2357" s="10" t="s">
        <v>6591</v>
      </c>
      <c r="G2357" s="10" t="s">
        <v>6592</v>
      </c>
      <c r="H2357" s="10" t="s">
        <v>6593</v>
      </c>
      <c r="I2357" s="10" t="s">
        <v>6342</v>
      </c>
    </row>
    <row r="2358" spans="1:9" x14ac:dyDescent="0.15">
      <c r="A2358" s="9">
        <v>2357</v>
      </c>
      <c r="B2358" s="10" t="s">
        <v>9</v>
      </c>
      <c r="C2358" s="10" t="s">
        <v>299</v>
      </c>
      <c r="D2358" s="10" t="s">
        <v>300</v>
      </c>
      <c r="E2358" s="11" t="str">
        <f>+HYPERLINK("http://trademark.i-assist.jp/data/china/image_1898th/78660176.pdf", "78660176")</f>
        <v>78660176</v>
      </c>
      <c r="F2358" s="10" t="s">
        <v>6594</v>
      </c>
      <c r="G2358" s="10" t="s">
        <v>6595</v>
      </c>
      <c r="H2358" s="10" t="s">
        <v>6596</v>
      </c>
      <c r="I2358" s="10" t="s">
        <v>6342</v>
      </c>
    </row>
    <row r="2359" spans="1:9" x14ac:dyDescent="0.15">
      <c r="A2359" s="9">
        <v>2358</v>
      </c>
      <c r="B2359" s="10" t="s">
        <v>9</v>
      </c>
      <c r="C2359" s="10" t="s">
        <v>299</v>
      </c>
      <c r="D2359" s="10" t="s">
        <v>300</v>
      </c>
      <c r="E2359" s="11" t="str">
        <f>+HYPERLINK("http://trademark.i-assist.jp/data/china/image_1898th/78660321.pdf", "78660321")</f>
        <v>78660321</v>
      </c>
      <c r="F2359" s="10" t="s">
        <v>19</v>
      </c>
      <c r="G2359" s="10" t="s">
        <v>6597</v>
      </c>
      <c r="H2359" s="10" t="s">
        <v>6598</v>
      </c>
      <c r="I2359" s="10" t="s">
        <v>6342</v>
      </c>
    </row>
    <row r="2360" spans="1:9" x14ac:dyDescent="0.15">
      <c r="A2360" s="9">
        <v>2359</v>
      </c>
      <c r="B2360" s="10" t="s">
        <v>9</v>
      </c>
      <c r="C2360" s="10" t="s">
        <v>299</v>
      </c>
      <c r="D2360" s="10" t="s">
        <v>300</v>
      </c>
      <c r="E2360" s="11" t="str">
        <f>+HYPERLINK("http://trademark.i-assist.jp/data/china/image_1898th/78660346.pdf", "78660346")</f>
        <v>78660346</v>
      </c>
      <c r="F2360" s="10" t="s">
        <v>6599</v>
      </c>
      <c r="G2360" s="10" t="s">
        <v>6600</v>
      </c>
      <c r="H2360" s="10" t="s">
        <v>6601</v>
      </c>
      <c r="I2360" s="10" t="s">
        <v>6342</v>
      </c>
    </row>
    <row r="2361" spans="1:9" x14ac:dyDescent="0.15">
      <c r="A2361" s="9">
        <v>2360</v>
      </c>
      <c r="B2361" s="10" t="s">
        <v>9</v>
      </c>
      <c r="C2361" s="10" t="s">
        <v>299</v>
      </c>
      <c r="D2361" s="10" t="s">
        <v>300</v>
      </c>
      <c r="E2361" s="11" t="str">
        <f>+HYPERLINK("http://trademark.i-assist.jp/data/china/image_1898th/78660442.pdf", "78660442")</f>
        <v>78660442</v>
      </c>
      <c r="F2361" s="10" t="s">
        <v>6602</v>
      </c>
      <c r="G2361" s="10" t="s">
        <v>471</v>
      </c>
      <c r="H2361" s="10" t="s">
        <v>6603</v>
      </c>
      <c r="I2361" s="10" t="s">
        <v>6342</v>
      </c>
    </row>
    <row r="2362" spans="1:9" x14ac:dyDescent="0.15">
      <c r="A2362" s="9">
        <v>2361</v>
      </c>
      <c r="B2362" s="10" t="s">
        <v>9</v>
      </c>
      <c r="C2362" s="10" t="s">
        <v>299</v>
      </c>
      <c r="D2362" s="10" t="s">
        <v>300</v>
      </c>
      <c r="E2362" s="11" t="str">
        <f>+HYPERLINK("http://trademark.i-assist.jp/data/china/image_1898th/78660684.pdf", "78660684")</f>
        <v>78660684</v>
      </c>
      <c r="F2362" s="10" t="s">
        <v>6604</v>
      </c>
      <c r="G2362" s="10" t="s">
        <v>6605</v>
      </c>
      <c r="H2362" s="10" t="s">
        <v>6606</v>
      </c>
      <c r="I2362" s="10" t="s">
        <v>6342</v>
      </c>
    </row>
    <row r="2363" spans="1:9" x14ac:dyDescent="0.15">
      <c r="A2363" s="9">
        <v>2362</v>
      </c>
      <c r="B2363" s="10" t="s">
        <v>9</v>
      </c>
      <c r="C2363" s="10" t="s">
        <v>299</v>
      </c>
      <c r="D2363" s="10" t="s">
        <v>300</v>
      </c>
      <c r="E2363" s="11" t="str">
        <f>+HYPERLINK("http://trademark.i-assist.jp/data/china/image_1898th/78660795.pdf", "78660795")</f>
        <v>78660795</v>
      </c>
      <c r="F2363" s="10" t="s">
        <v>6607</v>
      </c>
      <c r="G2363" s="10" t="s">
        <v>6608</v>
      </c>
      <c r="H2363" s="10" t="s">
        <v>6609</v>
      </c>
      <c r="I2363" s="10" t="s">
        <v>6342</v>
      </c>
    </row>
    <row r="2364" spans="1:9" x14ac:dyDescent="0.15">
      <c r="A2364" s="9">
        <v>2363</v>
      </c>
      <c r="B2364" s="10" t="s">
        <v>9</v>
      </c>
      <c r="C2364" s="10" t="s">
        <v>299</v>
      </c>
      <c r="D2364" s="10" t="s">
        <v>300</v>
      </c>
      <c r="E2364" s="11" t="str">
        <f>+HYPERLINK("http://trademark.i-assist.jp/data/china/image_1898th/78660796.pdf", "78660796")</f>
        <v>78660796</v>
      </c>
      <c r="F2364" s="10" t="s">
        <v>6610</v>
      </c>
      <c r="G2364" s="10" t="s">
        <v>6611</v>
      </c>
      <c r="H2364" s="10" t="s">
        <v>6612</v>
      </c>
      <c r="I2364" s="10" t="s">
        <v>6342</v>
      </c>
    </row>
    <row r="2365" spans="1:9" x14ac:dyDescent="0.15">
      <c r="A2365" s="9">
        <v>2364</v>
      </c>
      <c r="B2365" s="10" t="s">
        <v>9</v>
      </c>
      <c r="C2365" s="10" t="s">
        <v>299</v>
      </c>
      <c r="D2365" s="10" t="s">
        <v>300</v>
      </c>
      <c r="E2365" s="11" t="str">
        <f>+HYPERLINK("http://trademark.i-assist.jp/data/china/image_1898th/78660852.pdf", "78660852")</f>
        <v>78660852</v>
      </c>
      <c r="F2365" s="10" t="s">
        <v>6613</v>
      </c>
      <c r="G2365" s="10" t="s">
        <v>171</v>
      </c>
      <c r="H2365" s="10" t="s">
        <v>6614</v>
      </c>
      <c r="I2365" s="10" t="s">
        <v>6342</v>
      </c>
    </row>
    <row r="2366" spans="1:9" x14ac:dyDescent="0.15">
      <c r="A2366" s="9">
        <v>2365</v>
      </c>
      <c r="B2366" s="10" t="s">
        <v>9</v>
      </c>
      <c r="C2366" s="10" t="s">
        <v>299</v>
      </c>
      <c r="D2366" s="10" t="s">
        <v>300</v>
      </c>
      <c r="E2366" s="11" t="str">
        <f>+HYPERLINK("http://trademark.i-assist.jp/data/china/image_1898th/78660854.pdf", "78660854")</f>
        <v>78660854</v>
      </c>
      <c r="F2366" s="10" t="s">
        <v>6615</v>
      </c>
      <c r="G2366" s="10" t="s">
        <v>6616</v>
      </c>
      <c r="H2366" s="10" t="s">
        <v>6617</v>
      </c>
      <c r="I2366" s="10" t="s">
        <v>6342</v>
      </c>
    </row>
    <row r="2367" spans="1:9" x14ac:dyDescent="0.15">
      <c r="A2367" s="9">
        <v>2366</v>
      </c>
      <c r="B2367" s="10" t="s">
        <v>9</v>
      </c>
      <c r="C2367" s="10" t="s">
        <v>299</v>
      </c>
      <c r="D2367" s="10" t="s">
        <v>300</v>
      </c>
      <c r="E2367" s="11" t="str">
        <f>+HYPERLINK("http://trademark.i-assist.jp/data/china/image_1898th/78660866.pdf", "78660866")</f>
        <v>78660866</v>
      </c>
      <c r="F2367" s="10" t="s">
        <v>6618</v>
      </c>
      <c r="G2367" s="10" t="s">
        <v>6619</v>
      </c>
      <c r="H2367" s="10" t="s">
        <v>6620</v>
      </c>
      <c r="I2367" s="10" t="s">
        <v>6342</v>
      </c>
    </row>
    <row r="2368" spans="1:9" x14ac:dyDescent="0.15">
      <c r="A2368" s="9">
        <v>2367</v>
      </c>
      <c r="B2368" s="10" t="s">
        <v>9</v>
      </c>
      <c r="C2368" s="10" t="s">
        <v>299</v>
      </c>
      <c r="D2368" s="10" t="s">
        <v>300</v>
      </c>
      <c r="E2368" s="11" t="str">
        <f>+HYPERLINK("http://trademark.i-assist.jp/data/china/image_1898th/78660917.pdf", "78660917")</f>
        <v>78660917</v>
      </c>
      <c r="F2368" s="10" t="s">
        <v>6621</v>
      </c>
      <c r="G2368" s="10" t="s">
        <v>6622</v>
      </c>
      <c r="H2368" s="10" t="s">
        <v>6623</v>
      </c>
      <c r="I2368" s="10" t="s">
        <v>6342</v>
      </c>
    </row>
    <row r="2369" spans="1:9" x14ac:dyDescent="0.15">
      <c r="A2369" s="9">
        <v>2368</v>
      </c>
      <c r="B2369" s="10" t="s">
        <v>9</v>
      </c>
      <c r="C2369" s="10" t="s">
        <v>299</v>
      </c>
      <c r="D2369" s="10" t="s">
        <v>300</v>
      </c>
      <c r="E2369" s="11" t="str">
        <f>+HYPERLINK("http://trademark.i-assist.jp/data/china/image_1898th/78661125.pdf", "78661125")</f>
        <v>78661125</v>
      </c>
      <c r="F2369" s="10" t="s">
        <v>6624</v>
      </c>
      <c r="G2369" s="10" t="s">
        <v>6625</v>
      </c>
      <c r="H2369" s="10" t="s">
        <v>6626</v>
      </c>
      <c r="I2369" s="10" t="s">
        <v>6342</v>
      </c>
    </row>
    <row r="2370" spans="1:9" x14ac:dyDescent="0.15">
      <c r="A2370" s="9">
        <v>2369</v>
      </c>
      <c r="B2370" s="10" t="s">
        <v>9</v>
      </c>
      <c r="C2370" s="10" t="s">
        <v>299</v>
      </c>
      <c r="D2370" s="10" t="s">
        <v>300</v>
      </c>
      <c r="E2370" s="11" t="str">
        <f>+HYPERLINK("http://trademark.i-assist.jp/data/china/image_1898th/78661228.pdf", "78661228")</f>
        <v>78661228</v>
      </c>
      <c r="F2370" s="10" t="s">
        <v>6627</v>
      </c>
      <c r="G2370" s="10" t="s">
        <v>3532</v>
      </c>
      <c r="H2370" s="10" t="s">
        <v>6628</v>
      </c>
      <c r="I2370" s="10" t="s">
        <v>6342</v>
      </c>
    </row>
    <row r="2371" spans="1:9" x14ac:dyDescent="0.15">
      <c r="A2371" s="9">
        <v>2370</v>
      </c>
      <c r="B2371" s="10" t="s">
        <v>9</v>
      </c>
      <c r="C2371" s="10" t="s">
        <v>299</v>
      </c>
      <c r="D2371" s="10" t="s">
        <v>300</v>
      </c>
      <c r="E2371" s="11" t="str">
        <f>+HYPERLINK("http://trademark.i-assist.jp/data/china/image_1898th/78661272.pdf", "78661272")</f>
        <v>78661272</v>
      </c>
      <c r="F2371" s="10" t="s">
        <v>6629</v>
      </c>
      <c r="G2371" s="10" t="s">
        <v>6630</v>
      </c>
      <c r="H2371" s="10" t="s">
        <v>6631</v>
      </c>
      <c r="I2371" s="10" t="s">
        <v>6342</v>
      </c>
    </row>
    <row r="2372" spans="1:9" x14ac:dyDescent="0.15">
      <c r="A2372" s="9">
        <v>2371</v>
      </c>
      <c r="B2372" s="10" t="s">
        <v>9</v>
      </c>
      <c r="C2372" s="10" t="s">
        <v>299</v>
      </c>
      <c r="D2372" s="10" t="s">
        <v>300</v>
      </c>
      <c r="E2372" s="11" t="str">
        <f>+HYPERLINK("http://trademark.i-assist.jp/data/china/image_1898th/78661338.pdf", "78661338")</f>
        <v>78661338</v>
      </c>
      <c r="F2372" s="10" t="s">
        <v>6632</v>
      </c>
      <c r="G2372" s="10" t="s">
        <v>6357</v>
      </c>
      <c r="H2372" s="10" t="s">
        <v>6633</v>
      </c>
      <c r="I2372" s="10" t="s">
        <v>6342</v>
      </c>
    </row>
    <row r="2373" spans="1:9" x14ac:dyDescent="0.15">
      <c r="A2373" s="9">
        <v>2372</v>
      </c>
      <c r="B2373" s="10" t="s">
        <v>9</v>
      </c>
      <c r="C2373" s="10" t="s">
        <v>299</v>
      </c>
      <c r="D2373" s="10" t="s">
        <v>300</v>
      </c>
      <c r="E2373" s="11" t="str">
        <f>+HYPERLINK("http://trademark.i-assist.jp/data/china/image_1898th/78661416.pdf", "78661416")</f>
        <v>78661416</v>
      </c>
      <c r="F2373" s="10" t="s">
        <v>6634</v>
      </c>
      <c r="G2373" s="10" t="s">
        <v>6558</v>
      </c>
      <c r="H2373" s="10" t="s">
        <v>6635</v>
      </c>
      <c r="I2373" s="10" t="s">
        <v>6342</v>
      </c>
    </row>
    <row r="2374" spans="1:9" x14ac:dyDescent="0.15">
      <c r="A2374" s="9">
        <v>2373</v>
      </c>
      <c r="B2374" s="10" t="s">
        <v>9</v>
      </c>
      <c r="C2374" s="10" t="s">
        <v>299</v>
      </c>
      <c r="D2374" s="10" t="s">
        <v>300</v>
      </c>
      <c r="E2374" s="11" t="str">
        <f>+HYPERLINK("http://trademark.i-assist.jp/data/china/image_1898th/78661483.pdf", "78661483")</f>
        <v>78661483</v>
      </c>
      <c r="F2374" s="10" t="s">
        <v>6636</v>
      </c>
      <c r="G2374" s="10" t="s">
        <v>6637</v>
      </c>
      <c r="H2374" s="10" t="s">
        <v>6638</v>
      </c>
      <c r="I2374" s="10" t="s">
        <v>6342</v>
      </c>
    </row>
    <row r="2375" spans="1:9" x14ac:dyDescent="0.15">
      <c r="A2375" s="9">
        <v>2374</v>
      </c>
      <c r="B2375" s="10" t="s">
        <v>9</v>
      </c>
      <c r="C2375" s="10" t="s">
        <v>299</v>
      </c>
      <c r="D2375" s="10" t="s">
        <v>300</v>
      </c>
      <c r="E2375" s="11" t="str">
        <f>+HYPERLINK("http://trademark.i-assist.jp/data/china/image_1898th/78661505.pdf", "78661505")</f>
        <v>78661505</v>
      </c>
      <c r="F2375" s="10" t="s">
        <v>6639</v>
      </c>
      <c r="G2375" s="10" t="s">
        <v>6411</v>
      </c>
      <c r="H2375" s="10" t="s">
        <v>6640</v>
      </c>
      <c r="I2375" s="10" t="s">
        <v>6342</v>
      </c>
    </row>
    <row r="2376" spans="1:9" x14ac:dyDescent="0.15">
      <c r="A2376" s="9">
        <v>2375</v>
      </c>
      <c r="B2376" s="10" t="s">
        <v>9</v>
      </c>
      <c r="C2376" s="10" t="s">
        <v>299</v>
      </c>
      <c r="D2376" s="10" t="s">
        <v>300</v>
      </c>
      <c r="E2376" s="11" t="str">
        <f>+HYPERLINK("http://trademark.i-assist.jp/data/china/image_1898th/78661551.pdf", "78661551")</f>
        <v>78661551</v>
      </c>
      <c r="F2376" s="10" t="s">
        <v>6641</v>
      </c>
      <c r="G2376" s="10" t="s">
        <v>6642</v>
      </c>
      <c r="H2376" s="10" t="s">
        <v>6643</v>
      </c>
      <c r="I2376" s="10" t="s">
        <v>6342</v>
      </c>
    </row>
    <row r="2377" spans="1:9" x14ac:dyDescent="0.15">
      <c r="A2377" s="9">
        <v>2376</v>
      </c>
      <c r="B2377" s="10" t="s">
        <v>9</v>
      </c>
      <c r="C2377" s="10" t="s">
        <v>299</v>
      </c>
      <c r="D2377" s="10" t="s">
        <v>300</v>
      </c>
      <c r="E2377" s="11" t="str">
        <f>+HYPERLINK("http://trademark.i-assist.jp/data/china/image_1898th/78661590.pdf", "78661590")</f>
        <v>78661590</v>
      </c>
      <c r="F2377" s="10" t="s">
        <v>6644</v>
      </c>
      <c r="G2377" s="10" t="s">
        <v>5963</v>
      </c>
      <c r="H2377" s="10" t="s">
        <v>6645</v>
      </c>
      <c r="I2377" s="10" t="s">
        <v>6342</v>
      </c>
    </row>
    <row r="2378" spans="1:9" x14ac:dyDescent="0.15">
      <c r="A2378" s="9">
        <v>2377</v>
      </c>
      <c r="B2378" s="10" t="s">
        <v>9</v>
      </c>
      <c r="C2378" s="10" t="s">
        <v>299</v>
      </c>
      <c r="D2378" s="10" t="s">
        <v>300</v>
      </c>
      <c r="E2378" s="11" t="str">
        <f>+HYPERLINK("http://trademark.i-assist.jp/data/china/image_1898th/78661618.pdf", "78661618")</f>
        <v>78661618</v>
      </c>
      <c r="F2378" s="10" t="s">
        <v>6646</v>
      </c>
      <c r="G2378" s="10" t="s">
        <v>5963</v>
      </c>
      <c r="H2378" s="10" t="s">
        <v>6647</v>
      </c>
      <c r="I2378" s="10" t="s">
        <v>6342</v>
      </c>
    </row>
    <row r="2379" spans="1:9" x14ac:dyDescent="0.15">
      <c r="A2379" s="9">
        <v>2378</v>
      </c>
      <c r="B2379" s="10" t="s">
        <v>9</v>
      </c>
      <c r="C2379" s="10" t="s">
        <v>299</v>
      </c>
      <c r="D2379" s="10" t="s">
        <v>300</v>
      </c>
      <c r="E2379" s="11" t="str">
        <f>+HYPERLINK("http://trademark.i-assist.jp/data/china/image_1898th/78661774.pdf", "78661774")</f>
        <v>78661774</v>
      </c>
      <c r="F2379" s="10" t="s">
        <v>6648</v>
      </c>
      <c r="G2379" s="10" t="s">
        <v>6456</v>
      </c>
      <c r="H2379" s="10" t="s">
        <v>6649</v>
      </c>
      <c r="I2379" s="10" t="s">
        <v>6342</v>
      </c>
    </row>
    <row r="2380" spans="1:9" x14ac:dyDescent="0.15">
      <c r="A2380" s="9">
        <v>2379</v>
      </c>
      <c r="B2380" s="10" t="s">
        <v>9</v>
      </c>
      <c r="C2380" s="10" t="s">
        <v>299</v>
      </c>
      <c r="D2380" s="10" t="s">
        <v>300</v>
      </c>
      <c r="E2380" s="11" t="str">
        <f>+HYPERLINK("http://trademark.i-assist.jp/data/china/image_1898th/78661806.pdf", "78661806")</f>
        <v>78661806</v>
      </c>
      <c r="F2380" s="10" t="s">
        <v>6650</v>
      </c>
      <c r="G2380" s="10" t="s">
        <v>6651</v>
      </c>
      <c r="H2380" s="10" t="s">
        <v>6652</v>
      </c>
      <c r="I2380" s="10" t="s">
        <v>6342</v>
      </c>
    </row>
    <row r="2381" spans="1:9" x14ac:dyDescent="0.15">
      <c r="A2381" s="9">
        <v>2380</v>
      </c>
      <c r="B2381" s="10" t="s">
        <v>9</v>
      </c>
      <c r="C2381" s="10" t="s">
        <v>299</v>
      </c>
      <c r="D2381" s="10" t="s">
        <v>300</v>
      </c>
      <c r="E2381" s="11" t="str">
        <f>+HYPERLINK("http://trademark.i-assist.jp/data/china/image_1898th/78661974.pdf", "78661974")</f>
        <v>78661974</v>
      </c>
      <c r="F2381" s="10" t="s">
        <v>6653</v>
      </c>
      <c r="G2381" s="10" t="s">
        <v>6654</v>
      </c>
      <c r="H2381" s="10" t="s">
        <v>6655</v>
      </c>
      <c r="I2381" s="10" t="s">
        <v>6342</v>
      </c>
    </row>
    <row r="2382" spans="1:9" x14ac:dyDescent="0.15">
      <c r="A2382" s="9">
        <v>2381</v>
      </c>
      <c r="B2382" s="10" t="s">
        <v>9</v>
      </c>
      <c r="C2382" s="10" t="s">
        <v>299</v>
      </c>
      <c r="D2382" s="10" t="s">
        <v>300</v>
      </c>
      <c r="E2382" s="11" t="str">
        <f>+HYPERLINK("http://trademark.i-assist.jp/data/china/image_1898th/78662005.pdf", "78662005")</f>
        <v>78662005</v>
      </c>
      <c r="F2382" s="10" t="s">
        <v>6656</v>
      </c>
      <c r="G2382" s="10" t="s">
        <v>6657</v>
      </c>
      <c r="H2382" s="10" t="s">
        <v>6658</v>
      </c>
      <c r="I2382" s="10" t="s">
        <v>6342</v>
      </c>
    </row>
    <row r="2383" spans="1:9" x14ac:dyDescent="0.15">
      <c r="A2383" s="9">
        <v>2382</v>
      </c>
      <c r="B2383" s="10" t="s">
        <v>9</v>
      </c>
      <c r="C2383" s="10" t="s">
        <v>299</v>
      </c>
      <c r="D2383" s="10" t="s">
        <v>300</v>
      </c>
      <c r="E2383" s="11" t="str">
        <f>+HYPERLINK("http://trademark.i-assist.jp/data/china/image_1898th/78662361.pdf", "78662361")</f>
        <v>78662361</v>
      </c>
      <c r="F2383" s="10" t="s">
        <v>6659</v>
      </c>
      <c r="G2383" s="10" t="s">
        <v>6660</v>
      </c>
      <c r="H2383" s="10" t="s">
        <v>6661</v>
      </c>
      <c r="I2383" s="10" t="s">
        <v>6342</v>
      </c>
    </row>
    <row r="2384" spans="1:9" x14ac:dyDescent="0.15">
      <c r="A2384" s="9">
        <v>2383</v>
      </c>
      <c r="B2384" s="10" t="s">
        <v>9</v>
      </c>
      <c r="C2384" s="10" t="s">
        <v>299</v>
      </c>
      <c r="D2384" s="10" t="s">
        <v>300</v>
      </c>
      <c r="E2384" s="11" t="str">
        <f>+HYPERLINK("http://trademark.i-assist.jp/data/china/image_1898th/78662476.pdf", "78662476")</f>
        <v>78662476</v>
      </c>
      <c r="F2384" s="10" t="s">
        <v>6662</v>
      </c>
      <c r="G2384" s="10" t="s">
        <v>6663</v>
      </c>
      <c r="H2384" s="10" t="s">
        <v>6664</v>
      </c>
      <c r="I2384" s="10" t="s">
        <v>6342</v>
      </c>
    </row>
    <row r="2385" spans="1:9" x14ac:dyDescent="0.15">
      <c r="A2385" s="9">
        <v>2384</v>
      </c>
      <c r="B2385" s="10" t="s">
        <v>9</v>
      </c>
      <c r="C2385" s="10" t="s">
        <v>299</v>
      </c>
      <c r="D2385" s="10" t="s">
        <v>300</v>
      </c>
      <c r="E2385" s="11" t="str">
        <f>+HYPERLINK("http://trademark.i-assist.jp/data/china/image_1898th/78662782.pdf", "78662782")</f>
        <v>78662782</v>
      </c>
      <c r="F2385" s="10" t="s">
        <v>6665</v>
      </c>
      <c r="G2385" s="10" t="s">
        <v>5042</v>
      </c>
      <c r="H2385" s="10" t="s">
        <v>6666</v>
      </c>
      <c r="I2385" s="10" t="s">
        <v>6342</v>
      </c>
    </row>
    <row r="2386" spans="1:9" x14ac:dyDescent="0.15">
      <c r="A2386" s="9">
        <v>2385</v>
      </c>
      <c r="B2386" s="10" t="s">
        <v>9</v>
      </c>
      <c r="C2386" s="10" t="s">
        <v>299</v>
      </c>
      <c r="D2386" s="10" t="s">
        <v>300</v>
      </c>
      <c r="E2386" s="11" t="str">
        <f>+HYPERLINK("http://trademark.i-assist.jp/data/china/image_1898th/78662964.pdf", "78662964")</f>
        <v>78662964</v>
      </c>
      <c r="F2386" s="10" t="s">
        <v>6667</v>
      </c>
      <c r="G2386" s="10" t="s">
        <v>6668</v>
      </c>
      <c r="H2386" s="10" t="s">
        <v>6669</v>
      </c>
      <c r="I2386" s="10" t="s">
        <v>6342</v>
      </c>
    </row>
    <row r="2387" spans="1:9" x14ac:dyDescent="0.15">
      <c r="A2387" s="9">
        <v>2386</v>
      </c>
      <c r="B2387" s="10" t="s">
        <v>9</v>
      </c>
      <c r="C2387" s="10" t="s">
        <v>299</v>
      </c>
      <c r="D2387" s="10" t="s">
        <v>300</v>
      </c>
      <c r="E2387" s="11" t="str">
        <f>+HYPERLINK("http://trademark.i-assist.jp/data/china/image_1898th/78663038.pdf", "78663038")</f>
        <v>78663038</v>
      </c>
      <c r="F2387" s="10" t="s">
        <v>6670</v>
      </c>
      <c r="G2387" s="10" t="s">
        <v>6671</v>
      </c>
      <c r="H2387" s="10" t="s">
        <v>6672</v>
      </c>
      <c r="I2387" s="10" t="s">
        <v>6342</v>
      </c>
    </row>
    <row r="2388" spans="1:9" x14ac:dyDescent="0.15">
      <c r="A2388" s="9">
        <v>2387</v>
      </c>
      <c r="B2388" s="10" t="s">
        <v>9</v>
      </c>
      <c r="C2388" s="10" t="s">
        <v>299</v>
      </c>
      <c r="D2388" s="10" t="s">
        <v>300</v>
      </c>
      <c r="E2388" s="11" t="str">
        <f>+HYPERLINK("http://trademark.i-assist.jp/data/china/image_1898th/78663166.pdf", "78663166")</f>
        <v>78663166</v>
      </c>
      <c r="F2388" s="10" t="s">
        <v>6673</v>
      </c>
      <c r="G2388" s="10" t="s">
        <v>6357</v>
      </c>
      <c r="H2388" s="10" t="s">
        <v>6674</v>
      </c>
      <c r="I2388" s="10" t="s">
        <v>6342</v>
      </c>
    </row>
    <row r="2389" spans="1:9" x14ac:dyDescent="0.15">
      <c r="A2389" s="9">
        <v>2388</v>
      </c>
      <c r="B2389" s="10" t="s">
        <v>9</v>
      </c>
      <c r="C2389" s="10" t="s">
        <v>299</v>
      </c>
      <c r="D2389" s="10" t="s">
        <v>300</v>
      </c>
      <c r="E2389" s="11" t="str">
        <f>+HYPERLINK("http://trademark.i-assist.jp/data/china/image_1898th/78663293.pdf", "78663293")</f>
        <v>78663293</v>
      </c>
      <c r="F2389" s="10" t="s">
        <v>6675</v>
      </c>
      <c r="G2389" s="10" t="s">
        <v>240</v>
      </c>
      <c r="H2389" s="10" t="s">
        <v>6676</v>
      </c>
      <c r="I2389" s="10" t="s">
        <v>6342</v>
      </c>
    </row>
    <row r="2390" spans="1:9" x14ac:dyDescent="0.15">
      <c r="A2390" s="9">
        <v>2389</v>
      </c>
      <c r="B2390" s="10" t="s">
        <v>9</v>
      </c>
      <c r="C2390" s="10" t="s">
        <v>299</v>
      </c>
      <c r="D2390" s="10" t="s">
        <v>300</v>
      </c>
      <c r="E2390" s="11" t="str">
        <f>+HYPERLINK("http://trademark.i-assist.jp/data/china/image_1898th/78663295.pdf", "78663295")</f>
        <v>78663295</v>
      </c>
      <c r="F2390" s="10" t="s">
        <v>6677</v>
      </c>
      <c r="G2390" s="10" t="s">
        <v>6678</v>
      </c>
      <c r="H2390" s="10" t="s">
        <v>6679</v>
      </c>
      <c r="I2390" s="10" t="s">
        <v>6342</v>
      </c>
    </row>
    <row r="2391" spans="1:9" x14ac:dyDescent="0.15">
      <c r="A2391" s="9">
        <v>2390</v>
      </c>
      <c r="B2391" s="10" t="s">
        <v>9</v>
      </c>
      <c r="C2391" s="10" t="s">
        <v>299</v>
      </c>
      <c r="D2391" s="10" t="s">
        <v>300</v>
      </c>
      <c r="E2391" s="11" t="str">
        <f>+HYPERLINK("http://trademark.i-assist.jp/data/china/image_1898th/78663308.pdf", "78663308")</f>
        <v>78663308</v>
      </c>
      <c r="F2391" s="10" t="s">
        <v>6680</v>
      </c>
      <c r="G2391" s="10" t="s">
        <v>6481</v>
      </c>
      <c r="H2391" s="10" t="s">
        <v>6681</v>
      </c>
      <c r="I2391" s="10" t="s">
        <v>6342</v>
      </c>
    </row>
    <row r="2392" spans="1:9" x14ac:dyDescent="0.15">
      <c r="A2392" s="9">
        <v>2391</v>
      </c>
      <c r="B2392" s="10" t="s">
        <v>9</v>
      </c>
      <c r="C2392" s="10" t="s">
        <v>299</v>
      </c>
      <c r="D2392" s="10" t="s">
        <v>300</v>
      </c>
      <c r="E2392" s="11" t="str">
        <f>+HYPERLINK("http://trademark.i-assist.jp/data/china/image_1898th/78663311.pdf", "78663311")</f>
        <v>78663311</v>
      </c>
      <c r="F2392" s="10" t="s">
        <v>6682</v>
      </c>
      <c r="G2392" s="10" t="s">
        <v>171</v>
      </c>
      <c r="H2392" s="10" t="s">
        <v>6683</v>
      </c>
      <c r="I2392" s="10" t="s">
        <v>6342</v>
      </c>
    </row>
    <row r="2393" spans="1:9" x14ac:dyDescent="0.15">
      <c r="A2393" s="9">
        <v>2392</v>
      </c>
      <c r="B2393" s="10" t="s">
        <v>9</v>
      </c>
      <c r="C2393" s="10" t="s">
        <v>299</v>
      </c>
      <c r="D2393" s="10" t="s">
        <v>300</v>
      </c>
      <c r="E2393" s="11" t="str">
        <f>+HYPERLINK("http://trademark.i-assist.jp/data/china/image_1898th/78663317.pdf", "78663317")</f>
        <v>78663317</v>
      </c>
      <c r="F2393" s="10" t="s">
        <v>6684</v>
      </c>
      <c r="G2393" s="10" t="s">
        <v>6198</v>
      </c>
      <c r="H2393" s="10" t="s">
        <v>6685</v>
      </c>
      <c r="I2393" s="10" t="s">
        <v>6342</v>
      </c>
    </row>
    <row r="2394" spans="1:9" x14ac:dyDescent="0.15">
      <c r="A2394" s="9">
        <v>2393</v>
      </c>
      <c r="B2394" s="10" t="s">
        <v>9</v>
      </c>
      <c r="C2394" s="10" t="s">
        <v>299</v>
      </c>
      <c r="D2394" s="10" t="s">
        <v>300</v>
      </c>
      <c r="E2394" s="11" t="str">
        <f>+HYPERLINK("http://trademark.i-assist.jp/data/china/image_1898th/78663364.pdf", "78663364")</f>
        <v>78663364</v>
      </c>
      <c r="F2394" s="10" t="s">
        <v>6686</v>
      </c>
      <c r="G2394" s="10" t="s">
        <v>6687</v>
      </c>
      <c r="H2394" s="10" t="s">
        <v>6688</v>
      </c>
      <c r="I2394" s="10" t="s">
        <v>6342</v>
      </c>
    </row>
    <row r="2395" spans="1:9" x14ac:dyDescent="0.15">
      <c r="A2395" s="9">
        <v>2394</v>
      </c>
      <c r="B2395" s="10" t="s">
        <v>9</v>
      </c>
      <c r="C2395" s="10" t="s">
        <v>299</v>
      </c>
      <c r="D2395" s="10" t="s">
        <v>300</v>
      </c>
      <c r="E2395" s="11" t="str">
        <f>+HYPERLINK("http://trademark.i-assist.jp/data/china/image_1898th/78663473.pdf", "78663473")</f>
        <v>78663473</v>
      </c>
      <c r="F2395" s="10" t="s">
        <v>6689</v>
      </c>
      <c r="G2395" s="10" t="s">
        <v>6690</v>
      </c>
      <c r="H2395" s="10" t="s">
        <v>6691</v>
      </c>
      <c r="I2395" s="10" t="s">
        <v>6342</v>
      </c>
    </row>
    <row r="2396" spans="1:9" x14ac:dyDescent="0.15">
      <c r="A2396" s="9">
        <v>2395</v>
      </c>
      <c r="B2396" s="10" t="s">
        <v>9</v>
      </c>
      <c r="C2396" s="10" t="s">
        <v>299</v>
      </c>
      <c r="D2396" s="10" t="s">
        <v>300</v>
      </c>
      <c r="E2396" s="11" t="str">
        <f>+HYPERLINK("http://trademark.i-assist.jp/data/china/image_1898th/78663826.pdf", "78663826")</f>
        <v>78663826</v>
      </c>
      <c r="F2396" s="10" t="s">
        <v>6692</v>
      </c>
      <c r="G2396" s="10" t="s">
        <v>6693</v>
      </c>
      <c r="H2396" s="10" t="s">
        <v>6694</v>
      </c>
      <c r="I2396" s="10" t="s">
        <v>6342</v>
      </c>
    </row>
    <row r="2397" spans="1:9" x14ac:dyDescent="0.15">
      <c r="A2397" s="9">
        <v>2396</v>
      </c>
      <c r="B2397" s="10" t="s">
        <v>9</v>
      </c>
      <c r="C2397" s="10" t="s">
        <v>299</v>
      </c>
      <c r="D2397" s="10" t="s">
        <v>300</v>
      </c>
      <c r="E2397" s="11" t="str">
        <f>+HYPERLINK("http://trademark.i-assist.jp/data/china/image_1898th/78663853.pdf", "78663853")</f>
        <v>78663853</v>
      </c>
      <c r="F2397" s="10" t="s">
        <v>6695</v>
      </c>
      <c r="G2397" s="10" t="s">
        <v>6456</v>
      </c>
      <c r="H2397" s="10" t="s">
        <v>6696</v>
      </c>
      <c r="I2397" s="10" t="s">
        <v>6342</v>
      </c>
    </row>
    <row r="2398" spans="1:9" x14ac:dyDescent="0.15">
      <c r="A2398" s="9">
        <v>2397</v>
      </c>
      <c r="B2398" s="10" t="s">
        <v>9</v>
      </c>
      <c r="C2398" s="10" t="s">
        <v>299</v>
      </c>
      <c r="D2398" s="10" t="s">
        <v>300</v>
      </c>
      <c r="E2398" s="11" t="str">
        <f>+HYPERLINK("http://trademark.i-assist.jp/data/china/image_1898th/78663909.pdf", "78663909")</f>
        <v>78663909</v>
      </c>
      <c r="F2398" s="10" t="s">
        <v>6697</v>
      </c>
      <c r="G2398" s="10" t="s">
        <v>6698</v>
      </c>
      <c r="H2398" s="10" t="s">
        <v>6699</v>
      </c>
      <c r="I2398" s="10" t="s">
        <v>6342</v>
      </c>
    </row>
    <row r="2399" spans="1:9" x14ac:dyDescent="0.15">
      <c r="A2399" s="9">
        <v>2398</v>
      </c>
      <c r="B2399" s="10" t="s">
        <v>9</v>
      </c>
      <c r="C2399" s="10" t="s">
        <v>299</v>
      </c>
      <c r="D2399" s="10" t="s">
        <v>300</v>
      </c>
      <c r="E2399" s="11" t="str">
        <f>+HYPERLINK("http://trademark.i-assist.jp/data/china/image_1898th/78664017.pdf", "78664017")</f>
        <v>78664017</v>
      </c>
      <c r="F2399" s="10" t="s">
        <v>6700</v>
      </c>
      <c r="G2399" s="10" t="s">
        <v>6701</v>
      </c>
      <c r="H2399" s="10" t="s">
        <v>6702</v>
      </c>
      <c r="I2399" s="10" t="s">
        <v>6342</v>
      </c>
    </row>
    <row r="2400" spans="1:9" x14ac:dyDescent="0.15">
      <c r="A2400" s="9">
        <v>2399</v>
      </c>
      <c r="B2400" s="10" t="s">
        <v>9</v>
      </c>
      <c r="C2400" s="10" t="s">
        <v>299</v>
      </c>
      <c r="D2400" s="10" t="s">
        <v>300</v>
      </c>
      <c r="E2400" s="11" t="str">
        <f>+HYPERLINK("http://trademark.i-assist.jp/data/china/image_1898th/78664027.pdf", "78664027")</f>
        <v>78664027</v>
      </c>
      <c r="F2400" s="10" t="s">
        <v>6703</v>
      </c>
      <c r="G2400" s="10" t="s">
        <v>6701</v>
      </c>
      <c r="H2400" s="10" t="s">
        <v>6704</v>
      </c>
      <c r="I2400" s="10" t="s">
        <v>6342</v>
      </c>
    </row>
    <row r="2401" spans="1:9" x14ac:dyDescent="0.15">
      <c r="A2401" s="9">
        <v>2400</v>
      </c>
      <c r="B2401" s="10" t="s">
        <v>9</v>
      </c>
      <c r="C2401" s="10" t="s">
        <v>299</v>
      </c>
      <c r="D2401" s="10" t="s">
        <v>300</v>
      </c>
      <c r="E2401" s="11" t="str">
        <f>+HYPERLINK("http://trademark.i-assist.jp/data/china/image_1898th/78664061.pdf", "78664061")</f>
        <v>78664061</v>
      </c>
      <c r="F2401" s="10" t="s">
        <v>6705</v>
      </c>
      <c r="G2401" s="10" t="s">
        <v>6706</v>
      </c>
      <c r="H2401" s="10" t="s">
        <v>6707</v>
      </c>
      <c r="I2401" s="10" t="s">
        <v>6342</v>
      </c>
    </row>
    <row r="2402" spans="1:9" x14ac:dyDescent="0.15">
      <c r="A2402" s="9">
        <v>2401</v>
      </c>
      <c r="B2402" s="10" t="s">
        <v>9</v>
      </c>
      <c r="C2402" s="10" t="s">
        <v>299</v>
      </c>
      <c r="D2402" s="10" t="s">
        <v>300</v>
      </c>
      <c r="E2402" s="11" t="str">
        <f>+HYPERLINK("http://trademark.i-assist.jp/data/china/image_1898th/78664245.pdf", "78664245")</f>
        <v>78664245</v>
      </c>
      <c r="F2402" s="10" t="s">
        <v>6708</v>
      </c>
      <c r="G2402" s="10" t="s">
        <v>190</v>
      </c>
      <c r="H2402" s="10" t="s">
        <v>6709</v>
      </c>
      <c r="I2402" s="10" t="s">
        <v>6342</v>
      </c>
    </row>
    <row r="2403" spans="1:9" x14ac:dyDescent="0.15">
      <c r="A2403" s="9">
        <v>2402</v>
      </c>
      <c r="B2403" s="10" t="s">
        <v>9</v>
      </c>
      <c r="C2403" s="10" t="s">
        <v>299</v>
      </c>
      <c r="D2403" s="10" t="s">
        <v>300</v>
      </c>
      <c r="E2403" s="11" t="str">
        <f>+HYPERLINK("http://trademark.i-assist.jp/data/china/image_1898th/78664312.pdf", "78664312")</f>
        <v>78664312</v>
      </c>
      <c r="F2403" s="10" t="s">
        <v>6710</v>
      </c>
      <c r="G2403" s="10" t="s">
        <v>6711</v>
      </c>
      <c r="H2403" s="10" t="s">
        <v>6712</v>
      </c>
      <c r="I2403" s="10" t="s">
        <v>6342</v>
      </c>
    </row>
    <row r="2404" spans="1:9" x14ac:dyDescent="0.15">
      <c r="A2404" s="9">
        <v>2403</v>
      </c>
      <c r="B2404" s="10" t="s">
        <v>9</v>
      </c>
      <c r="C2404" s="10" t="s">
        <v>299</v>
      </c>
      <c r="D2404" s="10" t="s">
        <v>300</v>
      </c>
      <c r="E2404" s="11" t="str">
        <f>+HYPERLINK("http://trademark.i-assist.jp/data/china/image_1898th/78664428.pdf", "78664428")</f>
        <v>78664428</v>
      </c>
      <c r="F2404" s="10" t="s">
        <v>6713</v>
      </c>
      <c r="G2404" s="10" t="s">
        <v>6714</v>
      </c>
      <c r="H2404" s="10" t="s">
        <v>6715</v>
      </c>
      <c r="I2404" s="10" t="s">
        <v>6342</v>
      </c>
    </row>
    <row r="2405" spans="1:9" x14ac:dyDescent="0.15">
      <c r="A2405" s="9">
        <v>2404</v>
      </c>
      <c r="B2405" s="10" t="s">
        <v>9</v>
      </c>
      <c r="C2405" s="10" t="s">
        <v>299</v>
      </c>
      <c r="D2405" s="10" t="s">
        <v>300</v>
      </c>
      <c r="E2405" s="11" t="str">
        <f>+HYPERLINK("http://trademark.i-assist.jp/data/china/image_1898th/78664459.pdf", "78664459")</f>
        <v>78664459</v>
      </c>
      <c r="F2405" s="10" t="s">
        <v>6716</v>
      </c>
      <c r="G2405" s="10" t="s">
        <v>471</v>
      </c>
      <c r="H2405" s="10" t="s">
        <v>6717</v>
      </c>
      <c r="I2405" s="10" t="s">
        <v>6342</v>
      </c>
    </row>
    <row r="2406" spans="1:9" x14ac:dyDescent="0.15">
      <c r="A2406" s="9">
        <v>2405</v>
      </c>
      <c r="B2406" s="10" t="s">
        <v>9</v>
      </c>
      <c r="C2406" s="10" t="s">
        <v>299</v>
      </c>
      <c r="D2406" s="10" t="s">
        <v>300</v>
      </c>
      <c r="E2406" s="11" t="str">
        <f>+HYPERLINK("http://trademark.i-assist.jp/data/china/image_1898th/78664464.pdf", "78664464")</f>
        <v>78664464</v>
      </c>
      <c r="F2406" s="10" t="s">
        <v>6718</v>
      </c>
      <c r="G2406" s="10" t="s">
        <v>6719</v>
      </c>
      <c r="H2406" s="10" t="s">
        <v>6720</v>
      </c>
      <c r="I2406" s="10" t="s">
        <v>6342</v>
      </c>
    </row>
    <row r="2407" spans="1:9" x14ac:dyDescent="0.15">
      <c r="A2407" s="9">
        <v>2406</v>
      </c>
      <c r="B2407" s="10" t="s">
        <v>9</v>
      </c>
      <c r="C2407" s="10" t="s">
        <v>299</v>
      </c>
      <c r="D2407" s="10" t="s">
        <v>300</v>
      </c>
      <c r="E2407" s="11" t="str">
        <f>+HYPERLINK("http://trademark.i-assist.jp/data/china/image_1898th/78664671.pdf", "78664671")</f>
        <v>78664671</v>
      </c>
      <c r="F2407" s="10" t="s">
        <v>6721</v>
      </c>
      <c r="G2407" s="10" t="s">
        <v>5963</v>
      </c>
      <c r="H2407" s="10" t="s">
        <v>6722</v>
      </c>
      <c r="I2407" s="10" t="s">
        <v>6342</v>
      </c>
    </row>
    <row r="2408" spans="1:9" x14ac:dyDescent="0.15">
      <c r="A2408" s="9">
        <v>2407</v>
      </c>
      <c r="B2408" s="10" t="s">
        <v>9</v>
      </c>
      <c r="C2408" s="10" t="s">
        <v>299</v>
      </c>
      <c r="D2408" s="10" t="s">
        <v>300</v>
      </c>
      <c r="E2408" s="11" t="str">
        <f>+HYPERLINK("http://trademark.i-assist.jp/data/china/image_1898th/78664700.pdf", "78664700")</f>
        <v>78664700</v>
      </c>
      <c r="F2408" s="10" t="s">
        <v>6723</v>
      </c>
      <c r="G2408" s="10" t="s">
        <v>6724</v>
      </c>
      <c r="H2408" s="10" t="s">
        <v>6725</v>
      </c>
      <c r="I2408" s="10" t="s">
        <v>6342</v>
      </c>
    </row>
    <row r="2409" spans="1:9" x14ac:dyDescent="0.15">
      <c r="A2409" s="9">
        <v>2408</v>
      </c>
      <c r="B2409" s="10" t="s">
        <v>9</v>
      </c>
      <c r="C2409" s="10" t="s">
        <v>299</v>
      </c>
      <c r="D2409" s="10" t="s">
        <v>300</v>
      </c>
      <c r="E2409" s="11" t="str">
        <f>+HYPERLINK("http://trademark.i-assist.jp/data/china/image_1898th/78664876.pdf", "78664876")</f>
        <v>78664876</v>
      </c>
      <c r="F2409" s="10" t="s">
        <v>6726</v>
      </c>
      <c r="G2409" s="10" t="s">
        <v>6727</v>
      </c>
      <c r="H2409" s="10" t="s">
        <v>6728</v>
      </c>
      <c r="I2409" s="10" t="s">
        <v>6342</v>
      </c>
    </row>
    <row r="2410" spans="1:9" x14ac:dyDescent="0.15">
      <c r="A2410" s="9">
        <v>2409</v>
      </c>
      <c r="B2410" s="10" t="s">
        <v>9</v>
      </c>
      <c r="C2410" s="10" t="s">
        <v>299</v>
      </c>
      <c r="D2410" s="10" t="s">
        <v>300</v>
      </c>
      <c r="E2410" s="11" t="str">
        <f>+HYPERLINK("http://trademark.i-assist.jp/data/china/image_1898th/78664939.pdf", "78664939")</f>
        <v>78664939</v>
      </c>
      <c r="F2410" s="10" t="s">
        <v>6729</v>
      </c>
      <c r="G2410" s="10" t="s">
        <v>5963</v>
      </c>
      <c r="H2410" s="10" t="s">
        <v>34</v>
      </c>
      <c r="I2410" s="10" t="s">
        <v>6342</v>
      </c>
    </row>
    <row r="2411" spans="1:9" x14ac:dyDescent="0.15">
      <c r="A2411" s="9">
        <v>2410</v>
      </c>
      <c r="B2411" s="10" t="s">
        <v>9</v>
      </c>
      <c r="C2411" s="10" t="s">
        <v>299</v>
      </c>
      <c r="D2411" s="10" t="s">
        <v>300</v>
      </c>
      <c r="E2411" s="11" t="str">
        <f>+HYPERLINK("http://trademark.i-assist.jp/data/china/image_1898th/78664941.pdf", "78664941")</f>
        <v>78664941</v>
      </c>
      <c r="F2411" s="10" t="s">
        <v>6730</v>
      </c>
      <c r="G2411" s="10" t="s">
        <v>6731</v>
      </c>
      <c r="H2411" s="10" t="s">
        <v>6732</v>
      </c>
      <c r="I2411" s="10" t="s">
        <v>6342</v>
      </c>
    </row>
    <row r="2412" spans="1:9" x14ac:dyDescent="0.15">
      <c r="A2412" s="9">
        <v>2411</v>
      </c>
      <c r="B2412" s="10" t="s">
        <v>9</v>
      </c>
      <c r="C2412" s="10" t="s">
        <v>299</v>
      </c>
      <c r="D2412" s="10" t="s">
        <v>300</v>
      </c>
      <c r="E2412" s="11" t="str">
        <f>+HYPERLINK("http://trademark.i-assist.jp/data/china/image_1898th/78664986.pdf", "78664986")</f>
        <v>78664986</v>
      </c>
      <c r="F2412" s="10" t="s">
        <v>6733</v>
      </c>
      <c r="G2412" s="10" t="s">
        <v>6734</v>
      </c>
      <c r="H2412" s="10" t="s">
        <v>6735</v>
      </c>
      <c r="I2412" s="10" t="s">
        <v>6342</v>
      </c>
    </row>
    <row r="2413" spans="1:9" x14ac:dyDescent="0.15">
      <c r="A2413" s="9">
        <v>2412</v>
      </c>
      <c r="B2413" s="10" t="s">
        <v>9</v>
      </c>
      <c r="C2413" s="10" t="s">
        <v>299</v>
      </c>
      <c r="D2413" s="10" t="s">
        <v>300</v>
      </c>
      <c r="E2413" s="11" t="str">
        <f>+HYPERLINK("http://trademark.i-assist.jp/data/china/image_1898th/78665088.pdf", "78665088")</f>
        <v>78665088</v>
      </c>
      <c r="F2413" s="10" t="s">
        <v>6736</v>
      </c>
      <c r="G2413" s="10" t="s">
        <v>6737</v>
      </c>
      <c r="H2413" s="10" t="s">
        <v>6738</v>
      </c>
      <c r="I2413" s="10" t="s">
        <v>6342</v>
      </c>
    </row>
    <row r="2414" spans="1:9" x14ac:dyDescent="0.15">
      <c r="A2414" s="9">
        <v>2413</v>
      </c>
      <c r="B2414" s="10" t="s">
        <v>9</v>
      </c>
      <c r="C2414" s="10" t="s">
        <v>299</v>
      </c>
      <c r="D2414" s="10" t="s">
        <v>300</v>
      </c>
      <c r="E2414" s="11" t="str">
        <f>+HYPERLINK("http://trademark.i-assist.jp/data/china/image_1898th/78665251.pdf", "78665251")</f>
        <v>78665251</v>
      </c>
      <c r="F2414" s="10" t="s">
        <v>6739</v>
      </c>
      <c r="G2414" s="10" t="s">
        <v>6740</v>
      </c>
      <c r="H2414" s="10" t="s">
        <v>6741</v>
      </c>
      <c r="I2414" s="10" t="s">
        <v>6342</v>
      </c>
    </row>
    <row r="2415" spans="1:9" x14ac:dyDescent="0.15">
      <c r="A2415" s="9">
        <v>2414</v>
      </c>
      <c r="B2415" s="10" t="s">
        <v>9</v>
      </c>
      <c r="C2415" s="10" t="s">
        <v>299</v>
      </c>
      <c r="D2415" s="10" t="s">
        <v>300</v>
      </c>
      <c r="E2415" s="11" t="str">
        <f>+HYPERLINK("http://trademark.i-assist.jp/data/china/image_1898th/78665322.pdf", "78665322")</f>
        <v>78665322</v>
      </c>
      <c r="F2415" s="10" t="s">
        <v>6742</v>
      </c>
      <c r="G2415" s="10" t="s">
        <v>6743</v>
      </c>
      <c r="H2415" s="10" t="s">
        <v>6744</v>
      </c>
      <c r="I2415" s="10" t="s">
        <v>6342</v>
      </c>
    </row>
    <row r="2416" spans="1:9" x14ac:dyDescent="0.15">
      <c r="A2416" s="9">
        <v>2415</v>
      </c>
      <c r="B2416" s="10" t="s">
        <v>9</v>
      </c>
      <c r="C2416" s="10" t="s">
        <v>299</v>
      </c>
      <c r="D2416" s="10" t="s">
        <v>300</v>
      </c>
      <c r="E2416" s="11" t="str">
        <f>+HYPERLINK("http://trademark.i-assist.jp/data/china/image_1898th/78665337.pdf", "78665337")</f>
        <v>78665337</v>
      </c>
      <c r="F2416" s="10" t="s">
        <v>6745</v>
      </c>
      <c r="G2416" s="10" t="s">
        <v>6746</v>
      </c>
      <c r="H2416" s="10" t="s">
        <v>6747</v>
      </c>
      <c r="I2416" s="10" t="s">
        <v>6342</v>
      </c>
    </row>
    <row r="2417" spans="1:9" x14ac:dyDescent="0.15">
      <c r="A2417" s="9">
        <v>2416</v>
      </c>
      <c r="B2417" s="10" t="s">
        <v>9</v>
      </c>
      <c r="C2417" s="10" t="s">
        <v>299</v>
      </c>
      <c r="D2417" s="10" t="s">
        <v>300</v>
      </c>
      <c r="E2417" s="11" t="str">
        <f>+HYPERLINK("http://trademark.i-assist.jp/data/china/image_1898th/78665430.pdf", "78665430")</f>
        <v>78665430</v>
      </c>
      <c r="F2417" s="10" t="s">
        <v>6748</v>
      </c>
      <c r="G2417" s="10" t="s">
        <v>6749</v>
      </c>
      <c r="H2417" s="10" t="s">
        <v>6750</v>
      </c>
      <c r="I2417" s="10" t="s">
        <v>6342</v>
      </c>
    </row>
    <row r="2418" spans="1:9" x14ac:dyDescent="0.15">
      <c r="A2418" s="9">
        <v>2417</v>
      </c>
      <c r="B2418" s="10" t="s">
        <v>9</v>
      </c>
      <c r="C2418" s="10" t="s">
        <v>299</v>
      </c>
      <c r="D2418" s="10" t="s">
        <v>300</v>
      </c>
      <c r="E2418" s="11" t="str">
        <f>+HYPERLINK("http://trademark.i-assist.jp/data/china/image_1898th/78665529.pdf", "78665529")</f>
        <v>78665529</v>
      </c>
      <c r="F2418" s="10" t="s">
        <v>6751</v>
      </c>
      <c r="G2418" s="10" t="s">
        <v>6752</v>
      </c>
      <c r="H2418" s="10" t="s">
        <v>6753</v>
      </c>
      <c r="I2418" s="10" t="s">
        <v>6342</v>
      </c>
    </row>
    <row r="2419" spans="1:9" x14ac:dyDescent="0.15">
      <c r="A2419" s="9">
        <v>2418</v>
      </c>
      <c r="B2419" s="10" t="s">
        <v>9</v>
      </c>
      <c r="C2419" s="10" t="s">
        <v>299</v>
      </c>
      <c r="D2419" s="10" t="s">
        <v>300</v>
      </c>
      <c r="E2419" s="11" t="str">
        <f>+HYPERLINK("http://trademark.i-assist.jp/data/china/image_1898th/78665572.pdf", "78665572")</f>
        <v>78665572</v>
      </c>
      <c r="F2419" s="10" t="s">
        <v>6754</v>
      </c>
      <c r="G2419" s="10" t="s">
        <v>6755</v>
      </c>
      <c r="H2419" s="10" t="s">
        <v>6756</v>
      </c>
      <c r="I2419" s="10" t="s">
        <v>6342</v>
      </c>
    </row>
    <row r="2420" spans="1:9" x14ac:dyDescent="0.15">
      <c r="A2420" s="9">
        <v>2419</v>
      </c>
      <c r="B2420" s="10" t="s">
        <v>9</v>
      </c>
      <c r="C2420" s="10" t="s">
        <v>299</v>
      </c>
      <c r="D2420" s="10" t="s">
        <v>300</v>
      </c>
      <c r="E2420" s="11" t="str">
        <f>+HYPERLINK("http://trademark.i-assist.jp/data/china/image_1898th/78665580.pdf", "78665580")</f>
        <v>78665580</v>
      </c>
      <c r="F2420" s="10" t="s">
        <v>6757</v>
      </c>
      <c r="G2420" s="10" t="s">
        <v>6755</v>
      </c>
      <c r="H2420" s="10" t="s">
        <v>6758</v>
      </c>
      <c r="I2420" s="10" t="s">
        <v>6342</v>
      </c>
    </row>
    <row r="2421" spans="1:9" x14ac:dyDescent="0.15">
      <c r="A2421" s="9">
        <v>2420</v>
      </c>
      <c r="B2421" s="10" t="s">
        <v>9</v>
      </c>
      <c r="C2421" s="10" t="s">
        <v>299</v>
      </c>
      <c r="D2421" s="10" t="s">
        <v>300</v>
      </c>
      <c r="E2421" s="11" t="str">
        <f>+HYPERLINK("http://trademark.i-assist.jp/data/china/image_1898th/78665913.pdf", "78665913")</f>
        <v>78665913</v>
      </c>
      <c r="F2421" s="10" t="s">
        <v>6759</v>
      </c>
      <c r="G2421" s="10" t="s">
        <v>6760</v>
      </c>
      <c r="H2421" s="10" t="s">
        <v>6761</v>
      </c>
      <c r="I2421" s="10" t="s">
        <v>6342</v>
      </c>
    </row>
    <row r="2422" spans="1:9" x14ac:dyDescent="0.15">
      <c r="A2422" s="9">
        <v>2421</v>
      </c>
      <c r="B2422" s="10" t="s">
        <v>9</v>
      </c>
      <c r="C2422" s="10" t="s">
        <v>299</v>
      </c>
      <c r="D2422" s="10" t="s">
        <v>300</v>
      </c>
      <c r="E2422" s="11" t="str">
        <f>+HYPERLINK("http://trademark.i-assist.jp/data/china/image_1898th/78666066.pdf", "78666066")</f>
        <v>78666066</v>
      </c>
      <c r="F2422" s="10" t="s">
        <v>6762</v>
      </c>
      <c r="G2422" s="10" t="s">
        <v>6354</v>
      </c>
      <c r="H2422" s="10" t="s">
        <v>6763</v>
      </c>
      <c r="I2422" s="10" t="s">
        <v>6342</v>
      </c>
    </row>
    <row r="2423" spans="1:9" x14ac:dyDescent="0.15">
      <c r="A2423" s="9">
        <v>2422</v>
      </c>
      <c r="B2423" s="10" t="s">
        <v>9</v>
      </c>
      <c r="C2423" s="10" t="s">
        <v>299</v>
      </c>
      <c r="D2423" s="10" t="s">
        <v>300</v>
      </c>
      <c r="E2423" s="11" t="str">
        <f>+HYPERLINK("http://trademark.i-assist.jp/data/china/image_1898th/78666221.pdf", "78666221")</f>
        <v>78666221</v>
      </c>
      <c r="F2423" s="10" t="s">
        <v>6764</v>
      </c>
      <c r="G2423" s="10" t="s">
        <v>6765</v>
      </c>
      <c r="H2423" s="10" t="s">
        <v>6766</v>
      </c>
      <c r="I2423" s="10" t="s">
        <v>6342</v>
      </c>
    </row>
    <row r="2424" spans="1:9" x14ac:dyDescent="0.15">
      <c r="A2424" s="9">
        <v>2423</v>
      </c>
      <c r="B2424" s="10" t="s">
        <v>9</v>
      </c>
      <c r="C2424" s="10" t="s">
        <v>299</v>
      </c>
      <c r="D2424" s="10" t="s">
        <v>300</v>
      </c>
      <c r="E2424" s="11" t="str">
        <f>+HYPERLINK("http://trademark.i-assist.jp/data/china/image_1898th/78666278.pdf", "78666278")</f>
        <v>78666278</v>
      </c>
      <c r="F2424" s="10" t="s">
        <v>6767</v>
      </c>
      <c r="G2424" s="10" t="s">
        <v>6768</v>
      </c>
      <c r="H2424" s="10" t="s">
        <v>6769</v>
      </c>
      <c r="I2424" s="10" t="s">
        <v>6342</v>
      </c>
    </row>
    <row r="2425" spans="1:9" x14ac:dyDescent="0.15">
      <c r="A2425" s="9">
        <v>2424</v>
      </c>
      <c r="B2425" s="10" t="s">
        <v>9</v>
      </c>
      <c r="C2425" s="10" t="s">
        <v>299</v>
      </c>
      <c r="D2425" s="10" t="s">
        <v>300</v>
      </c>
      <c r="E2425" s="11" t="str">
        <f>+HYPERLINK("http://trademark.i-assist.jp/data/china/image_1898th/78666281.pdf", "78666281")</f>
        <v>78666281</v>
      </c>
      <c r="F2425" s="10" t="s">
        <v>6770</v>
      </c>
      <c r="G2425" s="10" t="s">
        <v>6771</v>
      </c>
      <c r="H2425" s="10" t="s">
        <v>6772</v>
      </c>
      <c r="I2425" s="10" t="s">
        <v>6342</v>
      </c>
    </row>
    <row r="2426" spans="1:9" x14ac:dyDescent="0.15">
      <c r="A2426" s="9">
        <v>2425</v>
      </c>
      <c r="B2426" s="10" t="s">
        <v>9</v>
      </c>
      <c r="C2426" s="10" t="s">
        <v>299</v>
      </c>
      <c r="D2426" s="10" t="s">
        <v>300</v>
      </c>
      <c r="E2426" s="11" t="str">
        <f>+HYPERLINK("http://trademark.i-assist.jp/data/china/image_1898th/78666360.pdf", "78666360")</f>
        <v>78666360</v>
      </c>
      <c r="F2426" s="10" t="s">
        <v>19</v>
      </c>
      <c r="G2426" s="10" t="s">
        <v>6431</v>
      </c>
      <c r="H2426" s="10" t="s">
        <v>6773</v>
      </c>
      <c r="I2426" s="10" t="s">
        <v>6342</v>
      </c>
    </row>
    <row r="2427" spans="1:9" x14ac:dyDescent="0.15">
      <c r="A2427" s="9">
        <v>2426</v>
      </c>
      <c r="B2427" s="10" t="s">
        <v>9</v>
      </c>
      <c r="C2427" s="10" t="s">
        <v>299</v>
      </c>
      <c r="D2427" s="10" t="s">
        <v>300</v>
      </c>
      <c r="E2427" s="11" t="str">
        <f>+HYPERLINK("http://trademark.i-assist.jp/data/china/image_1898th/78666897.pdf", "78666897")</f>
        <v>78666897</v>
      </c>
      <c r="F2427" s="10" t="s">
        <v>6774</v>
      </c>
      <c r="G2427" s="10" t="s">
        <v>6775</v>
      </c>
      <c r="H2427" s="10" t="s">
        <v>6776</v>
      </c>
      <c r="I2427" s="10" t="s">
        <v>6342</v>
      </c>
    </row>
    <row r="2428" spans="1:9" x14ac:dyDescent="0.15">
      <c r="A2428" s="9">
        <v>2427</v>
      </c>
      <c r="B2428" s="10" t="s">
        <v>9</v>
      </c>
      <c r="C2428" s="10" t="s">
        <v>299</v>
      </c>
      <c r="D2428" s="10" t="s">
        <v>300</v>
      </c>
      <c r="E2428" s="11" t="str">
        <f>+HYPERLINK("http://trademark.i-assist.jp/data/china/image_1898th/78666926.pdf", "78666926")</f>
        <v>78666926</v>
      </c>
      <c r="F2428" s="10" t="s">
        <v>6777</v>
      </c>
      <c r="G2428" s="10" t="s">
        <v>6411</v>
      </c>
      <c r="H2428" s="10" t="s">
        <v>6778</v>
      </c>
      <c r="I2428" s="10" t="s">
        <v>6342</v>
      </c>
    </row>
    <row r="2429" spans="1:9" x14ac:dyDescent="0.15">
      <c r="A2429" s="9">
        <v>2428</v>
      </c>
      <c r="B2429" s="10" t="s">
        <v>9</v>
      </c>
      <c r="C2429" s="10" t="s">
        <v>299</v>
      </c>
      <c r="D2429" s="10" t="s">
        <v>300</v>
      </c>
      <c r="E2429" s="11" t="str">
        <f>+HYPERLINK("http://trademark.i-assist.jp/data/china/image_1898th/78666969.pdf", "78666969")</f>
        <v>78666969</v>
      </c>
      <c r="F2429" s="10" t="s">
        <v>6779</v>
      </c>
      <c r="G2429" s="10" t="s">
        <v>6780</v>
      </c>
      <c r="H2429" s="10" t="s">
        <v>6781</v>
      </c>
      <c r="I2429" s="10" t="s">
        <v>6342</v>
      </c>
    </row>
    <row r="2430" spans="1:9" x14ac:dyDescent="0.15">
      <c r="A2430" s="9">
        <v>2429</v>
      </c>
      <c r="B2430" s="10" t="s">
        <v>9</v>
      </c>
      <c r="C2430" s="10" t="s">
        <v>299</v>
      </c>
      <c r="D2430" s="10" t="s">
        <v>300</v>
      </c>
      <c r="E2430" s="11" t="str">
        <f>+HYPERLINK("http://trademark.i-assist.jp/data/china/image_1898th/78667028.pdf", "78667028")</f>
        <v>78667028</v>
      </c>
      <c r="F2430" s="10" t="s">
        <v>6782</v>
      </c>
      <c r="G2430" s="10" t="s">
        <v>6508</v>
      </c>
      <c r="H2430" s="10" t="s">
        <v>6783</v>
      </c>
      <c r="I2430" s="10" t="s">
        <v>6342</v>
      </c>
    </row>
    <row r="2431" spans="1:9" x14ac:dyDescent="0.15">
      <c r="A2431" s="9">
        <v>2430</v>
      </c>
      <c r="B2431" s="10" t="s">
        <v>9</v>
      </c>
      <c r="C2431" s="10" t="s">
        <v>299</v>
      </c>
      <c r="D2431" s="10" t="s">
        <v>300</v>
      </c>
      <c r="E2431" s="11" t="str">
        <f>+HYPERLINK("http://trademark.i-assist.jp/data/china/image_1898th/78667058.pdf", "78667058")</f>
        <v>78667058</v>
      </c>
      <c r="F2431" s="10" t="s">
        <v>6784</v>
      </c>
      <c r="G2431" s="10" t="s">
        <v>5663</v>
      </c>
      <c r="H2431" s="10" t="s">
        <v>6785</v>
      </c>
      <c r="I2431" s="10" t="s">
        <v>6342</v>
      </c>
    </row>
    <row r="2432" spans="1:9" x14ac:dyDescent="0.15">
      <c r="A2432" s="9">
        <v>2431</v>
      </c>
      <c r="B2432" s="10" t="s">
        <v>9</v>
      </c>
      <c r="C2432" s="10" t="s">
        <v>299</v>
      </c>
      <c r="D2432" s="10" t="s">
        <v>300</v>
      </c>
      <c r="E2432" s="11" t="str">
        <f>+HYPERLINK("http://trademark.i-assist.jp/data/china/image_1898th/78667154.pdf", "78667154")</f>
        <v>78667154</v>
      </c>
      <c r="F2432" s="10" t="s">
        <v>6786</v>
      </c>
      <c r="G2432" s="10" t="s">
        <v>6787</v>
      </c>
      <c r="H2432" s="10" t="s">
        <v>6788</v>
      </c>
      <c r="I2432" s="10" t="s">
        <v>6342</v>
      </c>
    </row>
    <row r="2433" spans="1:9" x14ac:dyDescent="0.15">
      <c r="A2433" s="9">
        <v>2432</v>
      </c>
      <c r="B2433" s="10" t="s">
        <v>9</v>
      </c>
      <c r="C2433" s="10" t="s">
        <v>299</v>
      </c>
      <c r="D2433" s="10" t="s">
        <v>300</v>
      </c>
      <c r="E2433" s="11" t="str">
        <f>+HYPERLINK("http://trademark.i-assist.jp/data/china/image_1898th/78667163.pdf", "78667163")</f>
        <v>78667163</v>
      </c>
      <c r="F2433" s="10" t="s">
        <v>19</v>
      </c>
      <c r="G2433" s="10" t="s">
        <v>6789</v>
      </c>
      <c r="H2433" s="10" t="s">
        <v>6790</v>
      </c>
      <c r="I2433" s="10" t="s">
        <v>6342</v>
      </c>
    </row>
    <row r="2434" spans="1:9" x14ac:dyDescent="0.15">
      <c r="A2434" s="9">
        <v>2433</v>
      </c>
      <c r="B2434" s="10" t="s">
        <v>9</v>
      </c>
      <c r="C2434" s="10" t="s">
        <v>299</v>
      </c>
      <c r="D2434" s="10" t="s">
        <v>300</v>
      </c>
      <c r="E2434" s="11" t="str">
        <f>+HYPERLINK("http://trademark.i-assist.jp/data/china/image_1898th/78667308.pdf", "78667308")</f>
        <v>78667308</v>
      </c>
      <c r="F2434" s="10" t="s">
        <v>6791</v>
      </c>
      <c r="G2434" s="10" t="s">
        <v>6625</v>
      </c>
      <c r="H2434" s="10" t="s">
        <v>6792</v>
      </c>
      <c r="I2434" s="10" t="s">
        <v>6342</v>
      </c>
    </row>
    <row r="2435" spans="1:9" x14ac:dyDescent="0.15">
      <c r="A2435" s="9">
        <v>2434</v>
      </c>
      <c r="B2435" s="10" t="s">
        <v>9</v>
      </c>
      <c r="C2435" s="10" t="s">
        <v>299</v>
      </c>
      <c r="D2435" s="10" t="s">
        <v>300</v>
      </c>
      <c r="E2435" s="11" t="str">
        <f>+HYPERLINK("http://trademark.i-assist.jp/data/china/image_1898th/78667355.pdf", "78667355")</f>
        <v>78667355</v>
      </c>
      <c r="F2435" s="10" t="s">
        <v>6793</v>
      </c>
      <c r="G2435" s="10" t="s">
        <v>6794</v>
      </c>
      <c r="H2435" s="10" t="s">
        <v>6795</v>
      </c>
      <c r="I2435" s="10" t="s">
        <v>6342</v>
      </c>
    </row>
    <row r="2436" spans="1:9" x14ac:dyDescent="0.15">
      <c r="A2436" s="9">
        <v>2435</v>
      </c>
      <c r="B2436" s="10" t="s">
        <v>9</v>
      </c>
      <c r="C2436" s="10" t="s">
        <v>299</v>
      </c>
      <c r="D2436" s="10" t="s">
        <v>300</v>
      </c>
      <c r="E2436" s="11" t="str">
        <f>+HYPERLINK("http://trademark.i-assist.jp/data/china/image_1898th/78667673.pdf", "78667673")</f>
        <v>78667673</v>
      </c>
      <c r="F2436" s="10" t="s">
        <v>6796</v>
      </c>
      <c r="G2436" s="10" t="s">
        <v>6797</v>
      </c>
      <c r="H2436" s="10" t="s">
        <v>6798</v>
      </c>
      <c r="I2436" s="10" t="s">
        <v>6342</v>
      </c>
    </row>
    <row r="2437" spans="1:9" x14ac:dyDescent="0.15">
      <c r="A2437" s="9">
        <v>2436</v>
      </c>
      <c r="B2437" s="10" t="s">
        <v>9</v>
      </c>
      <c r="C2437" s="10" t="s">
        <v>299</v>
      </c>
      <c r="D2437" s="10" t="s">
        <v>300</v>
      </c>
      <c r="E2437" s="11" t="str">
        <f>+HYPERLINK("http://trademark.i-assist.jp/data/china/image_1898th/78667703.pdf", "78667703")</f>
        <v>78667703</v>
      </c>
      <c r="F2437" s="10" t="s">
        <v>6799</v>
      </c>
      <c r="G2437" s="10" t="s">
        <v>6800</v>
      </c>
      <c r="H2437" s="10" t="s">
        <v>6801</v>
      </c>
      <c r="I2437" s="10" t="s">
        <v>6342</v>
      </c>
    </row>
    <row r="2438" spans="1:9" x14ac:dyDescent="0.15">
      <c r="A2438" s="9">
        <v>2437</v>
      </c>
      <c r="B2438" s="10" t="s">
        <v>9</v>
      </c>
      <c r="C2438" s="10" t="s">
        <v>299</v>
      </c>
      <c r="D2438" s="10" t="s">
        <v>300</v>
      </c>
      <c r="E2438" s="11" t="str">
        <f>+HYPERLINK("http://trademark.i-assist.jp/data/china/image_1898th/78667831.pdf", "78667831")</f>
        <v>78667831</v>
      </c>
      <c r="F2438" s="10" t="s">
        <v>6802</v>
      </c>
      <c r="G2438" s="10" t="s">
        <v>6803</v>
      </c>
      <c r="H2438" s="10" t="s">
        <v>6804</v>
      </c>
      <c r="I2438" s="10" t="s">
        <v>6342</v>
      </c>
    </row>
    <row r="2439" spans="1:9" x14ac:dyDescent="0.15">
      <c r="A2439" s="9">
        <v>2438</v>
      </c>
      <c r="B2439" s="10" t="s">
        <v>9</v>
      </c>
      <c r="C2439" s="10" t="s">
        <v>299</v>
      </c>
      <c r="D2439" s="10" t="s">
        <v>300</v>
      </c>
      <c r="E2439" s="11" t="str">
        <f>+HYPERLINK("http://trademark.i-assist.jp/data/china/image_1898th/78667884.pdf", "78667884")</f>
        <v>78667884</v>
      </c>
      <c r="F2439" s="10" t="s">
        <v>6805</v>
      </c>
      <c r="G2439" s="10" t="s">
        <v>6806</v>
      </c>
      <c r="H2439" s="10" t="s">
        <v>6807</v>
      </c>
      <c r="I2439" s="10" t="s">
        <v>6342</v>
      </c>
    </row>
    <row r="2440" spans="1:9" x14ac:dyDescent="0.15">
      <c r="A2440" s="9">
        <v>2439</v>
      </c>
      <c r="B2440" s="10" t="s">
        <v>9</v>
      </c>
      <c r="C2440" s="10" t="s">
        <v>299</v>
      </c>
      <c r="D2440" s="10" t="s">
        <v>300</v>
      </c>
      <c r="E2440" s="11" t="str">
        <f>+HYPERLINK("http://trademark.i-assist.jp/data/china/image_1898th/78668050.pdf", "78668050")</f>
        <v>78668050</v>
      </c>
      <c r="F2440" s="10" t="s">
        <v>6808</v>
      </c>
      <c r="G2440" s="10" t="s">
        <v>6481</v>
      </c>
      <c r="H2440" s="10" t="s">
        <v>6809</v>
      </c>
      <c r="I2440" s="10" t="s">
        <v>6342</v>
      </c>
    </row>
    <row r="2441" spans="1:9" x14ac:dyDescent="0.15">
      <c r="A2441" s="9">
        <v>2440</v>
      </c>
      <c r="B2441" s="10" t="s">
        <v>9</v>
      </c>
      <c r="C2441" s="10" t="s">
        <v>299</v>
      </c>
      <c r="D2441" s="10" t="s">
        <v>300</v>
      </c>
      <c r="E2441" s="11" t="str">
        <f>+HYPERLINK("http://trademark.i-assist.jp/data/china/image_1898th/78668073.pdf", "78668073")</f>
        <v>78668073</v>
      </c>
      <c r="F2441" s="10" t="s">
        <v>6810</v>
      </c>
      <c r="G2441" s="10" t="s">
        <v>6811</v>
      </c>
      <c r="H2441" s="10" t="s">
        <v>6812</v>
      </c>
      <c r="I2441" s="10" t="s">
        <v>6342</v>
      </c>
    </row>
    <row r="2442" spans="1:9" x14ac:dyDescent="0.15">
      <c r="A2442" s="9">
        <v>2441</v>
      </c>
      <c r="B2442" s="10" t="s">
        <v>9</v>
      </c>
      <c r="C2442" s="10" t="s">
        <v>299</v>
      </c>
      <c r="D2442" s="10" t="s">
        <v>300</v>
      </c>
      <c r="E2442" s="11" t="str">
        <f>+HYPERLINK("http://trademark.i-assist.jp/data/china/image_1898th/78668141.pdf", "78668141")</f>
        <v>78668141</v>
      </c>
      <c r="F2442" s="10" t="s">
        <v>6813</v>
      </c>
      <c r="G2442" s="10" t="s">
        <v>6814</v>
      </c>
      <c r="H2442" s="10" t="s">
        <v>6815</v>
      </c>
      <c r="I2442" s="10" t="s">
        <v>6342</v>
      </c>
    </row>
    <row r="2443" spans="1:9" x14ac:dyDescent="0.15">
      <c r="A2443" s="9">
        <v>2442</v>
      </c>
      <c r="B2443" s="10" t="s">
        <v>9</v>
      </c>
      <c r="C2443" s="10" t="s">
        <v>299</v>
      </c>
      <c r="D2443" s="10" t="s">
        <v>300</v>
      </c>
      <c r="E2443" s="11" t="str">
        <f>+HYPERLINK("http://trademark.i-assist.jp/data/china/image_1898th/78668145.pdf", "78668145")</f>
        <v>78668145</v>
      </c>
      <c r="F2443" s="10" t="s">
        <v>6816</v>
      </c>
      <c r="G2443" s="10" t="s">
        <v>6489</v>
      </c>
      <c r="H2443" s="10" t="s">
        <v>6817</v>
      </c>
      <c r="I2443" s="10" t="s">
        <v>6342</v>
      </c>
    </row>
    <row r="2444" spans="1:9" x14ac:dyDescent="0.15">
      <c r="A2444" s="9">
        <v>2443</v>
      </c>
      <c r="B2444" s="10" t="s">
        <v>9</v>
      </c>
      <c r="C2444" s="10" t="s">
        <v>299</v>
      </c>
      <c r="D2444" s="10" t="s">
        <v>300</v>
      </c>
      <c r="E2444" s="11" t="str">
        <f>+HYPERLINK("http://trademark.i-assist.jp/data/china/image_1898th/78668345.pdf", "78668345")</f>
        <v>78668345</v>
      </c>
      <c r="F2444" s="10" t="s">
        <v>6818</v>
      </c>
      <c r="G2444" s="10" t="s">
        <v>6819</v>
      </c>
      <c r="H2444" s="10" t="s">
        <v>6820</v>
      </c>
      <c r="I2444" s="10" t="s">
        <v>6342</v>
      </c>
    </row>
    <row r="2445" spans="1:9" x14ac:dyDescent="0.15">
      <c r="A2445" s="9">
        <v>2444</v>
      </c>
      <c r="B2445" s="10" t="s">
        <v>9</v>
      </c>
      <c r="C2445" s="10" t="s">
        <v>299</v>
      </c>
      <c r="D2445" s="10" t="s">
        <v>300</v>
      </c>
      <c r="E2445" s="11" t="str">
        <f>+HYPERLINK("http://trademark.i-assist.jp/data/china/image_1898th/78668365.pdf", "78668365")</f>
        <v>78668365</v>
      </c>
      <c r="F2445" s="10" t="s">
        <v>6821</v>
      </c>
      <c r="G2445" s="10" t="s">
        <v>6354</v>
      </c>
      <c r="H2445" s="10" t="s">
        <v>6822</v>
      </c>
      <c r="I2445" s="10" t="s">
        <v>6342</v>
      </c>
    </row>
    <row r="2446" spans="1:9" x14ac:dyDescent="0.15">
      <c r="A2446" s="9">
        <v>2445</v>
      </c>
      <c r="B2446" s="10" t="s">
        <v>9</v>
      </c>
      <c r="C2446" s="10" t="s">
        <v>299</v>
      </c>
      <c r="D2446" s="10" t="s">
        <v>300</v>
      </c>
      <c r="E2446" s="11" t="str">
        <f>+HYPERLINK("http://trademark.i-assist.jp/data/china/image_1898th/78668416.pdf", "78668416")</f>
        <v>78668416</v>
      </c>
      <c r="F2446" s="10" t="s">
        <v>6823</v>
      </c>
      <c r="G2446" s="10" t="s">
        <v>6824</v>
      </c>
      <c r="H2446" s="10" t="s">
        <v>6825</v>
      </c>
      <c r="I2446" s="10" t="s">
        <v>6342</v>
      </c>
    </row>
    <row r="2447" spans="1:9" x14ac:dyDescent="0.15">
      <c r="A2447" s="9">
        <v>2446</v>
      </c>
      <c r="B2447" s="10" t="s">
        <v>9</v>
      </c>
      <c r="C2447" s="10" t="s">
        <v>299</v>
      </c>
      <c r="D2447" s="10" t="s">
        <v>300</v>
      </c>
      <c r="E2447" s="11" t="str">
        <f>+HYPERLINK("http://trademark.i-assist.jp/data/china/image_1898th/78668421.pdf", "78668421")</f>
        <v>78668421</v>
      </c>
      <c r="F2447" s="10" t="s">
        <v>6826</v>
      </c>
      <c r="G2447" s="10" t="s">
        <v>6827</v>
      </c>
      <c r="H2447" s="10" t="s">
        <v>6828</v>
      </c>
      <c r="I2447" s="10" t="s">
        <v>6342</v>
      </c>
    </row>
    <row r="2448" spans="1:9" x14ac:dyDescent="0.15">
      <c r="A2448" s="9">
        <v>2447</v>
      </c>
      <c r="B2448" s="10" t="s">
        <v>9</v>
      </c>
      <c r="C2448" s="10" t="s">
        <v>299</v>
      </c>
      <c r="D2448" s="10" t="s">
        <v>300</v>
      </c>
      <c r="E2448" s="11" t="str">
        <f>+HYPERLINK("http://trademark.i-assist.jp/data/china/image_1898th/78668633.pdf", "78668633")</f>
        <v>78668633</v>
      </c>
      <c r="F2448" s="10" t="s">
        <v>6829</v>
      </c>
      <c r="G2448" s="10" t="s">
        <v>6830</v>
      </c>
      <c r="H2448" s="10" t="s">
        <v>6831</v>
      </c>
      <c r="I2448" s="10" t="s">
        <v>6342</v>
      </c>
    </row>
    <row r="2449" spans="1:9" x14ac:dyDescent="0.15">
      <c r="A2449" s="9">
        <v>2448</v>
      </c>
      <c r="B2449" s="10" t="s">
        <v>9</v>
      </c>
      <c r="C2449" s="10" t="s">
        <v>299</v>
      </c>
      <c r="D2449" s="10" t="s">
        <v>300</v>
      </c>
      <c r="E2449" s="11" t="str">
        <f>+HYPERLINK("http://trademark.i-assist.jp/data/china/image_1898th/78668682.pdf", "78668682")</f>
        <v>78668682</v>
      </c>
      <c r="F2449" s="10" t="s">
        <v>6832</v>
      </c>
      <c r="G2449" s="10" t="s">
        <v>6456</v>
      </c>
      <c r="H2449" s="10" t="s">
        <v>6833</v>
      </c>
      <c r="I2449" s="10" t="s">
        <v>6342</v>
      </c>
    </row>
    <row r="2450" spans="1:9" x14ac:dyDescent="0.15">
      <c r="A2450" s="9">
        <v>2449</v>
      </c>
      <c r="B2450" s="10" t="s">
        <v>9</v>
      </c>
      <c r="C2450" s="10" t="s">
        <v>299</v>
      </c>
      <c r="D2450" s="10" t="s">
        <v>300</v>
      </c>
      <c r="E2450" s="11" t="str">
        <f>+HYPERLINK("http://trademark.i-assist.jp/data/china/image_1898th/78668882.pdf", "78668882")</f>
        <v>78668882</v>
      </c>
      <c r="F2450" s="10" t="s">
        <v>6834</v>
      </c>
      <c r="G2450" s="10" t="s">
        <v>6835</v>
      </c>
      <c r="H2450" s="10" t="s">
        <v>6836</v>
      </c>
      <c r="I2450" s="10" t="s">
        <v>6342</v>
      </c>
    </row>
    <row r="2451" spans="1:9" x14ac:dyDescent="0.15">
      <c r="A2451" s="9">
        <v>2450</v>
      </c>
      <c r="B2451" s="10" t="s">
        <v>9</v>
      </c>
      <c r="C2451" s="10" t="s">
        <v>299</v>
      </c>
      <c r="D2451" s="10" t="s">
        <v>300</v>
      </c>
      <c r="E2451" s="11" t="str">
        <f>+HYPERLINK("http://trademark.i-assist.jp/data/china/image_1898th/78668936.pdf", "78668936")</f>
        <v>78668936</v>
      </c>
      <c r="F2451" s="10" t="s">
        <v>6837</v>
      </c>
      <c r="G2451" s="10" t="s">
        <v>6838</v>
      </c>
      <c r="H2451" s="10" t="s">
        <v>6839</v>
      </c>
      <c r="I2451" s="10" t="s">
        <v>6342</v>
      </c>
    </row>
    <row r="2452" spans="1:9" x14ac:dyDescent="0.15">
      <c r="A2452" s="9">
        <v>2451</v>
      </c>
      <c r="B2452" s="10" t="s">
        <v>9</v>
      </c>
      <c r="C2452" s="10" t="s">
        <v>299</v>
      </c>
      <c r="D2452" s="10" t="s">
        <v>300</v>
      </c>
      <c r="E2452" s="11" t="str">
        <f>+HYPERLINK("http://trademark.i-assist.jp/data/china/image_1898th/78668985.pdf", "78668985")</f>
        <v>78668985</v>
      </c>
      <c r="F2452" s="10" t="s">
        <v>6840</v>
      </c>
      <c r="G2452" s="10" t="s">
        <v>6391</v>
      </c>
      <c r="H2452" s="10" t="s">
        <v>6841</v>
      </c>
      <c r="I2452" s="10" t="s">
        <v>6342</v>
      </c>
    </row>
    <row r="2453" spans="1:9" x14ac:dyDescent="0.15">
      <c r="A2453" s="9">
        <v>2452</v>
      </c>
      <c r="B2453" s="10" t="s">
        <v>9</v>
      </c>
      <c r="C2453" s="10" t="s">
        <v>299</v>
      </c>
      <c r="D2453" s="10" t="s">
        <v>300</v>
      </c>
      <c r="E2453" s="11" t="str">
        <f>+HYPERLINK("http://trademark.i-assist.jp/data/china/image_1898th/78668988.pdf", "78668988")</f>
        <v>78668988</v>
      </c>
      <c r="F2453" s="10" t="s">
        <v>6842</v>
      </c>
      <c r="G2453" s="10" t="s">
        <v>6423</v>
      </c>
      <c r="H2453" s="10" t="s">
        <v>6843</v>
      </c>
      <c r="I2453" s="10" t="s">
        <v>6342</v>
      </c>
    </row>
    <row r="2454" spans="1:9" x14ac:dyDescent="0.15">
      <c r="A2454" s="9">
        <v>2453</v>
      </c>
      <c r="B2454" s="10" t="s">
        <v>9</v>
      </c>
      <c r="C2454" s="10" t="s">
        <v>299</v>
      </c>
      <c r="D2454" s="10" t="s">
        <v>300</v>
      </c>
      <c r="E2454" s="11" t="str">
        <f>+HYPERLINK("http://trademark.i-assist.jp/data/china/image_1898th/78669148.pdf", "78669148")</f>
        <v>78669148</v>
      </c>
      <c r="F2454" s="10" t="s">
        <v>6844</v>
      </c>
      <c r="G2454" s="10" t="s">
        <v>6845</v>
      </c>
      <c r="H2454" s="10" t="s">
        <v>6846</v>
      </c>
      <c r="I2454" s="10" t="s">
        <v>6342</v>
      </c>
    </row>
    <row r="2455" spans="1:9" x14ac:dyDescent="0.15">
      <c r="A2455" s="9">
        <v>2454</v>
      </c>
      <c r="B2455" s="10" t="s">
        <v>9</v>
      </c>
      <c r="C2455" s="10" t="s">
        <v>299</v>
      </c>
      <c r="D2455" s="10" t="s">
        <v>300</v>
      </c>
      <c r="E2455" s="11" t="str">
        <f>+HYPERLINK("http://trademark.i-assist.jp/data/china/image_1898th/78669319.pdf", "78669319")</f>
        <v>78669319</v>
      </c>
      <c r="F2455" s="10" t="s">
        <v>6847</v>
      </c>
      <c r="G2455" s="10" t="s">
        <v>6848</v>
      </c>
      <c r="H2455" s="10" t="s">
        <v>6849</v>
      </c>
      <c r="I2455" s="10" t="s">
        <v>6342</v>
      </c>
    </row>
    <row r="2456" spans="1:9" x14ac:dyDescent="0.15">
      <c r="A2456" s="9">
        <v>2455</v>
      </c>
      <c r="B2456" s="10" t="s">
        <v>9</v>
      </c>
      <c r="C2456" s="10" t="s">
        <v>299</v>
      </c>
      <c r="D2456" s="10" t="s">
        <v>300</v>
      </c>
      <c r="E2456" s="11" t="str">
        <f>+HYPERLINK("http://trademark.i-assist.jp/data/china/image_1898th/78669402.pdf", "78669402")</f>
        <v>78669402</v>
      </c>
      <c r="F2456" s="10" t="s">
        <v>6850</v>
      </c>
      <c r="G2456" s="10" t="s">
        <v>6851</v>
      </c>
      <c r="H2456" s="10" t="s">
        <v>6852</v>
      </c>
      <c r="I2456" s="10" t="s">
        <v>6342</v>
      </c>
    </row>
    <row r="2457" spans="1:9" x14ac:dyDescent="0.15">
      <c r="A2457" s="9">
        <v>2456</v>
      </c>
      <c r="B2457" s="10" t="s">
        <v>9</v>
      </c>
      <c r="C2457" s="10" t="s">
        <v>299</v>
      </c>
      <c r="D2457" s="10" t="s">
        <v>300</v>
      </c>
      <c r="E2457" s="11" t="str">
        <f>+HYPERLINK("http://trademark.i-assist.jp/data/china/image_1898th/78669839.pdf", "78669839")</f>
        <v>78669839</v>
      </c>
      <c r="F2457" s="10" t="s">
        <v>6853</v>
      </c>
      <c r="G2457" s="10" t="s">
        <v>6854</v>
      </c>
      <c r="H2457" s="10" t="s">
        <v>6855</v>
      </c>
      <c r="I2457" s="10" t="s">
        <v>6342</v>
      </c>
    </row>
    <row r="2458" spans="1:9" x14ac:dyDescent="0.15">
      <c r="A2458" s="9">
        <v>2457</v>
      </c>
      <c r="B2458" s="10" t="s">
        <v>9</v>
      </c>
      <c r="C2458" s="10" t="s">
        <v>299</v>
      </c>
      <c r="D2458" s="10" t="s">
        <v>300</v>
      </c>
      <c r="E2458" s="11" t="str">
        <f>+HYPERLINK("http://trademark.i-assist.jp/data/china/image_1898th/78669881.pdf", "78669881")</f>
        <v>78669881</v>
      </c>
      <c r="F2458" s="10" t="s">
        <v>6856</v>
      </c>
      <c r="G2458" s="10" t="s">
        <v>6857</v>
      </c>
      <c r="H2458" s="10" t="s">
        <v>6858</v>
      </c>
      <c r="I2458" s="10" t="s">
        <v>6342</v>
      </c>
    </row>
    <row r="2459" spans="1:9" x14ac:dyDescent="0.15">
      <c r="A2459" s="9">
        <v>2458</v>
      </c>
      <c r="B2459" s="10" t="s">
        <v>9</v>
      </c>
      <c r="C2459" s="10" t="s">
        <v>299</v>
      </c>
      <c r="D2459" s="10" t="s">
        <v>300</v>
      </c>
      <c r="E2459" s="11" t="str">
        <f>+HYPERLINK("http://trademark.i-assist.jp/data/china/image_1898th/78670032.pdf", "78670032")</f>
        <v>78670032</v>
      </c>
      <c r="F2459" s="10" t="s">
        <v>6859</v>
      </c>
      <c r="G2459" s="10" t="s">
        <v>171</v>
      </c>
      <c r="H2459" s="10" t="s">
        <v>6860</v>
      </c>
      <c r="I2459" s="10" t="s">
        <v>6342</v>
      </c>
    </row>
    <row r="2460" spans="1:9" x14ac:dyDescent="0.15">
      <c r="A2460" s="9">
        <v>2459</v>
      </c>
      <c r="B2460" s="10" t="s">
        <v>9</v>
      </c>
      <c r="C2460" s="10" t="s">
        <v>299</v>
      </c>
      <c r="D2460" s="10" t="s">
        <v>300</v>
      </c>
      <c r="E2460" s="11" t="str">
        <f>+HYPERLINK("http://trademark.i-assist.jp/data/china/image_1898th/78670088.pdf", "78670088")</f>
        <v>78670088</v>
      </c>
      <c r="F2460" s="10" t="s">
        <v>6861</v>
      </c>
      <c r="G2460" s="10" t="s">
        <v>4589</v>
      </c>
      <c r="H2460" s="10" t="s">
        <v>6862</v>
      </c>
      <c r="I2460" s="10" t="s">
        <v>6342</v>
      </c>
    </row>
    <row r="2461" spans="1:9" x14ac:dyDescent="0.15">
      <c r="A2461" s="9">
        <v>2460</v>
      </c>
      <c r="B2461" s="10" t="s">
        <v>9</v>
      </c>
      <c r="C2461" s="10" t="s">
        <v>299</v>
      </c>
      <c r="D2461" s="10" t="s">
        <v>300</v>
      </c>
      <c r="E2461" s="11" t="str">
        <f>+HYPERLINK("http://trademark.i-assist.jp/data/china/image_1898th/78670227.pdf", "78670227")</f>
        <v>78670227</v>
      </c>
      <c r="F2461" s="10" t="s">
        <v>6591</v>
      </c>
      <c r="G2461" s="10" t="s">
        <v>6592</v>
      </c>
      <c r="H2461" s="10" t="s">
        <v>6863</v>
      </c>
      <c r="I2461" s="10" t="s">
        <v>6342</v>
      </c>
    </row>
    <row r="2462" spans="1:9" x14ac:dyDescent="0.15">
      <c r="A2462" s="9">
        <v>2461</v>
      </c>
      <c r="B2462" s="10" t="s">
        <v>9</v>
      </c>
      <c r="C2462" s="10" t="s">
        <v>299</v>
      </c>
      <c r="D2462" s="10" t="s">
        <v>300</v>
      </c>
      <c r="E2462" s="11" t="str">
        <f>+HYPERLINK("http://trademark.i-assist.jp/data/china/image_1898th/78670292.pdf", "78670292")</f>
        <v>78670292</v>
      </c>
      <c r="F2462" s="10" t="s">
        <v>6864</v>
      </c>
      <c r="G2462" s="10" t="s">
        <v>5963</v>
      </c>
      <c r="H2462" s="10" t="s">
        <v>6865</v>
      </c>
      <c r="I2462" s="10" t="s">
        <v>6342</v>
      </c>
    </row>
    <row r="2463" spans="1:9" x14ac:dyDescent="0.15">
      <c r="A2463" s="9">
        <v>2462</v>
      </c>
      <c r="B2463" s="10" t="s">
        <v>9</v>
      </c>
      <c r="C2463" s="10" t="s">
        <v>299</v>
      </c>
      <c r="D2463" s="10" t="s">
        <v>300</v>
      </c>
      <c r="E2463" s="11" t="str">
        <f>+HYPERLINK("http://trademark.i-assist.jp/data/china/image_1898th/78670407.pdf", "78670407")</f>
        <v>78670407</v>
      </c>
      <c r="F2463" s="10" t="s">
        <v>6866</v>
      </c>
      <c r="G2463" s="10" t="s">
        <v>6600</v>
      </c>
      <c r="H2463" s="10" t="s">
        <v>6867</v>
      </c>
      <c r="I2463" s="10" t="s">
        <v>6342</v>
      </c>
    </row>
    <row r="2464" spans="1:9" x14ac:dyDescent="0.15">
      <c r="A2464" s="9">
        <v>2463</v>
      </c>
      <c r="B2464" s="10" t="s">
        <v>9</v>
      </c>
      <c r="C2464" s="10" t="s">
        <v>299</v>
      </c>
      <c r="D2464" s="10" t="s">
        <v>300</v>
      </c>
      <c r="E2464" s="11" t="str">
        <f>+HYPERLINK("http://trademark.i-assist.jp/data/china/image_1898th/78670437.pdf", "78670437")</f>
        <v>78670437</v>
      </c>
      <c r="F2464" s="10" t="s">
        <v>6868</v>
      </c>
      <c r="G2464" s="10" t="s">
        <v>167</v>
      </c>
      <c r="H2464" s="10" t="s">
        <v>6869</v>
      </c>
      <c r="I2464" s="10" t="s">
        <v>6342</v>
      </c>
    </row>
    <row r="2465" spans="1:9" x14ac:dyDescent="0.15">
      <c r="A2465" s="9">
        <v>2464</v>
      </c>
      <c r="B2465" s="10" t="s">
        <v>9</v>
      </c>
      <c r="C2465" s="10" t="s">
        <v>299</v>
      </c>
      <c r="D2465" s="10" t="s">
        <v>300</v>
      </c>
      <c r="E2465" s="11" t="str">
        <f>+HYPERLINK("http://trademark.i-assist.jp/data/china/image_1898th/78670538.pdf", "78670538")</f>
        <v>78670538</v>
      </c>
      <c r="F2465" s="10" t="s">
        <v>6870</v>
      </c>
      <c r="G2465" s="10" t="s">
        <v>6871</v>
      </c>
      <c r="H2465" s="10" t="s">
        <v>6872</v>
      </c>
      <c r="I2465" s="10" t="s">
        <v>6342</v>
      </c>
    </row>
    <row r="2466" spans="1:9" x14ac:dyDescent="0.15">
      <c r="A2466" s="9">
        <v>2465</v>
      </c>
      <c r="B2466" s="10" t="s">
        <v>9</v>
      </c>
      <c r="C2466" s="10" t="s">
        <v>299</v>
      </c>
      <c r="D2466" s="10" t="s">
        <v>300</v>
      </c>
      <c r="E2466" s="11" t="str">
        <f>+HYPERLINK("http://trademark.i-assist.jp/data/china/image_1898th/78670620.pdf", "78670620")</f>
        <v>78670620</v>
      </c>
      <c r="F2466" s="10" t="s">
        <v>6873</v>
      </c>
      <c r="G2466" s="10" t="s">
        <v>471</v>
      </c>
      <c r="H2466" s="10" t="s">
        <v>6874</v>
      </c>
      <c r="I2466" s="10" t="s">
        <v>6342</v>
      </c>
    </row>
    <row r="2467" spans="1:9" x14ac:dyDescent="0.15">
      <c r="A2467" s="9">
        <v>2466</v>
      </c>
      <c r="B2467" s="10" t="s">
        <v>9</v>
      </c>
      <c r="C2467" s="10" t="s">
        <v>299</v>
      </c>
      <c r="D2467" s="10" t="s">
        <v>300</v>
      </c>
      <c r="E2467" s="11" t="str">
        <f>+HYPERLINK("http://trademark.i-assist.jp/data/china/image_1898th/78670674.pdf", "78670674")</f>
        <v>78670674</v>
      </c>
      <c r="F2467" s="10" t="s">
        <v>6875</v>
      </c>
      <c r="G2467" s="10" t="s">
        <v>6876</v>
      </c>
      <c r="H2467" s="10" t="s">
        <v>6877</v>
      </c>
      <c r="I2467" s="10" t="s">
        <v>6342</v>
      </c>
    </row>
    <row r="2468" spans="1:9" x14ac:dyDescent="0.15">
      <c r="A2468" s="9">
        <v>2467</v>
      </c>
      <c r="B2468" s="10" t="s">
        <v>9</v>
      </c>
      <c r="C2468" s="10" t="s">
        <v>299</v>
      </c>
      <c r="D2468" s="10" t="s">
        <v>300</v>
      </c>
      <c r="E2468" s="11" t="str">
        <f>+HYPERLINK("http://trademark.i-assist.jp/data/china/image_1898th/78670941.pdf", "78670941")</f>
        <v>78670941</v>
      </c>
      <c r="F2468" s="10" t="s">
        <v>6878</v>
      </c>
      <c r="G2468" s="10" t="s">
        <v>6879</v>
      </c>
      <c r="H2468" s="10" t="s">
        <v>6880</v>
      </c>
      <c r="I2468" s="10" t="s">
        <v>6342</v>
      </c>
    </row>
    <row r="2469" spans="1:9" x14ac:dyDescent="0.15">
      <c r="A2469" s="9">
        <v>2468</v>
      </c>
      <c r="B2469" s="10" t="s">
        <v>9</v>
      </c>
      <c r="C2469" s="10" t="s">
        <v>299</v>
      </c>
      <c r="D2469" s="10" t="s">
        <v>300</v>
      </c>
      <c r="E2469" s="11" t="str">
        <f>+HYPERLINK("http://trademark.i-assist.jp/data/china/image_1898th/78671021.pdf", "78671021")</f>
        <v>78671021</v>
      </c>
      <c r="F2469" s="10" t="s">
        <v>6881</v>
      </c>
      <c r="G2469" s="10" t="s">
        <v>6882</v>
      </c>
      <c r="H2469" s="10" t="s">
        <v>6883</v>
      </c>
      <c r="I2469" s="10" t="s">
        <v>6342</v>
      </c>
    </row>
    <row r="2470" spans="1:9" x14ac:dyDescent="0.15">
      <c r="A2470" s="9">
        <v>2469</v>
      </c>
      <c r="B2470" s="10" t="s">
        <v>9</v>
      </c>
      <c r="C2470" s="10" t="s">
        <v>299</v>
      </c>
      <c r="D2470" s="10" t="s">
        <v>300</v>
      </c>
      <c r="E2470" s="11" t="str">
        <f>+HYPERLINK("http://trademark.i-assist.jp/data/china/image_1898th/78671406.pdf", "78671406")</f>
        <v>78671406</v>
      </c>
      <c r="F2470" s="10" t="s">
        <v>6884</v>
      </c>
      <c r="G2470" s="10" t="s">
        <v>6884</v>
      </c>
      <c r="H2470" s="10" t="s">
        <v>6885</v>
      </c>
      <c r="I2470" s="10" t="s">
        <v>6342</v>
      </c>
    </row>
    <row r="2471" spans="1:9" x14ac:dyDescent="0.15">
      <c r="A2471" s="9">
        <v>2470</v>
      </c>
      <c r="B2471" s="10" t="s">
        <v>9</v>
      </c>
      <c r="C2471" s="10" t="s">
        <v>299</v>
      </c>
      <c r="D2471" s="10" t="s">
        <v>300</v>
      </c>
      <c r="E2471" s="11" t="str">
        <f>+HYPERLINK("http://trademark.i-assist.jp/data/china/image_1898th/78671466.pdf", "78671466")</f>
        <v>78671466</v>
      </c>
      <c r="F2471" s="10" t="s">
        <v>6886</v>
      </c>
      <c r="G2471" s="10" t="s">
        <v>6887</v>
      </c>
      <c r="H2471" s="10" t="s">
        <v>6888</v>
      </c>
      <c r="I2471" s="10" t="s">
        <v>6342</v>
      </c>
    </row>
    <row r="2472" spans="1:9" x14ac:dyDescent="0.15">
      <c r="A2472" s="9">
        <v>2471</v>
      </c>
      <c r="B2472" s="10" t="s">
        <v>9</v>
      </c>
      <c r="C2472" s="10" t="s">
        <v>299</v>
      </c>
      <c r="D2472" s="10" t="s">
        <v>300</v>
      </c>
      <c r="E2472" s="11" t="str">
        <f>+HYPERLINK("http://trademark.i-assist.jp/data/china/image_1898th/78671734.pdf", "78671734")</f>
        <v>78671734</v>
      </c>
      <c r="F2472" s="10" t="s">
        <v>6889</v>
      </c>
      <c r="G2472" s="10" t="s">
        <v>6890</v>
      </c>
      <c r="H2472" s="10" t="s">
        <v>6891</v>
      </c>
      <c r="I2472" s="10" t="s">
        <v>6342</v>
      </c>
    </row>
    <row r="2473" spans="1:9" x14ac:dyDescent="0.15">
      <c r="A2473" s="9">
        <v>2472</v>
      </c>
      <c r="B2473" s="10" t="s">
        <v>9</v>
      </c>
      <c r="C2473" s="10" t="s">
        <v>299</v>
      </c>
      <c r="D2473" s="10" t="s">
        <v>300</v>
      </c>
      <c r="E2473" s="11" t="str">
        <f>+HYPERLINK("http://trademark.i-assist.jp/data/china/image_1898th/78671776.pdf", "78671776")</f>
        <v>78671776</v>
      </c>
      <c r="F2473" s="10" t="s">
        <v>6892</v>
      </c>
      <c r="G2473" s="10" t="s">
        <v>6893</v>
      </c>
      <c r="H2473" s="10" t="s">
        <v>6894</v>
      </c>
      <c r="I2473" s="10" t="s">
        <v>6342</v>
      </c>
    </row>
    <row r="2474" spans="1:9" x14ac:dyDescent="0.15">
      <c r="A2474" s="9">
        <v>2473</v>
      </c>
      <c r="B2474" s="10" t="s">
        <v>9</v>
      </c>
      <c r="C2474" s="10" t="s">
        <v>299</v>
      </c>
      <c r="D2474" s="10" t="s">
        <v>300</v>
      </c>
      <c r="E2474" s="11" t="str">
        <f>+HYPERLINK("http://trademark.i-assist.jp/data/china/image_1898th/78671779.pdf", "78671779")</f>
        <v>78671779</v>
      </c>
      <c r="F2474" s="10" t="s">
        <v>6895</v>
      </c>
      <c r="G2474" s="10" t="s">
        <v>6600</v>
      </c>
      <c r="H2474" s="10" t="s">
        <v>6896</v>
      </c>
      <c r="I2474" s="10" t="s">
        <v>6342</v>
      </c>
    </row>
    <row r="2475" spans="1:9" x14ac:dyDescent="0.15">
      <c r="A2475" s="9">
        <v>2474</v>
      </c>
      <c r="B2475" s="10" t="s">
        <v>9</v>
      </c>
      <c r="C2475" s="10" t="s">
        <v>299</v>
      </c>
      <c r="D2475" s="10" t="s">
        <v>300</v>
      </c>
      <c r="E2475" s="11" t="str">
        <f>+HYPERLINK("http://trademark.i-assist.jp/data/china/image_1898th/78671803.pdf", "78671803")</f>
        <v>78671803</v>
      </c>
      <c r="F2475" s="10" t="s">
        <v>6897</v>
      </c>
      <c r="G2475" s="10" t="s">
        <v>6898</v>
      </c>
      <c r="H2475" s="10" t="s">
        <v>6899</v>
      </c>
      <c r="I2475" s="10" t="s">
        <v>6342</v>
      </c>
    </row>
    <row r="2476" spans="1:9" x14ac:dyDescent="0.15">
      <c r="A2476" s="9">
        <v>2475</v>
      </c>
      <c r="B2476" s="10" t="s">
        <v>9</v>
      </c>
      <c r="C2476" s="10" t="s">
        <v>299</v>
      </c>
      <c r="D2476" s="10" t="s">
        <v>300</v>
      </c>
      <c r="E2476" s="11" t="str">
        <f>+HYPERLINK("http://trademark.i-assist.jp/data/china/image_1898th/78671850.pdf", "78671850")</f>
        <v>78671850</v>
      </c>
      <c r="F2476" s="10" t="s">
        <v>6900</v>
      </c>
      <c r="G2476" s="10" t="s">
        <v>5963</v>
      </c>
      <c r="H2476" s="10" t="s">
        <v>6901</v>
      </c>
      <c r="I2476" s="10" t="s">
        <v>6342</v>
      </c>
    </row>
    <row r="2477" spans="1:9" x14ac:dyDescent="0.15">
      <c r="A2477" s="9">
        <v>2476</v>
      </c>
      <c r="B2477" s="10" t="s">
        <v>9</v>
      </c>
      <c r="C2477" s="10" t="s">
        <v>299</v>
      </c>
      <c r="D2477" s="10" t="s">
        <v>300</v>
      </c>
      <c r="E2477" s="11" t="str">
        <f>+HYPERLINK("http://trademark.i-assist.jp/data/china/image_1898th/78671869.pdf", "78671869")</f>
        <v>78671869</v>
      </c>
      <c r="F2477" s="10" t="s">
        <v>6902</v>
      </c>
      <c r="G2477" s="10" t="s">
        <v>6903</v>
      </c>
      <c r="H2477" s="10" t="s">
        <v>6904</v>
      </c>
      <c r="I2477" s="10" t="s">
        <v>6342</v>
      </c>
    </row>
    <row r="2478" spans="1:9" x14ac:dyDescent="0.15">
      <c r="A2478" s="9">
        <v>2477</v>
      </c>
      <c r="B2478" s="10" t="s">
        <v>9</v>
      </c>
      <c r="C2478" s="10" t="s">
        <v>299</v>
      </c>
      <c r="D2478" s="10" t="s">
        <v>300</v>
      </c>
      <c r="E2478" s="11" t="str">
        <f>+HYPERLINK("http://trademark.i-assist.jp/data/china/image_1898th/78671895.pdf", "78671895")</f>
        <v>78671895</v>
      </c>
      <c r="F2478" s="10" t="s">
        <v>6905</v>
      </c>
      <c r="G2478" s="10" t="s">
        <v>6408</v>
      </c>
      <c r="H2478" s="10" t="s">
        <v>6906</v>
      </c>
      <c r="I2478" s="10" t="s">
        <v>6342</v>
      </c>
    </row>
    <row r="2479" spans="1:9" x14ac:dyDescent="0.15">
      <c r="A2479" s="9">
        <v>2478</v>
      </c>
      <c r="B2479" s="10" t="s">
        <v>9</v>
      </c>
      <c r="C2479" s="10" t="s">
        <v>299</v>
      </c>
      <c r="D2479" s="10" t="s">
        <v>300</v>
      </c>
      <c r="E2479" s="11" t="str">
        <f>+HYPERLINK("http://trademark.i-assist.jp/data/china/image_1898th/78671940.pdf", "78671940")</f>
        <v>78671940</v>
      </c>
      <c r="F2479" s="10" t="s">
        <v>6907</v>
      </c>
      <c r="G2479" s="10" t="s">
        <v>6908</v>
      </c>
      <c r="H2479" s="10" t="s">
        <v>6909</v>
      </c>
      <c r="I2479" s="10" t="s">
        <v>6342</v>
      </c>
    </row>
    <row r="2480" spans="1:9" x14ac:dyDescent="0.15">
      <c r="A2480" s="9">
        <v>2479</v>
      </c>
      <c r="B2480" s="10" t="s">
        <v>9</v>
      </c>
      <c r="C2480" s="10" t="s">
        <v>299</v>
      </c>
      <c r="D2480" s="10" t="s">
        <v>300</v>
      </c>
      <c r="E2480" s="11" t="str">
        <f>+HYPERLINK("http://trademark.i-assist.jp/data/china/image_1898th/78671946.pdf", "78671946")</f>
        <v>78671946</v>
      </c>
      <c r="F2480" s="10" t="s">
        <v>6910</v>
      </c>
      <c r="G2480" s="10" t="s">
        <v>6911</v>
      </c>
      <c r="H2480" s="10" t="s">
        <v>6912</v>
      </c>
      <c r="I2480" s="10" t="s">
        <v>6342</v>
      </c>
    </row>
    <row r="2481" spans="1:9" x14ac:dyDescent="0.15">
      <c r="A2481" s="9">
        <v>2480</v>
      </c>
      <c r="B2481" s="10" t="s">
        <v>9</v>
      </c>
      <c r="C2481" s="10" t="s">
        <v>299</v>
      </c>
      <c r="D2481" s="10" t="s">
        <v>300</v>
      </c>
      <c r="E2481" s="11" t="str">
        <f>+HYPERLINK("http://trademark.i-assist.jp/data/china/image_1898th/78671966.pdf", "78671966")</f>
        <v>78671966</v>
      </c>
      <c r="F2481" s="10" t="s">
        <v>6913</v>
      </c>
      <c r="G2481" s="10" t="s">
        <v>6914</v>
      </c>
      <c r="H2481" s="10" t="s">
        <v>6915</v>
      </c>
      <c r="I2481" s="10" t="s">
        <v>6342</v>
      </c>
    </row>
    <row r="2482" spans="1:9" x14ac:dyDescent="0.15">
      <c r="A2482" s="9">
        <v>2481</v>
      </c>
      <c r="B2482" s="10" t="s">
        <v>9</v>
      </c>
      <c r="C2482" s="10" t="s">
        <v>299</v>
      </c>
      <c r="D2482" s="10" t="s">
        <v>300</v>
      </c>
      <c r="E2482" s="11" t="str">
        <f>+HYPERLINK("http://trademark.i-assist.jp/data/china/image_1898th/78672105.pdf", "78672105")</f>
        <v>78672105</v>
      </c>
      <c r="F2482" s="10" t="s">
        <v>6916</v>
      </c>
      <c r="G2482" s="10" t="s">
        <v>6701</v>
      </c>
      <c r="H2482" s="10" t="s">
        <v>6917</v>
      </c>
      <c r="I2482" s="10" t="s">
        <v>6342</v>
      </c>
    </row>
    <row r="2483" spans="1:9" x14ac:dyDescent="0.15">
      <c r="A2483" s="9">
        <v>2482</v>
      </c>
      <c r="B2483" s="10" t="s">
        <v>9</v>
      </c>
      <c r="C2483" s="10" t="s">
        <v>299</v>
      </c>
      <c r="D2483" s="10" t="s">
        <v>300</v>
      </c>
      <c r="E2483" s="11" t="str">
        <f>+HYPERLINK("http://trademark.i-assist.jp/data/china/image_1898th/78672455.pdf", "78672455")</f>
        <v>78672455</v>
      </c>
      <c r="F2483" s="10" t="s">
        <v>6918</v>
      </c>
      <c r="G2483" s="10" t="s">
        <v>6919</v>
      </c>
      <c r="H2483" s="10" t="s">
        <v>6920</v>
      </c>
      <c r="I2483" s="10" t="s">
        <v>6342</v>
      </c>
    </row>
    <row r="2484" spans="1:9" x14ac:dyDescent="0.15">
      <c r="A2484" s="9">
        <v>2483</v>
      </c>
      <c r="B2484" s="10" t="s">
        <v>9</v>
      </c>
      <c r="C2484" s="10" t="s">
        <v>299</v>
      </c>
      <c r="D2484" s="10" t="s">
        <v>300</v>
      </c>
      <c r="E2484" s="11" t="str">
        <f>+HYPERLINK("http://trademark.i-assist.jp/data/china/image_1898th/78672655.pdf", "78672655")</f>
        <v>78672655</v>
      </c>
      <c r="F2484" s="10" t="s">
        <v>6921</v>
      </c>
      <c r="G2484" s="10" t="s">
        <v>6922</v>
      </c>
      <c r="H2484" s="10" t="s">
        <v>6923</v>
      </c>
      <c r="I2484" s="10" t="s">
        <v>6342</v>
      </c>
    </row>
    <row r="2485" spans="1:9" x14ac:dyDescent="0.15">
      <c r="A2485" s="9">
        <v>2484</v>
      </c>
      <c r="B2485" s="10" t="s">
        <v>9</v>
      </c>
      <c r="C2485" s="10" t="s">
        <v>299</v>
      </c>
      <c r="D2485" s="10" t="s">
        <v>300</v>
      </c>
      <c r="E2485" s="11" t="str">
        <f>+HYPERLINK("http://trademark.i-assist.jp/data/china/image_1898th/78672679.pdf", "78672679")</f>
        <v>78672679</v>
      </c>
      <c r="F2485" s="10" t="s">
        <v>6924</v>
      </c>
      <c r="G2485" s="10" t="s">
        <v>6925</v>
      </c>
      <c r="H2485" s="10" t="s">
        <v>6926</v>
      </c>
      <c r="I2485" s="10" t="s">
        <v>6342</v>
      </c>
    </row>
    <row r="2486" spans="1:9" x14ac:dyDescent="0.15">
      <c r="A2486" s="9">
        <v>2485</v>
      </c>
      <c r="B2486" s="10" t="s">
        <v>9</v>
      </c>
      <c r="C2486" s="10" t="s">
        <v>299</v>
      </c>
      <c r="D2486" s="10" t="s">
        <v>300</v>
      </c>
      <c r="E2486" s="11" t="str">
        <f>+HYPERLINK("http://trademark.i-assist.jp/data/china/image_1898th/78672775.pdf", "78672775")</f>
        <v>78672775</v>
      </c>
      <c r="F2486" s="10" t="s">
        <v>6927</v>
      </c>
      <c r="G2486" s="10" t="s">
        <v>6928</v>
      </c>
      <c r="H2486" s="10" t="s">
        <v>6929</v>
      </c>
      <c r="I2486" s="10" t="s">
        <v>6342</v>
      </c>
    </row>
    <row r="2487" spans="1:9" x14ac:dyDescent="0.15">
      <c r="A2487" s="9">
        <v>2486</v>
      </c>
      <c r="B2487" s="10" t="s">
        <v>9</v>
      </c>
      <c r="C2487" s="10" t="s">
        <v>299</v>
      </c>
      <c r="D2487" s="10" t="s">
        <v>300</v>
      </c>
      <c r="E2487" s="11" t="str">
        <f>+HYPERLINK("http://trademark.i-assist.jp/data/china/image_1898th/78672826.pdf", "78672826")</f>
        <v>78672826</v>
      </c>
      <c r="F2487" s="10" t="s">
        <v>6930</v>
      </c>
      <c r="G2487" s="10" t="s">
        <v>6931</v>
      </c>
      <c r="H2487" s="10" t="s">
        <v>6932</v>
      </c>
      <c r="I2487" s="10" t="s">
        <v>6342</v>
      </c>
    </row>
    <row r="2488" spans="1:9" x14ac:dyDescent="0.15">
      <c r="A2488" s="9">
        <v>2487</v>
      </c>
      <c r="B2488" s="10" t="s">
        <v>9</v>
      </c>
      <c r="C2488" s="10" t="s">
        <v>299</v>
      </c>
      <c r="D2488" s="10" t="s">
        <v>300</v>
      </c>
      <c r="E2488" s="11" t="str">
        <f>+HYPERLINK("http://trademark.i-assist.jp/data/china/image_1898th/78672973.pdf", "78672973")</f>
        <v>78672973</v>
      </c>
      <c r="F2488" s="10" t="s">
        <v>6933</v>
      </c>
      <c r="G2488" s="10" t="s">
        <v>6934</v>
      </c>
      <c r="H2488" s="10" t="s">
        <v>6935</v>
      </c>
      <c r="I2488" s="10" t="s">
        <v>6342</v>
      </c>
    </row>
    <row r="2489" spans="1:9" x14ac:dyDescent="0.15">
      <c r="A2489" s="9">
        <v>2488</v>
      </c>
      <c r="B2489" s="10" t="s">
        <v>9</v>
      </c>
      <c r="C2489" s="10" t="s">
        <v>299</v>
      </c>
      <c r="D2489" s="10" t="s">
        <v>300</v>
      </c>
      <c r="E2489" s="11" t="str">
        <f>+HYPERLINK("http://trademark.i-assist.jp/data/china/image_1898th/78673164.pdf", "78673164")</f>
        <v>78673164</v>
      </c>
      <c r="F2489" s="10" t="s">
        <v>6936</v>
      </c>
      <c r="G2489" s="10" t="s">
        <v>6937</v>
      </c>
      <c r="H2489" s="10" t="s">
        <v>6938</v>
      </c>
      <c r="I2489" s="10" t="s">
        <v>6342</v>
      </c>
    </row>
    <row r="2490" spans="1:9" x14ac:dyDescent="0.15">
      <c r="A2490" s="9">
        <v>2489</v>
      </c>
      <c r="B2490" s="10" t="s">
        <v>9</v>
      </c>
      <c r="C2490" s="10" t="s">
        <v>299</v>
      </c>
      <c r="D2490" s="10" t="s">
        <v>300</v>
      </c>
      <c r="E2490" s="11" t="str">
        <f>+HYPERLINK("http://trademark.i-assist.jp/data/china/image_1898th/78673243.pdf", "78673243")</f>
        <v>78673243</v>
      </c>
      <c r="F2490" s="10" t="s">
        <v>6939</v>
      </c>
      <c r="G2490" s="10" t="s">
        <v>6940</v>
      </c>
      <c r="H2490" s="10" t="s">
        <v>6941</v>
      </c>
      <c r="I2490" s="10" t="s">
        <v>6342</v>
      </c>
    </row>
    <row r="2491" spans="1:9" x14ac:dyDescent="0.15">
      <c r="A2491" s="9">
        <v>2490</v>
      </c>
      <c r="B2491" s="10" t="s">
        <v>9</v>
      </c>
      <c r="C2491" s="10" t="s">
        <v>299</v>
      </c>
      <c r="D2491" s="10" t="s">
        <v>300</v>
      </c>
      <c r="E2491" s="11" t="str">
        <f>+HYPERLINK("http://trademark.i-assist.jp/data/china/image_1898th/78673277.pdf", "78673277")</f>
        <v>78673277</v>
      </c>
      <c r="F2491" s="10" t="s">
        <v>6942</v>
      </c>
      <c r="G2491" s="10" t="s">
        <v>6893</v>
      </c>
      <c r="H2491" s="10" t="s">
        <v>6943</v>
      </c>
      <c r="I2491" s="10" t="s">
        <v>6342</v>
      </c>
    </row>
    <row r="2492" spans="1:9" x14ac:dyDescent="0.15">
      <c r="A2492" s="9">
        <v>2491</v>
      </c>
      <c r="B2492" s="10" t="s">
        <v>9</v>
      </c>
      <c r="C2492" s="10" t="s">
        <v>299</v>
      </c>
      <c r="D2492" s="10" t="s">
        <v>300</v>
      </c>
      <c r="E2492" s="11" t="str">
        <f>+HYPERLINK("http://trademark.i-assist.jp/data/china/image_1898th/78673367.pdf", "78673367")</f>
        <v>78673367</v>
      </c>
      <c r="F2492" s="10" t="s">
        <v>6944</v>
      </c>
      <c r="G2492" s="10" t="s">
        <v>6411</v>
      </c>
      <c r="H2492" s="10" t="s">
        <v>6945</v>
      </c>
      <c r="I2492" s="10" t="s">
        <v>6342</v>
      </c>
    </row>
    <row r="2493" spans="1:9" x14ac:dyDescent="0.15">
      <c r="A2493" s="9">
        <v>2492</v>
      </c>
      <c r="B2493" s="10" t="s">
        <v>9</v>
      </c>
      <c r="C2493" s="10" t="s">
        <v>299</v>
      </c>
      <c r="D2493" s="10" t="s">
        <v>300</v>
      </c>
      <c r="E2493" s="11" t="str">
        <f>+HYPERLINK("http://trademark.i-assist.jp/data/china/image_1898th/78673419.pdf", "78673419")</f>
        <v>78673419</v>
      </c>
      <c r="F2493" s="10" t="s">
        <v>6946</v>
      </c>
      <c r="G2493" s="10" t="s">
        <v>6462</v>
      </c>
      <c r="H2493" s="10" t="s">
        <v>6947</v>
      </c>
      <c r="I2493" s="10" t="s">
        <v>6342</v>
      </c>
    </row>
    <row r="2494" spans="1:9" x14ac:dyDescent="0.15">
      <c r="A2494" s="9">
        <v>2493</v>
      </c>
      <c r="B2494" s="10" t="s">
        <v>9</v>
      </c>
      <c r="C2494" s="10" t="s">
        <v>299</v>
      </c>
      <c r="D2494" s="10" t="s">
        <v>300</v>
      </c>
      <c r="E2494" s="11" t="str">
        <f>+HYPERLINK("http://trademark.i-assist.jp/data/china/image_1898th/78673580.pdf", "78673580")</f>
        <v>78673580</v>
      </c>
      <c r="F2494" s="10" t="s">
        <v>6948</v>
      </c>
      <c r="G2494" s="10" t="s">
        <v>6949</v>
      </c>
      <c r="H2494" s="10" t="s">
        <v>6950</v>
      </c>
      <c r="I2494" s="10" t="s">
        <v>6342</v>
      </c>
    </row>
    <row r="2495" spans="1:9" x14ac:dyDescent="0.15">
      <c r="A2495" s="9">
        <v>2494</v>
      </c>
      <c r="B2495" s="10" t="s">
        <v>9</v>
      </c>
      <c r="C2495" s="10" t="s">
        <v>299</v>
      </c>
      <c r="D2495" s="10" t="s">
        <v>300</v>
      </c>
      <c r="E2495" s="11" t="str">
        <f>+HYPERLINK("http://trademark.i-assist.jp/data/china/image_1898th/78673590.pdf", "78673590")</f>
        <v>78673590</v>
      </c>
      <c r="F2495" s="10" t="s">
        <v>6951</v>
      </c>
      <c r="G2495" s="10" t="s">
        <v>6408</v>
      </c>
      <c r="H2495" s="10" t="s">
        <v>6952</v>
      </c>
      <c r="I2495" s="10" t="s">
        <v>6342</v>
      </c>
    </row>
    <row r="2496" spans="1:9" x14ac:dyDescent="0.15">
      <c r="A2496" s="9">
        <v>2495</v>
      </c>
      <c r="B2496" s="10" t="s">
        <v>9</v>
      </c>
      <c r="C2496" s="10" t="s">
        <v>299</v>
      </c>
      <c r="D2496" s="10" t="s">
        <v>300</v>
      </c>
      <c r="E2496" s="11" t="str">
        <f>+HYPERLINK("http://trademark.i-assist.jp/data/china/image_1898th/78673596.pdf", "78673596")</f>
        <v>78673596</v>
      </c>
      <c r="F2496" s="10" t="s">
        <v>6953</v>
      </c>
      <c r="G2496" s="10" t="s">
        <v>6954</v>
      </c>
      <c r="H2496" s="10" t="s">
        <v>6955</v>
      </c>
      <c r="I2496" s="10" t="s">
        <v>6342</v>
      </c>
    </row>
    <row r="2497" spans="1:9" x14ac:dyDescent="0.15">
      <c r="A2497" s="9">
        <v>2496</v>
      </c>
      <c r="B2497" s="10" t="s">
        <v>9</v>
      </c>
      <c r="C2497" s="10" t="s">
        <v>299</v>
      </c>
      <c r="D2497" s="10" t="s">
        <v>300</v>
      </c>
      <c r="E2497" s="11" t="str">
        <f>+HYPERLINK("http://trademark.i-assist.jp/data/china/image_1898th/78673704.pdf", "78673704")</f>
        <v>78673704</v>
      </c>
      <c r="F2497" s="10" t="s">
        <v>6956</v>
      </c>
      <c r="G2497" s="10" t="s">
        <v>6957</v>
      </c>
      <c r="H2497" s="10" t="s">
        <v>6958</v>
      </c>
      <c r="I2497" s="10" t="s">
        <v>6342</v>
      </c>
    </row>
    <row r="2498" spans="1:9" x14ac:dyDescent="0.15">
      <c r="A2498" s="9">
        <v>2497</v>
      </c>
      <c r="B2498" s="10" t="s">
        <v>9</v>
      </c>
      <c r="C2498" s="10" t="s">
        <v>299</v>
      </c>
      <c r="D2498" s="10" t="s">
        <v>300</v>
      </c>
      <c r="E2498" s="11" t="str">
        <f>+HYPERLINK("http://trademark.i-assist.jp/data/china/image_1898th/78673707.pdf", "78673707")</f>
        <v>78673707</v>
      </c>
      <c r="F2498" s="10" t="s">
        <v>6959</v>
      </c>
      <c r="G2498" s="10" t="s">
        <v>6960</v>
      </c>
      <c r="H2498" s="10" t="s">
        <v>6961</v>
      </c>
      <c r="I2498" s="10" t="s">
        <v>6342</v>
      </c>
    </row>
    <row r="2499" spans="1:9" x14ac:dyDescent="0.15">
      <c r="A2499" s="9">
        <v>2498</v>
      </c>
      <c r="B2499" s="10" t="s">
        <v>9</v>
      </c>
      <c r="C2499" s="10" t="s">
        <v>299</v>
      </c>
      <c r="D2499" s="10" t="s">
        <v>300</v>
      </c>
      <c r="E2499" s="11" t="str">
        <f>+HYPERLINK("http://trademark.i-assist.jp/data/china/image_1898th/78673909.pdf", "78673909")</f>
        <v>78673909</v>
      </c>
      <c r="F2499" s="10" t="s">
        <v>6962</v>
      </c>
      <c r="G2499" s="10" t="s">
        <v>6963</v>
      </c>
      <c r="H2499" s="10" t="s">
        <v>6964</v>
      </c>
      <c r="I2499" s="10" t="s">
        <v>6342</v>
      </c>
    </row>
    <row r="2500" spans="1:9" x14ac:dyDescent="0.15">
      <c r="A2500" s="9">
        <v>2499</v>
      </c>
      <c r="B2500" s="10" t="s">
        <v>9</v>
      </c>
      <c r="C2500" s="10" t="s">
        <v>299</v>
      </c>
      <c r="D2500" s="10" t="s">
        <v>300</v>
      </c>
      <c r="E2500" s="11" t="str">
        <f>+HYPERLINK("http://trademark.i-assist.jp/data/china/image_1898th/78673954.pdf", "78673954")</f>
        <v>78673954</v>
      </c>
      <c r="F2500" s="10" t="s">
        <v>6965</v>
      </c>
      <c r="G2500" s="10" t="s">
        <v>6966</v>
      </c>
      <c r="H2500" s="10" t="s">
        <v>6967</v>
      </c>
      <c r="I2500" s="10" t="s">
        <v>6342</v>
      </c>
    </row>
    <row r="2501" spans="1:9" x14ac:dyDescent="0.15">
      <c r="A2501" s="9">
        <v>2500</v>
      </c>
      <c r="B2501" s="10" t="s">
        <v>9</v>
      </c>
      <c r="C2501" s="10" t="s">
        <v>299</v>
      </c>
      <c r="D2501" s="10" t="s">
        <v>300</v>
      </c>
      <c r="E2501" s="11" t="str">
        <f>+HYPERLINK("http://trademark.i-assist.jp/data/china/image_1898th/78674065.pdf", "78674065")</f>
        <v>78674065</v>
      </c>
      <c r="F2501" s="10" t="s">
        <v>6968</v>
      </c>
      <c r="G2501" s="10" t="s">
        <v>6969</v>
      </c>
      <c r="H2501" s="10" t="s">
        <v>6970</v>
      </c>
      <c r="I2501" s="10" t="s">
        <v>6342</v>
      </c>
    </row>
    <row r="2502" spans="1:9" x14ac:dyDescent="0.15">
      <c r="A2502" s="9">
        <v>2501</v>
      </c>
      <c r="B2502" s="10" t="s">
        <v>9</v>
      </c>
      <c r="C2502" s="10" t="s">
        <v>299</v>
      </c>
      <c r="D2502" s="10" t="s">
        <v>300</v>
      </c>
      <c r="E2502" s="11" t="str">
        <f>+HYPERLINK("http://trademark.i-assist.jp/data/china/image_1898th/78674126.pdf", "78674126")</f>
        <v>78674126</v>
      </c>
      <c r="F2502" s="10" t="s">
        <v>6971</v>
      </c>
      <c r="G2502" s="10" t="s">
        <v>6972</v>
      </c>
      <c r="H2502" s="10" t="s">
        <v>6973</v>
      </c>
      <c r="I2502" s="10" t="s">
        <v>6342</v>
      </c>
    </row>
    <row r="2503" spans="1:9" x14ac:dyDescent="0.15">
      <c r="A2503" s="9">
        <v>2502</v>
      </c>
      <c r="B2503" s="10" t="s">
        <v>9</v>
      </c>
      <c r="C2503" s="10" t="s">
        <v>299</v>
      </c>
      <c r="D2503" s="10" t="s">
        <v>300</v>
      </c>
      <c r="E2503" s="11" t="str">
        <f>+HYPERLINK("http://trademark.i-assist.jp/data/china/image_1898th/78674167.pdf", "78674167")</f>
        <v>78674167</v>
      </c>
      <c r="F2503" s="10" t="s">
        <v>6974</v>
      </c>
      <c r="G2503" s="10" t="s">
        <v>6975</v>
      </c>
      <c r="H2503" s="10" t="s">
        <v>6976</v>
      </c>
      <c r="I2503" s="10" t="s">
        <v>6342</v>
      </c>
    </row>
    <row r="2504" spans="1:9" x14ac:dyDescent="0.15">
      <c r="A2504" s="9">
        <v>2503</v>
      </c>
      <c r="B2504" s="10" t="s">
        <v>9</v>
      </c>
      <c r="C2504" s="10" t="s">
        <v>299</v>
      </c>
      <c r="D2504" s="10" t="s">
        <v>300</v>
      </c>
      <c r="E2504" s="11" t="str">
        <f>+HYPERLINK("http://trademark.i-assist.jp/data/china/image_1898th/78674208.pdf", "78674208")</f>
        <v>78674208</v>
      </c>
      <c r="F2504" s="10" t="s">
        <v>6977</v>
      </c>
      <c r="G2504" s="10" t="s">
        <v>6978</v>
      </c>
      <c r="H2504" s="10" t="s">
        <v>6979</v>
      </c>
      <c r="I2504" s="10" t="s">
        <v>6342</v>
      </c>
    </row>
    <row r="2505" spans="1:9" x14ac:dyDescent="0.15">
      <c r="A2505" s="9">
        <v>2504</v>
      </c>
      <c r="B2505" s="10" t="s">
        <v>9</v>
      </c>
      <c r="C2505" s="10" t="s">
        <v>299</v>
      </c>
      <c r="D2505" s="10" t="s">
        <v>300</v>
      </c>
      <c r="E2505" s="11" t="str">
        <f>+HYPERLINK("http://trademark.i-assist.jp/data/china/image_1898th/78674220.pdf", "78674220")</f>
        <v>78674220</v>
      </c>
      <c r="F2505" s="10" t="s">
        <v>6980</v>
      </c>
      <c r="G2505" s="10" t="s">
        <v>201</v>
      </c>
      <c r="H2505" s="10" t="s">
        <v>6981</v>
      </c>
      <c r="I2505" s="10" t="s">
        <v>6342</v>
      </c>
    </row>
    <row r="2506" spans="1:9" x14ac:dyDescent="0.15">
      <c r="A2506" s="9">
        <v>2505</v>
      </c>
      <c r="B2506" s="10" t="s">
        <v>9</v>
      </c>
      <c r="C2506" s="10" t="s">
        <v>299</v>
      </c>
      <c r="D2506" s="10" t="s">
        <v>300</v>
      </c>
      <c r="E2506" s="11" t="str">
        <f>+HYPERLINK("http://trademark.i-assist.jp/data/china/image_1898th/78674397.pdf", "78674397")</f>
        <v>78674397</v>
      </c>
      <c r="F2506" s="10" t="s">
        <v>6982</v>
      </c>
      <c r="G2506" s="10" t="s">
        <v>6983</v>
      </c>
      <c r="H2506" s="10" t="s">
        <v>6984</v>
      </c>
      <c r="I2506" s="10" t="s">
        <v>6342</v>
      </c>
    </row>
    <row r="2507" spans="1:9" x14ac:dyDescent="0.15">
      <c r="A2507" s="9">
        <v>2506</v>
      </c>
      <c r="B2507" s="10" t="s">
        <v>9</v>
      </c>
      <c r="C2507" s="10" t="s">
        <v>299</v>
      </c>
      <c r="D2507" s="10" t="s">
        <v>300</v>
      </c>
      <c r="E2507" s="11" t="str">
        <f>+HYPERLINK("http://trademark.i-assist.jp/data/china/image_1898th/78674444.pdf", "78674444")</f>
        <v>78674444</v>
      </c>
      <c r="F2507" s="10" t="s">
        <v>6985</v>
      </c>
      <c r="G2507" s="10" t="s">
        <v>6986</v>
      </c>
      <c r="H2507" s="10" t="s">
        <v>6987</v>
      </c>
      <c r="I2507" s="10" t="s">
        <v>6342</v>
      </c>
    </row>
    <row r="2508" spans="1:9" x14ac:dyDescent="0.15">
      <c r="A2508" s="9">
        <v>2507</v>
      </c>
      <c r="B2508" s="10" t="s">
        <v>9</v>
      </c>
      <c r="C2508" s="10" t="s">
        <v>299</v>
      </c>
      <c r="D2508" s="10" t="s">
        <v>300</v>
      </c>
      <c r="E2508" s="11" t="str">
        <f>+HYPERLINK("http://trademark.i-assist.jp/data/china/image_1898th/78674745.pdf", "78674745")</f>
        <v>78674745</v>
      </c>
      <c r="F2508" s="10" t="s">
        <v>6988</v>
      </c>
      <c r="G2508" s="10" t="s">
        <v>6989</v>
      </c>
      <c r="H2508" s="10" t="s">
        <v>6990</v>
      </c>
      <c r="I2508" s="10" t="s">
        <v>6342</v>
      </c>
    </row>
    <row r="2509" spans="1:9" x14ac:dyDescent="0.15">
      <c r="A2509" s="9">
        <v>2508</v>
      </c>
      <c r="B2509" s="10" t="s">
        <v>9</v>
      </c>
      <c r="C2509" s="10" t="s">
        <v>299</v>
      </c>
      <c r="D2509" s="10" t="s">
        <v>300</v>
      </c>
      <c r="E2509" s="11" t="str">
        <f>+HYPERLINK("http://trademark.i-assist.jp/data/china/image_1898th/78674803.pdf", "78674803")</f>
        <v>78674803</v>
      </c>
      <c r="F2509" s="10" t="s">
        <v>6991</v>
      </c>
      <c r="G2509" s="10" t="s">
        <v>6992</v>
      </c>
      <c r="H2509" s="10" t="s">
        <v>6993</v>
      </c>
      <c r="I2509" s="10" t="s">
        <v>6342</v>
      </c>
    </row>
    <row r="2510" spans="1:9" x14ac:dyDescent="0.15">
      <c r="A2510" s="9">
        <v>2509</v>
      </c>
      <c r="B2510" s="10" t="s">
        <v>9</v>
      </c>
      <c r="C2510" s="10" t="s">
        <v>299</v>
      </c>
      <c r="D2510" s="10" t="s">
        <v>300</v>
      </c>
      <c r="E2510" s="11" t="str">
        <f>+HYPERLINK("http://trademark.i-assist.jp/data/china/image_1898th/78674829.pdf", "78674829")</f>
        <v>78674829</v>
      </c>
      <c r="F2510" s="10" t="s">
        <v>6994</v>
      </c>
      <c r="G2510" s="10" t="s">
        <v>6104</v>
      </c>
      <c r="H2510" s="10" t="s">
        <v>6995</v>
      </c>
      <c r="I2510" s="10" t="s">
        <v>6342</v>
      </c>
    </row>
    <row r="2511" spans="1:9" x14ac:dyDescent="0.15">
      <c r="A2511" s="9">
        <v>2510</v>
      </c>
      <c r="B2511" s="10" t="s">
        <v>9</v>
      </c>
      <c r="C2511" s="10" t="s">
        <v>299</v>
      </c>
      <c r="D2511" s="10" t="s">
        <v>300</v>
      </c>
      <c r="E2511" s="11" t="str">
        <f>+HYPERLINK("http://trademark.i-assist.jp/data/china/image_1898th/78674884.pdf", "78674884")</f>
        <v>78674884</v>
      </c>
      <c r="F2511" s="10" t="s">
        <v>6996</v>
      </c>
      <c r="G2511" s="10" t="s">
        <v>6997</v>
      </c>
      <c r="H2511" s="10" t="s">
        <v>6998</v>
      </c>
      <c r="I2511" s="10" t="s">
        <v>6342</v>
      </c>
    </row>
    <row r="2512" spans="1:9" x14ac:dyDescent="0.15">
      <c r="A2512" s="9">
        <v>2511</v>
      </c>
      <c r="B2512" s="10" t="s">
        <v>9</v>
      </c>
      <c r="C2512" s="10" t="s">
        <v>299</v>
      </c>
      <c r="D2512" s="10" t="s">
        <v>300</v>
      </c>
      <c r="E2512" s="11" t="str">
        <f>+HYPERLINK("http://trademark.i-assist.jp/data/china/image_1898th/78674921.pdf", "78674921")</f>
        <v>78674921</v>
      </c>
      <c r="F2512" s="10" t="s">
        <v>6999</v>
      </c>
      <c r="G2512" s="10" t="s">
        <v>7000</v>
      </c>
      <c r="H2512" s="10" t="s">
        <v>7001</v>
      </c>
      <c r="I2512" s="10" t="s">
        <v>6342</v>
      </c>
    </row>
    <row r="2513" spans="1:9" x14ac:dyDescent="0.15">
      <c r="A2513" s="9">
        <v>2512</v>
      </c>
      <c r="B2513" s="10" t="s">
        <v>9</v>
      </c>
      <c r="C2513" s="10" t="s">
        <v>299</v>
      </c>
      <c r="D2513" s="10" t="s">
        <v>300</v>
      </c>
      <c r="E2513" s="11" t="str">
        <f>+HYPERLINK("http://trademark.i-assist.jp/data/china/image_1898th/78675061.pdf", "78675061")</f>
        <v>78675061</v>
      </c>
      <c r="F2513" s="10" t="s">
        <v>7002</v>
      </c>
      <c r="G2513" s="10" t="s">
        <v>7003</v>
      </c>
      <c r="H2513" s="10" t="s">
        <v>7004</v>
      </c>
      <c r="I2513" s="10" t="s">
        <v>6342</v>
      </c>
    </row>
    <row r="2514" spans="1:9" x14ac:dyDescent="0.15">
      <c r="A2514" s="9">
        <v>2513</v>
      </c>
      <c r="B2514" s="10" t="s">
        <v>9</v>
      </c>
      <c r="C2514" s="10" t="s">
        <v>299</v>
      </c>
      <c r="D2514" s="10" t="s">
        <v>300</v>
      </c>
      <c r="E2514" s="11" t="str">
        <f>+HYPERLINK("http://trademark.i-assist.jp/data/china/image_1898th/78675317.pdf", "78675317")</f>
        <v>78675317</v>
      </c>
      <c r="F2514" s="10" t="s">
        <v>7005</v>
      </c>
      <c r="G2514" s="10" t="s">
        <v>7006</v>
      </c>
      <c r="H2514" s="10" t="s">
        <v>7007</v>
      </c>
      <c r="I2514" s="10" t="s">
        <v>6342</v>
      </c>
    </row>
    <row r="2515" spans="1:9" x14ac:dyDescent="0.15">
      <c r="A2515" s="9">
        <v>2514</v>
      </c>
      <c r="B2515" s="10" t="s">
        <v>9</v>
      </c>
      <c r="C2515" s="10" t="s">
        <v>299</v>
      </c>
      <c r="D2515" s="10" t="s">
        <v>300</v>
      </c>
      <c r="E2515" s="11" t="str">
        <f>+HYPERLINK("http://trademark.i-assist.jp/data/china/image_1898th/78675567.pdf", "78675567")</f>
        <v>78675567</v>
      </c>
      <c r="F2515" s="10" t="s">
        <v>7008</v>
      </c>
      <c r="G2515" s="10" t="s">
        <v>7009</v>
      </c>
      <c r="H2515" s="10" t="s">
        <v>7010</v>
      </c>
      <c r="I2515" s="10" t="s">
        <v>6342</v>
      </c>
    </row>
    <row r="2516" spans="1:9" x14ac:dyDescent="0.15">
      <c r="A2516" s="9">
        <v>2515</v>
      </c>
      <c r="B2516" s="10" t="s">
        <v>9</v>
      </c>
      <c r="C2516" s="10" t="s">
        <v>299</v>
      </c>
      <c r="D2516" s="10" t="s">
        <v>300</v>
      </c>
      <c r="E2516" s="11" t="str">
        <f>+HYPERLINK("http://trademark.i-assist.jp/data/china/image_1898th/78675600.pdf", "78675600")</f>
        <v>78675600</v>
      </c>
      <c r="F2516" s="10" t="s">
        <v>7011</v>
      </c>
      <c r="G2516" s="10" t="s">
        <v>6616</v>
      </c>
      <c r="H2516" s="10" t="s">
        <v>7012</v>
      </c>
      <c r="I2516" s="10" t="s">
        <v>6342</v>
      </c>
    </row>
    <row r="2517" spans="1:9" x14ac:dyDescent="0.15">
      <c r="A2517" s="9">
        <v>2516</v>
      </c>
      <c r="B2517" s="10" t="s">
        <v>9</v>
      </c>
      <c r="C2517" s="10" t="s">
        <v>299</v>
      </c>
      <c r="D2517" s="10" t="s">
        <v>300</v>
      </c>
      <c r="E2517" s="11" t="str">
        <f>+HYPERLINK("http://trademark.i-assist.jp/data/china/image_1898th/78676012.pdf", "78676012")</f>
        <v>78676012</v>
      </c>
      <c r="F2517" s="10" t="s">
        <v>7013</v>
      </c>
      <c r="G2517" s="10" t="s">
        <v>7014</v>
      </c>
      <c r="H2517" s="10" t="s">
        <v>7015</v>
      </c>
      <c r="I2517" s="10" t="s">
        <v>6342</v>
      </c>
    </row>
    <row r="2518" spans="1:9" x14ac:dyDescent="0.15">
      <c r="A2518" s="9">
        <v>2517</v>
      </c>
      <c r="B2518" s="10" t="s">
        <v>9</v>
      </c>
      <c r="C2518" s="10" t="s">
        <v>299</v>
      </c>
      <c r="D2518" s="10" t="s">
        <v>300</v>
      </c>
      <c r="E2518" s="11" t="str">
        <f>+HYPERLINK("http://trademark.i-assist.jp/data/china/image_1898th/78676045.pdf", "78676045")</f>
        <v>78676045</v>
      </c>
      <c r="F2518" s="10" t="s">
        <v>19</v>
      </c>
      <c r="G2518" s="10" t="s">
        <v>7016</v>
      </c>
      <c r="H2518" s="10" t="s">
        <v>7017</v>
      </c>
      <c r="I2518" s="10" t="s">
        <v>6342</v>
      </c>
    </row>
    <row r="2519" spans="1:9" x14ac:dyDescent="0.15">
      <c r="A2519" s="9">
        <v>2518</v>
      </c>
      <c r="B2519" s="10" t="s">
        <v>9</v>
      </c>
      <c r="C2519" s="10" t="s">
        <v>299</v>
      </c>
      <c r="D2519" s="10" t="s">
        <v>300</v>
      </c>
      <c r="E2519" s="11" t="str">
        <f>+HYPERLINK("http://trademark.i-assist.jp/data/china/image_1898th/78676307.pdf", "78676307")</f>
        <v>78676307</v>
      </c>
      <c r="F2519" s="10" t="s">
        <v>7018</v>
      </c>
      <c r="G2519" s="10" t="s">
        <v>7019</v>
      </c>
      <c r="H2519" s="10" t="s">
        <v>7020</v>
      </c>
      <c r="I2519" s="10" t="s">
        <v>6342</v>
      </c>
    </row>
    <row r="2520" spans="1:9" x14ac:dyDescent="0.15">
      <c r="A2520" s="9">
        <v>2519</v>
      </c>
      <c r="B2520" s="10" t="s">
        <v>9</v>
      </c>
      <c r="C2520" s="10" t="s">
        <v>299</v>
      </c>
      <c r="D2520" s="10" t="s">
        <v>300</v>
      </c>
      <c r="E2520" s="11" t="str">
        <f>+HYPERLINK("http://trademark.i-assist.jp/data/china/image_1898th/78676323.pdf", "78676323")</f>
        <v>78676323</v>
      </c>
      <c r="F2520" s="10" t="s">
        <v>7021</v>
      </c>
      <c r="G2520" s="10" t="s">
        <v>5963</v>
      </c>
      <c r="H2520" s="10" t="s">
        <v>7022</v>
      </c>
      <c r="I2520" s="10" t="s">
        <v>6342</v>
      </c>
    </row>
    <row r="2521" spans="1:9" x14ac:dyDescent="0.15">
      <c r="A2521" s="9">
        <v>2520</v>
      </c>
      <c r="B2521" s="10" t="s">
        <v>9</v>
      </c>
      <c r="C2521" s="10" t="s">
        <v>299</v>
      </c>
      <c r="D2521" s="10" t="s">
        <v>300</v>
      </c>
      <c r="E2521" s="11" t="str">
        <f>+HYPERLINK("http://trademark.i-assist.jp/data/china/image_1898th/78676455.pdf", "78676455")</f>
        <v>78676455</v>
      </c>
      <c r="F2521" s="10" t="s">
        <v>7023</v>
      </c>
      <c r="G2521" s="10" t="s">
        <v>7024</v>
      </c>
      <c r="H2521" s="10" t="s">
        <v>7025</v>
      </c>
      <c r="I2521" s="10" t="s">
        <v>6342</v>
      </c>
    </row>
    <row r="2522" spans="1:9" x14ac:dyDescent="0.15">
      <c r="A2522" s="9">
        <v>2521</v>
      </c>
      <c r="B2522" s="10" t="s">
        <v>9</v>
      </c>
      <c r="C2522" s="10" t="s">
        <v>299</v>
      </c>
      <c r="D2522" s="10" t="s">
        <v>300</v>
      </c>
      <c r="E2522" s="11" t="str">
        <f>+HYPERLINK("http://trademark.i-assist.jp/data/china/image_1898th/78676471.pdf", "78676471")</f>
        <v>78676471</v>
      </c>
      <c r="F2522" s="10" t="s">
        <v>7026</v>
      </c>
      <c r="G2522" s="10" t="s">
        <v>7024</v>
      </c>
      <c r="H2522" s="10" t="s">
        <v>7027</v>
      </c>
      <c r="I2522" s="10" t="s">
        <v>6342</v>
      </c>
    </row>
    <row r="2523" spans="1:9" x14ac:dyDescent="0.15">
      <c r="A2523" s="9">
        <v>2522</v>
      </c>
      <c r="B2523" s="10" t="s">
        <v>9</v>
      </c>
      <c r="C2523" s="10" t="s">
        <v>299</v>
      </c>
      <c r="D2523" s="10" t="s">
        <v>300</v>
      </c>
      <c r="E2523" s="11" t="str">
        <f>+HYPERLINK("http://trademark.i-assist.jp/data/china/image_1898th/78676562.pdf", "78676562")</f>
        <v>78676562</v>
      </c>
      <c r="F2523" s="10" t="s">
        <v>7028</v>
      </c>
      <c r="G2523" s="10" t="s">
        <v>7029</v>
      </c>
      <c r="H2523" s="10" t="s">
        <v>7030</v>
      </c>
      <c r="I2523" s="10" t="s">
        <v>6342</v>
      </c>
    </row>
    <row r="2524" spans="1:9" x14ac:dyDescent="0.15">
      <c r="A2524" s="9">
        <v>2523</v>
      </c>
      <c r="B2524" s="10" t="s">
        <v>9</v>
      </c>
      <c r="C2524" s="10" t="s">
        <v>299</v>
      </c>
      <c r="D2524" s="10" t="s">
        <v>300</v>
      </c>
      <c r="E2524" s="11" t="str">
        <f>+HYPERLINK("http://trademark.i-assist.jp/data/china/image_1898th/78676584.pdf", "78676584")</f>
        <v>78676584</v>
      </c>
      <c r="F2524" s="10" t="s">
        <v>7031</v>
      </c>
      <c r="G2524" s="10" t="s">
        <v>6384</v>
      </c>
      <c r="H2524" s="10" t="s">
        <v>7032</v>
      </c>
      <c r="I2524" s="10" t="s">
        <v>6342</v>
      </c>
    </row>
    <row r="2525" spans="1:9" x14ac:dyDescent="0.15">
      <c r="A2525" s="9">
        <v>2524</v>
      </c>
      <c r="B2525" s="10" t="s">
        <v>9</v>
      </c>
      <c r="C2525" s="10" t="s">
        <v>299</v>
      </c>
      <c r="D2525" s="10" t="s">
        <v>300</v>
      </c>
      <c r="E2525" s="11" t="str">
        <f>+HYPERLINK("http://trademark.i-assist.jp/data/china/image_1898th/78676624.pdf", "78676624")</f>
        <v>78676624</v>
      </c>
      <c r="F2525" s="10" t="s">
        <v>7033</v>
      </c>
      <c r="G2525" s="10" t="s">
        <v>6411</v>
      </c>
      <c r="H2525" s="10" t="s">
        <v>7034</v>
      </c>
      <c r="I2525" s="10" t="s">
        <v>6342</v>
      </c>
    </row>
    <row r="2526" spans="1:9" x14ac:dyDescent="0.15">
      <c r="A2526" s="9">
        <v>2525</v>
      </c>
      <c r="B2526" s="10" t="s">
        <v>9</v>
      </c>
      <c r="C2526" s="10" t="s">
        <v>299</v>
      </c>
      <c r="D2526" s="10" t="s">
        <v>300</v>
      </c>
      <c r="E2526" s="11" t="str">
        <f>+HYPERLINK("http://trademark.i-assist.jp/data/china/image_1898th/78676862.pdf", "78676862")</f>
        <v>78676862</v>
      </c>
      <c r="F2526" s="10" t="s">
        <v>7035</v>
      </c>
      <c r="G2526" s="10" t="s">
        <v>7036</v>
      </c>
      <c r="H2526" s="10" t="s">
        <v>7037</v>
      </c>
      <c r="I2526" s="10" t="s">
        <v>6342</v>
      </c>
    </row>
    <row r="2527" spans="1:9" x14ac:dyDescent="0.15">
      <c r="A2527" s="9">
        <v>2526</v>
      </c>
      <c r="B2527" s="10" t="s">
        <v>9</v>
      </c>
      <c r="C2527" s="10" t="s">
        <v>299</v>
      </c>
      <c r="D2527" s="10" t="s">
        <v>300</v>
      </c>
      <c r="E2527" s="11" t="str">
        <f>+HYPERLINK("http://trademark.i-assist.jp/data/china/image_1898th/78676897.pdf", "78676897")</f>
        <v>78676897</v>
      </c>
      <c r="F2527" s="10" t="s">
        <v>7038</v>
      </c>
      <c r="G2527" s="10" t="s">
        <v>7039</v>
      </c>
      <c r="H2527" s="10" t="s">
        <v>7040</v>
      </c>
      <c r="I2527" s="10" t="s">
        <v>6342</v>
      </c>
    </row>
    <row r="2528" spans="1:9" x14ac:dyDescent="0.15">
      <c r="A2528" s="9">
        <v>2527</v>
      </c>
      <c r="B2528" s="10" t="s">
        <v>9</v>
      </c>
      <c r="C2528" s="10" t="s">
        <v>299</v>
      </c>
      <c r="D2528" s="10" t="s">
        <v>300</v>
      </c>
      <c r="E2528" s="11" t="str">
        <f>+HYPERLINK("http://trademark.i-assist.jp/data/china/image_1898th/78677171.pdf", "78677171")</f>
        <v>78677171</v>
      </c>
      <c r="F2528" s="10" t="s">
        <v>7041</v>
      </c>
      <c r="G2528" s="10" t="s">
        <v>7042</v>
      </c>
      <c r="H2528" s="10" t="s">
        <v>7043</v>
      </c>
      <c r="I2528" s="10" t="s">
        <v>6342</v>
      </c>
    </row>
    <row r="2529" spans="1:9" x14ac:dyDescent="0.15">
      <c r="A2529" s="9">
        <v>2528</v>
      </c>
      <c r="B2529" s="10" t="s">
        <v>9</v>
      </c>
      <c r="C2529" s="10" t="s">
        <v>299</v>
      </c>
      <c r="D2529" s="10" t="s">
        <v>300</v>
      </c>
      <c r="E2529" s="11" t="str">
        <f>+HYPERLINK("http://trademark.i-assist.jp/data/china/image_1898th/78677270.pdf", "78677270")</f>
        <v>78677270</v>
      </c>
      <c r="F2529" s="10" t="s">
        <v>7044</v>
      </c>
      <c r="G2529" s="10" t="s">
        <v>260</v>
      </c>
      <c r="H2529" s="10" t="s">
        <v>7045</v>
      </c>
      <c r="I2529" s="10" t="s">
        <v>6342</v>
      </c>
    </row>
    <row r="2530" spans="1:9" x14ac:dyDescent="0.15">
      <c r="A2530" s="9">
        <v>2529</v>
      </c>
      <c r="B2530" s="10" t="s">
        <v>9</v>
      </c>
      <c r="C2530" s="10" t="s">
        <v>299</v>
      </c>
      <c r="D2530" s="10" t="s">
        <v>300</v>
      </c>
      <c r="E2530" s="11" t="str">
        <f>+HYPERLINK("http://trademark.i-assist.jp/data/china/image_1898th/78677287.pdf", "78677287")</f>
        <v>78677287</v>
      </c>
      <c r="F2530" s="10" t="s">
        <v>7046</v>
      </c>
      <c r="G2530" s="10" t="s">
        <v>6481</v>
      </c>
      <c r="H2530" s="10" t="s">
        <v>7047</v>
      </c>
      <c r="I2530" s="10" t="s">
        <v>6342</v>
      </c>
    </row>
    <row r="2531" spans="1:9" x14ac:dyDescent="0.15">
      <c r="A2531" s="9">
        <v>2530</v>
      </c>
      <c r="B2531" s="10" t="s">
        <v>9</v>
      </c>
      <c r="C2531" s="10" t="s">
        <v>299</v>
      </c>
      <c r="D2531" s="10" t="s">
        <v>300</v>
      </c>
      <c r="E2531" s="11" t="str">
        <f>+HYPERLINK("http://trademark.i-assist.jp/data/china/image_1898th/78677412.pdf", "78677412")</f>
        <v>78677412</v>
      </c>
      <c r="F2531" s="10" t="s">
        <v>7048</v>
      </c>
      <c r="G2531" s="10" t="s">
        <v>194</v>
      </c>
      <c r="H2531" s="10" t="s">
        <v>7049</v>
      </c>
      <c r="I2531" s="10" t="s">
        <v>6342</v>
      </c>
    </row>
    <row r="2532" spans="1:9" x14ac:dyDescent="0.15">
      <c r="A2532" s="9">
        <v>2531</v>
      </c>
      <c r="B2532" s="10" t="s">
        <v>9</v>
      </c>
      <c r="C2532" s="10" t="s">
        <v>299</v>
      </c>
      <c r="D2532" s="10" t="s">
        <v>300</v>
      </c>
      <c r="E2532" s="11" t="str">
        <f>+HYPERLINK("http://trademark.i-assist.jp/data/china/image_1898th/78677822.pdf", "78677822")</f>
        <v>78677822</v>
      </c>
      <c r="F2532" s="10" t="s">
        <v>7050</v>
      </c>
      <c r="G2532" s="10" t="s">
        <v>6727</v>
      </c>
      <c r="H2532" s="10" t="s">
        <v>7051</v>
      </c>
      <c r="I2532" s="10" t="s">
        <v>6342</v>
      </c>
    </row>
    <row r="2533" spans="1:9" x14ac:dyDescent="0.15">
      <c r="A2533" s="9">
        <v>2532</v>
      </c>
      <c r="B2533" s="10" t="s">
        <v>9</v>
      </c>
      <c r="C2533" s="10" t="s">
        <v>299</v>
      </c>
      <c r="D2533" s="10" t="s">
        <v>300</v>
      </c>
      <c r="E2533" s="11" t="str">
        <f>+HYPERLINK("http://trademark.i-assist.jp/data/china/image_1898th/78677861.pdf", "78677861")</f>
        <v>78677861</v>
      </c>
      <c r="F2533" s="10" t="s">
        <v>7052</v>
      </c>
      <c r="G2533" s="10" t="s">
        <v>7053</v>
      </c>
      <c r="H2533" s="10" t="s">
        <v>7054</v>
      </c>
      <c r="I2533" s="10" t="s">
        <v>6342</v>
      </c>
    </row>
    <row r="2534" spans="1:9" x14ac:dyDescent="0.15">
      <c r="A2534" s="9">
        <v>2533</v>
      </c>
      <c r="B2534" s="10" t="s">
        <v>9</v>
      </c>
      <c r="C2534" s="10" t="s">
        <v>299</v>
      </c>
      <c r="D2534" s="10" t="s">
        <v>300</v>
      </c>
      <c r="E2534" s="11" t="str">
        <f>+HYPERLINK("http://trademark.i-assist.jp/data/china/image_1898th/78677896.pdf", "78677896")</f>
        <v>78677896</v>
      </c>
      <c r="F2534" s="10" t="s">
        <v>7055</v>
      </c>
      <c r="G2534" s="10" t="s">
        <v>7056</v>
      </c>
      <c r="H2534" s="10" t="s">
        <v>7057</v>
      </c>
      <c r="I2534" s="10" t="s">
        <v>6342</v>
      </c>
    </row>
    <row r="2535" spans="1:9" x14ac:dyDescent="0.15">
      <c r="A2535" s="9">
        <v>2534</v>
      </c>
      <c r="B2535" s="10" t="s">
        <v>9</v>
      </c>
      <c r="C2535" s="10" t="s">
        <v>299</v>
      </c>
      <c r="D2535" s="10" t="s">
        <v>300</v>
      </c>
      <c r="E2535" s="11" t="str">
        <f>+HYPERLINK("http://trademark.i-assist.jp/data/china/image_1898th/78678139.pdf", "78678139")</f>
        <v>78678139</v>
      </c>
      <c r="F2535" s="10" t="s">
        <v>7058</v>
      </c>
      <c r="G2535" s="10" t="s">
        <v>7059</v>
      </c>
      <c r="H2535" s="10" t="s">
        <v>7060</v>
      </c>
      <c r="I2535" s="10" t="s">
        <v>6342</v>
      </c>
    </row>
    <row r="2536" spans="1:9" x14ac:dyDescent="0.15">
      <c r="A2536" s="9">
        <v>2535</v>
      </c>
      <c r="B2536" s="10" t="s">
        <v>9</v>
      </c>
      <c r="C2536" s="10" t="s">
        <v>299</v>
      </c>
      <c r="D2536" s="10" t="s">
        <v>300</v>
      </c>
      <c r="E2536" s="11" t="str">
        <f>+HYPERLINK("http://trademark.i-assist.jp/data/china/image_1898th/78678217.pdf", "78678217")</f>
        <v>78678217</v>
      </c>
      <c r="F2536" s="10" t="s">
        <v>7061</v>
      </c>
      <c r="G2536" s="10" t="s">
        <v>6489</v>
      </c>
      <c r="H2536" s="10" t="s">
        <v>7062</v>
      </c>
      <c r="I2536" s="10" t="s">
        <v>6342</v>
      </c>
    </row>
    <row r="2537" spans="1:9" x14ac:dyDescent="0.15">
      <c r="A2537" s="9">
        <v>2536</v>
      </c>
      <c r="B2537" s="10" t="s">
        <v>9</v>
      </c>
      <c r="C2537" s="10" t="s">
        <v>299</v>
      </c>
      <c r="D2537" s="10" t="s">
        <v>300</v>
      </c>
      <c r="E2537" s="11" t="str">
        <f>+HYPERLINK("http://trademark.i-assist.jp/data/china/image_1898th/78678762.pdf", "78678762")</f>
        <v>78678762</v>
      </c>
      <c r="F2537" s="10" t="s">
        <v>7063</v>
      </c>
      <c r="G2537" s="10" t="s">
        <v>171</v>
      </c>
      <c r="H2537" s="10" t="s">
        <v>7064</v>
      </c>
      <c r="I2537" s="10" t="s">
        <v>6342</v>
      </c>
    </row>
    <row r="2538" spans="1:9" x14ac:dyDescent="0.15">
      <c r="A2538" s="9">
        <v>2537</v>
      </c>
      <c r="B2538" s="10" t="s">
        <v>9</v>
      </c>
      <c r="C2538" s="10" t="s">
        <v>299</v>
      </c>
      <c r="D2538" s="10" t="s">
        <v>300</v>
      </c>
      <c r="E2538" s="11" t="str">
        <f>+HYPERLINK("http://trademark.i-assist.jp/data/china/image_1898th/78678878.pdf", "78678878")</f>
        <v>78678878</v>
      </c>
      <c r="F2538" s="10" t="s">
        <v>7065</v>
      </c>
      <c r="G2538" s="10" t="s">
        <v>6701</v>
      </c>
      <c r="H2538" s="10" t="s">
        <v>7066</v>
      </c>
      <c r="I2538" s="10" t="s">
        <v>6342</v>
      </c>
    </row>
    <row r="2539" spans="1:9" x14ac:dyDescent="0.15">
      <c r="A2539" s="9">
        <v>2538</v>
      </c>
      <c r="B2539" s="10" t="s">
        <v>9</v>
      </c>
      <c r="C2539" s="10" t="s">
        <v>299</v>
      </c>
      <c r="D2539" s="10" t="s">
        <v>300</v>
      </c>
      <c r="E2539" s="11" t="str">
        <f>+HYPERLINK("http://trademark.i-assist.jp/data/china/image_1898th/78678899.pdf", "78678899")</f>
        <v>78678899</v>
      </c>
      <c r="F2539" s="10" t="s">
        <v>7067</v>
      </c>
      <c r="G2539" s="10" t="s">
        <v>7068</v>
      </c>
      <c r="H2539" s="10" t="s">
        <v>7069</v>
      </c>
      <c r="I2539" s="10" t="s">
        <v>6342</v>
      </c>
    </row>
    <row r="2540" spans="1:9" x14ac:dyDescent="0.15">
      <c r="A2540" s="9">
        <v>2539</v>
      </c>
      <c r="B2540" s="10" t="s">
        <v>9</v>
      </c>
      <c r="C2540" s="10" t="s">
        <v>299</v>
      </c>
      <c r="D2540" s="10" t="s">
        <v>300</v>
      </c>
      <c r="E2540" s="11" t="str">
        <f>+HYPERLINK("http://trademark.i-assist.jp/data/china/image_1898th/78679046.pdf", "78679046")</f>
        <v>78679046</v>
      </c>
      <c r="F2540" s="10" t="s">
        <v>7070</v>
      </c>
      <c r="G2540" s="10" t="s">
        <v>7071</v>
      </c>
      <c r="H2540" s="10" t="s">
        <v>7072</v>
      </c>
      <c r="I2540" s="10" t="s">
        <v>6342</v>
      </c>
    </row>
    <row r="2541" spans="1:9" x14ac:dyDescent="0.15">
      <c r="A2541" s="9">
        <v>2540</v>
      </c>
      <c r="B2541" s="10" t="s">
        <v>9</v>
      </c>
      <c r="C2541" s="10" t="s">
        <v>299</v>
      </c>
      <c r="D2541" s="10" t="s">
        <v>300</v>
      </c>
      <c r="E2541" s="11" t="str">
        <f>+HYPERLINK("http://trademark.i-assist.jp/data/china/image_1898th/78679055.pdf", "78679055")</f>
        <v>78679055</v>
      </c>
      <c r="F2541" s="10" t="s">
        <v>7073</v>
      </c>
      <c r="G2541" s="10" t="s">
        <v>7074</v>
      </c>
      <c r="H2541" s="10" t="s">
        <v>7075</v>
      </c>
      <c r="I2541" s="10" t="s">
        <v>6342</v>
      </c>
    </row>
    <row r="2542" spans="1:9" x14ac:dyDescent="0.15">
      <c r="A2542" s="9">
        <v>2541</v>
      </c>
      <c r="B2542" s="10" t="s">
        <v>9</v>
      </c>
      <c r="C2542" s="10" t="s">
        <v>299</v>
      </c>
      <c r="D2542" s="10" t="s">
        <v>300</v>
      </c>
      <c r="E2542" s="11" t="str">
        <f>+HYPERLINK("http://trademark.i-assist.jp/data/china/image_1898th/78679226.pdf", "78679226")</f>
        <v>78679226</v>
      </c>
      <c r="F2542" s="10" t="s">
        <v>7076</v>
      </c>
      <c r="G2542" s="10" t="s">
        <v>7077</v>
      </c>
      <c r="H2542" s="10" t="s">
        <v>7078</v>
      </c>
      <c r="I2542" s="10" t="s">
        <v>6342</v>
      </c>
    </row>
    <row r="2543" spans="1:9" x14ac:dyDescent="0.15">
      <c r="A2543" s="9">
        <v>2542</v>
      </c>
      <c r="B2543" s="10" t="s">
        <v>9</v>
      </c>
      <c r="C2543" s="10" t="s">
        <v>299</v>
      </c>
      <c r="D2543" s="10" t="s">
        <v>300</v>
      </c>
      <c r="E2543" s="11" t="str">
        <f>+HYPERLINK("http://trademark.i-assist.jp/data/china/image_1898th/78679421.pdf", "78679421")</f>
        <v>78679421</v>
      </c>
      <c r="F2543" s="10" t="s">
        <v>7079</v>
      </c>
      <c r="G2543" s="10" t="s">
        <v>7080</v>
      </c>
      <c r="H2543" s="10" t="s">
        <v>7081</v>
      </c>
      <c r="I2543" s="10" t="s">
        <v>7082</v>
      </c>
    </row>
    <row r="2544" spans="1:9" x14ac:dyDescent="0.15">
      <c r="A2544" s="9">
        <v>2543</v>
      </c>
      <c r="B2544" s="10" t="s">
        <v>9</v>
      </c>
      <c r="C2544" s="10" t="s">
        <v>299</v>
      </c>
      <c r="D2544" s="10" t="s">
        <v>300</v>
      </c>
      <c r="E2544" s="11" t="str">
        <f>+HYPERLINK("http://trademark.i-assist.jp/data/china/image_1898th/78679560.pdf", "78679560")</f>
        <v>78679560</v>
      </c>
      <c r="F2544" s="10" t="s">
        <v>7083</v>
      </c>
      <c r="G2544" s="10" t="s">
        <v>7084</v>
      </c>
      <c r="H2544" s="10" t="s">
        <v>7085</v>
      </c>
      <c r="I2544" s="10" t="s">
        <v>7082</v>
      </c>
    </row>
    <row r="2545" spans="1:9" x14ac:dyDescent="0.15">
      <c r="A2545" s="9">
        <v>2544</v>
      </c>
      <c r="B2545" s="10" t="s">
        <v>9</v>
      </c>
      <c r="C2545" s="10" t="s">
        <v>299</v>
      </c>
      <c r="D2545" s="10" t="s">
        <v>300</v>
      </c>
      <c r="E2545" s="11" t="str">
        <f>+HYPERLINK("http://trademark.i-assist.jp/data/china/image_1898th/78679684.pdf", "78679684")</f>
        <v>78679684</v>
      </c>
      <c r="F2545" s="10" t="s">
        <v>7086</v>
      </c>
      <c r="G2545" s="10" t="s">
        <v>7087</v>
      </c>
      <c r="H2545" s="10" t="s">
        <v>7088</v>
      </c>
      <c r="I2545" s="10" t="s">
        <v>7082</v>
      </c>
    </row>
    <row r="2546" spans="1:9" x14ac:dyDescent="0.15">
      <c r="A2546" s="9">
        <v>2545</v>
      </c>
      <c r="B2546" s="10" t="s">
        <v>9</v>
      </c>
      <c r="C2546" s="10" t="s">
        <v>299</v>
      </c>
      <c r="D2546" s="10" t="s">
        <v>300</v>
      </c>
      <c r="E2546" s="11" t="str">
        <f>+HYPERLINK("http://trademark.i-assist.jp/data/china/image_1898th/78679725.pdf", "78679725")</f>
        <v>78679725</v>
      </c>
      <c r="F2546" s="10" t="s">
        <v>7089</v>
      </c>
      <c r="G2546" s="10" t="s">
        <v>7090</v>
      </c>
      <c r="H2546" s="10" t="s">
        <v>7091</v>
      </c>
      <c r="I2546" s="10" t="s">
        <v>7082</v>
      </c>
    </row>
    <row r="2547" spans="1:9" x14ac:dyDescent="0.15">
      <c r="A2547" s="9">
        <v>2546</v>
      </c>
      <c r="B2547" s="10" t="s">
        <v>9</v>
      </c>
      <c r="C2547" s="10" t="s">
        <v>299</v>
      </c>
      <c r="D2547" s="10" t="s">
        <v>300</v>
      </c>
      <c r="E2547" s="11" t="str">
        <f>+HYPERLINK("http://trademark.i-assist.jp/data/china/image_1898th/78679771.pdf", "78679771")</f>
        <v>78679771</v>
      </c>
      <c r="F2547" s="10" t="s">
        <v>19</v>
      </c>
      <c r="G2547" s="10" t="s">
        <v>7092</v>
      </c>
      <c r="H2547" s="10" t="s">
        <v>7093</v>
      </c>
      <c r="I2547" s="10" t="s">
        <v>7082</v>
      </c>
    </row>
    <row r="2548" spans="1:9" x14ac:dyDescent="0.15">
      <c r="A2548" s="9">
        <v>2547</v>
      </c>
      <c r="B2548" s="10" t="s">
        <v>9</v>
      </c>
      <c r="C2548" s="10" t="s">
        <v>299</v>
      </c>
      <c r="D2548" s="10" t="s">
        <v>300</v>
      </c>
      <c r="E2548" s="11" t="str">
        <f>+HYPERLINK("http://trademark.i-assist.jp/data/china/image_1898th/78679868.pdf", "78679868")</f>
        <v>78679868</v>
      </c>
      <c r="F2548" s="10" t="s">
        <v>7094</v>
      </c>
      <c r="G2548" s="10" t="s">
        <v>7095</v>
      </c>
      <c r="H2548" s="10" t="s">
        <v>7096</v>
      </c>
      <c r="I2548" s="10" t="s">
        <v>7082</v>
      </c>
    </row>
    <row r="2549" spans="1:9" x14ac:dyDescent="0.15">
      <c r="A2549" s="9">
        <v>2548</v>
      </c>
      <c r="B2549" s="10" t="s">
        <v>9</v>
      </c>
      <c r="C2549" s="10" t="s">
        <v>299</v>
      </c>
      <c r="D2549" s="10" t="s">
        <v>300</v>
      </c>
      <c r="E2549" s="11" t="str">
        <f>+HYPERLINK("http://trademark.i-assist.jp/data/china/image_1898th/78679945.pdf", "78679945")</f>
        <v>78679945</v>
      </c>
      <c r="F2549" s="10" t="s">
        <v>7097</v>
      </c>
      <c r="G2549" s="10" t="s">
        <v>7098</v>
      </c>
      <c r="H2549" s="10" t="s">
        <v>7099</v>
      </c>
      <c r="I2549" s="10" t="s">
        <v>7082</v>
      </c>
    </row>
    <row r="2550" spans="1:9" x14ac:dyDescent="0.15">
      <c r="A2550" s="9">
        <v>2549</v>
      </c>
      <c r="B2550" s="10" t="s">
        <v>9</v>
      </c>
      <c r="C2550" s="10" t="s">
        <v>299</v>
      </c>
      <c r="D2550" s="10" t="s">
        <v>300</v>
      </c>
      <c r="E2550" s="11" t="str">
        <f>+HYPERLINK("http://trademark.i-assist.jp/data/china/image_1898th/78680003.pdf", "78680003")</f>
        <v>78680003</v>
      </c>
      <c r="F2550" s="10" t="s">
        <v>7100</v>
      </c>
      <c r="G2550" s="10" t="s">
        <v>7101</v>
      </c>
      <c r="H2550" s="10" t="s">
        <v>7102</v>
      </c>
      <c r="I2550" s="10" t="s">
        <v>7082</v>
      </c>
    </row>
    <row r="2551" spans="1:9" x14ac:dyDescent="0.15">
      <c r="A2551" s="9">
        <v>2550</v>
      </c>
      <c r="B2551" s="10" t="s">
        <v>9</v>
      </c>
      <c r="C2551" s="10" t="s">
        <v>299</v>
      </c>
      <c r="D2551" s="10" t="s">
        <v>300</v>
      </c>
      <c r="E2551" s="11" t="str">
        <f>+HYPERLINK("http://trademark.i-assist.jp/data/china/image_1898th/78680025.pdf", "78680025")</f>
        <v>78680025</v>
      </c>
      <c r="F2551" s="10" t="s">
        <v>7103</v>
      </c>
      <c r="G2551" s="10" t="s">
        <v>7104</v>
      </c>
      <c r="H2551" s="10" t="s">
        <v>7105</v>
      </c>
      <c r="I2551" s="10" t="s">
        <v>7082</v>
      </c>
    </row>
    <row r="2552" spans="1:9" x14ac:dyDescent="0.15">
      <c r="A2552" s="9">
        <v>2551</v>
      </c>
      <c r="B2552" s="10" t="s">
        <v>9</v>
      </c>
      <c r="C2552" s="10" t="s">
        <v>299</v>
      </c>
      <c r="D2552" s="10" t="s">
        <v>300</v>
      </c>
      <c r="E2552" s="11" t="str">
        <f>+HYPERLINK("http://trademark.i-assist.jp/data/china/image_1898th/78680036.pdf", "78680036")</f>
        <v>78680036</v>
      </c>
      <c r="F2552" s="10" t="s">
        <v>7106</v>
      </c>
      <c r="G2552" s="10" t="s">
        <v>7104</v>
      </c>
      <c r="H2552" s="10" t="s">
        <v>7107</v>
      </c>
      <c r="I2552" s="10" t="s">
        <v>7082</v>
      </c>
    </row>
    <row r="2553" spans="1:9" x14ac:dyDescent="0.15">
      <c r="A2553" s="9">
        <v>2552</v>
      </c>
      <c r="B2553" s="10" t="s">
        <v>9</v>
      </c>
      <c r="C2553" s="10" t="s">
        <v>299</v>
      </c>
      <c r="D2553" s="10" t="s">
        <v>300</v>
      </c>
      <c r="E2553" s="11" t="str">
        <f>+HYPERLINK("http://trademark.i-assist.jp/data/china/image_1898th/78680127.pdf", "78680127")</f>
        <v>78680127</v>
      </c>
      <c r="F2553" s="10" t="s">
        <v>7108</v>
      </c>
      <c r="G2553" s="10" t="s">
        <v>7109</v>
      </c>
      <c r="H2553" s="10" t="s">
        <v>7110</v>
      </c>
      <c r="I2553" s="10" t="s">
        <v>7082</v>
      </c>
    </row>
    <row r="2554" spans="1:9" x14ac:dyDescent="0.15">
      <c r="A2554" s="9">
        <v>2553</v>
      </c>
      <c r="B2554" s="10" t="s">
        <v>9</v>
      </c>
      <c r="C2554" s="10" t="s">
        <v>299</v>
      </c>
      <c r="D2554" s="10" t="s">
        <v>300</v>
      </c>
      <c r="E2554" s="11" t="str">
        <f>+HYPERLINK("http://trademark.i-assist.jp/data/china/image_1898th/78680384.pdf", "78680384")</f>
        <v>78680384</v>
      </c>
      <c r="F2554" s="10" t="s">
        <v>7111</v>
      </c>
      <c r="G2554" s="10" t="s">
        <v>7112</v>
      </c>
      <c r="H2554" s="10" t="s">
        <v>7113</v>
      </c>
      <c r="I2554" s="10" t="s">
        <v>7082</v>
      </c>
    </row>
    <row r="2555" spans="1:9" x14ac:dyDescent="0.15">
      <c r="A2555" s="9">
        <v>2554</v>
      </c>
      <c r="B2555" s="10" t="s">
        <v>9</v>
      </c>
      <c r="C2555" s="10" t="s">
        <v>299</v>
      </c>
      <c r="D2555" s="10" t="s">
        <v>300</v>
      </c>
      <c r="E2555" s="11" t="str">
        <f>+HYPERLINK("http://trademark.i-assist.jp/data/china/image_1898th/78680533.pdf", "78680533")</f>
        <v>78680533</v>
      </c>
      <c r="F2555" s="10" t="s">
        <v>7114</v>
      </c>
      <c r="G2555" s="10" t="s">
        <v>7115</v>
      </c>
      <c r="H2555" s="10" t="s">
        <v>7116</v>
      </c>
      <c r="I2555" s="10" t="s">
        <v>7082</v>
      </c>
    </row>
    <row r="2556" spans="1:9" x14ac:dyDescent="0.15">
      <c r="A2556" s="9">
        <v>2555</v>
      </c>
      <c r="B2556" s="10" t="s">
        <v>9</v>
      </c>
      <c r="C2556" s="10" t="s">
        <v>299</v>
      </c>
      <c r="D2556" s="10" t="s">
        <v>300</v>
      </c>
      <c r="E2556" s="11" t="str">
        <f>+HYPERLINK("http://trademark.i-assist.jp/data/china/image_1898th/78680743.pdf", "78680743")</f>
        <v>78680743</v>
      </c>
      <c r="F2556" s="10" t="s">
        <v>7117</v>
      </c>
      <c r="G2556" s="10" t="s">
        <v>7118</v>
      </c>
      <c r="H2556" s="10" t="s">
        <v>7119</v>
      </c>
      <c r="I2556" s="10" t="s">
        <v>7082</v>
      </c>
    </row>
    <row r="2557" spans="1:9" x14ac:dyDescent="0.15">
      <c r="A2557" s="9">
        <v>2556</v>
      </c>
      <c r="B2557" s="10" t="s">
        <v>9</v>
      </c>
      <c r="C2557" s="10" t="s">
        <v>299</v>
      </c>
      <c r="D2557" s="10" t="s">
        <v>300</v>
      </c>
      <c r="E2557" s="11" t="str">
        <f>+HYPERLINK("http://trademark.i-assist.jp/data/china/image_1898th/78681034.pdf", "78681034")</f>
        <v>78681034</v>
      </c>
      <c r="F2557" s="10" t="s">
        <v>7120</v>
      </c>
      <c r="G2557" s="10" t="s">
        <v>7121</v>
      </c>
      <c r="H2557" s="10" t="s">
        <v>7122</v>
      </c>
      <c r="I2557" s="10" t="s">
        <v>7082</v>
      </c>
    </row>
    <row r="2558" spans="1:9" x14ac:dyDescent="0.15">
      <c r="A2558" s="9">
        <v>2557</v>
      </c>
      <c r="B2558" s="10" t="s">
        <v>9</v>
      </c>
      <c r="C2558" s="10" t="s">
        <v>299</v>
      </c>
      <c r="D2558" s="10" t="s">
        <v>300</v>
      </c>
      <c r="E2558" s="11" t="str">
        <f>+HYPERLINK("http://trademark.i-assist.jp/data/china/image_1898th/78681117.pdf", "78681117")</f>
        <v>78681117</v>
      </c>
      <c r="F2558" s="10" t="s">
        <v>7123</v>
      </c>
      <c r="G2558" s="10" t="s">
        <v>7124</v>
      </c>
      <c r="H2558" s="10" t="s">
        <v>7125</v>
      </c>
      <c r="I2558" s="10" t="s">
        <v>7082</v>
      </c>
    </row>
    <row r="2559" spans="1:9" x14ac:dyDescent="0.15">
      <c r="A2559" s="9">
        <v>2558</v>
      </c>
      <c r="B2559" s="10" t="s">
        <v>9</v>
      </c>
      <c r="C2559" s="10" t="s">
        <v>299</v>
      </c>
      <c r="D2559" s="10" t="s">
        <v>300</v>
      </c>
      <c r="E2559" s="11" t="str">
        <f>+HYPERLINK("http://trademark.i-assist.jp/data/china/image_1898th/78681266.pdf", "78681266")</f>
        <v>78681266</v>
      </c>
      <c r="F2559" s="10" t="s">
        <v>7126</v>
      </c>
      <c r="G2559" s="10" t="s">
        <v>7127</v>
      </c>
      <c r="H2559" s="10" t="s">
        <v>7128</v>
      </c>
      <c r="I2559" s="10" t="s">
        <v>7082</v>
      </c>
    </row>
    <row r="2560" spans="1:9" x14ac:dyDescent="0.15">
      <c r="A2560" s="9">
        <v>2559</v>
      </c>
      <c r="B2560" s="10" t="s">
        <v>9</v>
      </c>
      <c r="C2560" s="10" t="s">
        <v>299</v>
      </c>
      <c r="D2560" s="10" t="s">
        <v>300</v>
      </c>
      <c r="E2560" s="11" t="str">
        <f>+HYPERLINK("http://trademark.i-assist.jp/data/china/image_1898th/78681281.pdf", "78681281")</f>
        <v>78681281</v>
      </c>
      <c r="F2560" s="10" t="s">
        <v>7129</v>
      </c>
      <c r="G2560" s="10" t="s">
        <v>7130</v>
      </c>
      <c r="H2560" s="10" t="s">
        <v>7131</v>
      </c>
      <c r="I2560" s="10" t="s">
        <v>7082</v>
      </c>
    </row>
    <row r="2561" spans="1:9" x14ac:dyDescent="0.15">
      <c r="A2561" s="9">
        <v>2560</v>
      </c>
      <c r="B2561" s="10" t="s">
        <v>9</v>
      </c>
      <c r="C2561" s="10" t="s">
        <v>299</v>
      </c>
      <c r="D2561" s="10" t="s">
        <v>300</v>
      </c>
      <c r="E2561" s="11" t="str">
        <f>+HYPERLINK("http://trademark.i-assist.jp/data/china/image_1898th/78681414.pdf", "78681414")</f>
        <v>78681414</v>
      </c>
      <c r="F2561" s="10" t="s">
        <v>7132</v>
      </c>
      <c r="G2561" s="10" t="s">
        <v>7133</v>
      </c>
      <c r="H2561" s="10" t="s">
        <v>7134</v>
      </c>
      <c r="I2561" s="10" t="s">
        <v>7082</v>
      </c>
    </row>
    <row r="2562" spans="1:9" x14ac:dyDescent="0.15">
      <c r="A2562" s="9">
        <v>2561</v>
      </c>
      <c r="B2562" s="10" t="s">
        <v>9</v>
      </c>
      <c r="C2562" s="10" t="s">
        <v>299</v>
      </c>
      <c r="D2562" s="10" t="s">
        <v>300</v>
      </c>
      <c r="E2562" s="11" t="str">
        <f>+HYPERLINK("http://trademark.i-assist.jp/data/china/image_1898th/78681454.pdf", "78681454")</f>
        <v>78681454</v>
      </c>
      <c r="F2562" s="10" t="s">
        <v>7135</v>
      </c>
      <c r="G2562" s="10" t="s">
        <v>7136</v>
      </c>
      <c r="H2562" s="10" t="s">
        <v>7137</v>
      </c>
      <c r="I2562" s="10" t="s">
        <v>7082</v>
      </c>
    </row>
    <row r="2563" spans="1:9" x14ac:dyDescent="0.15">
      <c r="A2563" s="9">
        <v>2562</v>
      </c>
      <c r="B2563" s="10" t="s">
        <v>9</v>
      </c>
      <c r="C2563" s="10" t="s">
        <v>299</v>
      </c>
      <c r="D2563" s="10" t="s">
        <v>300</v>
      </c>
      <c r="E2563" s="11" t="str">
        <f>+HYPERLINK("http://trademark.i-assist.jp/data/china/image_1898th/78681502.pdf", "78681502")</f>
        <v>78681502</v>
      </c>
      <c r="F2563" s="10" t="s">
        <v>7138</v>
      </c>
      <c r="G2563" s="10" t="s">
        <v>7139</v>
      </c>
      <c r="H2563" s="10" t="s">
        <v>7140</v>
      </c>
      <c r="I2563" s="10" t="s">
        <v>7082</v>
      </c>
    </row>
    <row r="2564" spans="1:9" x14ac:dyDescent="0.15">
      <c r="A2564" s="9">
        <v>2563</v>
      </c>
      <c r="B2564" s="10" t="s">
        <v>9</v>
      </c>
      <c r="C2564" s="10" t="s">
        <v>299</v>
      </c>
      <c r="D2564" s="10" t="s">
        <v>300</v>
      </c>
      <c r="E2564" s="11" t="str">
        <f>+HYPERLINK("http://trademark.i-assist.jp/data/china/image_1898th/78681762.pdf", "78681762")</f>
        <v>78681762</v>
      </c>
      <c r="F2564" s="10" t="s">
        <v>7141</v>
      </c>
      <c r="G2564" s="10" t="s">
        <v>7142</v>
      </c>
      <c r="H2564" s="10" t="s">
        <v>7143</v>
      </c>
      <c r="I2564" s="10" t="s">
        <v>7082</v>
      </c>
    </row>
    <row r="2565" spans="1:9" x14ac:dyDescent="0.15">
      <c r="A2565" s="9">
        <v>2564</v>
      </c>
      <c r="B2565" s="10" t="s">
        <v>9</v>
      </c>
      <c r="C2565" s="10" t="s">
        <v>299</v>
      </c>
      <c r="D2565" s="10" t="s">
        <v>300</v>
      </c>
      <c r="E2565" s="11" t="str">
        <f>+HYPERLINK("http://trademark.i-assist.jp/data/china/image_1898th/78681782.pdf", "78681782")</f>
        <v>78681782</v>
      </c>
      <c r="F2565" s="10" t="s">
        <v>7144</v>
      </c>
      <c r="G2565" s="10" t="s">
        <v>7145</v>
      </c>
      <c r="H2565" s="10" t="s">
        <v>7146</v>
      </c>
      <c r="I2565" s="10" t="s">
        <v>7082</v>
      </c>
    </row>
    <row r="2566" spans="1:9" x14ac:dyDescent="0.15">
      <c r="A2566" s="9">
        <v>2565</v>
      </c>
      <c r="B2566" s="10" t="s">
        <v>9</v>
      </c>
      <c r="C2566" s="10" t="s">
        <v>299</v>
      </c>
      <c r="D2566" s="10" t="s">
        <v>300</v>
      </c>
      <c r="E2566" s="11" t="str">
        <f>+HYPERLINK("http://trademark.i-assist.jp/data/china/image_1898th/78681798.pdf", "78681798")</f>
        <v>78681798</v>
      </c>
      <c r="F2566" s="10" t="s">
        <v>7147</v>
      </c>
      <c r="G2566" s="10" t="s">
        <v>7148</v>
      </c>
      <c r="H2566" s="10" t="s">
        <v>7149</v>
      </c>
      <c r="I2566" s="10" t="s">
        <v>7082</v>
      </c>
    </row>
    <row r="2567" spans="1:9" x14ac:dyDescent="0.15">
      <c r="A2567" s="9">
        <v>2566</v>
      </c>
      <c r="B2567" s="10" t="s">
        <v>9</v>
      </c>
      <c r="C2567" s="10" t="s">
        <v>299</v>
      </c>
      <c r="D2567" s="10" t="s">
        <v>300</v>
      </c>
      <c r="E2567" s="11" t="str">
        <f>+HYPERLINK("http://trademark.i-assist.jp/data/china/image_1898th/78682261.pdf", "78682261")</f>
        <v>78682261</v>
      </c>
      <c r="F2567" s="10" t="s">
        <v>7150</v>
      </c>
      <c r="G2567" s="10" t="s">
        <v>7151</v>
      </c>
      <c r="H2567" s="10" t="s">
        <v>7152</v>
      </c>
      <c r="I2567" s="10" t="s">
        <v>7082</v>
      </c>
    </row>
    <row r="2568" spans="1:9" x14ac:dyDescent="0.15">
      <c r="A2568" s="9">
        <v>2567</v>
      </c>
      <c r="B2568" s="10" t="s">
        <v>9</v>
      </c>
      <c r="C2568" s="10" t="s">
        <v>299</v>
      </c>
      <c r="D2568" s="10" t="s">
        <v>300</v>
      </c>
      <c r="E2568" s="11" t="str">
        <f>+HYPERLINK("http://trademark.i-assist.jp/data/china/image_1898th/78682264.pdf", "78682264")</f>
        <v>78682264</v>
      </c>
      <c r="F2568" s="10" t="s">
        <v>7153</v>
      </c>
      <c r="G2568" s="10" t="s">
        <v>7154</v>
      </c>
      <c r="H2568" s="10" t="s">
        <v>7155</v>
      </c>
      <c r="I2568" s="10" t="s">
        <v>7082</v>
      </c>
    </row>
    <row r="2569" spans="1:9" x14ac:dyDescent="0.15">
      <c r="A2569" s="9">
        <v>2568</v>
      </c>
      <c r="B2569" s="10" t="s">
        <v>9</v>
      </c>
      <c r="C2569" s="10" t="s">
        <v>299</v>
      </c>
      <c r="D2569" s="10" t="s">
        <v>300</v>
      </c>
      <c r="E2569" s="11" t="str">
        <f>+HYPERLINK("http://trademark.i-assist.jp/data/china/image_1898th/78682475.pdf", "78682475")</f>
        <v>78682475</v>
      </c>
      <c r="F2569" s="10" t="s">
        <v>19</v>
      </c>
      <c r="G2569" s="10" t="s">
        <v>7156</v>
      </c>
      <c r="H2569" s="10" t="s">
        <v>7157</v>
      </c>
      <c r="I2569" s="10" t="s">
        <v>7082</v>
      </c>
    </row>
    <row r="2570" spans="1:9" x14ac:dyDescent="0.15">
      <c r="A2570" s="9">
        <v>2569</v>
      </c>
      <c r="B2570" s="10" t="s">
        <v>9</v>
      </c>
      <c r="C2570" s="10" t="s">
        <v>299</v>
      </c>
      <c r="D2570" s="10" t="s">
        <v>300</v>
      </c>
      <c r="E2570" s="11" t="str">
        <f>+HYPERLINK("http://trademark.i-assist.jp/data/china/image_1898th/78682517.pdf", "78682517")</f>
        <v>78682517</v>
      </c>
      <c r="F2570" s="10" t="s">
        <v>7158</v>
      </c>
      <c r="G2570" s="10" t="s">
        <v>7154</v>
      </c>
      <c r="H2570" s="10" t="s">
        <v>7159</v>
      </c>
      <c r="I2570" s="10" t="s">
        <v>7082</v>
      </c>
    </row>
    <row r="2571" spans="1:9" x14ac:dyDescent="0.15">
      <c r="A2571" s="9">
        <v>2570</v>
      </c>
      <c r="B2571" s="10" t="s">
        <v>9</v>
      </c>
      <c r="C2571" s="10" t="s">
        <v>299</v>
      </c>
      <c r="D2571" s="10" t="s">
        <v>300</v>
      </c>
      <c r="E2571" s="11" t="str">
        <f>+HYPERLINK("http://trademark.i-assist.jp/data/china/image_1898th/78682531.pdf", "78682531")</f>
        <v>78682531</v>
      </c>
      <c r="F2571" s="10" t="s">
        <v>7160</v>
      </c>
      <c r="G2571" s="10" t="s">
        <v>7161</v>
      </c>
      <c r="H2571" s="10" t="s">
        <v>7162</v>
      </c>
      <c r="I2571" s="10" t="s">
        <v>7082</v>
      </c>
    </row>
    <row r="2572" spans="1:9" x14ac:dyDescent="0.15">
      <c r="A2572" s="9">
        <v>2571</v>
      </c>
      <c r="B2572" s="10" t="s">
        <v>9</v>
      </c>
      <c r="C2572" s="10" t="s">
        <v>299</v>
      </c>
      <c r="D2572" s="10" t="s">
        <v>300</v>
      </c>
      <c r="E2572" s="11" t="str">
        <f>+HYPERLINK("http://trademark.i-assist.jp/data/china/image_1898th/78683155.pdf", "78683155")</f>
        <v>78683155</v>
      </c>
      <c r="F2572" s="10" t="s">
        <v>7163</v>
      </c>
      <c r="G2572" s="10" t="s">
        <v>7164</v>
      </c>
      <c r="H2572" s="10" t="s">
        <v>7165</v>
      </c>
      <c r="I2572" s="10" t="s">
        <v>7082</v>
      </c>
    </row>
    <row r="2573" spans="1:9" x14ac:dyDescent="0.15">
      <c r="A2573" s="9">
        <v>2572</v>
      </c>
      <c r="B2573" s="10" t="s">
        <v>9</v>
      </c>
      <c r="C2573" s="10" t="s">
        <v>299</v>
      </c>
      <c r="D2573" s="10" t="s">
        <v>300</v>
      </c>
      <c r="E2573" s="11" t="str">
        <f>+HYPERLINK("http://trademark.i-assist.jp/data/china/image_1898th/78683343.pdf", "78683343")</f>
        <v>78683343</v>
      </c>
      <c r="F2573" s="10" t="s">
        <v>7166</v>
      </c>
      <c r="G2573" s="10" t="s">
        <v>7167</v>
      </c>
      <c r="H2573" s="10" t="s">
        <v>7168</v>
      </c>
      <c r="I2573" s="10" t="s">
        <v>7082</v>
      </c>
    </row>
    <row r="2574" spans="1:9" x14ac:dyDescent="0.15">
      <c r="A2574" s="9">
        <v>2573</v>
      </c>
      <c r="B2574" s="10" t="s">
        <v>9</v>
      </c>
      <c r="C2574" s="10" t="s">
        <v>299</v>
      </c>
      <c r="D2574" s="10" t="s">
        <v>300</v>
      </c>
      <c r="E2574" s="11" t="str">
        <f>+HYPERLINK("http://trademark.i-assist.jp/data/china/image_1898th/78683525.pdf", "78683525")</f>
        <v>78683525</v>
      </c>
      <c r="F2574" s="10" t="s">
        <v>7169</v>
      </c>
      <c r="G2574" s="10" t="s">
        <v>7092</v>
      </c>
      <c r="H2574" s="10" t="s">
        <v>7170</v>
      </c>
      <c r="I2574" s="10" t="s">
        <v>7082</v>
      </c>
    </row>
    <row r="2575" spans="1:9" x14ac:dyDescent="0.15">
      <c r="A2575" s="9">
        <v>2574</v>
      </c>
      <c r="B2575" s="10" t="s">
        <v>9</v>
      </c>
      <c r="C2575" s="10" t="s">
        <v>299</v>
      </c>
      <c r="D2575" s="10" t="s">
        <v>300</v>
      </c>
      <c r="E2575" s="11" t="str">
        <f>+HYPERLINK("http://trademark.i-assist.jp/data/china/image_1898th/78683622.pdf", "78683622")</f>
        <v>78683622</v>
      </c>
      <c r="F2575" s="10" t="s">
        <v>7171</v>
      </c>
      <c r="G2575" s="10" t="s">
        <v>7112</v>
      </c>
      <c r="H2575" s="10" t="s">
        <v>7172</v>
      </c>
      <c r="I2575" s="10" t="s">
        <v>7082</v>
      </c>
    </row>
    <row r="2576" spans="1:9" x14ac:dyDescent="0.15">
      <c r="A2576" s="9">
        <v>2575</v>
      </c>
      <c r="B2576" s="10" t="s">
        <v>9</v>
      </c>
      <c r="C2576" s="10" t="s">
        <v>299</v>
      </c>
      <c r="D2576" s="10" t="s">
        <v>300</v>
      </c>
      <c r="E2576" s="11" t="str">
        <f>+HYPERLINK("http://trademark.i-assist.jp/data/china/image_1898th/78683740.pdf", "78683740")</f>
        <v>78683740</v>
      </c>
      <c r="F2576" s="10" t="s">
        <v>7173</v>
      </c>
      <c r="G2576" s="10" t="s">
        <v>7087</v>
      </c>
      <c r="H2576" s="10" t="s">
        <v>7174</v>
      </c>
      <c r="I2576" s="10" t="s">
        <v>7082</v>
      </c>
    </row>
    <row r="2577" spans="1:9" x14ac:dyDescent="0.15">
      <c r="A2577" s="9">
        <v>2576</v>
      </c>
      <c r="B2577" s="10" t="s">
        <v>9</v>
      </c>
      <c r="C2577" s="10" t="s">
        <v>299</v>
      </c>
      <c r="D2577" s="10" t="s">
        <v>300</v>
      </c>
      <c r="E2577" s="11" t="str">
        <f>+HYPERLINK("http://trademark.i-assist.jp/data/china/image_1898th/78683920.pdf", "78683920")</f>
        <v>78683920</v>
      </c>
      <c r="F2577" s="10" t="s">
        <v>7175</v>
      </c>
      <c r="G2577" s="10" t="s">
        <v>7176</v>
      </c>
      <c r="H2577" s="10" t="s">
        <v>7177</v>
      </c>
      <c r="I2577" s="10" t="s">
        <v>7082</v>
      </c>
    </row>
    <row r="2578" spans="1:9" x14ac:dyDescent="0.15">
      <c r="A2578" s="9">
        <v>2577</v>
      </c>
      <c r="B2578" s="10" t="s">
        <v>9</v>
      </c>
      <c r="C2578" s="10" t="s">
        <v>299</v>
      </c>
      <c r="D2578" s="10" t="s">
        <v>300</v>
      </c>
      <c r="E2578" s="11" t="str">
        <f>+HYPERLINK("http://trademark.i-assist.jp/data/china/image_1898th/78684146.pdf", "78684146")</f>
        <v>78684146</v>
      </c>
      <c r="F2578" s="10" t="s">
        <v>7178</v>
      </c>
      <c r="G2578" s="10" t="s">
        <v>7179</v>
      </c>
      <c r="H2578" s="10" t="s">
        <v>7180</v>
      </c>
      <c r="I2578" s="10" t="s">
        <v>7082</v>
      </c>
    </row>
    <row r="2579" spans="1:9" x14ac:dyDescent="0.15">
      <c r="A2579" s="9">
        <v>2578</v>
      </c>
      <c r="B2579" s="10" t="s">
        <v>9</v>
      </c>
      <c r="C2579" s="10" t="s">
        <v>299</v>
      </c>
      <c r="D2579" s="10" t="s">
        <v>300</v>
      </c>
      <c r="E2579" s="11" t="str">
        <f>+HYPERLINK("http://trademark.i-assist.jp/data/china/image_1898th/78684149.pdf", "78684149")</f>
        <v>78684149</v>
      </c>
      <c r="F2579" s="10" t="s">
        <v>7181</v>
      </c>
      <c r="G2579" s="10" t="s">
        <v>7182</v>
      </c>
      <c r="H2579" s="10" t="s">
        <v>7183</v>
      </c>
      <c r="I2579" s="10" t="s">
        <v>7082</v>
      </c>
    </row>
    <row r="2580" spans="1:9" x14ac:dyDescent="0.15">
      <c r="A2580" s="9">
        <v>2579</v>
      </c>
      <c r="B2580" s="10" t="s">
        <v>9</v>
      </c>
      <c r="C2580" s="10" t="s">
        <v>299</v>
      </c>
      <c r="D2580" s="10" t="s">
        <v>300</v>
      </c>
      <c r="E2580" s="11" t="str">
        <f>+HYPERLINK("http://trademark.i-assist.jp/data/china/image_1898th/78684202.pdf", "78684202")</f>
        <v>78684202</v>
      </c>
      <c r="F2580" s="10" t="s">
        <v>7184</v>
      </c>
      <c r="G2580" s="10" t="s">
        <v>7185</v>
      </c>
      <c r="H2580" s="10" t="s">
        <v>7186</v>
      </c>
      <c r="I2580" s="10" t="s">
        <v>7082</v>
      </c>
    </row>
    <row r="2581" spans="1:9" x14ac:dyDescent="0.15">
      <c r="A2581" s="9">
        <v>2580</v>
      </c>
      <c r="B2581" s="10" t="s">
        <v>9</v>
      </c>
      <c r="C2581" s="10" t="s">
        <v>299</v>
      </c>
      <c r="D2581" s="10" t="s">
        <v>300</v>
      </c>
      <c r="E2581" s="11" t="str">
        <f>+HYPERLINK("http://trademark.i-assist.jp/data/china/image_1898th/78684291.pdf", "78684291")</f>
        <v>78684291</v>
      </c>
      <c r="F2581" s="10" t="s">
        <v>7187</v>
      </c>
      <c r="G2581" s="10" t="s">
        <v>7084</v>
      </c>
      <c r="H2581" s="10" t="s">
        <v>7188</v>
      </c>
      <c r="I2581" s="10" t="s">
        <v>7082</v>
      </c>
    </row>
    <row r="2582" spans="1:9" x14ac:dyDescent="0.15">
      <c r="A2582" s="9">
        <v>2581</v>
      </c>
      <c r="B2582" s="10" t="s">
        <v>9</v>
      </c>
      <c r="C2582" s="10" t="s">
        <v>299</v>
      </c>
      <c r="D2582" s="10" t="s">
        <v>300</v>
      </c>
      <c r="E2582" s="11" t="str">
        <f>+HYPERLINK("http://trademark.i-assist.jp/data/china/image_1898th/78684292.pdf", "78684292")</f>
        <v>78684292</v>
      </c>
      <c r="F2582" s="10" t="s">
        <v>7189</v>
      </c>
      <c r="G2582" s="10" t="s">
        <v>7190</v>
      </c>
      <c r="H2582" s="10" t="s">
        <v>7191</v>
      </c>
      <c r="I2582" s="10" t="s">
        <v>7082</v>
      </c>
    </row>
    <row r="2583" spans="1:9" x14ac:dyDescent="0.15">
      <c r="A2583" s="9">
        <v>2582</v>
      </c>
      <c r="B2583" s="10" t="s">
        <v>9</v>
      </c>
      <c r="C2583" s="10" t="s">
        <v>299</v>
      </c>
      <c r="D2583" s="10" t="s">
        <v>300</v>
      </c>
      <c r="E2583" s="11" t="str">
        <f>+HYPERLINK("http://trademark.i-assist.jp/data/china/image_1898th/78684341.pdf", "78684341")</f>
        <v>78684341</v>
      </c>
      <c r="F2583" s="10" t="s">
        <v>7192</v>
      </c>
      <c r="G2583" s="10" t="s">
        <v>7193</v>
      </c>
      <c r="H2583" s="10" t="s">
        <v>7194</v>
      </c>
      <c r="I2583" s="10" t="s">
        <v>7082</v>
      </c>
    </row>
    <row r="2584" spans="1:9" x14ac:dyDescent="0.15">
      <c r="A2584" s="9">
        <v>2583</v>
      </c>
      <c r="B2584" s="10" t="s">
        <v>9</v>
      </c>
      <c r="C2584" s="10" t="s">
        <v>299</v>
      </c>
      <c r="D2584" s="10" t="s">
        <v>300</v>
      </c>
      <c r="E2584" s="11" t="str">
        <f>+HYPERLINK("http://trademark.i-assist.jp/data/china/image_1898th/78684576.pdf", "78684576")</f>
        <v>78684576</v>
      </c>
      <c r="F2584" s="10" t="s">
        <v>7195</v>
      </c>
      <c r="G2584" s="10" t="s">
        <v>7196</v>
      </c>
      <c r="H2584" s="10" t="s">
        <v>7197</v>
      </c>
      <c r="I2584" s="10" t="s">
        <v>7082</v>
      </c>
    </row>
    <row r="2585" spans="1:9" x14ac:dyDescent="0.15">
      <c r="A2585" s="9">
        <v>2584</v>
      </c>
      <c r="B2585" s="10" t="s">
        <v>9</v>
      </c>
      <c r="C2585" s="10" t="s">
        <v>299</v>
      </c>
      <c r="D2585" s="10" t="s">
        <v>300</v>
      </c>
      <c r="E2585" s="11" t="str">
        <f>+HYPERLINK("http://trademark.i-assist.jp/data/china/image_1898th/78685189.pdf", "78685189")</f>
        <v>78685189</v>
      </c>
      <c r="F2585" s="10" t="s">
        <v>7198</v>
      </c>
      <c r="G2585" s="10" t="s">
        <v>7199</v>
      </c>
      <c r="H2585" s="10" t="s">
        <v>7200</v>
      </c>
      <c r="I2585" s="10" t="s">
        <v>7082</v>
      </c>
    </row>
    <row r="2586" spans="1:9" x14ac:dyDescent="0.15">
      <c r="A2586" s="9">
        <v>2585</v>
      </c>
      <c r="B2586" s="10" t="s">
        <v>9</v>
      </c>
      <c r="C2586" s="10" t="s">
        <v>299</v>
      </c>
      <c r="D2586" s="10" t="s">
        <v>300</v>
      </c>
      <c r="E2586" s="11" t="str">
        <f>+HYPERLINK("http://trademark.i-assist.jp/data/china/image_1898th/78685316.pdf", "78685316")</f>
        <v>78685316</v>
      </c>
      <c r="F2586" s="10" t="s">
        <v>7201</v>
      </c>
      <c r="G2586" s="10" t="s">
        <v>5994</v>
      </c>
      <c r="H2586" s="10" t="s">
        <v>7202</v>
      </c>
      <c r="I2586" s="10" t="s">
        <v>297</v>
      </c>
    </row>
    <row r="2587" spans="1:9" x14ac:dyDescent="0.15">
      <c r="A2587" s="9">
        <v>2586</v>
      </c>
      <c r="B2587" s="10" t="s">
        <v>9</v>
      </c>
      <c r="C2587" s="10" t="s">
        <v>299</v>
      </c>
      <c r="D2587" s="10" t="s">
        <v>300</v>
      </c>
      <c r="E2587" s="11" t="str">
        <f>+HYPERLINK("http://trademark.i-assist.jp/data/china/image_1898th/78685325.pdf", "78685325")</f>
        <v>78685325</v>
      </c>
      <c r="F2587" s="10" t="s">
        <v>7203</v>
      </c>
      <c r="G2587" s="10" t="s">
        <v>7204</v>
      </c>
      <c r="H2587" s="10" t="s">
        <v>7205</v>
      </c>
      <c r="I2587" s="10" t="s">
        <v>297</v>
      </c>
    </row>
    <row r="2588" spans="1:9" x14ac:dyDescent="0.15">
      <c r="A2588" s="9">
        <v>2587</v>
      </c>
      <c r="B2588" s="10" t="s">
        <v>9</v>
      </c>
      <c r="C2588" s="10" t="s">
        <v>299</v>
      </c>
      <c r="D2588" s="10" t="s">
        <v>300</v>
      </c>
      <c r="E2588" s="11" t="str">
        <f>+HYPERLINK("http://trademark.i-assist.jp/data/china/image_1898th/78685359.pdf", "78685359")</f>
        <v>78685359</v>
      </c>
      <c r="F2588" s="10" t="s">
        <v>7206</v>
      </c>
      <c r="G2588" s="10" t="s">
        <v>7207</v>
      </c>
      <c r="H2588" s="10" t="s">
        <v>7208</v>
      </c>
      <c r="I2588" s="10" t="s">
        <v>297</v>
      </c>
    </row>
    <row r="2589" spans="1:9" x14ac:dyDescent="0.15">
      <c r="A2589" s="9">
        <v>2588</v>
      </c>
      <c r="B2589" s="10" t="s">
        <v>9</v>
      </c>
      <c r="C2589" s="10" t="s">
        <v>299</v>
      </c>
      <c r="D2589" s="10" t="s">
        <v>300</v>
      </c>
      <c r="E2589" s="11" t="str">
        <f>+HYPERLINK("http://trademark.i-assist.jp/data/china/image_1898th/78685512.pdf", "78685512")</f>
        <v>78685512</v>
      </c>
      <c r="F2589" s="10" t="s">
        <v>7209</v>
      </c>
      <c r="G2589" s="10" t="s">
        <v>7210</v>
      </c>
      <c r="H2589" s="10" t="s">
        <v>7211</v>
      </c>
      <c r="I2589" s="10" t="s">
        <v>297</v>
      </c>
    </row>
    <row r="2590" spans="1:9" x14ac:dyDescent="0.15">
      <c r="A2590" s="9">
        <v>2589</v>
      </c>
      <c r="B2590" s="10" t="s">
        <v>9</v>
      </c>
      <c r="C2590" s="10" t="s">
        <v>299</v>
      </c>
      <c r="D2590" s="10" t="s">
        <v>300</v>
      </c>
      <c r="E2590" s="11" t="str">
        <f>+HYPERLINK("http://trademark.i-assist.jp/data/china/image_1898th/78685530.pdf", "78685530")</f>
        <v>78685530</v>
      </c>
      <c r="F2590" s="10" t="s">
        <v>7212</v>
      </c>
      <c r="G2590" s="10" t="s">
        <v>7213</v>
      </c>
      <c r="H2590" s="10" t="s">
        <v>7214</v>
      </c>
      <c r="I2590" s="10" t="s">
        <v>297</v>
      </c>
    </row>
    <row r="2591" spans="1:9" x14ac:dyDescent="0.15">
      <c r="A2591" s="9">
        <v>2590</v>
      </c>
      <c r="B2591" s="10" t="s">
        <v>9</v>
      </c>
      <c r="C2591" s="10" t="s">
        <v>299</v>
      </c>
      <c r="D2591" s="10" t="s">
        <v>300</v>
      </c>
      <c r="E2591" s="11" t="str">
        <f>+HYPERLINK("http://trademark.i-assist.jp/data/china/image_1898th/78685546.pdf", "78685546")</f>
        <v>78685546</v>
      </c>
      <c r="F2591" s="10" t="s">
        <v>7215</v>
      </c>
      <c r="G2591" s="10" t="s">
        <v>7216</v>
      </c>
      <c r="H2591" s="10" t="s">
        <v>7217</v>
      </c>
      <c r="I2591" s="10" t="s">
        <v>297</v>
      </c>
    </row>
    <row r="2592" spans="1:9" x14ac:dyDescent="0.15">
      <c r="A2592" s="9">
        <v>2591</v>
      </c>
      <c r="B2592" s="10" t="s">
        <v>9</v>
      </c>
      <c r="C2592" s="10" t="s">
        <v>299</v>
      </c>
      <c r="D2592" s="10" t="s">
        <v>300</v>
      </c>
      <c r="E2592" s="11" t="str">
        <f>+HYPERLINK("http://trademark.i-assist.jp/data/china/image_1898th/78685547.pdf", "78685547")</f>
        <v>78685547</v>
      </c>
      <c r="F2592" s="10" t="s">
        <v>7218</v>
      </c>
      <c r="G2592" s="10" t="s">
        <v>7216</v>
      </c>
      <c r="H2592" s="10" t="s">
        <v>7219</v>
      </c>
      <c r="I2592" s="10" t="s">
        <v>297</v>
      </c>
    </row>
    <row r="2593" spans="1:9" x14ac:dyDescent="0.15">
      <c r="A2593" s="9">
        <v>2592</v>
      </c>
      <c r="B2593" s="10" t="s">
        <v>9</v>
      </c>
      <c r="C2593" s="10" t="s">
        <v>299</v>
      </c>
      <c r="D2593" s="10" t="s">
        <v>300</v>
      </c>
      <c r="E2593" s="11" t="str">
        <f>+HYPERLINK("http://trademark.i-assist.jp/data/china/image_1898th/78685565.pdf", "78685565")</f>
        <v>78685565</v>
      </c>
      <c r="F2593" s="10" t="s">
        <v>7220</v>
      </c>
      <c r="G2593" s="10" t="s">
        <v>7221</v>
      </c>
      <c r="H2593" s="10" t="s">
        <v>7222</v>
      </c>
      <c r="I2593" s="10" t="s">
        <v>297</v>
      </c>
    </row>
    <row r="2594" spans="1:9" x14ac:dyDescent="0.15">
      <c r="A2594" s="9">
        <v>2593</v>
      </c>
      <c r="B2594" s="10" t="s">
        <v>9</v>
      </c>
      <c r="C2594" s="10" t="s">
        <v>299</v>
      </c>
      <c r="D2594" s="10" t="s">
        <v>300</v>
      </c>
      <c r="E2594" s="11" t="str">
        <f>+HYPERLINK("http://trademark.i-assist.jp/data/china/image_1898th/78685613.pdf", "78685613")</f>
        <v>78685613</v>
      </c>
      <c r="F2594" s="10" t="s">
        <v>7223</v>
      </c>
      <c r="G2594" s="10" t="s">
        <v>7204</v>
      </c>
      <c r="H2594" s="10" t="s">
        <v>7224</v>
      </c>
      <c r="I2594" s="10" t="s">
        <v>297</v>
      </c>
    </row>
    <row r="2595" spans="1:9" x14ac:dyDescent="0.15">
      <c r="A2595" s="9">
        <v>2594</v>
      </c>
      <c r="B2595" s="10" t="s">
        <v>9</v>
      </c>
      <c r="C2595" s="10" t="s">
        <v>299</v>
      </c>
      <c r="D2595" s="10" t="s">
        <v>300</v>
      </c>
      <c r="E2595" s="11" t="str">
        <f>+HYPERLINK("http://trademark.i-assist.jp/data/china/image_1898th/78685810.pdf", "78685810")</f>
        <v>78685810</v>
      </c>
      <c r="F2595" s="10" t="s">
        <v>7225</v>
      </c>
      <c r="G2595" s="10" t="s">
        <v>7210</v>
      </c>
      <c r="H2595" s="10" t="s">
        <v>7226</v>
      </c>
      <c r="I2595" s="10" t="s">
        <v>297</v>
      </c>
    </row>
    <row r="2596" spans="1:9" x14ac:dyDescent="0.15">
      <c r="A2596" s="9">
        <v>2595</v>
      </c>
      <c r="B2596" s="10" t="s">
        <v>9</v>
      </c>
      <c r="C2596" s="10" t="s">
        <v>299</v>
      </c>
      <c r="D2596" s="10" t="s">
        <v>300</v>
      </c>
      <c r="E2596" s="11" t="str">
        <f>+HYPERLINK("http://trademark.i-assist.jp/data/china/image_1898th/78685811.pdf", "78685811")</f>
        <v>78685811</v>
      </c>
      <c r="F2596" s="10" t="s">
        <v>7227</v>
      </c>
      <c r="G2596" s="10" t="s">
        <v>7210</v>
      </c>
      <c r="H2596" s="10" t="s">
        <v>7228</v>
      </c>
      <c r="I2596" s="10" t="s">
        <v>297</v>
      </c>
    </row>
    <row r="2597" spans="1:9" x14ac:dyDescent="0.15">
      <c r="A2597" s="9">
        <v>2596</v>
      </c>
      <c r="B2597" s="10" t="s">
        <v>9</v>
      </c>
      <c r="C2597" s="10" t="s">
        <v>299</v>
      </c>
      <c r="D2597" s="10" t="s">
        <v>300</v>
      </c>
      <c r="E2597" s="11" t="str">
        <f>+HYPERLINK("http://trademark.i-assist.jp/data/china/image_1898th/78685812.pdf", "78685812")</f>
        <v>78685812</v>
      </c>
      <c r="F2597" s="10" t="s">
        <v>7229</v>
      </c>
      <c r="G2597" s="10" t="s">
        <v>7210</v>
      </c>
      <c r="H2597" s="10" t="s">
        <v>7230</v>
      </c>
      <c r="I2597" s="10" t="s">
        <v>297</v>
      </c>
    </row>
    <row r="2598" spans="1:9" x14ac:dyDescent="0.15">
      <c r="A2598" s="9">
        <v>2597</v>
      </c>
      <c r="B2598" s="10" t="s">
        <v>9</v>
      </c>
      <c r="C2598" s="10" t="s">
        <v>299</v>
      </c>
      <c r="D2598" s="10" t="s">
        <v>300</v>
      </c>
      <c r="E2598" s="11" t="str">
        <f>+HYPERLINK("http://trademark.i-assist.jp/data/china/image_1898th/78685924.pdf", "78685924")</f>
        <v>78685924</v>
      </c>
      <c r="F2598" s="10" t="s">
        <v>7231</v>
      </c>
      <c r="G2598" s="10" t="s">
        <v>7213</v>
      </c>
      <c r="H2598" s="10" t="s">
        <v>7232</v>
      </c>
      <c r="I2598" s="10" t="s">
        <v>297</v>
      </c>
    </row>
    <row r="2599" spans="1:9" x14ac:dyDescent="0.15">
      <c r="A2599" s="9">
        <v>2598</v>
      </c>
      <c r="B2599" s="10" t="s">
        <v>9</v>
      </c>
      <c r="C2599" s="10" t="s">
        <v>299</v>
      </c>
      <c r="D2599" s="10" t="s">
        <v>300</v>
      </c>
      <c r="E2599" s="11" t="str">
        <f>+HYPERLINK("http://trademark.i-assist.jp/data/china/image_1898th/78685992.pdf", "78685992")</f>
        <v>78685992</v>
      </c>
      <c r="F2599" s="10" t="s">
        <v>7233</v>
      </c>
      <c r="G2599" s="10" t="s">
        <v>5994</v>
      </c>
      <c r="H2599" s="10" t="s">
        <v>7234</v>
      </c>
      <c r="I2599" s="10" t="s">
        <v>297</v>
      </c>
    </row>
    <row r="2600" spans="1:9" x14ac:dyDescent="0.15">
      <c r="A2600" s="9">
        <v>2599</v>
      </c>
      <c r="B2600" s="10" t="s">
        <v>9</v>
      </c>
      <c r="C2600" s="10" t="s">
        <v>299</v>
      </c>
      <c r="D2600" s="10" t="s">
        <v>300</v>
      </c>
      <c r="E2600" s="11" t="str">
        <f>+HYPERLINK("http://trademark.i-assist.jp/data/china/image_1898th/78685993.pdf", "78685993")</f>
        <v>78685993</v>
      </c>
      <c r="F2600" s="10" t="s">
        <v>7235</v>
      </c>
      <c r="G2600" s="10" t="s">
        <v>5994</v>
      </c>
      <c r="H2600" s="10" t="s">
        <v>7236</v>
      </c>
      <c r="I2600" s="10" t="s">
        <v>297</v>
      </c>
    </row>
    <row r="2601" spans="1:9" x14ac:dyDescent="0.15">
      <c r="A2601" s="9">
        <v>2600</v>
      </c>
      <c r="B2601" s="10" t="s">
        <v>9</v>
      </c>
      <c r="C2601" s="10" t="s">
        <v>299</v>
      </c>
      <c r="D2601" s="10" t="s">
        <v>300</v>
      </c>
      <c r="E2601" s="11" t="str">
        <f>+HYPERLINK("http://trademark.i-assist.jp/data/china/image_1898th/78685994.pdf", "78685994")</f>
        <v>78685994</v>
      </c>
      <c r="F2601" s="10" t="s">
        <v>7237</v>
      </c>
      <c r="G2601" s="10" t="s">
        <v>5994</v>
      </c>
      <c r="H2601" s="10" t="s">
        <v>7238</v>
      </c>
      <c r="I2601" s="10" t="s">
        <v>297</v>
      </c>
    </row>
    <row r="2602" spans="1:9" x14ac:dyDescent="0.15">
      <c r="A2602" s="9">
        <v>2601</v>
      </c>
      <c r="B2602" s="10" t="s">
        <v>9</v>
      </c>
      <c r="C2602" s="10" t="s">
        <v>299</v>
      </c>
      <c r="D2602" s="10" t="s">
        <v>300</v>
      </c>
      <c r="E2602" s="11" t="str">
        <f>+HYPERLINK("http://trademark.i-assist.jp/data/china/image_1898th/78686021.pdf", "78686021")</f>
        <v>78686021</v>
      </c>
      <c r="F2602" s="10" t="s">
        <v>7239</v>
      </c>
      <c r="G2602" s="10" t="s">
        <v>217</v>
      </c>
      <c r="H2602" s="10" t="s">
        <v>7240</v>
      </c>
      <c r="I2602" s="10" t="s">
        <v>297</v>
      </c>
    </row>
    <row r="2603" spans="1:9" x14ac:dyDescent="0.15">
      <c r="A2603" s="9">
        <v>2602</v>
      </c>
      <c r="B2603" s="10" t="s">
        <v>9</v>
      </c>
      <c r="C2603" s="10" t="s">
        <v>299</v>
      </c>
      <c r="D2603" s="10" t="s">
        <v>300</v>
      </c>
      <c r="E2603" s="11" t="str">
        <f>+HYPERLINK("http://trademark.i-assist.jp/data/china/image_1898th/78686137.pdf", "78686137")</f>
        <v>78686137</v>
      </c>
      <c r="F2603" s="10" t="s">
        <v>7241</v>
      </c>
      <c r="G2603" s="10" t="s">
        <v>7242</v>
      </c>
      <c r="H2603" s="10" t="s">
        <v>7243</v>
      </c>
      <c r="I2603" s="10" t="s">
        <v>297</v>
      </c>
    </row>
    <row r="2604" spans="1:9" x14ac:dyDescent="0.15">
      <c r="A2604" s="9">
        <v>2603</v>
      </c>
      <c r="B2604" s="10" t="s">
        <v>9</v>
      </c>
      <c r="C2604" s="10" t="s">
        <v>299</v>
      </c>
      <c r="D2604" s="10" t="s">
        <v>300</v>
      </c>
      <c r="E2604" s="11" t="str">
        <f>+HYPERLINK("http://trademark.i-assist.jp/data/china/image_1898th/78686180.pdf", "78686180")</f>
        <v>78686180</v>
      </c>
      <c r="F2604" s="10" t="s">
        <v>7244</v>
      </c>
      <c r="G2604" s="10" t="s">
        <v>7245</v>
      </c>
      <c r="H2604" s="10" t="s">
        <v>7246</v>
      </c>
      <c r="I2604" s="10" t="s">
        <v>297</v>
      </c>
    </row>
    <row r="2605" spans="1:9" x14ac:dyDescent="0.15">
      <c r="A2605" s="9">
        <v>2604</v>
      </c>
      <c r="B2605" s="10" t="s">
        <v>9</v>
      </c>
      <c r="C2605" s="10" t="s">
        <v>299</v>
      </c>
      <c r="D2605" s="10" t="s">
        <v>300</v>
      </c>
      <c r="E2605" s="11" t="str">
        <f>+HYPERLINK("http://trademark.i-assist.jp/data/china/image_1898th/78686222.pdf", "78686222")</f>
        <v>78686222</v>
      </c>
      <c r="F2605" s="10" t="s">
        <v>7247</v>
      </c>
      <c r="G2605" s="10" t="s">
        <v>7210</v>
      </c>
      <c r="H2605" s="10" t="s">
        <v>7248</v>
      </c>
      <c r="I2605" s="10" t="s">
        <v>297</v>
      </c>
    </row>
    <row r="2606" spans="1:9" x14ac:dyDescent="0.15">
      <c r="A2606" s="9">
        <v>2605</v>
      </c>
      <c r="B2606" s="10" t="s">
        <v>9</v>
      </c>
      <c r="C2606" s="10" t="s">
        <v>299</v>
      </c>
      <c r="D2606" s="10" t="s">
        <v>300</v>
      </c>
      <c r="E2606" s="11" t="str">
        <f>+HYPERLINK("http://trademark.i-assist.jp/data/china/image_1898th/78686307.pdf", "78686307")</f>
        <v>78686307</v>
      </c>
      <c r="F2606" s="10" t="s">
        <v>7249</v>
      </c>
      <c r="G2606" s="10" t="s">
        <v>5994</v>
      </c>
      <c r="H2606" s="10" t="s">
        <v>7250</v>
      </c>
      <c r="I2606" s="10" t="s">
        <v>297</v>
      </c>
    </row>
    <row r="2607" spans="1:9" x14ac:dyDescent="0.15">
      <c r="A2607" s="9">
        <v>2606</v>
      </c>
      <c r="B2607" s="10" t="s">
        <v>9</v>
      </c>
      <c r="C2607" s="10" t="s">
        <v>299</v>
      </c>
      <c r="D2607" s="10" t="s">
        <v>300</v>
      </c>
      <c r="E2607" s="11" t="str">
        <f>+HYPERLINK("http://trademark.i-assist.jp/data/china/image_1898th/78686405.pdf", "78686405")</f>
        <v>78686405</v>
      </c>
      <c r="F2607" s="10" t="s">
        <v>7251</v>
      </c>
      <c r="G2607" s="10" t="s">
        <v>7252</v>
      </c>
      <c r="H2607" s="10" t="s">
        <v>7253</v>
      </c>
      <c r="I2607" s="10" t="s">
        <v>297</v>
      </c>
    </row>
    <row r="2608" spans="1:9" x14ac:dyDescent="0.15">
      <c r="A2608" s="9">
        <v>2607</v>
      </c>
      <c r="B2608" s="10" t="s">
        <v>9</v>
      </c>
      <c r="C2608" s="10" t="s">
        <v>299</v>
      </c>
      <c r="D2608" s="10" t="s">
        <v>300</v>
      </c>
      <c r="E2608" s="11" t="str">
        <f>+HYPERLINK("http://trademark.i-assist.jp/data/china/image_1898th/78686471.pdf", "78686471")</f>
        <v>78686471</v>
      </c>
      <c r="F2608" s="10" t="s">
        <v>7254</v>
      </c>
      <c r="G2608" s="10" t="s">
        <v>5994</v>
      </c>
      <c r="H2608" s="10" t="s">
        <v>7255</v>
      </c>
      <c r="I2608" s="10" t="s">
        <v>297</v>
      </c>
    </row>
    <row r="2609" spans="1:9" x14ac:dyDescent="0.15">
      <c r="A2609" s="9">
        <v>2608</v>
      </c>
      <c r="B2609" s="10" t="s">
        <v>9</v>
      </c>
      <c r="C2609" s="10" t="s">
        <v>299</v>
      </c>
      <c r="D2609" s="10" t="s">
        <v>300</v>
      </c>
      <c r="E2609" s="11" t="str">
        <f>+HYPERLINK("http://trademark.i-assist.jp/data/china/image_1898th/78686472.pdf", "78686472")</f>
        <v>78686472</v>
      </c>
      <c r="F2609" s="10" t="s">
        <v>7256</v>
      </c>
      <c r="G2609" s="10" t="s">
        <v>5994</v>
      </c>
      <c r="H2609" s="10" t="s">
        <v>7257</v>
      </c>
      <c r="I2609" s="10" t="s">
        <v>297</v>
      </c>
    </row>
    <row r="2610" spans="1:9" x14ac:dyDescent="0.15">
      <c r="A2610" s="9">
        <v>2609</v>
      </c>
      <c r="B2610" s="10" t="s">
        <v>9</v>
      </c>
      <c r="C2610" s="10" t="s">
        <v>299</v>
      </c>
      <c r="D2610" s="10" t="s">
        <v>300</v>
      </c>
      <c r="E2610" s="11" t="str">
        <f>+HYPERLINK("http://trademark.i-assist.jp/data/china/image_1898th/78686591.pdf", "78686591")</f>
        <v>78686591</v>
      </c>
      <c r="F2610" s="10" t="s">
        <v>7258</v>
      </c>
      <c r="G2610" s="10" t="s">
        <v>7259</v>
      </c>
      <c r="H2610" s="10" t="s">
        <v>7260</v>
      </c>
      <c r="I2610" s="10" t="s">
        <v>297</v>
      </c>
    </row>
    <row r="2611" spans="1:9" x14ac:dyDescent="0.15">
      <c r="A2611" s="9">
        <v>2610</v>
      </c>
      <c r="B2611" s="10" t="s">
        <v>9</v>
      </c>
      <c r="C2611" s="10" t="s">
        <v>299</v>
      </c>
      <c r="D2611" s="10" t="s">
        <v>300</v>
      </c>
      <c r="E2611" s="11" t="str">
        <f>+HYPERLINK("http://trademark.i-assist.jp/data/china/image_1898th/78686691.pdf", "78686691")</f>
        <v>78686691</v>
      </c>
      <c r="F2611" s="10" t="s">
        <v>7261</v>
      </c>
      <c r="G2611" s="10" t="s">
        <v>7213</v>
      </c>
      <c r="H2611" s="10" t="s">
        <v>7262</v>
      </c>
      <c r="I2611" s="10" t="s">
        <v>297</v>
      </c>
    </row>
    <row r="2612" spans="1:9" x14ac:dyDescent="0.15">
      <c r="A2612" s="9">
        <v>2611</v>
      </c>
      <c r="B2612" s="10" t="s">
        <v>9</v>
      </c>
      <c r="C2612" s="10" t="s">
        <v>299</v>
      </c>
      <c r="D2612" s="10" t="s">
        <v>300</v>
      </c>
      <c r="E2612" s="11" t="str">
        <f>+HYPERLINK("http://trademark.i-assist.jp/data/china/image_1898th/78686721.pdf", "78686721")</f>
        <v>78686721</v>
      </c>
      <c r="F2612" s="10" t="s">
        <v>7263</v>
      </c>
      <c r="G2612" s="10" t="s">
        <v>7264</v>
      </c>
      <c r="H2612" s="10" t="s">
        <v>7265</v>
      </c>
      <c r="I2612" s="10" t="s">
        <v>297</v>
      </c>
    </row>
    <row r="2613" spans="1:9" x14ac:dyDescent="0.15">
      <c r="A2613" s="9">
        <v>2612</v>
      </c>
      <c r="B2613" s="10" t="s">
        <v>9</v>
      </c>
      <c r="C2613" s="10" t="s">
        <v>299</v>
      </c>
      <c r="D2613" s="10" t="s">
        <v>300</v>
      </c>
      <c r="E2613" s="11" t="str">
        <f>+HYPERLINK("http://trademark.i-assist.jp/data/china/image_1898th/78686774.pdf", "78686774")</f>
        <v>78686774</v>
      </c>
      <c r="F2613" s="10" t="s">
        <v>7266</v>
      </c>
      <c r="G2613" s="10" t="s">
        <v>7267</v>
      </c>
      <c r="H2613" s="10" t="s">
        <v>7268</v>
      </c>
      <c r="I2613" s="10" t="s">
        <v>297</v>
      </c>
    </row>
    <row r="2614" spans="1:9" x14ac:dyDescent="0.15">
      <c r="A2614" s="9">
        <v>2613</v>
      </c>
      <c r="B2614" s="10" t="s">
        <v>9</v>
      </c>
      <c r="C2614" s="10" t="s">
        <v>299</v>
      </c>
      <c r="D2614" s="10" t="s">
        <v>300</v>
      </c>
      <c r="E2614" s="11" t="str">
        <f>+HYPERLINK("http://trademark.i-assist.jp/data/china/image_1898th/78686797.pdf", "78686797")</f>
        <v>78686797</v>
      </c>
      <c r="F2614" s="10" t="s">
        <v>7269</v>
      </c>
      <c r="G2614" s="10" t="s">
        <v>7270</v>
      </c>
      <c r="H2614" s="10" t="s">
        <v>7271</v>
      </c>
      <c r="I2614" s="10" t="s">
        <v>297</v>
      </c>
    </row>
    <row r="2615" spans="1:9" x14ac:dyDescent="0.15">
      <c r="A2615" s="9">
        <v>2614</v>
      </c>
      <c r="B2615" s="10" t="s">
        <v>9</v>
      </c>
      <c r="C2615" s="10" t="s">
        <v>299</v>
      </c>
      <c r="D2615" s="10" t="s">
        <v>300</v>
      </c>
      <c r="E2615" s="11" t="str">
        <f>+HYPERLINK("http://trademark.i-assist.jp/data/china/image_1898th/78686853.pdf", "78686853")</f>
        <v>78686853</v>
      </c>
      <c r="F2615" s="10" t="s">
        <v>7272</v>
      </c>
      <c r="G2615" s="10" t="s">
        <v>7273</v>
      </c>
      <c r="H2615" s="10" t="s">
        <v>7274</v>
      </c>
      <c r="I2615" s="10" t="s">
        <v>297</v>
      </c>
    </row>
    <row r="2616" spans="1:9" x14ac:dyDescent="0.15">
      <c r="A2616" s="9">
        <v>2615</v>
      </c>
      <c r="B2616" s="10" t="s">
        <v>9</v>
      </c>
      <c r="C2616" s="10" t="s">
        <v>299</v>
      </c>
      <c r="D2616" s="10" t="s">
        <v>300</v>
      </c>
      <c r="E2616" s="11" t="str">
        <f>+HYPERLINK("http://trademark.i-assist.jp/data/china/image_1898th/78686981.pdf", "78686981")</f>
        <v>78686981</v>
      </c>
      <c r="F2616" s="10" t="s">
        <v>7275</v>
      </c>
      <c r="G2616" s="10" t="s">
        <v>7213</v>
      </c>
      <c r="H2616" s="10" t="s">
        <v>7276</v>
      </c>
      <c r="I2616" s="10" t="s">
        <v>297</v>
      </c>
    </row>
    <row r="2617" spans="1:9" x14ac:dyDescent="0.15">
      <c r="A2617" s="9">
        <v>2616</v>
      </c>
      <c r="B2617" s="10" t="s">
        <v>9</v>
      </c>
      <c r="C2617" s="10" t="s">
        <v>299</v>
      </c>
      <c r="D2617" s="10" t="s">
        <v>300</v>
      </c>
      <c r="E2617" s="11" t="str">
        <f>+HYPERLINK("http://trademark.i-assist.jp/data/china/image_1898th/78686996.pdf", "78686996")</f>
        <v>78686996</v>
      </c>
      <c r="F2617" s="10" t="s">
        <v>7277</v>
      </c>
      <c r="G2617" s="10" t="s">
        <v>7221</v>
      </c>
      <c r="H2617" s="10" t="s">
        <v>7278</v>
      </c>
      <c r="I2617" s="10" t="s">
        <v>297</v>
      </c>
    </row>
    <row r="2618" spans="1:9" x14ac:dyDescent="0.15">
      <c r="A2618" s="9">
        <v>2617</v>
      </c>
      <c r="B2618" s="10" t="s">
        <v>9</v>
      </c>
      <c r="C2618" s="10" t="s">
        <v>299</v>
      </c>
      <c r="D2618" s="10" t="s">
        <v>300</v>
      </c>
      <c r="E2618" s="11" t="str">
        <f>+HYPERLINK("http://trademark.i-assist.jp/data/china/image_1898th/78687001.pdf", "78687001")</f>
        <v>78687001</v>
      </c>
      <c r="F2618" s="10" t="s">
        <v>7279</v>
      </c>
      <c r="G2618" s="10" t="s">
        <v>7264</v>
      </c>
      <c r="H2618" s="10" t="s">
        <v>7280</v>
      </c>
      <c r="I2618" s="10" t="s">
        <v>297</v>
      </c>
    </row>
    <row r="2619" spans="1:9" x14ac:dyDescent="0.15">
      <c r="A2619" s="9">
        <v>2618</v>
      </c>
      <c r="B2619" s="10" t="s">
        <v>9</v>
      </c>
      <c r="C2619" s="10" t="s">
        <v>299</v>
      </c>
      <c r="D2619" s="10" t="s">
        <v>300</v>
      </c>
      <c r="E2619" s="11" t="str">
        <f>+HYPERLINK("http://trademark.i-assist.jp/data/china/image_1898th/78687048.pdf", "78687048")</f>
        <v>78687048</v>
      </c>
      <c r="F2619" s="10" t="s">
        <v>7281</v>
      </c>
      <c r="G2619" s="10" t="s">
        <v>5994</v>
      </c>
      <c r="H2619" s="10" t="s">
        <v>7282</v>
      </c>
      <c r="I2619" s="10" t="s">
        <v>297</v>
      </c>
    </row>
    <row r="2620" spans="1:9" x14ac:dyDescent="0.15">
      <c r="A2620" s="9">
        <v>2619</v>
      </c>
      <c r="B2620" s="10" t="s">
        <v>9</v>
      </c>
      <c r="C2620" s="10" t="s">
        <v>299</v>
      </c>
      <c r="D2620" s="10" t="s">
        <v>300</v>
      </c>
      <c r="E2620" s="11" t="str">
        <f>+HYPERLINK("http://trademark.i-assist.jp/data/china/image_1898th/78687049.pdf", "78687049")</f>
        <v>78687049</v>
      </c>
      <c r="F2620" s="10" t="s">
        <v>7283</v>
      </c>
      <c r="G2620" s="10" t="s">
        <v>5994</v>
      </c>
      <c r="H2620" s="10" t="s">
        <v>7284</v>
      </c>
      <c r="I2620" s="10" t="s">
        <v>297</v>
      </c>
    </row>
    <row r="2621" spans="1:9" x14ac:dyDescent="0.15">
      <c r="A2621" s="9">
        <v>2620</v>
      </c>
      <c r="B2621" s="10" t="s">
        <v>9</v>
      </c>
      <c r="C2621" s="10" t="s">
        <v>299</v>
      </c>
      <c r="D2621" s="10" t="s">
        <v>300</v>
      </c>
      <c r="E2621" s="11" t="str">
        <f>+HYPERLINK("http://trademark.i-assist.jp/data/china/image_1898th/78687076.pdf", "78687076")</f>
        <v>78687076</v>
      </c>
      <c r="F2621" s="10" t="s">
        <v>7285</v>
      </c>
      <c r="G2621" s="10" t="s">
        <v>217</v>
      </c>
      <c r="H2621" s="10" t="s">
        <v>7286</v>
      </c>
      <c r="I2621" s="10" t="s">
        <v>297</v>
      </c>
    </row>
    <row r="2622" spans="1:9" x14ac:dyDescent="0.15">
      <c r="A2622" s="9">
        <v>2621</v>
      </c>
      <c r="B2622" s="10" t="s">
        <v>9</v>
      </c>
      <c r="C2622" s="10" t="s">
        <v>299</v>
      </c>
      <c r="D2622" s="10" t="s">
        <v>300</v>
      </c>
      <c r="E2622" s="11" t="str">
        <f>+HYPERLINK("http://trademark.i-assist.jp/data/china/image_1898th/78687142.pdf", "78687142")</f>
        <v>78687142</v>
      </c>
      <c r="F2622" s="10" t="s">
        <v>7287</v>
      </c>
      <c r="G2622" s="10" t="s">
        <v>7288</v>
      </c>
      <c r="H2622" s="10" t="s">
        <v>7289</v>
      </c>
      <c r="I2622" s="10" t="s">
        <v>297</v>
      </c>
    </row>
    <row r="2623" spans="1:9" x14ac:dyDescent="0.15">
      <c r="A2623" s="9">
        <v>2622</v>
      </c>
      <c r="B2623" s="10" t="s">
        <v>9</v>
      </c>
      <c r="C2623" s="10" t="s">
        <v>299</v>
      </c>
      <c r="D2623" s="10" t="s">
        <v>300</v>
      </c>
      <c r="E2623" s="11" t="str">
        <f>+HYPERLINK("http://trademark.i-assist.jp/data/china/image_1898th/78687319.pdf", "78687319")</f>
        <v>78687319</v>
      </c>
      <c r="F2623" s="10" t="s">
        <v>7290</v>
      </c>
      <c r="G2623" s="10" t="s">
        <v>7264</v>
      </c>
      <c r="H2623" s="10" t="s">
        <v>7291</v>
      </c>
      <c r="I2623" s="10" t="s">
        <v>297</v>
      </c>
    </row>
    <row r="2624" spans="1:9" x14ac:dyDescent="0.15">
      <c r="A2624" s="9">
        <v>2623</v>
      </c>
      <c r="B2624" s="10" t="s">
        <v>9</v>
      </c>
      <c r="C2624" s="10" t="s">
        <v>299</v>
      </c>
      <c r="D2624" s="10" t="s">
        <v>300</v>
      </c>
      <c r="E2624" s="11" t="str">
        <f>+HYPERLINK("http://trademark.i-assist.jp/data/china/image_1898th/78687341.pdf", "78687341")</f>
        <v>78687341</v>
      </c>
      <c r="F2624" s="10" t="s">
        <v>7292</v>
      </c>
      <c r="G2624" s="10" t="s">
        <v>7216</v>
      </c>
      <c r="H2624" s="10" t="s">
        <v>7293</v>
      </c>
      <c r="I2624" s="10" t="s">
        <v>297</v>
      </c>
    </row>
    <row r="2625" spans="1:9" x14ac:dyDescent="0.15">
      <c r="A2625" s="9">
        <v>2624</v>
      </c>
      <c r="B2625" s="10" t="s">
        <v>9</v>
      </c>
      <c r="C2625" s="10" t="s">
        <v>299</v>
      </c>
      <c r="D2625" s="10" t="s">
        <v>300</v>
      </c>
      <c r="E2625" s="11" t="str">
        <f>+HYPERLINK("http://trademark.i-assist.jp/data/china/image_1898th/78687604.pdf", "78687604")</f>
        <v>78687604</v>
      </c>
      <c r="F2625" s="10" t="s">
        <v>7294</v>
      </c>
      <c r="G2625" s="10" t="s">
        <v>7210</v>
      </c>
      <c r="H2625" s="10" t="s">
        <v>7295</v>
      </c>
      <c r="I2625" s="10" t="s">
        <v>297</v>
      </c>
    </row>
    <row r="2626" spans="1:9" x14ac:dyDescent="0.15">
      <c r="A2626" s="9">
        <v>2625</v>
      </c>
      <c r="B2626" s="10" t="s">
        <v>9</v>
      </c>
      <c r="C2626" s="10" t="s">
        <v>299</v>
      </c>
      <c r="D2626" s="10" t="s">
        <v>300</v>
      </c>
      <c r="E2626" s="11" t="str">
        <f>+HYPERLINK("http://trademark.i-assist.jp/data/china/image_1898th/78687623.pdf", "78687623")</f>
        <v>78687623</v>
      </c>
      <c r="F2626" s="10" t="s">
        <v>7296</v>
      </c>
      <c r="G2626" s="10" t="s">
        <v>7213</v>
      </c>
      <c r="H2626" s="10" t="s">
        <v>7297</v>
      </c>
      <c r="I2626" s="10" t="s">
        <v>297</v>
      </c>
    </row>
    <row r="2627" spans="1:9" x14ac:dyDescent="0.15">
      <c r="A2627" s="9">
        <v>2626</v>
      </c>
      <c r="B2627" s="10" t="s">
        <v>9</v>
      </c>
      <c r="C2627" s="10" t="s">
        <v>299</v>
      </c>
      <c r="D2627" s="10" t="s">
        <v>300</v>
      </c>
      <c r="E2627" s="11" t="str">
        <f>+HYPERLINK("http://trademark.i-assist.jp/data/china/image_1898th/78687690.pdf", "78687690")</f>
        <v>78687690</v>
      </c>
      <c r="F2627" s="10" t="s">
        <v>7298</v>
      </c>
      <c r="G2627" s="10" t="s">
        <v>7299</v>
      </c>
      <c r="H2627" s="10" t="s">
        <v>7300</v>
      </c>
      <c r="I2627" s="10" t="s">
        <v>297</v>
      </c>
    </row>
    <row r="2628" spans="1:9" x14ac:dyDescent="0.15">
      <c r="A2628" s="9">
        <v>2627</v>
      </c>
      <c r="B2628" s="10" t="s">
        <v>9</v>
      </c>
      <c r="C2628" s="10" t="s">
        <v>299</v>
      </c>
      <c r="D2628" s="10" t="s">
        <v>300</v>
      </c>
      <c r="E2628" s="11" t="str">
        <f>+HYPERLINK("http://trademark.i-assist.jp/data/china/image_1898th/78687709.pdf", "78687709")</f>
        <v>78687709</v>
      </c>
      <c r="F2628" s="10" t="s">
        <v>7301</v>
      </c>
      <c r="G2628" s="10" t="s">
        <v>7210</v>
      </c>
      <c r="H2628" s="10" t="s">
        <v>7302</v>
      </c>
      <c r="I2628" s="10" t="s">
        <v>297</v>
      </c>
    </row>
    <row r="2629" spans="1:9" x14ac:dyDescent="0.15">
      <c r="A2629" s="9">
        <v>2628</v>
      </c>
      <c r="B2629" s="10" t="s">
        <v>9</v>
      </c>
      <c r="C2629" s="10" t="s">
        <v>299</v>
      </c>
      <c r="D2629" s="10" t="s">
        <v>300</v>
      </c>
      <c r="E2629" s="11" t="str">
        <f>+HYPERLINK("http://trademark.i-assist.jp/data/china/image_1898th/78687710.pdf", "78687710")</f>
        <v>78687710</v>
      </c>
      <c r="F2629" s="10" t="s">
        <v>7303</v>
      </c>
      <c r="G2629" s="10" t="s">
        <v>7210</v>
      </c>
      <c r="H2629" s="10" t="s">
        <v>7304</v>
      </c>
      <c r="I2629" s="10" t="s">
        <v>297</v>
      </c>
    </row>
    <row r="2630" spans="1:9" x14ac:dyDescent="0.15">
      <c r="A2630" s="9">
        <v>2629</v>
      </c>
      <c r="B2630" s="10" t="s">
        <v>9</v>
      </c>
      <c r="C2630" s="10" t="s">
        <v>299</v>
      </c>
      <c r="D2630" s="10" t="s">
        <v>300</v>
      </c>
      <c r="E2630" s="11" t="str">
        <f>+HYPERLINK("http://trademark.i-assist.jp/data/china/image_1898th/78687719.pdf", "78687719")</f>
        <v>78687719</v>
      </c>
      <c r="F2630" s="10" t="s">
        <v>7305</v>
      </c>
      <c r="G2630" s="10" t="s">
        <v>7213</v>
      </c>
      <c r="H2630" s="10" t="s">
        <v>7306</v>
      </c>
      <c r="I2630" s="10" t="s">
        <v>297</v>
      </c>
    </row>
    <row r="2631" spans="1:9" x14ac:dyDescent="0.15">
      <c r="A2631" s="9">
        <v>2630</v>
      </c>
      <c r="B2631" s="10" t="s">
        <v>9</v>
      </c>
      <c r="C2631" s="10" t="s">
        <v>299</v>
      </c>
      <c r="D2631" s="10" t="s">
        <v>300</v>
      </c>
      <c r="E2631" s="11" t="str">
        <f>+HYPERLINK("http://trademark.i-assist.jp/data/china/image_1898th/78687721.pdf", "78687721")</f>
        <v>78687721</v>
      </c>
      <c r="F2631" s="10" t="s">
        <v>7307</v>
      </c>
      <c r="G2631" s="10" t="s">
        <v>7213</v>
      </c>
      <c r="H2631" s="10" t="s">
        <v>7308</v>
      </c>
      <c r="I2631" s="10" t="s">
        <v>297</v>
      </c>
    </row>
    <row r="2632" spans="1:9" x14ac:dyDescent="0.15">
      <c r="A2632" s="9">
        <v>2631</v>
      </c>
      <c r="B2632" s="10" t="s">
        <v>9</v>
      </c>
      <c r="C2632" s="10" t="s">
        <v>299</v>
      </c>
      <c r="D2632" s="10" t="s">
        <v>300</v>
      </c>
      <c r="E2632" s="11" t="str">
        <f>+HYPERLINK("http://trademark.i-assist.jp/data/china/image_1898th/78687733.pdf", "78687733")</f>
        <v>78687733</v>
      </c>
      <c r="F2632" s="10" t="s">
        <v>7309</v>
      </c>
      <c r="G2632" s="10" t="s">
        <v>7216</v>
      </c>
      <c r="H2632" s="10" t="s">
        <v>7310</v>
      </c>
      <c r="I2632" s="10" t="s">
        <v>297</v>
      </c>
    </row>
    <row r="2633" spans="1:9" x14ac:dyDescent="0.15">
      <c r="A2633" s="9">
        <v>2632</v>
      </c>
      <c r="B2633" s="10" t="s">
        <v>9</v>
      </c>
      <c r="C2633" s="10" t="s">
        <v>299</v>
      </c>
      <c r="D2633" s="10" t="s">
        <v>300</v>
      </c>
      <c r="E2633" s="11" t="str">
        <f>+HYPERLINK("http://trademark.i-assist.jp/data/china/image_1898th/78687734.pdf", "78687734")</f>
        <v>78687734</v>
      </c>
      <c r="F2633" s="10" t="s">
        <v>7311</v>
      </c>
      <c r="G2633" s="10" t="s">
        <v>7216</v>
      </c>
      <c r="H2633" s="10" t="s">
        <v>7312</v>
      </c>
      <c r="I2633" s="10" t="s">
        <v>297</v>
      </c>
    </row>
    <row r="2634" spans="1:9" x14ac:dyDescent="0.15">
      <c r="A2634" s="9">
        <v>2633</v>
      </c>
      <c r="B2634" s="10" t="s">
        <v>9</v>
      </c>
      <c r="C2634" s="10" t="s">
        <v>299</v>
      </c>
      <c r="D2634" s="10" t="s">
        <v>300</v>
      </c>
      <c r="E2634" s="11" t="str">
        <f>+HYPERLINK("http://trademark.i-assist.jp/data/china/image_1898th/78688025.pdf", "78688025")</f>
        <v>78688025</v>
      </c>
      <c r="F2634" s="10" t="s">
        <v>7313</v>
      </c>
      <c r="G2634" s="10" t="s">
        <v>7314</v>
      </c>
      <c r="H2634" s="10" t="s">
        <v>7315</v>
      </c>
      <c r="I2634" s="10" t="s">
        <v>297</v>
      </c>
    </row>
    <row r="2635" spans="1:9" x14ac:dyDescent="0.15">
      <c r="A2635" s="9">
        <v>2634</v>
      </c>
      <c r="B2635" s="10" t="s">
        <v>9</v>
      </c>
      <c r="C2635" s="10" t="s">
        <v>299</v>
      </c>
      <c r="D2635" s="10" t="s">
        <v>300</v>
      </c>
      <c r="E2635" s="11" t="str">
        <f>+HYPERLINK("http://trademark.i-assist.jp/data/china/image_1898th/78688119.pdf", "78688119")</f>
        <v>78688119</v>
      </c>
      <c r="F2635" s="10" t="s">
        <v>7316</v>
      </c>
      <c r="G2635" s="10" t="s">
        <v>7210</v>
      </c>
      <c r="H2635" s="10" t="s">
        <v>7317</v>
      </c>
      <c r="I2635" s="10" t="s">
        <v>297</v>
      </c>
    </row>
    <row r="2636" spans="1:9" x14ac:dyDescent="0.15">
      <c r="A2636" s="9">
        <v>2635</v>
      </c>
      <c r="B2636" s="10" t="s">
        <v>9</v>
      </c>
      <c r="C2636" s="10" t="s">
        <v>299</v>
      </c>
      <c r="D2636" s="10" t="s">
        <v>300</v>
      </c>
      <c r="E2636" s="11" t="str">
        <f>+HYPERLINK("http://trademark.i-assist.jp/data/china/image_1898th/78688140.pdf", "78688140")</f>
        <v>78688140</v>
      </c>
      <c r="F2636" s="10" t="s">
        <v>7318</v>
      </c>
      <c r="G2636" s="10" t="s">
        <v>7213</v>
      </c>
      <c r="H2636" s="10" t="s">
        <v>7319</v>
      </c>
      <c r="I2636" s="10" t="s">
        <v>297</v>
      </c>
    </row>
    <row r="2637" spans="1:9" x14ac:dyDescent="0.15">
      <c r="A2637" s="9">
        <v>2636</v>
      </c>
      <c r="B2637" s="10" t="s">
        <v>9</v>
      </c>
      <c r="C2637" s="10" t="s">
        <v>299</v>
      </c>
      <c r="D2637" s="10" t="s">
        <v>300</v>
      </c>
      <c r="E2637" s="11" t="str">
        <f>+HYPERLINK("http://trademark.i-assist.jp/data/china/image_1898th/78688144.pdf", "78688144")</f>
        <v>78688144</v>
      </c>
      <c r="F2637" s="10" t="s">
        <v>7320</v>
      </c>
      <c r="G2637" s="10" t="s">
        <v>7216</v>
      </c>
      <c r="H2637" s="10" t="s">
        <v>7321</v>
      </c>
      <c r="I2637" s="10" t="s">
        <v>297</v>
      </c>
    </row>
    <row r="2638" spans="1:9" x14ac:dyDescent="0.15">
      <c r="A2638" s="9">
        <v>2637</v>
      </c>
      <c r="B2638" s="10" t="s">
        <v>9</v>
      </c>
      <c r="C2638" s="10" t="s">
        <v>299</v>
      </c>
      <c r="D2638" s="10" t="s">
        <v>300</v>
      </c>
      <c r="E2638" s="11" t="str">
        <f>+HYPERLINK("http://trademark.i-assist.jp/data/china/image_1898th/78688159.pdf", "78688159")</f>
        <v>78688159</v>
      </c>
      <c r="F2638" s="10" t="s">
        <v>7322</v>
      </c>
      <c r="G2638" s="10" t="s">
        <v>7264</v>
      </c>
      <c r="H2638" s="10" t="s">
        <v>7323</v>
      </c>
      <c r="I2638" s="10" t="s">
        <v>297</v>
      </c>
    </row>
    <row r="2639" spans="1:9" x14ac:dyDescent="0.15">
      <c r="A2639" s="9">
        <v>2638</v>
      </c>
      <c r="B2639" s="10" t="s">
        <v>9</v>
      </c>
      <c r="C2639" s="10" t="s">
        <v>299</v>
      </c>
      <c r="D2639" s="10" t="s">
        <v>300</v>
      </c>
      <c r="E2639" s="11" t="str">
        <f>+HYPERLINK("http://trademark.i-assist.jp/data/china/image_1898th/78688280.pdf", "78688280")</f>
        <v>78688280</v>
      </c>
      <c r="F2639" s="10" t="s">
        <v>7324</v>
      </c>
      <c r="G2639" s="10" t="s">
        <v>7325</v>
      </c>
      <c r="H2639" s="10" t="s">
        <v>7326</v>
      </c>
      <c r="I2639" s="10" t="s">
        <v>1374</v>
      </c>
    </row>
    <row r="2640" spans="1:9" x14ac:dyDescent="0.15">
      <c r="A2640" s="9">
        <v>2639</v>
      </c>
      <c r="B2640" s="10" t="s">
        <v>9</v>
      </c>
      <c r="C2640" s="10" t="s">
        <v>299</v>
      </c>
      <c r="D2640" s="10" t="s">
        <v>300</v>
      </c>
      <c r="E2640" s="11" t="str">
        <f>+HYPERLINK("http://trademark.i-assist.jp/data/china/image_1898th/78688294.pdf", "78688294")</f>
        <v>78688294</v>
      </c>
      <c r="F2640" s="10" t="s">
        <v>7327</v>
      </c>
      <c r="G2640" s="10" t="s">
        <v>7325</v>
      </c>
      <c r="H2640" s="10" t="s">
        <v>7328</v>
      </c>
      <c r="I2640" s="10" t="s">
        <v>1374</v>
      </c>
    </row>
    <row r="2641" spans="1:9" x14ac:dyDescent="0.15">
      <c r="A2641" s="9">
        <v>2640</v>
      </c>
      <c r="B2641" s="10" t="s">
        <v>9</v>
      </c>
      <c r="C2641" s="10" t="s">
        <v>299</v>
      </c>
      <c r="D2641" s="10" t="s">
        <v>300</v>
      </c>
      <c r="E2641" s="11" t="str">
        <f>+HYPERLINK("http://trademark.i-assist.jp/data/china/image_1898th/78688304.pdf", "78688304")</f>
        <v>78688304</v>
      </c>
      <c r="F2641" s="10" t="s">
        <v>7329</v>
      </c>
      <c r="G2641" s="10" t="s">
        <v>7330</v>
      </c>
      <c r="H2641" s="10" t="s">
        <v>7331</v>
      </c>
      <c r="I2641" s="10" t="s">
        <v>1374</v>
      </c>
    </row>
    <row r="2642" spans="1:9" x14ac:dyDescent="0.15">
      <c r="A2642" s="9">
        <v>2641</v>
      </c>
      <c r="B2642" s="10" t="s">
        <v>9</v>
      </c>
      <c r="C2642" s="10" t="s">
        <v>299</v>
      </c>
      <c r="D2642" s="10" t="s">
        <v>300</v>
      </c>
      <c r="E2642" s="11" t="str">
        <f>+HYPERLINK("http://trademark.i-assist.jp/data/china/image_1898th/78688344.pdf", "78688344")</f>
        <v>78688344</v>
      </c>
      <c r="F2642" s="10" t="s">
        <v>19</v>
      </c>
      <c r="G2642" s="10" t="s">
        <v>7332</v>
      </c>
      <c r="H2642" s="10" t="s">
        <v>7333</v>
      </c>
      <c r="I2642" s="10" t="s">
        <v>1374</v>
      </c>
    </row>
    <row r="2643" spans="1:9" x14ac:dyDescent="0.15">
      <c r="A2643" s="9">
        <v>2642</v>
      </c>
      <c r="B2643" s="10" t="s">
        <v>9</v>
      </c>
      <c r="C2643" s="10" t="s">
        <v>299</v>
      </c>
      <c r="D2643" s="10" t="s">
        <v>300</v>
      </c>
      <c r="E2643" s="11" t="str">
        <f>+HYPERLINK("http://trademark.i-assist.jp/data/china/image_1898th/78688582.pdf", "78688582")</f>
        <v>78688582</v>
      </c>
      <c r="F2643" s="10" t="s">
        <v>7334</v>
      </c>
      <c r="G2643" s="10" t="s">
        <v>13</v>
      </c>
      <c r="H2643" s="10" t="s">
        <v>7335</v>
      </c>
      <c r="I2643" s="10" t="s">
        <v>1374</v>
      </c>
    </row>
    <row r="2644" spans="1:9" x14ac:dyDescent="0.15">
      <c r="A2644" s="9">
        <v>2643</v>
      </c>
      <c r="B2644" s="10" t="s">
        <v>9</v>
      </c>
      <c r="C2644" s="10" t="s">
        <v>299</v>
      </c>
      <c r="D2644" s="10" t="s">
        <v>300</v>
      </c>
      <c r="E2644" s="11" t="str">
        <f>+HYPERLINK("http://trademark.i-assist.jp/data/china/image_1898th/78688613.pdf", "78688613")</f>
        <v>78688613</v>
      </c>
      <c r="F2644" s="10" t="s">
        <v>7336</v>
      </c>
      <c r="G2644" s="10" t="s">
        <v>7337</v>
      </c>
      <c r="H2644" s="10" t="s">
        <v>7338</v>
      </c>
      <c r="I2644" s="10" t="s">
        <v>1374</v>
      </c>
    </row>
    <row r="2645" spans="1:9" x14ac:dyDescent="0.15">
      <c r="A2645" s="9">
        <v>2644</v>
      </c>
      <c r="B2645" s="10" t="s">
        <v>9</v>
      </c>
      <c r="C2645" s="10" t="s">
        <v>299</v>
      </c>
      <c r="D2645" s="10" t="s">
        <v>300</v>
      </c>
      <c r="E2645" s="11" t="str">
        <f>+HYPERLINK("http://trademark.i-assist.jp/data/china/image_1898th/78688826.pdf", "78688826")</f>
        <v>78688826</v>
      </c>
      <c r="F2645" s="10" t="s">
        <v>7339</v>
      </c>
      <c r="G2645" s="10" t="s">
        <v>7340</v>
      </c>
      <c r="H2645" s="10" t="s">
        <v>7341</v>
      </c>
      <c r="I2645" s="10" t="s">
        <v>1374</v>
      </c>
    </row>
    <row r="2646" spans="1:9" x14ac:dyDescent="0.15">
      <c r="A2646" s="9">
        <v>2645</v>
      </c>
      <c r="B2646" s="10" t="s">
        <v>9</v>
      </c>
      <c r="C2646" s="10" t="s">
        <v>299</v>
      </c>
      <c r="D2646" s="10" t="s">
        <v>300</v>
      </c>
      <c r="E2646" s="11" t="str">
        <f>+HYPERLINK("http://trademark.i-assist.jp/data/china/image_1898th/78689018.pdf", "78689018")</f>
        <v>78689018</v>
      </c>
      <c r="F2646" s="10" t="s">
        <v>7342</v>
      </c>
      <c r="G2646" s="10" t="s">
        <v>7343</v>
      </c>
      <c r="H2646" s="10" t="s">
        <v>7344</v>
      </c>
      <c r="I2646" s="10" t="s">
        <v>1374</v>
      </c>
    </row>
    <row r="2647" spans="1:9" x14ac:dyDescent="0.15">
      <c r="A2647" s="9">
        <v>2646</v>
      </c>
      <c r="B2647" s="10" t="s">
        <v>9</v>
      </c>
      <c r="C2647" s="10" t="s">
        <v>299</v>
      </c>
      <c r="D2647" s="10" t="s">
        <v>300</v>
      </c>
      <c r="E2647" s="11" t="str">
        <f>+HYPERLINK("http://trademark.i-assist.jp/data/china/image_1898th/78689187.pdf", "78689187")</f>
        <v>78689187</v>
      </c>
      <c r="F2647" s="10" t="s">
        <v>7345</v>
      </c>
      <c r="G2647" s="10" t="s">
        <v>7346</v>
      </c>
      <c r="H2647" s="10" t="s">
        <v>7347</v>
      </c>
      <c r="I2647" s="10" t="s">
        <v>1374</v>
      </c>
    </row>
    <row r="2648" spans="1:9" x14ac:dyDescent="0.15">
      <c r="A2648" s="9">
        <v>2647</v>
      </c>
      <c r="B2648" s="10" t="s">
        <v>9</v>
      </c>
      <c r="C2648" s="10" t="s">
        <v>299</v>
      </c>
      <c r="D2648" s="10" t="s">
        <v>300</v>
      </c>
      <c r="E2648" s="11" t="str">
        <f>+HYPERLINK("http://trademark.i-assist.jp/data/china/image_1898th/78689201.pdf", "78689201")</f>
        <v>78689201</v>
      </c>
      <c r="F2648" s="10" t="s">
        <v>7348</v>
      </c>
      <c r="G2648" s="10" t="s">
        <v>7349</v>
      </c>
      <c r="H2648" s="10" t="s">
        <v>7350</v>
      </c>
      <c r="I2648" s="10" t="s">
        <v>1374</v>
      </c>
    </row>
    <row r="2649" spans="1:9" x14ac:dyDescent="0.15">
      <c r="A2649" s="9">
        <v>2648</v>
      </c>
      <c r="B2649" s="10" t="s">
        <v>9</v>
      </c>
      <c r="C2649" s="10" t="s">
        <v>299</v>
      </c>
      <c r="D2649" s="10" t="s">
        <v>300</v>
      </c>
      <c r="E2649" s="11" t="str">
        <f>+HYPERLINK("http://trademark.i-assist.jp/data/china/image_1898th/78689237.pdf", "78689237")</f>
        <v>78689237</v>
      </c>
      <c r="F2649" s="10" t="s">
        <v>7351</v>
      </c>
      <c r="G2649" s="10" t="s">
        <v>7352</v>
      </c>
      <c r="H2649" s="10" t="s">
        <v>7353</v>
      </c>
      <c r="I2649" s="10" t="s">
        <v>1374</v>
      </c>
    </row>
    <row r="2650" spans="1:9" x14ac:dyDescent="0.15">
      <c r="A2650" s="9">
        <v>2649</v>
      </c>
      <c r="B2650" s="10" t="s">
        <v>9</v>
      </c>
      <c r="C2650" s="10" t="s">
        <v>299</v>
      </c>
      <c r="D2650" s="10" t="s">
        <v>300</v>
      </c>
      <c r="E2650" s="11" t="str">
        <f>+HYPERLINK("http://trademark.i-assist.jp/data/china/image_1898th/78689280.pdf", "78689280")</f>
        <v>78689280</v>
      </c>
      <c r="F2650" s="10" t="s">
        <v>7354</v>
      </c>
      <c r="G2650" s="10" t="s">
        <v>7325</v>
      </c>
      <c r="H2650" s="10" t="s">
        <v>7355</v>
      </c>
      <c r="I2650" s="10" t="s">
        <v>1374</v>
      </c>
    </row>
    <row r="2651" spans="1:9" x14ac:dyDescent="0.15">
      <c r="A2651" s="9">
        <v>2650</v>
      </c>
      <c r="B2651" s="10" t="s">
        <v>9</v>
      </c>
      <c r="C2651" s="10" t="s">
        <v>299</v>
      </c>
      <c r="D2651" s="10" t="s">
        <v>300</v>
      </c>
      <c r="E2651" s="11" t="str">
        <f>+HYPERLINK("http://trademark.i-assist.jp/data/china/image_1898th/78689295.pdf", "78689295")</f>
        <v>78689295</v>
      </c>
      <c r="F2651" s="10" t="s">
        <v>7356</v>
      </c>
      <c r="G2651" s="10" t="s">
        <v>7357</v>
      </c>
      <c r="H2651" s="10" t="s">
        <v>7358</v>
      </c>
      <c r="I2651" s="10" t="s">
        <v>1374</v>
      </c>
    </row>
    <row r="2652" spans="1:9" x14ac:dyDescent="0.15">
      <c r="A2652" s="9">
        <v>2651</v>
      </c>
      <c r="B2652" s="10" t="s">
        <v>9</v>
      </c>
      <c r="C2652" s="10" t="s">
        <v>299</v>
      </c>
      <c r="D2652" s="10" t="s">
        <v>300</v>
      </c>
      <c r="E2652" s="11" t="str">
        <f>+HYPERLINK("http://trademark.i-assist.jp/data/china/image_1898th/78689299.pdf", "78689299")</f>
        <v>78689299</v>
      </c>
      <c r="F2652" s="10" t="s">
        <v>7359</v>
      </c>
      <c r="G2652" s="10" t="s">
        <v>211</v>
      </c>
      <c r="H2652" s="10" t="s">
        <v>7360</v>
      </c>
      <c r="I2652" s="10" t="s">
        <v>1374</v>
      </c>
    </row>
    <row r="2653" spans="1:9" x14ac:dyDescent="0.15">
      <c r="A2653" s="9">
        <v>2652</v>
      </c>
      <c r="B2653" s="10" t="s">
        <v>9</v>
      </c>
      <c r="C2653" s="10" t="s">
        <v>299</v>
      </c>
      <c r="D2653" s="10" t="s">
        <v>300</v>
      </c>
      <c r="E2653" s="11" t="str">
        <f>+HYPERLINK("http://trademark.i-assist.jp/data/china/image_1898th/78689367.pdf", "78689367")</f>
        <v>78689367</v>
      </c>
      <c r="F2653" s="10" t="s">
        <v>7361</v>
      </c>
      <c r="G2653" s="10" t="s">
        <v>124</v>
      </c>
      <c r="H2653" s="10" t="s">
        <v>7362</v>
      </c>
      <c r="I2653" s="10" t="s">
        <v>1374</v>
      </c>
    </row>
    <row r="2654" spans="1:9" x14ac:dyDescent="0.15">
      <c r="A2654" s="9">
        <v>2653</v>
      </c>
      <c r="B2654" s="10" t="s">
        <v>9</v>
      </c>
      <c r="C2654" s="10" t="s">
        <v>299</v>
      </c>
      <c r="D2654" s="10" t="s">
        <v>300</v>
      </c>
      <c r="E2654" s="11" t="str">
        <f>+HYPERLINK("http://trademark.i-assist.jp/data/china/image_1898th/78689412.pdf", "78689412")</f>
        <v>78689412</v>
      </c>
      <c r="F2654" s="10" t="s">
        <v>7363</v>
      </c>
      <c r="G2654" s="10" t="s">
        <v>7325</v>
      </c>
      <c r="H2654" s="10" t="s">
        <v>7364</v>
      </c>
      <c r="I2654" s="10" t="s">
        <v>1374</v>
      </c>
    </row>
    <row r="2655" spans="1:9" x14ac:dyDescent="0.15">
      <c r="A2655" s="9">
        <v>2654</v>
      </c>
      <c r="B2655" s="10" t="s">
        <v>9</v>
      </c>
      <c r="C2655" s="10" t="s">
        <v>299</v>
      </c>
      <c r="D2655" s="10" t="s">
        <v>300</v>
      </c>
      <c r="E2655" s="11" t="str">
        <f>+HYPERLINK("http://trademark.i-assist.jp/data/china/image_1898th/78689426.pdf", "78689426")</f>
        <v>78689426</v>
      </c>
      <c r="F2655" s="10" t="s">
        <v>7365</v>
      </c>
      <c r="G2655" s="10" t="s">
        <v>7366</v>
      </c>
      <c r="H2655" s="10" t="s">
        <v>7367</v>
      </c>
      <c r="I2655" s="10" t="s">
        <v>1374</v>
      </c>
    </row>
    <row r="2656" spans="1:9" x14ac:dyDescent="0.15">
      <c r="A2656" s="9">
        <v>2655</v>
      </c>
      <c r="B2656" s="10" t="s">
        <v>9</v>
      </c>
      <c r="C2656" s="10" t="s">
        <v>299</v>
      </c>
      <c r="D2656" s="10" t="s">
        <v>300</v>
      </c>
      <c r="E2656" s="11" t="str">
        <f>+HYPERLINK("http://trademark.i-assist.jp/data/china/image_1898th/78689517.pdf", "78689517")</f>
        <v>78689517</v>
      </c>
      <c r="F2656" s="10" t="s">
        <v>7368</v>
      </c>
      <c r="G2656" s="10" t="s">
        <v>7369</v>
      </c>
      <c r="H2656" s="10" t="s">
        <v>7370</v>
      </c>
      <c r="I2656" s="10" t="s">
        <v>1374</v>
      </c>
    </row>
    <row r="2657" spans="1:9" x14ac:dyDescent="0.15">
      <c r="A2657" s="9">
        <v>2656</v>
      </c>
      <c r="B2657" s="10" t="s">
        <v>9</v>
      </c>
      <c r="C2657" s="10" t="s">
        <v>299</v>
      </c>
      <c r="D2657" s="10" t="s">
        <v>300</v>
      </c>
      <c r="E2657" s="11" t="str">
        <f>+HYPERLINK("http://trademark.i-assist.jp/data/china/image_1898th/78689550.pdf", "78689550")</f>
        <v>78689550</v>
      </c>
      <c r="F2657" s="10" t="s">
        <v>7371</v>
      </c>
      <c r="G2657" s="10" t="s">
        <v>7372</v>
      </c>
      <c r="H2657" s="10" t="s">
        <v>7373</v>
      </c>
      <c r="I2657" s="10" t="s">
        <v>1374</v>
      </c>
    </row>
    <row r="2658" spans="1:9" x14ac:dyDescent="0.15">
      <c r="A2658" s="9">
        <v>2657</v>
      </c>
      <c r="B2658" s="10" t="s">
        <v>9</v>
      </c>
      <c r="C2658" s="10" t="s">
        <v>299</v>
      </c>
      <c r="D2658" s="10" t="s">
        <v>300</v>
      </c>
      <c r="E2658" s="11" t="str">
        <f>+HYPERLINK("http://trademark.i-assist.jp/data/china/image_1898th/78689762.pdf", "78689762")</f>
        <v>78689762</v>
      </c>
      <c r="F2658" s="10" t="s">
        <v>19</v>
      </c>
      <c r="G2658" s="10" t="s">
        <v>7374</v>
      </c>
      <c r="H2658" s="10" t="s">
        <v>7375</v>
      </c>
      <c r="I2658" s="10" t="s">
        <v>1374</v>
      </c>
    </row>
    <row r="2659" spans="1:9" x14ac:dyDescent="0.15">
      <c r="A2659" s="9">
        <v>2658</v>
      </c>
      <c r="B2659" s="10" t="s">
        <v>9</v>
      </c>
      <c r="C2659" s="10" t="s">
        <v>299</v>
      </c>
      <c r="D2659" s="10" t="s">
        <v>300</v>
      </c>
      <c r="E2659" s="11" t="str">
        <f>+HYPERLINK("http://trademark.i-assist.jp/data/china/image_1898th/78689903.pdf", "78689903")</f>
        <v>78689903</v>
      </c>
      <c r="F2659" s="10" t="s">
        <v>7376</v>
      </c>
      <c r="G2659" s="10" t="s">
        <v>7377</v>
      </c>
      <c r="H2659" s="10" t="s">
        <v>7378</v>
      </c>
      <c r="I2659" s="10" t="s">
        <v>1374</v>
      </c>
    </row>
    <row r="2660" spans="1:9" x14ac:dyDescent="0.15">
      <c r="A2660" s="9">
        <v>2659</v>
      </c>
      <c r="B2660" s="10" t="s">
        <v>9</v>
      </c>
      <c r="C2660" s="10" t="s">
        <v>299</v>
      </c>
      <c r="D2660" s="10" t="s">
        <v>300</v>
      </c>
      <c r="E2660" s="11" t="str">
        <f>+HYPERLINK("http://trademark.i-assist.jp/data/china/image_1898th/78690005.pdf", "78690005")</f>
        <v>78690005</v>
      </c>
      <c r="F2660" s="10" t="s">
        <v>7379</v>
      </c>
      <c r="G2660" s="10" t="s">
        <v>7379</v>
      </c>
      <c r="H2660" s="10" t="s">
        <v>7380</v>
      </c>
      <c r="I2660" s="10" t="s">
        <v>1374</v>
      </c>
    </row>
    <row r="2661" spans="1:9" x14ac:dyDescent="0.15">
      <c r="A2661" s="9">
        <v>2660</v>
      </c>
      <c r="B2661" s="10" t="s">
        <v>9</v>
      </c>
      <c r="C2661" s="10" t="s">
        <v>299</v>
      </c>
      <c r="D2661" s="10" t="s">
        <v>300</v>
      </c>
      <c r="E2661" s="11" t="str">
        <f>+HYPERLINK("http://trademark.i-assist.jp/data/china/image_1898th/78690268.pdf", "78690268")</f>
        <v>78690268</v>
      </c>
      <c r="F2661" s="10" t="s">
        <v>7381</v>
      </c>
      <c r="G2661" s="10" t="s">
        <v>7325</v>
      </c>
      <c r="H2661" s="10" t="s">
        <v>7382</v>
      </c>
      <c r="I2661" s="10" t="s">
        <v>1374</v>
      </c>
    </row>
    <row r="2662" spans="1:9" x14ac:dyDescent="0.15">
      <c r="A2662" s="9">
        <v>2661</v>
      </c>
      <c r="B2662" s="10" t="s">
        <v>9</v>
      </c>
      <c r="C2662" s="10" t="s">
        <v>299</v>
      </c>
      <c r="D2662" s="10" t="s">
        <v>300</v>
      </c>
      <c r="E2662" s="11" t="str">
        <f>+HYPERLINK("http://trademark.i-assist.jp/data/china/image_1898th/78690362.pdf", "78690362")</f>
        <v>78690362</v>
      </c>
      <c r="F2662" s="10" t="s">
        <v>7383</v>
      </c>
      <c r="G2662" s="10" t="s">
        <v>7384</v>
      </c>
      <c r="H2662" s="10" t="s">
        <v>7385</v>
      </c>
      <c r="I2662" s="10" t="s">
        <v>1374</v>
      </c>
    </row>
    <row r="2663" spans="1:9" x14ac:dyDescent="0.15">
      <c r="A2663" s="9">
        <v>2662</v>
      </c>
      <c r="B2663" s="10" t="s">
        <v>9</v>
      </c>
      <c r="C2663" s="10" t="s">
        <v>299</v>
      </c>
      <c r="D2663" s="10" t="s">
        <v>300</v>
      </c>
      <c r="E2663" s="11" t="str">
        <f>+HYPERLINK("http://trademark.i-assist.jp/data/china/image_1898th/78690438.pdf", "78690438")</f>
        <v>78690438</v>
      </c>
      <c r="F2663" s="10" t="s">
        <v>7386</v>
      </c>
      <c r="G2663" s="10" t="s">
        <v>7387</v>
      </c>
      <c r="H2663" s="10" t="s">
        <v>7388</v>
      </c>
      <c r="I2663" s="10" t="s">
        <v>1374</v>
      </c>
    </row>
    <row r="2664" spans="1:9" x14ac:dyDescent="0.15">
      <c r="A2664" s="9">
        <v>2663</v>
      </c>
      <c r="B2664" s="10" t="s">
        <v>9</v>
      </c>
      <c r="C2664" s="10" t="s">
        <v>299</v>
      </c>
      <c r="D2664" s="10" t="s">
        <v>300</v>
      </c>
      <c r="E2664" s="11" t="str">
        <f>+HYPERLINK("http://trademark.i-assist.jp/data/china/image_1898th/78690462.pdf", "78690462")</f>
        <v>78690462</v>
      </c>
      <c r="F2664" s="10" t="s">
        <v>7389</v>
      </c>
      <c r="G2664" s="10" t="s">
        <v>7390</v>
      </c>
      <c r="H2664" s="10" t="s">
        <v>7391</v>
      </c>
      <c r="I2664" s="10" t="s">
        <v>1374</v>
      </c>
    </row>
    <row r="2665" spans="1:9" x14ac:dyDescent="0.15">
      <c r="A2665" s="9">
        <v>2664</v>
      </c>
      <c r="B2665" s="10" t="s">
        <v>9</v>
      </c>
      <c r="C2665" s="10" t="s">
        <v>299</v>
      </c>
      <c r="D2665" s="10" t="s">
        <v>300</v>
      </c>
      <c r="E2665" s="11" t="str">
        <f>+HYPERLINK("http://trademark.i-assist.jp/data/china/image_1898th/78690484.pdf", "78690484")</f>
        <v>78690484</v>
      </c>
      <c r="F2665" s="10" t="s">
        <v>7392</v>
      </c>
      <c r="G2665" s="10" t="s">
        <v>7393</v>
      </c>
      <c r="H2665" s="10" t="s">
        <v>7394</v>
      </c>
      <c r="I2665" s="10" t="s">
        <v>1374</v>
      </c>
    </row>
    <row r="2666" spans="1:9" x14ac:dyDescent="0.15">
      <c r="A2666" s="9">
        <v>2665</v>
      </c>
      <c r="B2666" s="10" t="s">
        <v>9</v>
      </c>
      <c r="C2666" s="10" t="s">
        <v>299</v>
      </c>
      <c r="D2666" s="10" t="s">
        <v>300</v>
      </c>
      <c r="E2666" s="11" t="str">
        <f>+HYPERLINK("http://trademark.i-assist.jp/data/china/image_1898th/78690585.pdf", "78690585")</f>
        <v>78690585</v>
      </c>
      <c r="F2666" s="10" t="s">
        <v>7395</v>
      </c>
      <c r="G2666" s="10" t="s">
        <v>7396</v>
      </c>
      <c r="H2666" s="10" t="s">
        <v>7397</v>
      </c>
      <c r="I2666" s="10" t="s">
        <v>1374</v>
      </c>
    </row>
    <row r="2667" spans="1:9" x14ac:dyDescent="0.15">
      <c r="A2667" s="9">
        <v>2666</v>
      </c>
      <c r="B2667" s="10" t="s">
        <v>9</v>
      </c>
      <c r="C2667" s="10" t="s">
        <v>299</v>
      </c>
      <c r="D2667" s="10" t="s">
        <v>300</v>
      </c>
      <c r="E2667" s="11" t="str">
        <f>+HYPERLINK("http://trademark.i-assist.jp/data/china/image_1898th/78690587.pdf", "78690587")</f>
        <v>78690587</v>
      </c>
      <c r="F2667" s="10" t="s">
        <v>7398</v>
      </c>
      <c r="G2667" s="10" t="s">
        <v>7399</v>
      </c>
      <c r="H2667" s="10" t="s">
        <v>7400</v>
      </c>
      <c r="I2667" s="10" t="s">
        <v>1374</v>
      </c>
    </row>
    <row r="2668" spans="1:9" x14ac:dyDescent="0.15">
      <c r="A2668" s="9">
        <v>2667</v>
      </c>
      <c r="B2668" s="10" t="s">
        <v>9</v>
      </c>
      <c r="C2668" s="10" t="s">
        <v>299</v>
      </c>
      <c r="D2668" s="10" t="s">
        <v>300</v>
      </c>
      <c r="E2668" s="11" t="str">
        <f>+HYPERLINK("http://trademark.i-assist.jp/data/china/image_1898th/78690613.pdf", "78690613")</f>
        <v>78690613</v>
      </c>
      <c r="F2668" s="10" t="s">
        <v>7401</v>
      </c>
      <c r="G2668" s="10" t="s">
        <v>7402</v>
      </c>
      <c r="H2668" s="10" t="s">
        <v>7403</v>
      </c>
      <c r="I2668" s="10" t="s">
        <v>1374</v>
      </c>
    </row>
    <row r="2669" spans="1:9" x14ac:dyDescent="0.15">
      <c r="A2669" s="9">
        <v>2668</v>
      </c>
      <c r="B2669" s="10" t="s">
        <v>9</v>
      </c>
      <c r="C2669" s="10" t="s">
        <v>299</v>
      </c>
      <c r="D2669" s="10" t="s">
        <v>300</v>
      </c>
      <c r="E2669" s="11" t="str">
        <f>+HYPERLINK("http://trademark.i-assist.jp/data/china/image_1898th/78690717.pdf", "78690717")</f>
        <v>78690717</v>
      </c>
      <c r="F2669" s="10" t="s">
        <v>7404</v>
      </c>
      <c r="G2669" s="10" t="s">
        <v>7405</v>
      </c>
      <c r="H2669" s="10" t="s">
        <v>7406</v>
      </c>
      <c r="I2669" s="10" t="s">
        <v>1374</v>
      </c>
    </row>
    <row r="2670" spans="1:9" x14ac:dyDescent="0.15">
      <c r="A2670" s="9">
        <v>2669</v>
      </c>
      <c r="B2670" s="10" t="s">
        <v>9</v>
      </c>
      <c r="C2670" s="10" t="s">
        <v>299</v>
      </c>
      <c r="D2670" s="10" t="s">
        <v>300</v>
      </c>
      <c r="E2670" s="11" t="str">
        <f>+HYPERLINK("http://trademark.i-assist.jp/data/china/image_1898th/78691451.pdf", "78691451")</f>
        <v>78691451</v>
      </c>
      <c r="F2670" s="10" t="s">
        <v>7407</v>
      </c>
      <c r="G2670" s="10" t="s">
        <v>7408</v>
      </c>
      <c r="H2670" s="10" t="s">
        <v>7409</v>
      </c>
      <c r="I2670" s="10" t="s">
        <v>1374</v>
      </c>
    </row>
    <row r="2671" spans="1:9" x14ac:dyDescent="0.15">
      <c r="A2671" s="9">
        <v>2670</v>
      </c>
      <c r="B2671" s="10" t="s">
        <v>9</v>
      </c>
      <c r="C2671" s="10" t="s">
        <v>299</v>
      </c>
      <c r="D2671" s="10" t="s">
        <v>300</v>
      </c>
      <c r="E2671" s="11" t="str">
        <f>+HYPERLINK("http://trademark.i-assist.jp/data/china/image_1898th/78691452.pdf", "78691452")</f>
        <v>78691452</v>
      </c>
      <c r="F2671" s="10" t="s">
        <v>7410</v>
      </c>
      <c r="G2671" s="10" t="s">
        <v>7410</v>
      </c>
      <c r="H2671" s="10" t="s">
        <v>7411</v>
      </c>
      <c r="I2671" s="10" t="s">
        <v>1374</v>
      </c>
    </row>
    <row r="2672" spans="1:9" x14ac:dyDescent="0.15">
      <c r="A2672" s="9">
        <v>2671</v>
      </c>
      <c r="B2672" s="10" t="s">
        <v>9</v>
      </c>
      <c r="C2672" s="10" t="s">
        <v>299</v>
      </c>
      <c r="D2672" s="10" t="s">
        <v>300</v>
      </c>
      <c r="E2672" s="11" t="str">
        <f>+HYPERLINK("http://trademark.i-assist.jp/data/china/image_1898th/78691464.pdf", "78691464")</f>
        <v>78691464</v>
      </c>
      <c r="F2672" s="10" t="s">
        <v>7412</v>
      </c>
      <c r="G2672" s="10" t="s">
        <v>7413</v>
      </c>
      <c r="H2672" s="10" t="s">
        <v>7414</v>
      </c>
      <c r="I2672" s="10" t="s">
        <v>1374</v>
      </c>
    </row>
    <row r="2673" spans="1:9" x14ac:dyDescent="0.15">
      <c r="A2673" s="9">
        <v>2672</v>
      </c>
      <c r="B2673" s="10" t="s">
        <v>9</v>
      </c>
      <c r="C2673" s="10" t="s">
        <v>299</v>
      </c>
      <c r="D2673" s="10" t="s">
        <v>300</v>
      </c>
      <c r="E2673" s="11" t="str">
        <f>+HYPERLINK("http://trademark.i-assist.jp/data/china/image_1898th/78691606.pdf", "78691606")</f>
        <v>78691606</v>
      </c>
      <c r="F2673" s="10" t="s">
        <v>7415</v>
      </c>
      <c r="G2673" s="10" t="s">
        <v>7416</v>
      </c>
      <c r="H2673" s="10" t="s">
        <v>7417</v>
      </c>
      <c r="I2673" s="10" t="s">
        <v>1374</v>
      </c>
    </row>
    <row r="2674" spans="1:9" x14ac:dyDescent="0.15">
      <c r="A2674" s="9">
        <v>2673</v>
      </c>
      <c r="B2674" s="10" t="s">
        <v>9</v>
      </c>
      <c r="C2674" s="10" t="s">
        <v>299</v>
      </c>
      <c r="D2674" s="10" t="s">
        <v>300</v>
      </c>
      <c r="E2674" s="11" t="str">
        <f>+HYPERLINK("http://trademark.i-assist.jp/data/china/image_1898th/78691618.pdf", "78691618")</f>
        <v>78691618</v>
      </c>
      <c r="F2674" s="10" t="s">
        <v>7418</v>
      </c>
      <c r="G2674" s="10" t="s">
        <v>7416</v>
      </c>
      <c r="H2674" s="10" t="s">
        <v>7419</v>
      </c>
      <c r="I2674" s="10" t="s">
        <v>1374</v>
      </c>
    </row>
    <row r="2675" spans="1:9" x14ac:dyDescent="0.15">
      <c r="A2675" s="9">
        <v>2674</v>
      </c>
      <c r="B2675" s="10" t="s">
        <v>9</v>
      </c>
      <c r="C2675" s="10" t="s">
        <v>299</v>
      </c>
      <c r="D2675" s="10" t="s">
        <v>300</v>
      </c>
      <c r="E2675" s="11" t="str">
        <f>+HYPERLINK("http://trademark.i-assist.jp/data/china/image_1898th/78691627.pdf", "78691627")</f>
        <v>78691627</v>
      </c>
      <c r="F2675" s="10" t="s">
        <v>7420</v>
      </c>
      <c r="G2675" s="10" t="s">
        <v>7325</v>
      </c>
      <c r="H2675" s="10" t="s">
        <v>7421</v>
      </c>
      <c r="I2675" s="10" t="s">
        <v>1374</v>
      </c>
    </row>
    <row r="2676" spans="1:9" x14ac:dyDescent="0.15">
      <c r="A2676" s="9">
        <v>2675</v>
      </c>
      <c r="B2676" s="10" t="s">
        <v>9</v>
      </c>
      <c r="C2676" s="10" t="s">
        <v>299</v>
      </c>
      <c r="D2676" s="10" t="s">
        <v>300</v>
      </c>
      <c r="E2676" s="11" t="str">
        <f>+HYPERLINK("http://trademark.i-assist.jp/data/china/image_1898th/78691665.pdf", "78691665")</f>
        <v>78691665</v>
      </c>
      <c r="F2676" s="10" t="s">
        <v>7422</v>
      </c>
      <c r="G2676" s="10" t="s">
        <v>7325</v>
      </c>
      <c r="H2676" s="10" t="s">
        <v>7423</v>
      </c>
      <c r="I2676" s="10" t="s">
        <v>1374</v>
      </c>
    </row>
    <row r="2677" spans="1:9" x14ac:dyDescent="0.15">
      <c r="A2677" s="9">
        <v>2676</v>
      </c>
      <c r="B2677" s="10" t="s">
        <v>9</v>
      </c>
      <c r="C2677" s="10" t="s">
        <v>299</v>
      </c>
      <c r="D2677" s="10" t="s">
        <v>300</v>
      </c>
      <c r="E2677" s="11" t="str">
        <f>+HYPERLINK("http://trademark.i-assist.jp/data/china/image_1898th/78691749.pdf", "78691749")</f>
        <v>78691749</v>
      </c>
      <c r="F2677" s="10" t="s">
        <v>7424</v>
      </c>
      <c r="G2677" s="10" t="s">
        <v>7425</v>
      </c>
      <c r="H2677" s="10" t="s">
        <v>7426</v>
      </c>
      <c r="I2677" s="10" t="s">
        <v>1374</v>
      </c>
    </row>
    <row r="2678" spans="1:9" x14ac:dyDescent="0.15">
      <c r="A2678" s="9">
        <v>2677</v>
      </c>
      <c r="B2678" s="10" t="s">
        <v>9</v>
      </c>
      <c r="C2678" s="10" t="s">
        <v>299</v>
      </c>
      <c r="D2678" s="10" t="s">
        <v>300</v>
      </c>
      <c r="E2678" s="11" t="str">
        <f>+HYPERLINK("http://trademark.i-assist.jp/data/china/image_1898th/78691949.pdf", "78691949")</f>
        <v>78691949</v>
      </c>
      <c r="F2678" s="10" t="s">
        <v>7427</v>
      </c>
      <c r="G2678" s="10" t="s">
        <v>7428</v>
      </c>
      <c r="H2678" s="10" t="s">
        <v>7429</v>
      </c>
      <c r="I2678" s="10" t="s">
        <v>1374</v>
      </c>
    </row>
    <row r="2679" spans="1:9" x14ac:dyDescent="0.15">
      <c r="A2679" s="9">
        <v>2678</v>
      </c>
      <c r="B2679" s="10" t="s">
        <v>9</v>
      </c>
      <c r="C2679" s="10" t="s">
        <v>299</v>
      </c>
      <c r="D2679" s="10" t="s">
        <v>300</v>
      </c>
      <c r="E2679" s="11" t="str">
        <f>+HYPERLINK("http://trademark.i-assist.jp/data/china/image_1898th/78691999.pdf", "78691999")</f>
        <v>78691999</v>
      </c>
      <c r="F2679" s="10" t="s">
        <v>7430</v>
      </c>
      <c r="G2679" s="10" t="s">
        <v>7431</v>
      </c>
      <c r="H2679" s="10" t="s">
        <v>7432</v>
      </c>
      <c r="I2679" s="10" t="s">
        <v>1374</v>
      </c>
    </row>
    <row r="2680" spans="1:9" x14ac:dyDescent="0.15">
      <c r="A2680" s="9">
        <v>2679</v>
      </c>
      <c r="B2680" s="10" t="s">
        <v>9</v>
      </c>
      <c r="C2680" s="10" t="s">
        <v>299</v>
      </c>
      <c r="D2680" s="10" t="s">
        <v>300</v>
      </c>
      <c r="E2680" s="11" t="str">
        <f>+HYPERLINK("http://trademark.i-assist.jp/data/china/image_1898th/78692009.pdf", "78692009")</f>
        <v>78692009</v>
      </c>
      <c r="F2680" s="10" t="s">
        <v>7433</v>
      </c>
      <c r="G2680" s="10" t="s">
        <v>7431</v>
      </c>
      <c r="H2680" s="10" t="s">
        <v>7434</v>
      </c>
      <c r="I2680" s="10" t="s">
        <v>1374</v>
      </c>
    </row>
    <row r="2681" spans="1:9" x14ac:dyDescent="0.15">
      <c r="A2681" s="9">
        <v>2680</v>
      </c>
      <c r="B2681" s="10" t="s">
        <v>9</v>
      </c>
      <c r="C2681" s="10" t="s">
        <v>299</v>
      </c>
      <c r="D2681" s="10" t="s">
        <v>300</v>
      </c>
      <c r="E2681" s="11" t="str">
        <f>+HYPERLINK("http://trademark.i-assist.jp/data/china/image_1898th/78692336.pdf", "78692336")</f>
        <v>78692336</v>
      </c>
      <c r="F2681" s="10" t="s">
        <v>7435</v>
      </c>
      <c r="G2681" s="10" t="s">
        <v>124</v>
      </c>
      <c r="H2681" s="10" t="s">
        <v>7436</v>
      </c>
      <c r="I2681" s="10" t="s">
        <v>1374</v>
      </c>
    </row>
    <row r="2682" spans="1:9" x14ac:dyDescent="0.15">
      <c r="A2682" s="9">
        <v>2681</v>
      </c>
      <c r="B2682" s="10" t="s">
        <v>9</v>
      </c>
      <c r="C2682" s="10" t="s">
        <v>299</v>
      </c>
      <c r="D2682" s="10" t="s">
        <v>300</v>
      </c>
      <c r="E2682" s="11" t="str">
        <f>+HYPERLINK("http://trademark.i-assist.jp/data/china/image_1898th/78692532.pdf", "78692532")</f>
        <v>78692532</v>
      </c>
      <c r="F2682" s="10" t="s">
        <v>7437</v>
      </c>
      <c r="G2682" s="10" t="s">
        <v>7438</v>
      </c>
      <c r="H2682" s="10" t="s">
        <v>7439</v>
      </c>
      <c r="I2682" s="10" t="s">
        <v>1374</v>
      </c>
    </row>
    <row r="2683" spans="1:9" x14ac:dyDescent="0.15">
      <c r="A2683" s="9">
        <v>2682</v>
      </c>
      <c r="B2683" s="10" t="s">
        <v>9</v>
      </c>
      <c r="C2683" s="10" t="s">
        <v>299</v>
      </c>
      <c r="D2683" s="10" t="s">
        <v>300</v>
      </c>
      <c r="E2683" s="11" t="str">
        <f>+HYPERLINK("http://trademark.i-assist.jp/data/china/image_1898th/78692540.pdf", "78692540")</f>
        <v>78692540</v>
      </c>
      <c r="F2683" s="10" t="s">
        <v>7440</v>
      </c>
      <c r="G2683" s="10" t="s">
        <v>7441</v>
      </c>
      <c r="H2683" s="10" t="s">
        <v>7442</v>
      </c>
      <c r="I2683" s="10" t="s">
        <v>1374</v>
      </c>
    </row>
    <row r="2684" spans="1:9" x14ac:dyDescent="0.15">
      <c r="A2684" s="9">
        <v>2683</v>
      </c>
      <c r="B2684" s="10" t="s">
        <v>9</v>
      </c>
      <c r="C2684" s="10" t="s">
        <v>299</v>
      </c>
      <c r="D2684" s="10" t="s">
        <v>300</v>
      </c>
      <c r="E2684" s="11" t="str">
        <f>+HYPERLINK("http://trademark.i-assist.jp/data/china/image_1898th/78692607.pdf", "78692607")</f>
        <v>78692607</v>
      </c>
      <c r="F2684" s="10" t="s">
        <v>7443</v>
      </c>
      <c r="G2684" s="10" t="s">
        <v>7444</v>
      </c>
      <c r="H2684" s="10" t="s">
        <v>7445</v>
      </c>
      <c r="I2684" s="10" t="s">
        <v>1374</v>
      </c>
    </row>
    <row r="2685" spans="1:9" x14ac:dyDescent="0.15">
      <c r="A2685" s="9">
        <v>2684</v>
      </c>
      <c r="B2685" s="10" t="s">
        <v>9</v>
      </c>
      <c r="C2685" s="10" t="s">
        <v>299</v>
      </c>
      <c r="D2685" s="10" t="s">
        <v>300</v>
      </c>
      <c r="E2685" s="11" t="str">
        <f>+HYPERLINK("http://trademark.i-assist.jp/data/china/image_1898th/78692725.pdf", "78692725")</f>
        <v>78692725</v>
      </c>
      <c r="F2685" s="10" t="s">
        <v>7446</v>
      </c>
      <c r="G2685" s="10" t="s">
        <v>7447</v>
      </c>
      <c r="H2685" s="10" t="s">
        <v>7448</v>
      </c>
      <c r="I2685" s="10" t="s">
        <v>1374</v>
      </c>
    </row>
    <row r="2686" spans="1:9" x14ac:dyDescent="0.15">
      <c r="A2686" s="9">
        <v>2685</v>
      </c>
      <c r="B2686" s="10" t="s">
        <v>9</v>
      </c>
      <c r="C2686" s="10" t="s">
        <v>299</v>
      </c>
      <c r="D2686" s="10" t="s">
        <v>300</v>
      </c>
      <c r="E2686" s="11" t="str">
        <f>+HYPERLINK("http://trademark.i-assist.jp/data/china/image_1898th/78692860.pdf", "78692860")</f>
        <v>78692860</v>
      </c>
      <c r="F2686" s="10" t="s">
        <v>7449</v>
      </c>
      <c r="G2686" s="10" t="s">
        <v>7450</v>
      </c>
      <c r="H2686" s="10" t="s">
        <v>7451</v>
      </c>
      <c r="I2686" s="10" t="s">
        <v>1374</v>
      </c>
    </row>
    <row r="2687" spans="1:9" x14ac:dyDescent="0.15">
      <c r="A2687" s="9">
        <v>2686</v>
      </c>
      <c r="B2687" s="10" t="s">
        <v>9</v>
      </c>
      <c r="C2687" s="10" t="s">
        <v>299</v>
      </c>
      <c r="D2687" s="10" t="s">
        <v>300</v>
      </c>
      <c r="E2687" s="11" t="str">
        <f>+HYPERLINK("http://trademark.i-assist.jp/data/china/image_1898th/78693123.pdf", "78693123")</f>
        <v>78693123</v>
      </c>
      <c r="F2687" s="10" t="s">
        <v>7452</v>
      </c>
      <c r="G2687" s="10" t="s">
        <v>7453</v>
      </c>
      <c r="H2687" s="10" t="s">
        <v>7454</v>
      </c>
      <c r="I2687" s="10" t="s">
        <v>1374</v>
      </c>
    </row>
    <row r="2688" spans="1:9" x14ac:dyDescent="0.15">
      <c r="A2688" s="9">
        <v>2687</v>
      </c>
      <c r="B2688" s="10" t="s">
        <v>9</v>
      </c>
      <c r="C2688" s="10" t="s">
        <v>299</v>
      </c>
      <c r="D2688" s="10" t="s">
        <v>300</v>
      </c>
      <c r="E2688" s="11" t="str">
        <f>+HYPERLINK("http://trademark.i-assist.jp/data/china/image_1898th/78693187.pdf", "78693187")</f>
        <v>78693187</v>
      </c>
      <c r="F2688" s="10" t="s">
        <v>7455</v>
      </c>
      <c r="G2688" s="10" t="s">
        <v>7456</v>
      </c>
      <c r="H2688" s="10" t="s">
        <v>7457</v>
      </c>
      <c r="I2688" s="10" t="s">
        <v>1374</v>
      </c>
    </row>
    <row r="2689" spans="1:9" x14ac:dyDescent="0.15">
      <c r="A2689" s="9">
        <v>2688</v>
      </c>
      <c r="B2689" s="10" t="s">
        <v>9</v>
      </c>
      <c r="C2689" s="10" t="s">
        <v>299</v>
      </c>
      <c r="D2689" s="10" t="s">
        <v>300</v>
      </c>
      <c r="E2689" s="11" t="str">
        <f>+HYPERLINK("http://trademark.i-assist.jp/data/china/image_1898th/78693639.pdf", "78693639")</f>
        <v>78693639</v>
      </c>
      <c r="F2689" s="10" t="s">
        <v>7458</v>
      </c>
      <c r="G2689" s="10" t="s">
        <v>7459</v>
      </c>
      <c r="H2689" s="10" t="s">
        <v>7460</v>
      </c>
      <c r="I2689" s="10" t="s">
        <v>1374</v>
      </c>
    </row>
    <row r="2690" spans="1:9" x14ac:dyDescent="0.15">
      <c r="A2690" s="9">
        <v>2689</v>
      </c>
      <c r="B2690" s="10" t="s">
        <v>9</v>
      </c>
      <c r="C2690" s="10" t="s">
        <v>299</v>
      </c>
      <c r="D2690" s="10" t="s">
        <v>300</v>
      </c>
      <c r="E2690" s="11" t="str">
        <f>+HYPERLINK("http://trademark.i-assist.jp/data/china/image_1898th/78693802.pdf", "78693802")</f>
        <v>78693802</v>
      </c>
      <c r="F2690" s="10" t="s">
        <v>7461</v>
      </c>
      <c r="G2690" s="10" t="s">
        <v>7325</v>
      </c>
      <c r="H2690" s="10" t="s">
        <v>7462</v>
      </c>
      <c r="I2690" s="10" t="s">
        <v>1374</v>
      </c>
    </row>
    <row r="2691" spans="1:9" x14ac:dyDescent="0.15">
      <c r="A2691" s="9">
        <v>2690</v>
      </c>
      <c r="B2691" s="10" t="s">
        <v>9</v>
      </c>
      <c r="C2691" s="10" t="s">
        <v>299</v>
      </c>
      <c r="D2691" s="10" t="s">
        <v>300</v>
      </c>
      <c r="E2691" s="11" t="str">
        <f>+HYPERLINK("http://trademark.i-assist.jp/data/china/image_1898th/78693958.pdf", "78693958")</f>
        <v>78693958</v>
      </c>
      <c r="F2691" s="10" t="s">
        <v>7463</v>
      </c>
      <c r="G2691" s="10" t="s">
        <v>7464</v>
      </c>
      <c r="H2691" s="10" t="s">
        <v>7465</v>
      </c>
      <c r="I2691" s="10" t="s">
        <v>1374</v>
      </c>
    </row>
    <row r="2692" spans="1:9" x14ac:dyDescent="0.15">
      <c r="A2692" s="9">
        <v>2691</v>
      </c>
      <c r="B2692" s="10" t="s">
        <v>9</v>
      </c>
      <c r="C2692" s="10" t="s">
        <v>299</v>
      </c>
      <c r="D2692" s="10" t="s">
        <v>300</v>
      </c>
      <c r="E2692" s="11" t="str">
        <f>+HYPERLINK("http://trademark.i-assist.jp/data/china/image_1898th/78694140.pdf", "78694140")</f>
        <v>78694140</v>
      </c>
      <c r="F2692" s="10" t="s">
        <v>7466</v>
      </c>
      <c r="G2692" s="10" t="s">
        <v>7467</v>
      </c>
      <c r="H2692" s="10" t="s">
        <v>7468</v>
      </c>
      <c r="I2692" s="10" t="s">
        <v>1374</v>
      </c>
    </row>
    <row r="2693" spans="1:9" x14ac:dyDescent="0.15">
      <c r="A2693" s="9">
        <v>2692</v>
      </c>
      <c r="B2693" s="10" t="s">
        <v>9</v>
      </c>
      <c r="C2693" s="10" t="s">
        <v>299</v>
      </c>
      <c r="D2693" s="10" t="s">
        <v>300</v>
      </c>
      <c r="E2693" s="11" t="str">
        <f>+HYPERLINK("http://trademark.i-assist.jp/data/china/image_1898th/78694313.pdf", "78694313")</f>
        <v>78694313</v>
      </c>
      <c r="F2693" s="10" t="s">
        <v>7469</v>
      </c>
      <c r="G2693" s="10" t="s">
        <v>7470</v>
      </c>
      <c r="H2693" s="10" t="s">
        <v>7471</v>
      </c>
      <c r="I2693" s="10" t="s">
        <v>1374</v>
      </c>
    </row>
    <row r="2694" spans="1:9" x14ac:dyDescent="0.15">
      <c r="A2694" s="9">
        <v>2693</v>
      </c>
      <c r="B2694" s="10" t="s">
        <v>9</v>
      </c>
      <c r="C2694" s="10" t="s">
        <v>299</v>
      </c>
      <c r="D2694" s="10" t="s">
        <v>300</v>
      </c>
      <c r="E2694" s="11" t="str">
        <f>+HYPERLINK("http://trademark.i-assist.jp/data/china/image_1898th/78694340.pdf", "78694340")</f>
        <v>78694340</v>
      </c>
      <c r="F2694" s="10" t="s">
        <v>7472</v>
      </c>
      <c r="G2694" s="10" t="s">
        <v>7325</v>
      </c>
      <c r="H2694" s="10" t="s">
        <v>7473</v>
      </c>
      <c r="I2694" s="10" t="s">
        <v>1374</v>
      </c>
    </row>
    <row r="2695" spans="1:9" x14ac:dyDescent="0.15">
      <c r="A2695" s="9">
        <v>2694</v>
      </c>
      <c r="B2695" s="10" t="s">
        <v>9</v>
      </c>
      <c r="C2695" s="10" t="s">
        <v>299</v>
      </c>
      <c r="D2695" s="10" t="s">
        <v>300</v>
      </c>
      <c r="E2695" s="11" t="str">
        <f>+HYPERLINK("http://trademark.i-assist.jp/data/china/image_1898th/78694387.pdf", "78694387")</f>
        <v>78694387</v>
      </c>
      <c r="F2695" s="10" t="s">
        <v>7474</v>
      </c>
      <c r="G2695" s="10" t="s">
        <v>7325</v>
      </c>
      <c r="H2695" s="10" t="s">
        <v>7475</v>
      </c>
      <c r="I2695" s="10" t="s">
        <v>1374</v>
      </c>
    </row>
    <row r="2696" spans="1:9" x14ac:dyDescent="0.15">
      <c r="A2696" s="9">
        <v>2695</v>
      </c>
      <c r="B2696" s="10" t="s">
        <v>9</v>
      </c>
      <c r="C2696" s="10" t="s">
        <v>299</v>
      </c>
      <c r="D2696" s="10" t="s">
        <v>300</v>
      </c>
      <c r="E2696" s="11" t="str">
        <f>+HYPERLINK("http://trademark.i-assist.jp/data/china/image_1898th/78694474.pdf", "78694474")</f>
        <v>78694474</v>
      </c>
      <c r="F2696" s="10" t="s">
        <v>7476</v>
      </c>
      <c r="G2696" s="10" t="s">
        <v>7477</v>
      </c>
      <c r="H2696" s="10" t="s">
        <v>7478</v>
      </c>
      <c r="I2696" s="10" t="s">
        <v>1374</v>
      </c>
    </row>
    <row r="2697" spans="1:9" x14ac:dyDescent="0.15">
      <c r="A2697" s="9">
        <v>2696</v>
      </c>
      <c r="B2697" s="10" t="s">
        <v>9</v>
      </c>
      <c r="C2697" s="10" t="s">
        <v>299</v>
      </c>
      <c r="D2697" s="10" t="s">
        <v>300</v>
      </c>
      <c r="E2697" s="11" t="str">
        <f>+HYPERLINK("http://trademark.i-assist.jp/data/china/image_1898th/78694591.pdf", "78694591")</f>
        <v>78694591</v>
      </c>
      <c r="F2697" s="10" t="s">
        <v>7479</v>
      </c>
      <c r="G2697" s="10" t="s">
        <v>7480</v>
      </c>
      <c r="H2697" s="10" t="s">
        <v>7481</v>
      </c>
      <c r="I2697" s="10" t="s">
        <v>1374</v>
      </c>
    </row>
    <row r="2698" spans="1:9" x14ac:dyDescent="0.15">
      <c r="A2698" s="9">
        <v>2697</v>
      </c>
      <c r="B2698" s="10" t="s">
        <v>9</v>
      </c>
      <c r="C2698" s="10" t="s">
        <v>299</v>
      </c>
      <c r="D2698" s="10" t="s">
        <v>300</v>
      </c>
      <c r="E2698" s="11" t="str">
        <f>+HYPERLINK("http://trademark.i-assist.jp/data/china/image_1898th/78694738.pdf", "78694738")</f>
        <v>78694738</v>
      </c>
      <c r="F2698" s="10" t="s">
        <v>7482</v>
      </c>
      <c r="G2698" s="10" t="s">
        <v>7483</v>
      </c>
      <c r="H2698" s="10" t="s">
        <v>7484</v>
      </c>
      <c r="I2698" s="10" t="s">
        <v>1374</v>
      </c>
    </row>
    <row r="2699" spans="1:9" x14ac:dyDescent="0.15">
      <c r="A2699" s="9">
        <v>2698</v>
      </c>
      <c r="B2699" s="10" t="s">
        <v>9</v>
      </c>
      <c r="C2699" s="10" t="s">
        <v>299</v>
      </c>
      <c r="D2699" s="10" t="s">
        <v>300</v>
      </c>
      <c r="E2699" s="11" t="str">
        <f>+HYPERLINK("http://trademark.i-assist.jp/data/china/image_1898th/78694775.pdf", "78694775")</f>
        <v>78694775</v>
      </c>
      <c r="F2699" s="10" t="s">
        <v>7485</v>
      </c>
      <c r="G2699" s="10" t="s">
        <v>1408</v>
      </c>
      <c r="H2699" s="10" t="s">
        <v>7486</v>
      </c>
      <c r="I2699" s="10" t="s">
        <v>1374</v>
      </c>
    </row>
    <row r="2700" spans="1:9" x14ac:dyDescent="0.15">
      <c r="A2700" s="9">
        <v>2699</v>
      </c>
      <c r="B2700" s="10" t="s">
        <v>9</v>
      </c>
      <c r="C2700" s="10" t="s">
        <v>299</v>
      </c>
      <c r="D2700" s="10" t="s">
        <v>300</v>
      </c>
      <c r="E2700" s="11" t="str">
        <f>+HYPERLINK("http://trademark.i-assist.jp/data/china/image_1898th/78694888.pdf", "78694888")</f>
        <v>78694888</v>
      </c>
      <c r="F2700" s="10" t="s">
        <v>7487</v>
      </c>
      <c r="G2700" s="10" t="s">
        <v>7488</v>
      </c>
      <c r="H2700" s="10" t="s">
        <v>7489</v>
      </c>
      <c r="I2700" s="10" t="s">
        <v>1374</v>
      </c>
    </row>
    <row r="2701" spans="1:9" x14ac:dyDescent="0.15">
      <c r="A2701" s="9">
        <v>2700</v>
      </c>
      <c r="B2701" s="10" t="s">
        <v>9</v>
      </c>
      <c r="C2701" s="10" t="s">
        <v>299</v>
      </c>
      <c r="D2701" s="10" t="s">
        <v>300</v>
      </c>
      <c r="E2701" s="11" t="str">
        <f>+HYPERLINK("http://trademark.i-assist.jp/data/china/image_1898th/78695095.pdf", "78695095")</f>
        <v>78695095</v>
      </c>
      <c r="F2701" s="10" t="s">
        <v>7490</v>
      </c>
      <c r="G2701" s="10" t="s">
        <v>7491</v>
      </c>
      <c r="H2701" s="10" t="s">
        <v>7492</v>
      </c>
      <c r="I2701" s="10" t="s">
        <v>1374</v>
      </c>
    </row>
    <row r="2702" spans="1:9" x14ac:dyDescent="0.15">
      <c r="A2702" s="9">
        <v>2701</v>
      </c>
      <c r="B2702" s="10" t="s">
        <v>9</v>
      </c>
      <c r="C2702" s="10" t="s">
        <v>299</v>
      </c>
      <c r="D2702" s="10" t="s">
        <v>300</v>
      </c>
      <c r="E2702" s="11" t="str">
        <f>+HYPERLINK("http://trademark.i-assist.jp/data/china/image_1898th/78695148.pdf", "78695148")</f>
        <v>78695148</v>
      </c>
      <c r="F2702" s="10" t="s">
        <v>19</v>
      </c>
      <c r="G2702" s="10" t="s">
        <v>7493</v>
      </c>
      <c r="H2702" s="10" t="s">
        <v>7494</v>
      </c>
      <c r="I2702" s="10" t="s">
        <v>1374</v>
      </c>
    </row>
    <row r="2703" spans="1:9" x14ac:dyDescent="0.15">
      <c r="A2703" s="9">
        <v>2702</v>
      </c>
      <c r="B2703" s="10" t="s">
        <v>9</v>
      </c>
      <c r="C2703" s="10" t="s">
        <v>299</v>
      </c>
      <c r="D2703" s="10" t="s">
        <v>300</v>
      </c>
      <c r="E2703" s="11" t="str">
        <f>+HYPERLINK("http://trademark.i-assist.jp/data/china/image_1898th/78695165.pdf", "78695165")</f>
        <v>78695165</v>
      </c>
      <c r="F2703" s="10" t="s">
        <v>7495</v>
      </c>
      <c r="G2703" s="10" t="s">
        <v>7496</v>
      </c>
      <c r="H2703" s="10" t="s">
        <v>7497</v>
      </c>
      <c r="I2703" s="10" t="s">
        <v>1374</v>
      </c>
    </row>
    <row r="2704" spans="1:9" x14ac:dyDescent="0.15">
      <c r="A2704" s="9">
        <v>2703</v>
      </c>
      <c r="B2704" s="10" t="s">
        <v>9</v>
      </c>
      <c r="C2704" s="10" t="s">
        <v>299</v>
      </c>
      <c r="D2704" s="10" t="s">
        <v>300</v>
      </c>
      <c r="E2704" s="11" t="str">
        <f>+HYPERLINK("http://trademark.i-assist.jp/data/china/image_1898th/78695202.pdf", "78695202")</f>
        <v>78695202</v>
      </c>
      <c r="F2704" s="10" t="s">
        <v>7498</v>
      </c>
      <c r="G2704" s="10" t="s">
        <v>7499</v>
      </c>
      <c r="H2704" s="10" t="s">
        <v>7500</v>
      </c>
      <c r="I2704" s="10" t="s">
        <v>1374</v>
      </c>
    </row>
    <row r="2705" spans="1:9" x14ac:dyDescent="0.15">
      <c r="A2705" s="9">
        <v>2704</v>
      </c>
      <c r="B2705" s="10" t="s">
        <v>9</v>
      </c>
      <c r="C2705" s="10" t="s">
        <v>299</v>
      </c>
      <c r="D2705" s="10" t="s">
        <v>300</v>
      </c>
      <c r="E2705" s="11" t="str">
        <f>+HYPERLINK("http://trademark.i-assist.jp/data/china/image_1898th/78695280.pdf", "78695280")</f>
        <v>78695280</v>
      </c>
      <c r="F2705" s="10" t="s">
        <v>7501</v>
      </c>
      <c r="G2705" s="10" t="s">
        <v>7502</v>
      </c>
      <c r="H2705" s="10" t="s">
        <v>7503</v>
      </c>
      <c r="I2705" s="10" t="s">
        <v>1374</v>
      </c>
    </row>
    <row r="2706" spans="1:9" x14ac:dyDescent="0.15">
      <c r="A2706" s="9">
        <v>2705</v>
      </c>
      <c r="B2706" s="10" t="s">
        <v>9</v>
      </c>
      <c r="C2706" s="10" t="s">
        <v>299</v>
      </c>
      <c r="D2706" s="10" t="s">
        <v>300</v>
      </c>
      <c r="E2706" s="11" t="str">
        <f>+HYPERLINK("http://trademark.i-assist.jp/data/china/image_1898th/78695378.pdf", "78695378")</f>
        <v>78695378</v>
      </c>
      <c r="F2706" s="10" t="s">
        <v>7504</v>
      </c>
      <c r="G2706" s="10" t="s">
        <v>1414</v>
      </c>
      <c r="H2706" s="10" t="s">
        <v>7505</v>
      </c>
      <c r="I2706" s="10" t="s">
        <v>1374</v>
      </c>
    </row>
    <row r="2707" spans="1:9" x14ac:dyDescent="0.15">
      <c r="A2707" s="9">
        <v>2706</v>
      </c>
      <c r="B2707" s="10" t="s">
        <v>9</v>
      </c>
      <c r="C2707" s="10" t="s">
        <v>299</v>
      </c>
      <c r="D2707" s="10" t="s">
        <v>300</v>
      </c>
      <c r="E2707" s="11" t="str">
        <f>+HYPERLINK("http://trademark.i-assist.jp/data/china/image_1898th/78695421.pdf", "78695421")</f>
        <v>78695421</v>
      </c>
      <c r="F2707" s="10" t="s">
        <v>7506</v>
      </c>
      <c r="G2707" s="10" t="s">
        <v>7507</v>
      </c>
      <c r="H2707" s="10" t="s">
        <v>7508</v>
      </c>
      <c r="I2707" s="10" t="s">
        <v>1374</v>
      </c>
    </row>
    <row r="2708" spans="1:9" x14ac:dyDescent="0.15">
      <c r="A2708" s="9">
        <v>2707</v>
      </c>
      <c r="B2708" s="10" t="s">
        <v>9</v>
      </c>
      <c r="C2708" s="10" t="s">
        <v>299</v>
      </c>
      <c r="D2708" s="10" t="s">
        <v>300</v>
      </c>
      <c r="E2708" s="11" t="str">
        <f>+HYPERLINK("http://trademark.i-assist.jp/data/china/image_1898th/78695604.pdf", "78695604")</f>
        <v>78695604</v>
      </c>
      <c r="F2708" s="10" t="s">
        <v>7509</v>
      </c>
      <c r="G2708" s="10" t="s">
        <v>7510</v>
      </c>
      <c r="H2708" s="10" t="s">
        <v>7511</v>
      </c>
      <c r="I2708" s="10" t="s">
        <v>1374</v>
      </c>
    </row>
    <row r="2709" spans="1:9" x14ac:dyDescent="0.15">
      <c r="A2709" s="9">
        <v>2708</v>
      </c>
      <c r="B2709" s="10" t="s">
        <v>9</v>
      </c>
      <c r="C2709" s="10" t="s">
        <v>299</v>
      </c>
      <c r="D2709" s="10" t="s">
        <v>300</v>
      </c>
      <c r="E2709" s="11" t="str">
        <f>+HYPERLINK("http://trademark.i-assist.jp/data/china/image_1898th/78695692.pdf", "78695692")</f>
        <v>78695692</v>
      </c>
      <c r="F2709" s="10" t="s">
        <v>7512</v>
      </c>
      <c r="G2709" s="10" t="s">
        <v>7513</v>
      </c>
      <c r="H2709" s="10" t="s">
        <v>7514</v>
      </c>
      <c r="I2709" s="10" t="s">
        <v>1374</v>
      </c>
    </row>
    <row r="2710" spans="1:9" x14ac:dyDescent="0.15">
      <c r="A2710" s="9">
        <v>2709</v>
      </c>
      <c r="B2710" s="10" t="s">
        <v>9</v>
      </c>
      <c r="C2710" s="10" t="s">
        <v>299</v>
      </c>
      <c r="D2710" s="10" t="s">
        <v>300</v>
      </c>
      <c r="E2710" s="11" t="str">
        <f>+HYPERLINK("http://trademark.i-assist.jp/data/china/image_1898th/78696156.pdf", "78696156")</f>
        <v>78696156</v>
      </c>
      <c r="F2710" s="10" t="s">
        <v>7515</v>
      </c>
      <c r="G2710" s="10" t="s">
        <v>7516</v>
      </c>
      <c r="H2710" s="10" t="s">
        <v>7517</v>
      </c>
      <c r="I2710" s="10" t="s">
        <v>1374</v>
      </c>
    </row>
    <row r="2711" spans="1:9" x14ac:dyDescent="0.15">
      <c r="A2711" s="9">
        <v>2710</v>
      </c>
      <c r="B2711" s="10" t="s">
        <v>9</v>
      </c>
      <c r="C2711" s="10" t="s">
        <v>299</v>
      </c>
      <c r="D2711" s="10" t="s">
        <v>300</v>
      </c>
      <c r="E2711" s="11" t="str">
        <f>+HYPERLINK("http://trademark.i-assist.jp/data/china/image_1898th/78696330.pdf", "78696330")</f>
        <v>78696330</v>
      </c>
      <c r="F2711" s="10" t="s">
        <v>7518</v>
      </c>
      <c r="G2711" s="10" t="s">
        <v>7519</v>
      </c>
      <c r="H2711" s="10" t="s">
        <v>7520</v>
      </c>
      <c r="I2711" s="10" t="s">
        <v>1374</v>
      </c>
    </row>
    <row r="2712" spans="1:9" x14ac:dyDescent="0.15">
      <c r="A2712" s="9">
        <v>2711</v>
      </c>
      <c r="B2712" s="10" t="s">
        <v>9</v>
      </c>
      <c r="C2712" s="10" t="s">
        <v>299</v>
      </c>
      <c r="D2712" s="10" t="s">
        <v>300</v>
      </c>
      <c r="E2712" s="11" t="str">
        <f>+HYPERLINK("http://trademark.i-assist.jp/data/china/image_1898th/78696339.pdf", "78696339")</f>
        <v>78696339</v>
      </c>
      <c r="F2712" s="10" t="s">
        <v>7521</v>
      </c>
      <c r="G2712" s="10" t="s">
        <v>7343</v>
      </c>
      <c r="H2712" s="10" t="s">
        <v>7522</v>
      </c>
      <c r="I2712" s="10" t="s">
        <v>1374</v>
      </c>
    </row>
    <row r="2713" spans="1:9" x14ac:dyDescent="0.15">
      <c r="A2713" s="9">
        <v>2712</v>
      </c>
      <c r="B2713" s="10" t="s">
        <v>9</v>
      </c>
      <c r="C2713" s="10" t="s">
        <v>299</v>
      </c>
      <c r="D2713" s="10" t="s">
        <v>300</v>
      </c>
      <c r="E2713" s="11" t="str">
        <f>+HYPERLINK("http://trademark.i-assist.jp/data/china/image_1898th/78696386.pdf", "78696386")</f>
        <v>78696386</v>
      </c>
      <c r="F2713" s="10" t="s">
        <v>7523</v>
      </c>
      <c r="G2713" s="10" t="s">
        <v>7524</v>
      </c>
      <c r="H2713" s="10" t="s">
        <v>7525</v>
      </c>
      <c r="I2713" s="10" t="s">
        <v>1374</v>
      </c>
    </row>
    <row r="2714" spans="1:9" x14ac:dyDescent="0.15">
      <c r="A2714" s="9">
        <v>2713</v>
      </c>
      <c r="B2714" s="10" t="s">
        <v>9</v>
      </c>
      <c r="C2714" s="10" t="s">
        <v>299</v>
      </c>
      <c r="D2714" s="10" t="s">
        <v>300</v>
      </c>
      <c r="E2714" s="11" t="str">
        <f>+HYPERLINK("http://trademark.i-assist.jp/data/china/image_1898th/78696716.pdf", "78696716")</f>
        <v>78696716</v>
      </c>
      <c r="F2714" s="10" t="s">
        <v>7526</v>
      </c>
      <c r="G2714" s="10" t="s">
        <v>7527</v>
      </c>
      <c r="H2714" s="10" t="s">
        <v>7528</v>
      </c>
      <c r="I2714" s="10" t="s">
        <v>1374</v>
      </c>
    </row>
    <row r="2715" spans="1:9" x14ac:dyDescent="0.15">
      <c r="A2715" s="9">
        <v>2714</v>
      </c>
      <c r="B2715" s="10" t="s">
        <v>9</v>
      </c>
      <c r="C2715" s="10" t="s">
        <v>299</v>
      </c>
      <c r="D2715" s="10" t="s">
        <v>300</v>
      </c>
      <c r="E2715" s="11" t="str">
        <f>+HYPERLINK("http://trademark.i-assist.jp/data/china/image_1898th/78696726.pdf", "78696726")</f>
        <v>78696726</v>
      </c>
      <c r="F2715" s="10" t="s">
        <v>7529</v>
      </c>
      <c r="G2715" s="10" t="s">
        <v>7325</v>
      </c>
      <c r="H2715" s="10" t="s">
        <v>7530</v>
      </c>
      <c r="I2715" s="10" t="s">
        <v>1374</v>
      </c>
    </row>
    <row r="2716" spans="1:9" x14ac:dyDescent="0.15">
      <c r="A2716" s="9">
        <v>2715</v>
      </c>
      <c r="B2716" s="10" t="s">
        <v>9</v>
      </c>
      <c r="C2716" s="10" t="s">
        <v>299</v>
      </c>
      <c r="D2716" s="10" t="s">
        <v>300</v>
      </c>
      <c r="E2716" s="11" t="str">
        <f>+HYPERLINK("http://trademark.i-assist.jp/data/china/image_1898th/78696991.pdf", "78696991")</f>
        <v>78696991</v>
      </c>
      <c r="F2716" s="10" t="s">
        <v>7531</v>
      </c>
      <c r="G2716" s="10" t="s">
        <v>7532</v>
      </c>
      <c r="H2716" s="10" t="s">
        <v>7533</v>
      </c>
      <c r="I2716" s="10" t="s">
        <v>1374</v>
      </c>
    </row>
    <row r="2717" spans="1:9" x14ac:dyDescent="0.15">
      <c r="A2717" s="9">
        <v>2716</v>
      </c>
      <c r="B2717" s="10" t="s">
        <v>9</v>
      </c>
      <c r="C2717" s="10" t="s">
        <v>299</v>
      </c>
      <c r="D2717" s="10" t="s">
        <v>300</v>
      </c>
      <c r="E2717" s="11" t="str">
        <f>+HYPERLINK("http://trademark.i-assist.jp/data/china/image_1898th/78697062.pdf", "78697062")</f>
        <v>78697062</v>
      </c>
      <c r="F2717" s="10" t="s">
        <v>7534</v>
      </c>
      <c r="G2717" s="10" t="s">
        <v>6408</v>
      </c>
      <c r="H2717" s="10" t="s">
        <v>7535</v>
      </c>
      <c r="I2717" s="10" t="s">
        <v>1374</v>
      </c>
    </row>
    <row r="2718" spans="1:9" x14ac:dyDescent="0.15">
      <c r="A2718" s="9">
        <v>2717</v>
      </c>
      <c r="B2718" s="10" t="s">
        <v>9</v>
      </c>
      <c r="C2718" s="10" t="s">
        <v>299</v>
      </c>
      <c r="D2718" s="10" t="s">
        <v>300</v>
      </c>
      <c r="E2718" s="11" t="str">
        <f>+HYPERLINK("http://trademark.i-assist.jp/data/china/image_1898th/78697251.pdf", "78697251")</f>
        <v>78697251</v>
      </c>
      <c r="F2718" s="10" t="s">
        <v>7536</v>
      </c>
      <c r="G2718" s="10" t="s">
        <v>7537</v>
      </c>
      <c r="H2718" s="10" t="s">
        <v>7538</v>
      </c>
      <c r="I2718" s="10" t="s">
        <v>1374</v>
      </c>
    </row>
    <row r="2719" spans="1:9" x14ac:dyDescent="0.15">
      <c r="A2719" s="9">
        <v>2718</v>
      </c>
      <c r="B2719" s="10" t="s">
        <v>9</v>
      </c>
      <c r="C2719" s="10" t="s">
        <v>299</v>
      </c>
      <c r="D2719" s="10" t="s">
        <v>300</v>
      </c>
      <c r="E2719" s="11" t="str">
        <f>+HYPERLINK("http://trademark.i-assist.jp/data/china/image_1898th/78697313.pdf", "78697313")</f>
        <v>78697313</v>
      </c>
      <c r="F2719" s="10" t="s">
        <v>7539</v>
      </c>
      <c r="G2719" s="10" t="s">
        <v>7527</v>
      </c>
      <c r="H2719" s="10" t="s">
        <v>7540</v>
      </c>
      <c r="I2719" s="10" t="s">
        <v>1374</v>
      </c>
    </row>
    <row r="2720" spans="1:9" x14ac:dyDescent="0.15">
      <c r="A2720" s="9">
        <v>2719</v>
      </c>
      <c r="B2720" s="10" t="s">
        <v>9</v>
      </c>
      <c r="C2720" s="10" t="s">
        <v>299</v>
      </c>
      <c r="D2720" s="10" t="s">
        <v>300</v>
      </c>
      <c r="E2720" s="11" t="str">
        <f>+HYPERLINK("http://trademark.i-assist.jp/data/china/image_1898th/78697391.pdf", "78697391")</f>
        <v>78697391</v>
      </c>
      <c r="F2720" s="10" t="s">
        <v>7541</v>
      </c>
      <c r="G2720" s="10" t="s">
        <v>7542</v>
      </c>
      <c r="H2720" s="10" t="s">
        <v>7543</v>
      </c>
      <c r="I2720" s="10" t="s">
        <v>1374</v>
      </c>
    </row>
    <row r="2721" spans="1:9" x14ac:dyDescent="0.15">
      <c r="A2721" s="9">
        <v>2720</v>
      </c>
      <c r="B2721" s="10" t="s">
        <v>9</v>
      </c>
      <c r="C2721" s="10" t="s">
        <v>299</v>
      </c>
      <c r="D2721" s="10" t="s">
        <v>300</v>
      </c>
      <c r="E2721" s="11" t="str">
        <f>+HYPERLINK("http://trademark.i-assist.jp/data/china/image_1898th/78697684.pdf", "78697684")</f>
        <v>78697684</v>
      </c>
      <c r="F2721" s="10" t="s">
        <v>7544</v>
      </c>
      <c r="G2721" s="10" t="s">
        <v>7545</v>
      </c>
      <c r="H2721" s="10" t="s">
        <v>7546</v>
      </c>
      <c r="I2721" s="10" t="s">
        <v>1374</v>
      </c>
    </row>
    <row r="2722" spans="1:9" x14ac:dyDescent="0.15">
      <c r="A2722" s="9">
        <v>2721</v>
      </c>
      <c r="B2722" s="10" t="s">
        <v>9</v>
      </c>
      <c r="C2722" s="10" t="s">
        <v>299</v>
      </c>
      <c r="D2722" s="10" t="s">
        <v>300</v>
      </c>
      <c r="E2722" s="11" t="str">
        <f>+HYPERLINK("http://trademark.i-assist.jp/data/china/image_1898th/78697688.pdf", "78697688")</f>
        <v>78697688</v>
      </c>
      <c r="F2722" s="10" t="s">
        <v>7547</v>
      </c>
      <c r="G2722" s="10" t="s">
        <v>7548</v>
      </c>
      <c r="H2722" s="10" t="s">
        <v>7549</v>
      </c>
      <c r="I2722" s="10" t="s">
        <v>1374</v>
      </c>
    </row>
    <row r="2723" spans="1:9" x14ac:dyDescent="0.15">
      <c r="A2723" s="9">
        <v>2722</v>
      </c>
      <c r="B2723" s="10" t="s">
        <v>9</v>
      </c>
      <c r="C2723" s="10" t="s">
        <v>299</v>
      </c>
      <c r="D2723" s="10" t="s">
        <v>300</v>
      </c>
      <c r="E2723" s="11" t="str">
        <f>+HYPERLINK("http://trademark.i-assist.jp/data/china/image_1898th/78697716.pdf", "78697716")</f>
        <v>78697716</v>
      </c>
      <c r="F2723" s="10" t="s">
        <v>7550</v>
      </c>
      <c r="G2723" s="10" t="s">
        <v>7551</v>
      </c>
      <c r="H2723" s="10" t="s">
        <v>7552</v>
      </c>
      <c r="I2723" s="10" t="s">
        <v>1374</v>
      </c>
    </row>
    <row r="2724" spans="1:9" x14ac:dyDescent="0.15">
      <c r="A2724" s="9">
        <v>2723</v>
      </c>
      <c r="B2724" s="10" t="s">
        <v>9</v>
      </c>
      <c r="C2724" s="10" t="s">
        <v>299</v>
      </c>
      <c r="D2724" s="10" t="s">
        <v>300</v>
      </c>
      <c r="E2724" s="11" t="str">
        <f>+HYPERLINK("http://trademark.i-assist.jp/data/china/image_1898th/78697732.pdf", "78697732")</f>
        <v>78697732</v>
      </c>
      <c r="F2724" s="10" t="s">
        <v>7553</v>
      </c>
      <c r="G2724" s="10" t="s">
        <v>7379</v>
      </c>
      <c r="H2724" s="10" t="s">
        <v>7554</v>
      </c>
      <c r="I2724" s="10" t="s">
        <v>1374</v>
      </c>
    </row>
    <row r="2725" spans="1:9" x14ac:dyDescent="0.15">
      <c r="A2725" s="9">
        <v>2724</v>
      </c>
      <c r="B2725" s="10" t="s">
        <v>9</v>
      </c>
      <c r="C2725" s="10" t="s">
        <v>299</v>
      </c>
      <c r="D2725" s="10" t="s">
        <v>300</v>
      </c>
      <c r="E2725" s="11" t="str">
        <f>+HYPERLINK("http://trademark.i-assist.jp/data/china/image_1898th/78697750.pdf", "78697750")</f>
        <v>78697750</v>
      </c>
      <c r="F2725" s="10" t="s">
        <v>7555</v>
      </c>
      <c r="G2725" s="10" t="s">
        <v>7556</v>
      </c>
      <c r="H2725" s="10" t="s">
        <v>7557</v>
      </c>
      <c r="I2725" s="10" t="s">
        <v>1374</v>
      </c>
    </row>
    <row r="2726" spans="1:9" x14ac:dyDescent="0.15">
      <c r="A2726" s="9">
        <v>2725</v>
      </c>
      <c r="B2726" s="10" t="s">
        <v>9</v>
      </c>
      <c r="C2726" s="10" t="s">
        <v>299</v>
      </c>
      <c r="D2726" s="10" t="s">
        <v>300</v>
      </c>
      <c r="E2726" s="11" t="str">
        <f>+HYPERLINK("http://trademark.i-assist.jp/data/china/image_1898th/78697926.pdf", "78697926")</f>
        <v>78697926</v>
      </c>
      <c r="F2726" s="10" t="s">
        <v>7558</v>
      </c>
      <c r="G2726" s="10" t="s">
        <v>7325</v>
      </c>
      <c r="H2726" s="10" t="s">
        <v>7559</v>
      </c>
      <c r="I2726" s="10" t="s">
        <v>1374</v>
      </c>
    </row>
    <row r="2727" spans="1:9" x14ac:dyDescent="0.15">
      <c r="A2727" s="9">
        <v>2726</v>
      </c>
      <c r="B2727" s="10" t="s">
        <v>9</v>
      </c>
      <c r="C2727" s="10" t="s">
        <v>299</v>
      </c>
      <c r="D2727" s="10" t="s">
        <v>300</v>
      </c>
      <c r="E2727" s="11" t="str">
        <f>+HYPERLINK("http://trademark.i-assist.jp/data/china/image_1898th/78698448.pdf", "78698448")</f>
        <v>78698448</v>
      </c>
      <c r="F2727" s="10" t="s">
        <v>7560</v>
      </c>
      <c r="G2727" s="10" t="s">
        <v>7561</v>
      </c>
      <c r="H2727" s="10" t="s">
        <v>7562</v>
      </c>
      <c r="I2727" s="10" t="s">
        <v>1374</v>
      </c>
    </row>
    <row r="2728" spans="1:9" x14ac:dyDescent="0.15">
      <c r="A2728" s="9">
        <v>2727</v>
      </c>
      <c r="B2728" s="10" t="s">
        <v>9</v>
      </c>
      <c r="C2728" s="10" t="s">
        <v>299</v>
      </c>
      <c r="D2728" s="10" t="s">
        <v>300</v>
      </c>
      <c r="E2728" s="11" t="str">
        <f>+HYPERLINK("http://trademark.i-assist.jp/data/china/image_1898th/78698694.pdf", "78698694")</f>
        <v>78698694</v>
      </c>
      <c r="F2728" s="10" t="s">
        <v>7563</v>
      </c>
      <c r="G2728" s="10" t="s">
        <v>1376</v>
      </c>
      <c r="H2728" s="10" t="s">
        <v>34</v>
      </c>
      <c r="I2728" s="10" t="s">
        <v>1374</v>
      </c>
    </row>
    <row r="2729" spans="1:9" x14ac:dyDescent="0.15">
      <c r="A2729" s="9">
        <v>2728</v>
      </c>
      <c r="B2729" s="10" t="s">
        <v>9</v>
      </c>
      <c r="C2729" s="10" t="s">
        <v>299</v>
      </c>
      <c r="D2729" s="10" t="s">
        <v>300</v>
      </c>
      <c r="E2729" s="11" t="str">
        <f>+HYPERLINK("http://trademark.i-assist.jp/data/china/image_1898th/78699055.pdf", "78699055")</f>
        <v>78699055</v>
      </c>
      <c r="F2729" s="10" t="s">
        <v>7564</v>
      </c>
      <c r="G2729" s="10" t="s">
        <v>7565</v>
      </c>
      <c r="H2729" s="10" t="s">
        <v>7566</v>
      </c>
      <c r="I2729" s="10" t="s">
        <v>1374</v>
      </c>
    </row>
    <row r="2730" spans="1:9" x14ac:dyDescent="0.15">
      <c r="A2730" s="9">
        <v>2729</v>
      </c>
      <c r="B2730" s="10" t="s">
        <v>9</v>
      </c>
      <c r="C2730" s="10" t="s">
        <v>299</v>
      </c>
      <c r="D2730" s="10" t="s">
        <v>300</v>
      </c>
      <c r="E2730" s="11" t="str">
        <f>+HYPERLINK("http://trademark.i-assist.jp/data/china/image_1898th/78699154.pdf", "78699154")</f>
        <v>78699154</v>
      </c>
      <c r="F2730" s="10" t="s">
        <v>7567</v>
      </c>
      <c r="G2730" s="10" t="s">
        <v>7568</v>
      </c>
      <c r="H2730" s="10" t="s">
        <v>7569</v>
      </c>
      <c r="I2730" s="10" t="s">
        <v>1374</v>
      </c>
    </row>
    <row r="2731" spans="1:9" x14ac:dyDescent="0.15">
      <c r="A2731" s="9">
        <v>2730</v>
      </c>
      <c r="B2731" s="10" t="s">
        <v>9</v>
      </c>
      <c r="C2731" s="10" t="s">
        <v>299</v>
      </c>
      <c r="D2731" s="10" t="s">
        <v>300</v>
      </c>
      <c r="E2731" s="11" t="str">
        <f>+HYPERLINK("http://trademark.i-assist.jp/data/china/image_1898th/78699226.pdf", "78699226")</f>
        <v>78699226</v>
      </c>
      <c r="F2731" s="10" t="s">
        <v>7570</v>
      </c>
      <c r="G2731" s="10" t="s">
        <v>7571</v>
      </c>
      <c r="H2731" s="10" t="s">
        <v>7572</v>
      </c>
      <c r="I2731" s="10" t="s">
        <v>1374</v>
      </c>
    </row>
    <row r="2732" spans="1:9" x14ac:dyDescent="0.15">
      <c r="A2732" s="9">
        <v>2731</v>
      </c>
      <c r="B2732" s="10" t="s">
        <v>9</v>
      </c>
      <c r="C2732" s="10" t="s">
        <v>299</v>
      </c>
      <c r="D2732" s="10" t="s">
        <v>300</v>
      </c>
      <c r="E2732" s="11" t="str">
        <f>+HYPERLINK("http://trademark.i-assist.jp/data/china/image_1898th/78699285.pdf", "78699285")</f>
        <v>78699285</v>
      </c>
      <c r="F2732" s="10" t="s">
        <v>7573</v>
      </c>
      <c r="G2732" s="10" t="s">
        <v>7574</v>
      </c>
      <c r="H2732" s="10" t="s">
        <v>7575</v>
      </c>
      <c r="I2732" s="10" t="s">
        <v>1374</v>
      </c>
    </row>
    <row r="2733" spans="1:9" x14ac:dyDescent="0.15">
      <c r="A2733" s="9">
        <v>2732</v>
      </c>
      <c r="B2733" s="10" t="s">
        <v>9</v>
      </c>
      <c r="C2733" s="10" t="s">
        <v>299</v>
      </c>
      <c r="D2733" s="10" t="s">
        <v>300</v>
      </c>
      <c r="E2733" s="11" t="str">
        <f>+HYPERLINK("http://trademark.i-assist.jp/data/china/image_1898th/78699386.pdf", "78699386")</f>
        <v>78699386</v>
      </c>
      <c r="F2733" s="10" t="s">
        <v>7576</v>
      </c>
      <c r="G2733" s="10" t="s">
        <v>7577</v>
      </c>
      <c r="H2733" s="10" t="s">
        <v>7578</v>
      </c>
      <c r="I2733" s="10" t="s">
        <v>1374</v>
      </c>
    </row>
    <row r="2734" spans="1:9" x14ac:dyDescent="0.15">
      <c r="A2734" s="9">
        <v>2733</v>
      </c>
      <c r="B2734" s="10" t="s">
        <v>9</v>
      </c>
      <c r="C2734" s="10" t="s">
        <v>299</v>
      </c>
      <c r="D2734" s="10" t="s">
        <v>300</v>
      </c>
      <c r="E2734" s="11" t="str">
        <f>+HYPERLINK("http://trademark.i-assist.jp/data/china/image_1898th/78699440.pdf", "78699440")</f>
        <v>78699440</v>
      </c>
      <c r="F2734" s="10" t="s">
        <v>7579</v>
      </c>
      <c r="G2734" s="10" t="s">
        <v>7580</v>
      </c>
      <c r="H2734" s="10" t="s">
        <v>7581</v>
      </c>
      <c r="I2734" s="10" t="s">
        <v>1374</v>
      </c>
    </row>
    <row r="2735" spans="1:9" x14ac:dyDescent="0.15">
      <c r="A2735" s="9">
        <v>2734</v>
      </c>
      <c r="B2735" s="10" t="s">
        <v>9</v>
      </c>
      <c r="C2735" s="10" t="s">
        <v>299</v>
      </c>
      <c r="D2735" s="10" t="s">
        <v>300</v>
      </c>
      <c r="E2735" s="11" t="str">
        <f>+HYPERLINK("http://trademark.i-assist.jp/data/china/image_1898th/78699544.pdf", "78699544")</f>
        <v>78699544</v>
      </c>
      <c r="F2735" s="10" t="s">
        <v>7582</v>
      </c>
      <c r="G2735" s="10" t="s">
        <v>7583</v>
      </c>
      <c r="H2735" s="10" t="s">
        <v>7584</v>
      </c>
      <c r="I2735" s="10" t="s">
        <v>1374</v>
      </c>
    </row>
    <row r="2736" spans="1:9" x14ac:dyDescent="0.15">
      <c r="A2736" s="9">
        <v>2735</v>
      </c>
      <c r="B2736" s="10" t="s">
        <v>9</v>
      </c>
      <c r="C2736" s="10" t="s">
        <v>299</v>
      </c>
      <c r="D2736" s="10" t="s">
        <v>300</v>
      </c>
      <c r="E2736" s="11" t="str">
        <f>+HYPERLINK("http://trademark.i-assist.jp/data/china/image_1898th/78700172.pdf", "78700172")</f>
        <v>78700172</v>
      </c>
      <c r="F2736" s="10" t="s">
        <v>7585</v>
      </c>
      <c r="G2736" s="10" t="s">
        <v>7586</v>
      </c>
      <c r="H2736" s="10" t="s">
        <v>7587</v>
      </c>
      <c r="I2736" s="10" t="s">
        <v>1374</v>
      </c>
    </row>
    <row r="2737" spans="1:9" x14ac:dyDescent="0.15">
      <c r="A2737" s="9">
        <v>2736</v>
      </c>
      <c r="B2737" s="10" t="s">
        <v>9</v>
      </c>
      <c r="C2737" s="10" t="s">
        <v>299</v>
      </c>
      <c r="D2737" s="10" t="s">
        <v>300</v>
      </c>
      <c r="E2737" s="11" t="str">
        <f>+HYPERLINK("http://trademark.i-assist.jp/data/china/image_1898th/78700282.pdf", "78700282")</f>
        <v>78700282</v>
      </c>
      <c r="F2737" s="10" t="s">
        <v>7588</v>
      </c>
      <c r="G2737" s="10" t="s">
        <v>7580</v>
      </c>
      <c r="H2737" s="10" t="s">
        <v>7589</v>
      </c>
      <c r="I2737" s="10" t="s">
        <v>1374</v>
      </c>
    </row>
    <row r="2738" spans="1:9" x14ac:dyDescent="0.15">
      <c r="A2738" s="9">
        <v>2737</v>
      </c>
      <c r="B2738" s="10" t="s">
        <v>9</v>
      </c>
      <c r="C2738" s="10" t="s">
        <v>299</v>
      </c>
      <c r="D2738" s="10" t="s">
        <v>300</v>
      </c>
      <c r="E2738" s="11" t="str">
        <f>+HYPERLINK("http://trademark.i-assist.jp/data/china/image_1898th/78700340.pdf", "78700340")</f>
        <v>78700340</v>
      </c>
      <c r="F2738" s="10" t="s">
        <v>7590</v>
      </c>
      <c r="G2738" s="10" t="s">
        <v>7574</v>
      </c>
      <c r="H2738" s="10" t="s">
        <v>7591</v>
      </c>
      <c r="I2738" s="10" t="s">
        <v>1374</v>
      </c>
    </row>
    <row r="2739" spans="1:9" x14ac:dyDescent="0.15">
      <c r="A2739" s="9">
        <v>2738</v>
      </c>
      <c r="B2739" s="10" t="s">
        <v>9</v>
      </c>
      <c r="C2739" s="10" t="s">
        <v>299</v>
      </c>
      <c r="D2739" s="10" t="s">
        <v>300</v>
      </c>
      <c r="E2739" s="11" t="str">
        <f>+HYPERLINK("http://trademark.i-assist.jp/data/china/image_1898th/78700665.pdf", "78700665")</f>
        <v>78700665</v>
      </c>
      <c r="F2739" s="10" t="s">
        <v>7592</v>
      </c>
      <c r="G2739" s="10" t="s">
        <v>7593</v>
      </c>
      <c r="H2739" s="10" t="s">
        <v>7594</v>
      </c>
      <c r="I2739" s="10" t="s">
        <v>1374</v>
      </c>
    </row>
    <row r="2740" spans="1:9" x14ac:dyDescent="0.15">
      <c r="A2740" s="9">
        <v>2739</v>
      </c>
      <c r="B2740" s="10" t="s">
        <v>9</v>
      </c>
      <c r="C2740" s="10" t="s">
        <v>299</v>
      </c>
      <c r="D2740" s="10" t="s">
        <v>300</v>
      </c>
      <c r="E2740" s="11" t="str">
        <f>+HYPERLINK("http://trademark.i-assist.jp/data/china/image_1898th/78700733.pdf", "78700733")</f>
        <v>78700733</v>
      </c>
      <c r="F2740" s="10" t="s">
        <v>7595</v>
      </c>
      <c r="G2740" s="10" t="s">
        <v>7596</v>
      </c>
      <c r="H2740" s="10" t="s">
        <v>7597</v>
      </c>
      <c r="I2740" s="10" t="s">
        <v>1374</v>
      </c>
    </row>
    <row r="2741" spans="1:9" x14ac:dyDescent="0.15">
      <c r="A2741" s="9">
        <v>2740</v>
      </c>
      <c r="B2741" s="10" t="s">
        <v>9</v>
      </c>
      <c r="C2741" s="10" t="s">
        <v>299</v>
      </c>
      <c r="D2741" s="10" t="s">
        <v>300</v>
      </c>
      <c r="E2741" s="11" t="str">
        <f>+HYPERLINK("http://trademark.i-assist.jp/data/china/image_1898th/78700755.pdf", "78700755")</f>
        <v>78700755</v>
      </c>
      <c r="F2741" s="10" t="s">
        <v>7598</v>
      </c>
      <c r="G2741" s="10" t="s">
        <v>208</v>
      </c>
      <c r="H2741" s="10" t="s">
        <v>7599</v>
      </c>
      <c r="I2741" s="10" t="s">
        <v>1374</v>
      </c>
    </row>
    <row r="2742" spans="1:9" x14ac:dyDescent="0.15">
      <c r="A2742" s="9">
        <v>2741</v>
      </c>
      <c r="B2742" s="10" t="s">
        <v>9</v>
      </c>
      <c r="C2742" s="10" t="s">
        <v>299</v>
      </c>
      <c r="D2742" s="10" t="s">
        <v>300</v>
      </c>
      <c r="E2742" s="11" t="str">
        <f>+HYPERLINK("http://trademark.i-assist.jp/data/china/image_1898th/78700761.pdf", "78700761")</f>
        <v>78700761</v>
      </c>
      <c r="F2742" s="10" t="s">
        <v>7600</v>
      </c>
      <c r="G2742" s="10" t="s">
        <v>208</v>
      </c>
      <c r="H2742" s="10" t="s">
        <v>7601</v>
      </c>
      <c r="I2742" s="10" t="s">
        <v>1374</v>
      </c>
    </row>
    <row r="2743" spans="1:9" x14ac:dyDescent="0.15">
      <c r="A2743" s="9">
        <v>2742</v>
      </c>
      <c r="B2743" s="10" t="s">
        <v>9</v>
      </c>
      <c r="C2743" s="10" t="s">
        <v>299</v>
      </c>
      <c r="D2743" s="10" t="s">
        <v>300</v>
      </c>
      <c r="E2743" s="11" t="str">
        <f>+HYPERLINK("http://trademark.i-assist.jp/data/china/image_1898th/78700811.pdf", "78700811")</f>
        <v>78700811</v>
      </c>
      <c r="F2743" s="10" t="s">
        <v>7602</v>
      </c>
      <c r="G2743" s="10" t="s">
        <v>4874</v>
      </c>
      <c r="H2743" s="10" t="s">
        <v>7603</v>
      </c>
      <c r="I2743" s="10" t="s">
        <v>1374</v>
      </c>
    </row>
    <row r="2744" spans="1:9" x14ac:dyDescent="0.15">
      <c r="A2744" s="9">
        <v>2743</v>
      </c>
      <c r="B2744" s="10" t="s">
        <v>9</v>
      </c>
      <c r="C2744" s="10" t="s">
        <v>299</v>
      </c>
      <c r="D2744" s="10" t="s">
        <v>300</v>
      </c>
      <c r="E2744" s="11" t="str">
        <f>+HYPERLINK("http://trademark.i-assist.jp/data/china/image_1898th/78700964.pdf", "78700964")</f>
        <v>78700964</v>
      </c>
      <c r="F2744" s="10" t="s">
        <v>7604</v>
      </c>
      <c r="G2744" s="10" t="s">
        <v>7496</v>
      </c>
      <c r="H2744" s="10" t="s">
        <v>7605</v>
      </c>
      <c r="I2744" s="10" t="s">
        <v>1374</v>
      </c>
    </row>
    <row r="2745" spans="1:9" x14ac:dyDescent="0.15">
      <c r="A2745" s="9">
        <v>2744</v>
      </c>
      <c r="B2745" s="10" t="s">
        <v>9</v>
      </c>
      <c r="C2745" s="10" t="s">
        <v>299</v>
      </c>
      <c r="D2745" s="10" t="s">
        <v>300</v>
      </c>
      <c r="E2745" s="11" t="str">
        <f>+HYPERLINK("http://trademark.i-assist.jp/data/china/image_1898th/78701405.pdf", "78701405")</f>
        <v>78701405</v>
      </c>
      <c r="F2745" s="10" t="s">
        <v>1410</v>
      </c>
      <c r="G2745" s="10" t="s">
        <v>1411</v>
      </c>
      <c r="H2745" s="10" t="s">
        <v>7606</v>
      </c>
      <c r="I2745" s="10" t="s">
        <v>1374</v>
      </c>
    </row>
    <row r="2746" spans="1:9" x14ac:dyDescent="0.15">
      <c r="A2746" s="9">
        <v>2745</v>
      </c>
      <c r="B2746" s="10" t="s">
        <v>9</v>
      </c>
      <c r="C2746" s="10" t="s">
        <v>299</v>
      </c>
      <c r="D2746" s="10" t="s">
        <v>300</v>
      </c>
      <c r="E2746" s="11" t="str">
        <f>+HYPERLINK("http://trademark.i-assist.jp/data/china/image_1898th/78701564.pdf", "78701564")</f>
        <v>78701564</v>
      </c>
      <c r="F2746" s="10" t="s">
        <v>7607</v>
      </c>
      <c r="G2746" s="10" t="s">
        <v>7608</v>
      </c>
      <c r="H2746" s="10" t="s">
        <v>7609</v>
      </c>
      <c r="I2746" s="10" t="s">
        <v>1374</v>
      </c>
    </row>
    <row r="2747" spans="1:9" x14ac:dyDescent="0.15">
      <c r="A2747" s="9">
        <v>2746</v>
      </c>
      <c r="B2747" s="10" t="s">
        <v>9</v>
      </c>
      <c r="C2747" s="10" t="s">
        <v>299</v>
      </c>
      <c r="D2747" s="10" t="s">
        <v>300</v>
      </c>
      <c r="E2747" s="11" t="str">
        <f>+HYPERLINK("http://trademark.i-assist.jp/data/china/image_1898th/78701837.pdf", "78701837")</f>
        <v>78701837</v>
      </c>
      <c r="F2747" s="10" t="s">
        <v>7610</v>
      </c>
      <c r="G2747" s="10" t="s">
        <v>7611</v>
      </c>
      <c r="H2747" s="10" t="s">
        <v>7612</v>
      </c>
      <c r="I2747" s="10" t="s">
        <v>1374</v>
      </c>
    </row>
    <row r="2748" spans="1:9" x14ac:dyDescent="0.15">
      <c r="A2748" s="9">
        <v>2747</v>
      </c>
      <c r="B2748" s="10" t="s">
        <v>9</v>
      </c>
      <c r="C2748" s="10" t="s">
        <v>299</v>
      </c>
      <c r="D2748" s="10" t="s">
        <v>300</v>
      </c>
      <c r="E2748" s="11" t="str">
        <f>+HYPERLINK("http://trademark.i-assist.jp/data/china/image_1898th/78701881.pdf", "78701881")</f>
        <v>78701881</v>
      </c>
      <c r="F2748" s="10" t="s">
        <v>7613</v>
      </c>
      <c r="G2748" s="10" t="s">
        <v>3669</v>
      </c>
      <c r="H2748" s="10" t="s">
        <v>7614</v>
      </c>
      <c r="I2748" s="10" t="s">
        <v>1374</v>
      </c>
    </row>
    <row r="2749" spans="1:9" x14ac:dyDescent="0.15">
      <c r="A2749" s="9">
        <v>2748</v>
      </c>
      <c r="B2749" s="10" t="s">
        <v>9</v>
      </c>
      <c r="C2749" s="10" t="s">
        <v>299</v>
      </c>
      <c r="D2749" s="10" t="s">
        <v>300</v>
      </c>
      <c r="E2749" s="11" t="str">
        <f>+HYPERLINK("http://trademark.i-assist.jp/data/china/image_1898th/78702028.pdf", "78702028")</f>
        <v>78702028</v>
      </c>
      <c r="F2749" s="10" t="s">
        <v>7615</v>
      </c>
      <c r="G2749" s="10" t="s">
        <v>7352</v>
      </c>
      <c r="H2749" s="10" t="s">
        <v>7616</v>
      </c>
      <c r="I2749" s="10" t="s">
        <v>1374</v>
      </c>
    </row>
    <row r="2750" spans="1:9" x14ac:dyDescent="0.15">
      <c r="A2750" s="9">
        <v>2749</v>
      </c>
      <c r="B2750" s="10" t="s">
        <v>9</v>
      </c>
      <c r="C2750" s="10" t="s">
        <v>299</v>
      </c>
      <c r="D2750" s="10" t="s">
        <v>300</v>
      </c>
      <c r="E2750" s="11" t="str">
        <f>+HYPERLINK("http://trademark.i-assist.jp/data/china/image_1898th/78702091.pdf", "78702091")</f>
        <v>78702091</v>
      </c>
      <c r="F2750" s="10" t="s">
        <v>7617</v>
      </c>
      <c r="G2750" s="10" t="s">
        <v>7618</v>
      </c>
      <c r="H2750" s="10" t="s">
        <v>7619</v>
      </c>
      <c r="I2750" s="10" t="s">
        <v>1374</v>
      </c>
    </row>
    <row r="2751" spans="1:9" x14ac:dyDescent="0.15">
      <c r="A2751" s="9">
        <v>2750</v>
      </c>
      <c r="B2751" s="10" t="s">
        <v>9</v>
      </c>
      <c r="C2751" s="10" t="s">
        <v>299</v>
      </c>
      <c r="D2751" s="10" t="s">
        <v>300</v>
      </c>
      <c r="E2751" s="11" t="str">
        <f>+HYPERLINK("http://trademark.i-assist.jp/data/china/image_1898th/78702222.pdf", "78702222")</f>
        <v>78702222</v>
      </c>
      <c r="F2751" s="10" t="s">
        <v>7620</v>
      </c>
      <c r="G2751" s="10" t="s">
        <v>7561</v>
      </c>
      <c r="H2751" s="10" t="s">
        <v>7621</v>
      </c>
      <c r="I2751" s="10" t="s">
        <v>1374</v>
      </c>
    </row>
    <row r="2752" spans="1:9" x14ac:dyDescent="0.15">
      <c r="A2752" s="9">
        <v>2751</v>
      </c>
      <c r="B2752" s="10" t="s">
        <v>9</v>
      </c>
      <c r="C2752" s="10" t="s">
        <v>299</v>
      </c>
      <c r="D2752" s="10" t="s">
        <v>300</v>
      </c>
      <c r="E2752" s="11" t="str">
        <f>+HYPERLINK("http://trademark.i-assist.jp/data/china/image_1898th/78702325.pdf", "78702325")</f>
        <v>78702325</v>
      </c>
      <c r="F2752" s="10" t="s">
        <v>7622</v>
      </c>
      <c r="G2752" s="10" t="s">
        <v>7623</v>
      </c>
      <c r="H2752" s="10" t="s">
        <v>7624</v>
      </c>
      <c r="I2752" s="10" t="s">
        <v>1374</v>
      </c>
    </row>
    <row r="2753" spans="1:9" x14ac:dyDescent="0.15">
      <c r="A2753" s="9">
        <v>2752</v>
      </c>
      <c r="B2753" s="10" t="s">
        <v>9</v>
      </c>
      <c r="C2753" s="10" t="s">
        <v>299</v>
      </c>
      <c r="D2753" s="10" t="s">
        <v>300</v>
      </c>
      <c r="E2753" s="11" t="str">
        <f>+HYPERLINK("http://trademark.i-assist.jp/data/china/image_1898th/78702364.pdf", "78702364")</f>
        <v>78702364</v>
      </c>
      <c r="F2753" s="10" t="s">
        <v>7625</v>
      </c>
      <c r="G2753" s="10" t="s">
        <v>7626</v>
      </c>
      <c r="H2753" s="10" t="s">
        <v>7627</v>
      </c>
      <c r="I2753" s="10" t="s">
        <v>1374</v>
      </c>
    </row>
    <row r="2754" spans="1:9" x14ac:dyDescent="0.15">
      <c r="A2754" s="9">
        <v>2753</v>
      </c>
      <c r="B2754" s="10" t="s">
        <v>9</v>
      </c>
      <c r="C2754" s="10" t="s">
        <v>299</v>
      </c>
      <c r="D2754" s="10" t="s">
        <v>300</v>
      </c>
      <c r="E2754" s="11" t="str">
        <f>+HYPERLINK("http://trademark.i-assist.jp/data/china/image_1898th/78702368.pdf", "78702368")</f>
        <v>78702368</v>
      </c>
      <c r="F2754" s="10" t="s">
        <v>19</v>
      </c>
      <c r="G2754" s="10" t="s">
        <v>7628</v>
      </c>
      <c r="H2754" s="10" t="s">
        <v>7629</v>
      </c>
      <c r="I2754" s="10" t="s">
        <v>1374</v>
      </c>
    </row>
    <row r="2755" spans="1:9" x14ac:dyDescent="0.15">
      <c r="A2755" s="9">
        <v>2754</v>
      </c>
      <c r="B2755" s="10" t="s">
        <v>9</v>
      </c>
      <c r="C2755" s="10" t="s">
        <v>299</v>
      </c>
      <c r="D2755" s="10" t="s">
        <v>300</v>
      </c>
      <c r="E2755" s="11" t="str">
        <f>+HYPERLINK("http://trademark.i-assist.jp/data/china/image_1898th/78702577.pdf", "78702577")</f>
        <v>78702577</v>
      </c>
      <c r="F2755" s="10" t="s">
        <v>7630</v>
      </c>
      <c r="G2755" s="10" t="s">
        <v>6408</v>
      </c>
      <c r="H2755" s="10" t="s">
        <v>7631</v>
      </c>
      <c r="I2755" s="10" t="s">
        <v>1374</v>
      </c>
    </row>
    <row r="2756" spans="1:9" x14ac:dyDescent="0.15">
      <c r="A2756" s="9">
        <v>2755</v>
      </c>
      <c r="B2756" s="10" t="s">
        <v>9</v>
      </c>
      <c r="C2756" s="10" t="s">
        <v>299</v>
      </c>
      <c r="D2756" s="10" t="s">
        <v>300</v>
      </c>
      <c r="E2756" s="11" t="str">
        <f>+HYPERLINK("http://trademark.i-assist.jp/data/china/image_1898th/78702760.pdf", "78702760")</f>
        <v>78702760</v>
      </c>
      <c r="F2756" s="10" t="s">
        <v>7632</v>
      </c>
      <c r="G2756" s="10" t="s">
        <v>7633</v>
      </c>
      <c r="H2756" s="10" t="s">
        <v>7634</v>
      </c>
      <c r="I2756" s="10" t="s">
        <v>1374</v>
      </c>
    </row>
    <row r="2757" spans="1:9" x14ac:dyDescent="0.15">
      <c r="A2757" s="9">
        <v>2756</v>
      </c>
      <c r="B2757" s="10" t="s">
        <v>9</v>
      </c>
      <c r="C2757" s="10" t="s">
        <v>299</v>
      </c>
      <c r="D2757" s="10" t="s">
        <v>300</v>
      </c>
      <c r="E2757" s="11" t="str">
        <f>+HYPERLINK("http://trademark.i-assist.jp/data/china/image_1898th/78702797.pdf", "78702797")</f>
        <v>78702797</v>
      </c>
      <c r="F2757" s="10" t="s">
        <v>7635</v>
      </c>
      <c r="G2757" s="10" t="s">
        <v>7325</v>
      </c>
      <c r="H2757" s="10" t="s">
        <v>7636</v>
      </c>
      <c r="I2757" s="10" t="s">
        <v>1374</v>
      </c>
    </row>
    <row r="2758" spans="1:9" x14ac:dyDescent="0.15">
      <c r="A2758" s="9">
        <v>2757</v>
      </c>
      <c r="B2758" s="10" t="s">
        <v>9</v>
      </c>
      <c r="C2758" s="10" t="s">
        <v>299</v>
      </c>
      <c r="D2758" s="10" t="s">
        <v>300</v>
      </c>
      <c r="E2758" s="11" t="str">
        <f>+HYPERLINK("http://trademark.i-assist.jp/data/china/image_1898th/78702845.pdf", "78702845")</f>
        <v>78702845</v>
      </c>
      <c r="F2758" s="10" t="s">
        <v>7637</v>
      </c>
      <c r="G2758" s="10" t="s">
        <v>124</v>
      </c>
      <c r="H2758" s="10" t="s">
        <v>7638</v>
      </c>
      <c r="I2758" s="10" t="s">
        <v>1374</v>
      </c>
    </row>
    <row r="2759" spans="1:9" x14ac:dyDescent="0.15">
      <c r="A2759" s="9">
        <v>2758</v>
      </c>
      <c r="B2759" s="10" t="s">
        <v>9</v>
      </c>
      <c r="C2759" s="10" t="s">
        <v>299</v>
      </c>
      <c r="D2759" s="10" t="s">
        <v>300</v>
      </c>
      <c r="E2759" s="11" t="str">
        <f>+HYPERLINK("http://trademark.i-assist.jp/data/china/image_1898th/78702894.pdf", "78702894")</f>
        <v>78702894</v>
      </c>
      <c r="F2759" s="10" t="s">
        <v>7639</v>
      </c>
      <c r="G2759" s="10" t="s">
        <v>7640</v>
      </c>
      <c r="H2759" s="10" t="s">
        <v>7641</v>
      </c>
      <c r="I2759" s="10" t="s">
        <v>1374</v>
      </c>
    </row>
    <row r="2760" spans="1:9" x14ac:dyDescent="0.15">
      <c r="A2760" s="9">
        <v>2759</v>
      </c>
      <c r="B2760" s="10" t="s">
        <v>9</v>
      </c>
      <c r="C2760" s="10" t="s">
        <v>299</v>
      </c>
      <c r="D2760" s="10" t="s">
        <v>300</v>
      </c>
      <c r="E2760" s="11" t="str">
        <f>+HYPERLINK("http://trademark.i-assist.jp/data/china/image_1898th/78703142.pdf", "78703142")</f>
        <v>78703142</v>
      </c>
      <c r="F2760" s="10" t="s">
        <v>7334</v>
      </c>
      <c r="G2760" s="10" t="s">
        <v>13</v>
      </c>
      <c r="H2760" s="10" t="s">
        <v>7642</v>
      </c>
      <c r="I2760" s="10" t="s">
        <v>1374</v>
      </c>
    </row>
    <row r="2761" spans="1:9" x14ac:dyDescent="0.15">
      <c r="A2761" s="9">
        <v>2760</v>
      </c>
      <c r="B2761" s="10" t="s">
        <v>9</v>
      </c>
      <c r="C2761" s="10" t="s">
        <v>299</v>
      </c>
      <c r="D2761" s="10" t="s">
        <v>300</v>
      </c>
      <c r="E2761" s="11" t="str">
        <f>+HYPERLINK("http://trademark.i-assist.jp/data/china/image_1898th/78703302.pdf", "78703302")</f>
        <v>78703302</v>
      </c>
      <c r="F2761" s="10" t="s">
        <v>7643</v>
      </c>
      <c r="G2761" s="10" t="s">
        <v>7644</v>
      </c>
      <c r="H2761" s="10" t="s">
        <v>7645</v>
      </c>
      <c r="I2761" s="10" t="s">
        <v>1374</v>
      </c>
    </row>
    <row r="2762" spans="1:9" x14ac:dyDescent="0.15">
      <c r="A2762" s="9">
        <v>2761</v>
      </c>
      <c r="B2762" s="10" t="s">
        <v>9</v>
      </c>
      <c r="C2762" s="10" t="s">
        <v>299</v>
      </c>
      <c r="D2762" s="10" t="s">
        <v>300</v>
      </c>
      <c r="E2762" s="11" t="str">
        <f>+HYPERLINK("http://trademark.i-assist.jp/data/china/image_1898th/78703468.pdf", "78703468")</f>
        <v>78703468</v>
      </c>
      <c r="F2762" s="10" t="s">
        <v>7646</v>
      </c>
      <c r="G2762" s="10" t="s">
        <v>124</v>
      </c>
      <c r="H2762" s="10" t="s">
        <v>7647</v>
      </c>
      <c r="I2762" s="10" t="s">
        <v>1374</v>
      </c>
    </row>
    <row r="2763" spans="1:9" x14ac:dyDescent="0.15">
      <c r="A2763" s="9">
        <v>2762</v>
      </c>
      <c r="B2763" s="10" t="s">
        <v>9</v>
      </c>
      <c r="C2763" s="10" t="s">
        <v>299</v>
      </c>
      <c r="D2763" s="10" t="s">
        <v>300</v>
      </c>
      <c r="E2763" s="11" t="str">
        <f>+HYPERLINK("http://trademark.i-assist.jp/data/china/image_1898th/78703469.pdf", "78703469")</f>
        <v>78703469</v>
      </c>
      <c r="F2763" s="10" t="s">
        <v>7648</v>
      </c>
      <c r="G2763" s="10" t="s">
        <v>7649</v>
      </c>
      <c r="H2763" s="10" t="s">
        <v>7650</v>
      </c>
      <c r="I2763" s="10" t="s">
        <v>1374</v>
      </c>
    </row>
    <row r="2764" spans="1:9" x14ac:dyDescent="0.15">
      <c r="A2764" s="9">
        <v>2763</v>
      </c>
      <c r="B2764" s="10" t="s">
        <v>9</v>
      </c>
      <c r="C2764" s="10" t="s">
        <v>299</v>
      </c>
      <c r="D2764" s="10" t="s">
        <v>300</v>
      </c>
      <c r="E2764" s="11" t="str">
        <f>+HYPERLINK("http://trademark.i-assist.jp/data/china/image_1898th/78703537.pdf", "78703537")</f>
        <v>78703537</v>
      </c>
      <c r="F2764" s="10" t="s">
        <v>7651</v>
      </c>
      <c r="G2764" s="10" t="s">
        <v>1414</v>
      </c>
      <c r="H2764" s="10" t="s">
        <v>7652</v>
      </c>
      <c r="I2764" s="10" t="s">
        <v>1374</v>
      </c>
    </row>
    <row r="2765" spans="1:9" x14ac:dyDescent="0.15">
      <c r="A2765" s="9">
        <v>2764</v>
      </c>
      <c r="B2765" s="10" t="s">
        <v>9</v>
      </c>
      <c r="C2765" s="10" t="s">
        <v>299</v>
      </c>
      <c r="D2765" s="10" t="s">
        <v>300</v>
      </c>
      <c r="E2765" s="11" t="str">
        <f>+HYPERLINK("http://trademark.i-assist.jp/data/china/image_1898th/78703617.pdf", "78703617")</f>
        <v>78703617</v>
      </c>
      <c r="F2765" s="10" t="s">
        <v>7592</v>
      </c>
      <c r="G2765" s="10" t="s">
        <v>7593</v>
      </c>
      <c r="H2765" s="10" t="s">
        <v>7653</v>
      </c>
      <c r="I2765" s="10" t="s">
        <v>1374</v>
      </c>
    </row>
    <row r="2766" spans="1:9" x14ac:dyDescent="0.15">
      <c r="A2766" s="9">
        <v>2765</v>
      </c>
      <c r="B2766" s="10" t="s">
        <v>9</v>
      </c>
      <c r="C2766" s="10" t="s">
        <v>299</v>
      </c>
      <c r="D2766" s="10" t="s">
        <v>300</v>
      </c>
      <c r="E2766" s="11" t="str">
        <f>+HYPERLINK("http://trademark.i-assist.jp/data/china/image_1898th/78703739.pdf", "78703739")</f>
        <v>78703739</v>
      </c>
      <c r="F2766" s="10" t="s">
        <v>7654</v>
      </c>
      <c r="G2766" s="10" t="s">
        <v>3669</v>
      </c>
      <c r="H2766" s="10" t="s">
        <v>7655</v>
      </c>
      <c r="I2766" s="10" t="s">
        <v>1374</v>
      </c>
    </row>
    <row r="2767" spans="1:9" x14ac:dyDescent="0.15">
      <c r="A2767" s="9">
        <v>2766</v>
      </c>
      <c r="B2767" s="10" t="s">
        <v>9</v>
      </c>
      <c r="C2767" s="10" t="s">
        <v>299</v>
      </c>
      <c r="D2767" s="10" t="s">
        <v>300</v>
      </c>
      <c r="E2767" s="11" t="str">
        <f>+HYPERLINK("http://trademark.i-assist.jp/data/china/image_1898th/78704013.pdf", "78704013")</f>
        <v>78704013</v>
      </c>
      <c r="F2767" s="10" t="s">
        <v>7656</v>
      </c>
      <c r="G2767" s="10" t="s">
        <v>7513</v>
      </c>
      <c r="H2767" s="10" t="s">
        <v>7657</v>
      </c>
      <c r="I2767" s="10" t="s">
        <v>1374</v>
      </c>
    </row>
    <row r="2768" spans="1:9" x14ac:dyDescent="0.15">
      <c r="A2768" s="9">
        <v>2767</v>
      </c>
      <c r="B2768" s="10" t="s">
        <v>9</v>
      </c>
      <c r="C2768" s="10" t="s">
        <v>299</v>
      </c>
      <c r="D2768" s="10" t="s">
        <v>300</v>
      </c>
      <c r="E2768" s="11" t="str">
        <f>+HYPERLINK("http://trademark.i-assist.jp/data/china/image_1898th/78704187.pdf", "78704187")</f>
        <v>78704187</v>
      </c>
      <c r="F2768" s="10" t="s">
        <v>7658</v>
      </c>
      <c r="G2768" s="10" t="s">
        <v>1414</v>
      </c>
      <c r="H2768" s="10" t="s">
        <v>7659</v>
      </c>
      <c r="I2768" s="10" t="s">
        <v>1374</v>
      </c>
    </row>
    <row r="2769" spans="1:9" x14ac:dyDescent="0.15">
      <c r="A2769" s="9">
        <v>2768</v>
      </c>
      <c r="B2769" s="10" t="s">
        <v>9</v>
      </c>
      <c r="C2769" s="10" t="s">
        <v>299</v>
      </c>
      <c r="D2769" s="10" t="s">
        <v>300</v>
      </c>
      <c r="E2769" s="11" t="str">
        <f>+HYPERLINK("http://trademark.i-assist.jp/data/china/image_1898th/78704233.pdf", "78704233")</f>
        <v>78704233</v>
      </c>
      <c r="F2769" s="10" t="s">
        <v>7660</v>
      </c>
      <c r="G2769" s="10" t="s">
        <v>7661</v>
      </c>
      <c r="H2769" s="10" t="s">
        <v>7662</v>
      </c>
      <c r="I2769" s="10" t="s">
        <v>1374</v>
      </c>
    </row>
    <row r="2770" spans="1:9" x14ac:dyDescent="0.15">
      <c r="A2770" s="9">
        <v>2769</v>
      </c>
      <c r="B2770" s="10" t="s">
        <v>9</v>
      </c>
      <c r="C2770" s="10" t="s">
        <v>299</v>
      </c>
      <c r="D2770" s="10" t="s">
        <v>300</v>
      </c>
      <c r="E2770" s="11" t="str">
        <f>+HYPERLINK("http://trademark.i-assist.jp/data/china/image_1898th/78704240.pdf", "78704240")</f>
        <v>78704240</v>
      </c>
      <c r="F2770" s="10" t="s">
        <v>7663</v>
      </c>
      <c r="G2770" s="10" t="s">
        <v>7357</v>
      </c>
      <c r="H2770" s="10" t="s">
        <v>7664</v>
      </c>
      <c r="I2770" s="10" t="s">
        <v>1374</v>
      </c>
    </row>
    <row r="2771" spans="1:9" x14ac:dyDescent="0.15">
      <c r="A2771" s="9">
        <v>2770</v>
      </c>
      <c r="B2771" s="10" t="s">
        <v>9</v>
      </c>
      <c r="C2771" s="10" t="s">
        <v>299</v>
      </c>
      <c r="D2771" s="10" t="s">
        <v>300</v>
      </c>
      <c r="E2771" s="11" t="str">
        <f>+HYPERLINK("http://trademark.i-assist.jp/data/china/image_1898th/78704277.pdf", "78704277")</f>
        <v>78704277</v>
      </c>
      <c r="F2771" s="10" t="s">
        <v>7665</v>
      </c>
      <c r="G2771" s="10" t="s">
        <v>287</v>
      </c>
      <c r="H2771" s="10" t="s">
        <v>7666</v>
      </c>
      <c r="I2771" s="10" t="s">
        <v>1374</v>
      </c>
    </row>
    <row r="2772" spans="1:9" x14ac:dyDescent="0.15">
      <c r="A2772" s="9">
        <v>2771</v>
      </c>
      <c r="B2772" s="10" t="s">
        <v>9</v>
      </c>
      <c r="C2772" s="10" t="s">
        <v>299</v>
      </c>
      <c r="D2772" s="10" t="s">
        <v>300</v>
      </c>
      <c r="E2772" s="11" t="str">
        <f>+HYPERLINK("http://trademark.i-assist.jp/data/china/image_1898th/78704331.pdf", "78704331")</f>
        <v>78704331</v>
      </c>
      <c r="F2772" s="10" t="s">
        <v>7667</v>
      </c>
      <c r="G2772" s="10" t="s">
        <v>7668</v>
      </c>
      <c r="H2772" s="10" t="s">
        <v>7669</v>
      </c>
      <c r="I2772" s="10" t="s">
        <v>1374</v>
      </c>
    </row>
    <row r="2773" spans="1:9" x14ac:dyDescent="0.15">
      <c r="A2773" s="9">
        <v>2772</v>
      </c>
      <c r="B2773" s="10" t="s">
        <v>9</v>
      </c>
      <c r="C2773" s="10" t="s">
        <v>299</v>
      </c>
      <c r="D2773" s="10" t="s">
        <v>300</v>
      </c>
      <c r="E2773" s="11" t="str">
        <f>+HYPERLINK("http://trademark.i-assist.jp/data/china/image_1898th/78704483.pdf", "78704483")</f>
        <v>78704483</v>
      </c>
      <c r="F2773" s="10" t="s">
        <v>7670</v>
      </c>
      <c r="G2773" s="10" t="s">
        <v>7671</v>
      </c>
      <c r="H2773" s="10" t="s">
        <v>7672</v>
      </c>
      <c r="I2773" s="10" t="s">
        <v>1374</v>
      </c>
    </row>
    <row r="2774" spans="1:9" x14ac:dyDescent="0.15">
      <c r="A2774" s="9">
        <v>2773</v>
      </c>
      <c r="B2774" s="10" t="s">
        <v>9</v>
      </c>
      <c r="C2774" s="10" t="s">
        <v>299</v>
      </c>
      <c r="D2774" s="10" t="s">
        <v>300</v>
      </c>
      <c r="E2774" s="11" t="str">
        <f>+HYPERLINK("http://trademark.i-assist.jp/data/china/image_1898th/78704568.pdf", "78704568")</f>
        <v>78704568</v>
      </c>
      <c r="F2774" s="10" t="s">
        <v>7673</v>
      </c>
      <c r="G2774" s="10" t="s">
        <v>7674</v>
      </c>
      <c r="H2774" s="10" t="s">
        <v>7675</v>
      </c>
      <c r="I2774" s="10" t="s">
        <v>1374</v>
      </c>
    </row>
    <row r="2775" spans="1:9" x14ac:dyDescent="0.15">
      <c r="A2775" s="9">
        <v>2774</v>
      </c>
      <c r="B2775" s="10" t="s">
        <v>9</v>
      </c>
      <c r="C2775" s="10" t="s">
        <v>299</v>
      </c>
      <c r="D2775" s="10" t="s">
        <v>300</v>
      </c>
      <c r="E2775" s="11" t="str">
        <f>+HYPERLINK("http://trademark.i-assist.jp/data/china/image_1898th/78704679.pdf", "78704679")</f>
        <v>78704679</v>
      </c>
      <c r="F2775" s="10" t="s">
        <v>7676</v>
      </c>
      <c r="G2775" s="10" t="s">
        <v>7677</v>
      </c>
      <c r="H2775" s="10" t="s">
        <v>7678</v>
      </c>
      <c r="I2775" s="10" t="s">
        <v>1374</v>
      </c>
    </row>
    <row r="2776" spans="1:9" x14ac:dyDescent="0.15">
      <c r="A2776" s="9">
        <v>2775</v>
      </c>
      <c r="B2776" s="10" t="s">
        <v>9</v>
      </c>
      <c r="C2776" s="10" t="s">
        <v>299</v>
      </c>
      <c r="D2776" s="10" t="s">
        <v>300</v>
      </c>
      <c r="E2776" s="11" t="str">
        <f>+HYPERLINK("http://trademark.i-assist.jp/data/china/image_1898th/78705168.pdf", "78705168")</f>
        <v>78705168</v>
      </c>
      <c r="F2776" s="10" t="s">
        <v>7679</v>
      </c>
      <c r="G2776" s="10" t="s">
        <v>181</v>
      </c>
      <c r="H2776" s="10" t="s">
        <v>7680</v>
      </c>
      <c r="I2776" s="10" t="s">
        <v>1374</v>
      </c>
    </row>
    <row r="2777" spans="1:9" x14ac:dyDescent="0.15">
      <c r="A2777" s="9">
        <v>2776</v>
      </c>
      <c r="B2777" s="10" t="s">
        <v>9</v>
      </c>
      <c r="C2777" s="10" t="s">
        <v>299</v>
      </c>
      <c r="D2777" s="10" t="s">
        <v>300</v>
      </c>
      <c r="E2777" s="11" t="str">
        <f>+HYPERLINK("http://trademark.i-assist.jp/data/china/image_1898th/78705309.pdf", "78705309")</f>
        <v>78705309</v>
      </c>
      <c r="F2777" s="10" t="s">
        <v>7681</v>
      </c>
      <c r="G2777" s="10" t="s">
        <v>7682</v>
      </c>
      <c r="H2777" s="10" t="s">
        <v>7683</v>
      </c>
      <c r="I2777" s="10" t="s">
        <v>1374</v>
      </c>
    </row>
    <row r="2778" spans="1:9" x14ac:dyDescent="0.15">
      <c r="A2778" s="9">
        <v>2777</v>
      </c>
      <c r="B2778" s="10" t="s">
        <v>9</v>
      </c>
      <c r="C2778" s="10" t="s">
        <v>299</v>
      </c>
      <c r="D2778" s="10" t="s">
        <v>300</v>
      </c>
      <c r="E2778" s="11" t="str">
        <f>+HYPERLINK("http://trademark.i-assist.jp/data/china/image_1898th/78705411.pdf", "78705411")</f>
        <v>78705411</v>
      </c>
      <c r="F2778" s="10" t="s">
        <v>7684</v>
      </c>
      <c r="G2778" s="10" t="s">
        <v>7325</v>
      </c>
      <c r="H2778" s="10" t="s">
        <v>7685</v>
      </c>
      <c r="I2778" s="10" t="s">
        <v>1374</v>
      </c>
    </row>
    <row r="2779" spans="1:9" x14ac:dyDescent="0.15">
      <c r="A2779" s="9">
        <v>2778</v>
      </c>
      <c r="B2779" s="10" t="s">
        <v>9</v>
      </c>
      <c r="C2779" s="10" t="s">
        <v>299</v>
      </c>
      <c r="D2779" s="10" t="s">
        <v>300</v>
      </c>
      <c r="E2779" s="11" t="str">
        <f>+HYPERLINK("http://trademark.i-assist.jp/data/china/image_1898th/78705480.pdf", "78705480")</f>
        <v>78705480</v>
      </c>
      <c r="F2779" s="10" t="s">
        <v>7686</v>
      </c>
      <c r="G2779" s="10" t="s">
        <v>7687</v>
      </c>
      <c r="H2779" s="10" t="s">
        <v>7688</v>
      </c>
      <c r="I2779" s="10" t="s">
        <v>1374</v>
      </c>
    </row>
    <row r="2780" spans="1:9" x14ac:dyDescent="0.15">
      <c r="A2780" s="9">
        <v>2779</v>
      </c>
      <c r="B2780" s="10" t="s">
        <v>9</v>
      </c>
      <c r="C2780" s="10" t="s">
        <v>299</v>
      </c>
      <c r="D2780" s="10" t="s">
        <v>300</v>
      </c>
      <c r="E2780" s="11" t="str">
        <f>+HYPERLINK("http://trademark.i-assist.jp/data/china/image_1898th/78705724.pdf", "78705724")</f>
        <v>78705724</v>
      </c>
      <c r="F2780" s="10" t="s">
        <v>7689</v>
      </c>
      <c r="G2780" s="10" t="s">
        <v>7690</v>
      </c>
      <c r="H2780" s="10" t="s">
        <v>7691</v>
      </c>
      <c r="I2780" s="10" t="s">
        <v>1374</v>
      </c>
    </row>
    <row r="2781" spans="1:9" x14ac:dyDescent="0.15">
      <c r="A2781" s="9">
        <v>2780</v>
      </c>
      <c r="B2781" s="10" t="s">
        <v>9</v>
      </c>
      <c r="C2781" s="10" t="s">
        <v>299</v>
      </c>
      <c r="D2781" s="10" t="s">
        <v>300</v>
      </c>
      <c r="E2781" s="11" t="str">
        <f>+HYPERLINK("http://trademark.i-assist.jp/data/china/image_1898th/78705727.pdf", "78705727")</f>
        <v>78705727</v>
      </c>
      <c r="F2781" s="10" t="s">
        <v>7692</v>
      </c>
      <c r="G2781" s="10" t="s">
        <v>6408</v>
      </c>
      <c r="H2781" s="10" t="s">
        <v>7693</v>
      </c>
      <c r="I2781" s="10" t="s">
        <v>1374</v>
      </c>
    </row>
    <row r="2782" spans="1:9" x14ac:dyDescent="0.15">
      <c r="A2782" s="9">
        <v>2781</v>
      </c>
      <c r="B2782" s="10" t="s">
        <v>9</v>
      </c>
      <c r="C2782" s="10" t="s">
        <v>299</v>
      </c>
      <c r="D2782" s="10" t="s">
        <v>300</v>
      </c>
      <c r="E2782" s="11" t="str">
        <f>+HYPERLINK("http://trademark.i-assist.jp/data/china/image_1898th/78705852.pdf", "78705852")</f>
        <v>78705852</v>
      </c>
      <c r="F2782" s="10" t="s">
        <v>7694</v>
      </c>
      <c r="G2782" s="10" t="s">
        <v>7695</v>
      </c>
      <c r="H2782" s="10" t="s">
        <v>7696</v>
      </c>
      <c r="I2782" s="10" t="s">
        <v>1374</v>
      </c>
    </row>
    <row r="2783" spans="1:9" x14ac:dyDescent="0.15">
      <c r="A2783" s="9">
        <v>2782</v>
      </c>
      <c r="B2783" s="10" t="s">
        <v>9</v>
      </c>
      <c r="C2783" s="10" t="s">
        <v>299</v>
      </c>
      <c r="D2783" s="10" t="s">
        <v>300</v>
      </c>
      <c r="E2783" s="11" t="str">
        <f>+HYPERLINK("http://trademark.i-assist.jp/data/china/image_1898th/78706164.pdf", "78706164")</f>
        <v>78706164</v>
      </c>
      <c r="F2783" s="10" t="s">
        <v>7697</v>
      </c>
      <c r="G2783" s="10" t="s">
        <v>7698</v>
      </c>
      <c r="H2783" s="10" t="s">
        <v>7699</v>
      </c>
      <c r="I2783" s="10" t="s">
        <v>1374</v>
      </c>
    </row>
    <row r="2784" spans="1:9" x14ac:dyDescent="0.15">
      <c r="A2784" s="9">
        <v>2783</v>
      </c>
      <c r="B2784" s="10" t="s">
        <v>9</v>
      </c>
      <c r="C2784" s="10" t="s">
        <v>299</v>
      </c>
      <c r="D2784" s="10" t="s">
        <v>300</v>
      </c>
      <c r="E2784" s="11" t="str">
        <f>+HYPERLINK("http://trademark.i-assist.jp/data/china/image_1898th/78706177.pdf", "78706177")</f>
        <v>78706177</v>
      </c>
      <c r="F2784" s="10" t="s">
        <v>7700</v>
      </c>
      <c r="G2784" s="10" t="s">
        <v>7698</v>
      </c>
      <c r="H2784" s="10" t="s">
        <v>7701</v>
      </c>
      <c r="I2784" s="10" t="s">
        <v>1374</v>
      </c>
    </row>
    <row r="2785" spans="1:9" x14ac:dyDescent="0.15">
      <c r="A2785" s="9">
        <v>2784</v>
      </c>
      <c r="B2785" s="10" t="s">
        <v>9</v>
      </c>
      <c r="C2785" s="10" t="s">
        <v>299</v>
      </c>
      <c r="D2785" s="10" t="s">
        <v>300</v>
      </c>
      <c r="E2785" s="11" t="str">
        <f>+HYPERLINK("http://trademark.i-assist.jp/data/china/image_1898th/78706186.pdf", "78706186")</f>
        <v>78706186</v>
      </c>
      <c r="F2785" s="10" t="s">
        <v>7702</v>
      </c>
      <c r="G2785" s="10" t="s">
        <v>287</v>
      </c>
      <c r="H2785" s="10" t="s">
        <v>7703</v>
      </c>
      <c r="I2785" s="10" t="s">
        <v>1374</v>
      </c>
    </row>
    <row r="2786" spans="1:9" x14ac:dyDescent="0.15">
      <c r="A2786" s="9">
        <v>2785</v>
      </c>
      <c r="B2786" s="10" t="s">
        <v>9</v>
      </c>
      <c r="C2786" s="10" t="s">
        <v>299</v>
      </c>
      <c r="D2786" s="10" t="s">
        <v>300</v>
      </c>
      <c r="E2786" s="11" t="str">
        <f>+HYPERLINK("http://trademark.i-assist.jp/data/china/image_1898th/78706614.pdf", "78706614")</f>
        <v>78706614</v>
      </c>
      <c r="F2786" s="10" t="s">
        <v>7704</v>
      </c>
      <c r="G2786" s="10" t="s">
        <v>7705</v>
      </c>
      <c r="H2786" s="10" t="s">
        <v>7706</v>
      </c>
      <c r="I2786" s="10" t="s">
        <v>1374</v>
      </c>
    </row>
    <row r="2787" spans="1:9" x14ac:dyDescent="0.15">
      <c r="A2787" s="9">
        <v>2786</v>
      </c>
      <c r="B2787" s="10" t="s">
        <v>9</v>
      </c>
      <c r="C2787" s="10" t="s">
        <v>299</v>
      </c>
      <c r="D2787" s="10" t="s">
        <v>300</v>
      </c>
      <c r="E2787" s="11" t="str">
        <f>+HYPERLINK("http://trademark.i-assist.jp/data/china/image_1898th/78706657.pdf", "78706657")</f>
        <v>78706657</v>
      </c>
      <c r="F2787" s="10" t="s">
        <v>7707</v>
      </c>
      <c r="G2787" s="10" t="s">
        <v>7708</v>
      </c>
      <c r="H2787" s="10" t="s">
        <v>7709</v>
      </c>
      <c r="I2787" s="10" t="s">
        <v>1374</v>
      </c>
    </row>
    <row r="2788" spans="1:9" x14ac:dyDescent="0.15">
      <c r="A2788" s="9">
        <v>2787</v>
      </c>
      <c r="B2788" s="10" t="s">
        <v>9</v>
      </c>
      <c r="C2788" s="10" t="s">
        <v>299</v>
      </c>
      <c r="D2788" s="10" t="s">
        <v>300</v>
      </c>
      <c r="E2788" s="11" t="str">
        <f>+HYPERLINK("http://trademark.i-assist.jp/data/china/image_1898th/78706888.pdf", "78706888")</f>
        <v>78706888</v>
      </c>
      <c r="F2788" s="10" t="s">
        <v>7710</v>
      </c>
      <c r="G2788" s="10" t="s">
        <v>7711</v>
      </c>
      <c r="H2788" s="10" t="s">
        <v>7712</v>
      </c>
      <c r="I2788" s="10" t="s">
        <v>1374</v>
      </c>
    </row>
    <row r="2789" spans="1:9" x14ac:dyDescent="0.15">
      <c r="A2789" s="9">
        <v>2788</v>
      </c>
      <c r="B2789" s="10" t="s">
        <v>9</v>
      </c>
      <c r="C2789" s="10" t="s">
        <v>299</v>
      </c>
      <c r="D2789" s="10" t="s">
        <v>300</v>
      </c>
      <c r="E2789" s="11" t="str">
        <f>+HYPERLINK("http://trademark.i-assist.jp/data/china/image_1898th/78706986.pdf", "78706986")</f>
        <v>78706986</v>
      </c>
      <c r="F2789" s="10" t="s">
        <v>7713</v>
      </c>
      <c r="G2789" s="10" t="s">
        <v>7714</v>
      </c>
      <c r="H2789" s="10" t="s">
        <v>7715</v>
      </c>
      <c r="I2789" s="10" t="s">
        <v>1374</v>
      </c>
    </row>
    <row r="2790" spans="1:9" x14ac:dyDescent="0.15">
      <c r="A2790" s="9">
        <v>2789</v>
      </c>
      <c r="B2790" s="10" t="s">
        <v>9</v>
      </c>
      <c r="C2790" s="10" t="s">
        <v>299</v>
      </c>
      <c r="D2790" s="10" t="s">
        <v>300</v>
      </c>
      <c r="E2790" s="11" t="str">
        <f>+HYPERLINK("http://trademark.i-assist.jp/data/china/image_1898th/78706987.pdf", "78706987")</f>
        <v>78706987</v>
      </c>
      <c r="F2790" s="10" t="s">
        <v>19</v>
      </c>
      <c r="G2790" s="10" t="s">
        <v>7716</v>
      </c>
      <c r="H2790" s="10" t="s">
        <v>7717</v>
      </c>
      <c r="I2790" s="10" t="s">
        <v>1374</v>
      </c>
    </row>
    <row r="2791" spans="1:9" x14ac:dyDescent="0.15">
      <c r="A2791" s="9">
        <v>2790</v>
      </c>
      <c r="B2791" s="10" t="s">
        <v>9</v>
      </c>
      <c r="C2791" s="10" t="s">
        <v>299</v>
      </c>
      <c r="D2791" s="10" t="s">
        <v>300</v>
      </c>
      <c r="E2791" s="11" t="str">
        <f>+HYPERLINK("http://trademark.i-assist.jp/data/china/image_1898th/78707094.pdf", "78707094")</f>
        <v>78707094</v>
      </c>
      <c r="F2791" s="10" t="s">
        <v>7718</v>
      </c>
      <c r="G2791" s="10" t="s">
        <v>7719</v>
      </c>
      <c r="H2791" s="10" t="s">
        <v>7720</v>
      </c>
      <c r="I2791" s="10" t="s">
        <v>1374</v>
      </c>
    </row>
    <row r="2792" spans="1:9" x14ac:dyDescent="0.15">
      <c r="A2792" s="9">
        <v>2791</v>
      </c>
      <c r="B2792" s="10" t="s">
        <v>9</v>
      </c>
      <c r="C2792" s="10" t="s">
        <v>299</v>
      </c>
      <c r="D2792" s="10" t="s">
        <v>300</v>
      </c>
      <c r="E2792" s="11" t="str">
        <f>+HYPERLINK("http://trademark.i-assist.jp/data/china/image_1898th/78707196.pdf", "78707196")</f>
        <v>78707196</v>
      </c>
      <c r="F2792" s="10" t="s">
        <v>7721</v>
      </c>
      <c r="G2792" s="10" t="s">
        <v>7722</v>
      </c>
      <c r="H2792" s="10" t="s">
        <v>7723</v>
      </c>
      <c r="I2792" s="10" t="s">
        <v>1374</v>
      </c>
    </row>
    <row r="2793" spans="1:9" x14ac:dyDescent="0.15">
      <c r="A2793" s="9">
        <v>2792</v>
      </c>
      <c r="B2793" s="10" t="s">
        <v>9</v>
      </c>
      <c r="C2793" s="10" t="s">
        <v>299</v>
      </c>
      <c r="D2793" s="10" t="s">
        <v>300</v>
      </c>
      <c r="E2793" s="11" t="str">
        <f>+HYPERLINK("http://trademark.i-assist.jp/data/china/image_1898th/78707295.pdf", "78707295")</f>
        <v>78707295</v>
      </c>
      <c r="F2793" s="10" t="s">
        <v>7724</v>
      </c>
      <c r="G2793" s="10" t="s">
        <v>7725</v>
      </c>
      <c r="H2793" s="10" t="s">
        <v>7726</v>
      </c>
      <c r="I2793" s="10" t="s">
        <v>1374</v>
      </c>
    </row>
    <row r="2794" spans="1:9" x14ac:dyDescent="0.15">
      <c r="A2794" s="9">
        <v>2793</v>
      </c>
      <c r="B2794" s="10" t="s">
        <v>9</v>
      </c>
      <c r="C2794" s="10" t="s">
        <v>299</v>
      </c>
      <c r="D2794" s="10" t="s">
        <v>300</v>
      </c>
      <c r="E2794" s="11" t="str">
        <f>+HYPERLINK("http://trademark.i-assist.jp/data/china/image_1898th/78707310.pdf", "78707310")</f>
        <v>78707310</v>
      </c>
      <c r="F2794" s="10" t="s">
        <v>7727</v>
      </c>
      <c r="G2794" s="10" t="s">
        <v>7728</v>
      </c>
      <c r="H2794" s="10" t="s">
        <v>7729</v>
      </c>
      <c r="I2794" s="10" t="s">
        <v>1374</v>
      </c>
    </row>
    <row r="2795" spans="1:9" x14ac:dyDescent="0.15">
      <c r="A2795" s="9">
        <v>2794</v>
      </c>
      <c r="B2795" s="10" t="s">
        <v>9</v>
      </c>
      <c r="C2795" s="10" t="s">
        <v>299</v>
      </c>
      <c r="D2795" s="10" t="s">
        <v>300</v>
      </c>
      <c r="E2795" s="11" t="str">
        <f>+HYPERLINK("http://trademark.i-assist.jp/data/china/image_1898th/78707745.pdf", "78707745")</f>
        <v>78707745</v>
      </c>
      <c r="F2795" s="10" t="s">
        <v>7730</v>
      </c>
      <c r="G2795" s="10" t="s">
        <v>7731</v>
      </c>
      <c r="H2795" s="10" t="s">
        <v>7732</v>
      </c>
      <c r="I2795" s="10" t="s">
        <v>1374</v>
      </c>
    </row>
    <row r="2796" spans="1:9" x14ac:dyDescent="0.15">
      <c r="A2796" s="9">
        <v>2795</v>
      </c>
      <c r="B2796" s="10" t="s">
        <v>9</v>
      </c>
      <c r="C2796" s="10" t="s">
        <v>299</v>
      </c>
      <c r="D2796" s="10" t="s">
        <v>300</v>
      </c>
      <c r="E2796" s="11" t="str">
        <f>+HYPERLINK("http://trademark.i-assist.jp/data/china/image_1898th/78707928.pdf", "78707928")</f>
        <v>78707928</v>
      </c>
      <c r="F2796" s="10" t="s">
        <v>7733</v>
      </c>
      <c r="G2796" s="10" t="s">
        <v>7325</v>
      </c>
      <c r="H2796" s="10" t="s">
        <v>7734</v>
      </c>
      <c r="I2796" s="10" t="s">
        <v>1374</v>
      </c>
    </row>
    <row r="2797" spans="1:9" x14ac:dyDescent="0.15">
      <c r="A2797" s="9">
        <v>2796</v>
      </c>
      <c r="B2797" s="10" t="s">
        <v>9</v>
      </c>
      <c r="C2797" s="10" t="s">
        <v>299</v>
      </c>
      <c r="D2797" s="10" t="s">
        <v>300</v>
      </c>
      <c r="E2797" s="11" t="str">
        <f>+HYPERLINK("http://trademark.i-assist.jp/data/china/image_1898th/78707977.pdf", "78707977")</f>
        <v>78707977</v>
      </c>
      <c r="F2797" s="10" t="s">
        <v>7735</v>
      </c>
      <c r="G2797" s="10" t="s">
        <v>7325</v>
      </c>
      <c r="H2797" s="10" t="s">
        <v>7736</v>
      </c>
      <c r="I2797" s="10" t="s">
        <v>1374</v>
      </c>
    </row>
    <row r="2798" spans="1:9" x14ac:dyDescent="0.15">
      <c r="A2798" s="9">
        <v>2797</v>
      </c>
      <c r="B2798" s="10" t="s">
        <v>9</v>
      </c>
      <c r="C2798" s="10" t="s">
        <v>299</v>
      </c>
      <c r="D2798" s="10" t="s">
        <v>300</v>
      </c>
      <c r="E2798" s="11" t="str">
        <f>+HYPERLINK("http://trademark.i-assist.jp/data/china/image_1898th/78708142.pdf", "78708142")</f>
        <v>78708142</v>
      </c>
      <c r="F2798" s="10" t="s">
        <v>7737</v>
      </c>
      <c r="G2798" s="10" t="s">
        <v>217</v>
      </c>
      <c r="H2798" s="10" t="s">
        <v>7738</v>
      </c>
      <c r="I2798" s="10" t="s">
        <v>1374</v>
      </c>
    </row>
    <row r="2799" spans="1:9" x14ac:dyDescent="0.15">
      <c r="A2799" s="9">
        <v>2798</v>
      </c>
      <c r="B2799" s="10" t="s">
        <v>9</v>
      </c>
      <c r="C2799" s="10" t="s">
        <v>299</v>
      </c>
      <c r="D2799" s="10" t="s">
        <v>300</v>
      </c>
      <c r="E2799" s="11" t="str">
        <f>+HYPERLINK("http://trademark.i-assist.jp/data/china/image_1898th/78708146.pdf", "78708146")</f>
        <v>78708146</v>
      </c>
      <c r="F2799" s="10" t="s">
        <v>7739</v>
      </c>
      <c r="G2799" s="10" t="s">
        <v>7740</v>
      </c>
      <c r="H2799" s="10" t="s">
        <v>7741</v>
      </c>
      <c r="I2799" s="10" t="s">
        <v>1374</v>
      </c>
    </row>
    <row r="2800" spans="1:9" x14ac:dyDescent="0.15">
      <c r="A2800" s="9">
        <v>2799</v>
      </c>
      <c r="B2800" s="10" t="s">
        <v>9</v>
      </c>
      <c r="C2800" s="10" t="s">
        <v>299</v>
      </c>
      <c r="D2800" s="10" t="s">
        <v>300</v>
      </c>
      <c r="E2800" s="11" t="str">
        <f>+HYPERLINK("http://trademark.i-assist.jp/data/china/image_1898th/78708197.pdf", "78708197")</f>
        <v>78708197</v>
      </c>
      <c r="F2800" s="10" t="s">
        <v>7742</v>
      </c>
      <c r="G2800" s="10" t="s">
        <v>13</v>
      </c>
      <c r="H2800" s="10" t="s">
        <v>7743</v>
      </c>
      <c r="I2800" s="10" t="s">
        <v>1374</v>
      </c>
    </row>
    <row r="2801" spans="1:9" x14ac:dyDescent="0.15">
      <c r="A2801" s="9">
        <v>2800</v>
      </c>
      <c r="B2801" s="10" t="s">
        <v>9</v>
      </c>
      <c r="C2801" s="10" t="s">
        <v>299</v>
      </c>
      <c r="D2801" s="10" t="s">
        <v>300</v>
      </c>
      <c r="E2801" s="11" t="str">
        <f>+HYPERLINK("http://trademark.i-assist.jp/data/china/image_1898th/78708250.pdf", "78708250")</f>
        <v>78708250</v>
      </c>
      <c r="F2801" s="10" t="s">
        <v>7744</v>
      </c>
      <c r="G2801" s="10" t="s">
        <v>208</v>
      </c>
      <c r="H2801" s="10" t="s">
        <v>7745</v>
      </c>
      <c r="I2801" s="10" t="s">
        <v>1374</v>
      </c>
    </row>
    <row r="2802" spans="1:9" x14ac:dyDescent="0.15">
      <c r="A2802" s="9">
        <v>2801</v>
      </c>
      <c r="B2802" s="10" t="s">
        <v>9</v>
      </c>
      <c r="C2802" s="10" t="s">
        <v>299</v>
      </c>
      <c r="D2802" s="10" t="s">
        <v>300</v>
      </c>
      <c r="E2802" s="11" t="str">
        <f>+HYPERLINK("http://trademark.i-assist.jp/data/china/image_1898th/78708272.pdf", "78708272")</f>
        <v>78708272</v>
      </c>
      <c r="F2802" s="10" t="s">
        <v>7746</v>
      </c>
      <c r="G2802" s="10" t="s">
        <v>7747</v>
      </c>
      <c r="H2802" s="10" t="s">
        <v>7748</v>
      </c>
      <c r="I2802" s="10" t="s">
        <v>1374</v>
      </c>
    </row>
    <row r="2803" spans="1:9" x14ac:dyDescent="0.15">
      <c r="A2803" s="9">
        <v>2802</v>
      </c>
      <c r="B2803" s="10" t="s">
        <v>9</v>
      </c>
      <c r="C2803" s="10" t="s">
        <v>299</v>
      </c>
      <c r="D2803" s="10" t="s">
        <v>300</v>
      </c>
      <c r="E2803" s="11" t="str">
        <f>+HYPERLINK("http://trademark.i-assist.jp/data/china/image_1898th/78708297.pdf", "78708297")</f>
        <v>78708297</v>
      </c>
      <c r="F2803" s="10" t="s">
        <v>7749</v>
      </c>
      <c r="G2803" s="10" t="s">
        <v>7750</v>
      </c>
      <c r="H2803" s="10" t="s">
        <v>7751</v>
      </c>
      <c r="I2803" s="10" t="s">
        <v>1374</v>
      </c>
    </row>
    <row r="2804" spans="1:9" x14ac:dyDescent="0.15">
      <c r="A2804" s="9">
        <v>2803</v>
      </c>
      <c r="B2804" s="10" t="s">
        <v>9</v>
      </c>
      <c r="C2804" s="10" t="s">
        <v>299</v>
      </c>
      <c r="D2804" s="10" t="s">
        <v>300</v>
      </c>
      <c r="E2804" s="11" t="str">
        <f>+HYPERLINK("http://trademark.i-assist.jp/data/china/image_1898th/78708360.pdf", "78708360")</f>
        <v>78708360</v>
      </c>
      <c r="F2804" s="10" t="s">
        <v>7752</v>
      </c>
      <c r="G2804" s="10" t="s">
        <v>7753</v>
      </c>
      <c r="H2804" s="10" t="s">
        <v>7754</v>
      </c>
      <c r="I2804" s="10" t="s">
        <v>1374</v>
      </c>
    </row>
    <row r="2805" spans="1:9" x14ac:dyDescent="0.15">
      <c r="A2805" s="9">
        <v>2804</v>
      </c>
      <c r="B2805" s="10" t="s">
        <v>9</v>
      </c>
      <c r="C2805" s="10" t="s">
        <v>299</v>
      </c>
      <c r="D2805" s="10" t="s">
        <v>300</v>
      </c>
      <c r="E2805" s="11" t="str">
        <f>+HYPERLINK("http://trademark.i-assist.jp/data/china/image_1898th/78708620.pdf", "78708620")</f>
        <v>78708620</v>
      </c>
      <c r="F2805" s="10" t="s">
        <v>7755</v>
      </c>
      <c r="G2805" s="10" t="s">
        <v>7325</v>
      </c>
      <c r="H2805" s="10" t="s">
        <v>7756</v>
      </c>
      <c r="I2805" s="10" t="s">
        <v>1374</v>
      </c>
    </row>
    <row r="2806" spans="1:9" x14ac:dyDescent="0.15">
      <c r="A2806" s="9">
        <v>2805</v>
      </c>
      <c r="B2806" s="10" t="s">
        <v>9</v>
      </c>
      <c r="C2806" s="10" t="s">
        <v>299</v>
      </c>
      <c r="D2806" s="10" t="s">
        <v>300</v>
      </c>
      <c r="E2806" s="11" t="str">
        <f>+HYPERLINK("http://trademark.i-assist.jp/data/china/image_1898th/78708955.pdf", "78708955")</f>
        <v>78708955</v>
      </c>
      <c r="F2806" s="10" t="s">
        <v>7757</v>
      </c>
      <c r="G2806" s="10" t="s">
        <v>7758</v>
      </c>
      <c r="H2806" s="10" t="s">
        <v>7759</v>
      </c>
      <c r="I2806" s="10" t="s">
        <v>1374</v>
      </c>
    </row>
    <row r="2807" spans="1:9" x14ac:dyDescent="0.15">
      <c r="A2807" s="9">
        <v>2806</v>
      </c>
      <c r="B2807" s="10" t="s">
        <v>9</v>
      </c>
      <c r="C2807" s="10" t="s">
        <v>299</v>
      </c>
      <c r="D2807" s="10" t="s">
        <v>300</v>
      </c>
      <c r="E2807" s="11" t="str">
        <f>+HYPERLINK("http://trademark.i-assist.jp/data/china/image_1898th/78709035.pdf", "78709035")</f>
        <v>78709035</v>
      </c>
      <c r="F2807" s="10" t="s">
        <v>7760</v>
      </c>
      <c r="G2807" s="10" t="s">
        <v>7761</v>
      </c>
      <c r="H2807" s="10" t="s">
        <v>7762</v>
      </c>
      <c r="I2807" s="10" t="s">
        <v>1374</v>
      </c>
    </row>
    <row r="2808" spans="1:9" x14ac:dyDescent="0.15">
      <c r="A2808" s="9">
        <v>2807</v>
      </c>
      <c r="B2808" s="10" t="s">
        <v>9</v>
      </c>
      <c r="C2808" s="10" t="s">
        <v>299</v>
      </c>
      <c r="D2808" s="10" t="s">
        <v>300</v>
      </c>
      <c r="E2808" s="11" t="str">
        <f>+HYPERLINK("http://trademark.i-assist.jp/data/china/image_1898th/78709178.pdf", "78709178")</f>
        <v>78709178</v>
      </c>
      <c r="F2808" s="10" t="s">
        <v>7763</v>
      </c>
      <c r="G2808" s="10" t="s">
        <v>7764</v>
      </c>
      <c r="H2808" s="10" t="s">
        <v>7765</v>
      </c>
      <c r="I2808" s="10" t="s">
        <v>1374</v>
      </c>
    </row>
    <row r="2809" spans="1:9" x14ac:dyDescent="0.15">
      <c r="A2809" s="9">
        <v>2808</v>
      </c>
      <c r="B2809" s="10" t="s">
        <v>9</v>
      </c>
      <c r="C2809" s="10" t="s">
        <v>299</v>
      </c>
      <c r="D2809" s="10" t="s">
        <v>300</v>
      </c>
      <c r="E2809" s="11" t="str">
        <f>+HYPERLINK("http://trademark.i-assist.jp/data/china/image_1898th/78709201.pdf", "78709201")</f>
        <v>78709201</v>
      </c>
      <c r="F2809" s="10" t="s">
        <v>7766</v>
      </c>
      <c r="G2809" s="10" t="s">
        <v>7767</v>
      </c>
      <c r="H2809" s="10" t="s">
        <v>7768</v>
      </c>
      <c r="I2809" s="10" t="s">
        <v>1374</v>
      </c>
    </row>
    <row r="2810" spans="1:9" x14ac:dyDescent="0.15">
      <c r="A2810" s="9">
        <v>2809</v>
      </c>
      <c r="B2810" s="10" t="s">
        <v>9</v>
      </c>
      <c r="C2810" s="10" t="s">
        <v>299</v>
      </c>
      <c r="D2810" s="10" t="s">
        <v>300</v>
      </c>
      <c r="E2810" s="11" t="str">
        <f>+HYPERLINK("http://trademark.i-assist.jp/data/china/image_1898th/78709240.pdf", "78709240")</f>
        <v>78709240</v>
      </c>
      <c r="F2810" s="10" t="s">
        <v>7769</v>
      </c>
      <c r="G2810" s="10" t="s">
        <v>7731</v>
      </c>
      <c r="H2810" s="10" t="s">
        <v>7770</v>
      </c>
      <c r="I2810" s="10" t="s">
        <v>1374</v>
      </c>
    </row>
    <row r="2811" spans="1:9" x14ac:dyDescent="0.15">
      <c r="A2811" s="9">
        <v>2810</v>
      </c>
      <c r="B2811" s="10" t="s">
        <v>9</v>
      </c>
      <c r="C2811" s="10" t="s">
        <v>299</v>
      </c>
      <c r="D2811" s="10" t="s">
        <v>300</v>
      </c>
      <c r="E2811" s="11" t="str">
        <f>+HYPERLINK("http://trademark.i-assist.jp/data/china/image_1898th/78709468.pdf", "78709468")</f>
        <v>78709468</v>
      </c>
      <c r="F2811" s="10" t="s">
        <v>19</v>
      </c>
      <c r="G2811" s="10" t="s">
        <v>7771</v>
      </c>
      <c r="H2811" s="10" t="s">
        <v>43</v>
      </c>
      <c r="I2811" s="10" t="s">
        <v>1374</v>
      </c>
    </row>
    <row r="2812" spans="1:9" x14ac:dyDescent="0.15">
      <c r="A2812" s="9">
        <v>2811</v>
      </c>
      <c r="B2812" s="10" t="s">
        <v>9</v>
      </c>
      <c r="C2812" s="10" t="s">
        <v>299</v>
      </c>
      <c r="D2812" s="10" t="s">
        <v>300</v>
      </c>
      <c r="E2812" s="11" t="str">
        <f>+HYPERLINK("http://trademark.i-assist.jp/data/china/image_1898th/78709520.pdf", "78709520")</f>
        <v>78709520</v>
      </c>
      <c r="F2812" s="10" t="s">
        <v>7772</v>
      </c>
      <c r="G2812" s="10" t="s">
        <v>7773</v>
      </c>
      <c r="H2812" s="10" t="s">
        <v>7774</v>
      </c>
      <c r="I2812" s="10" t="s">
        <v>1374</v>
      </c>
    </row>
    <row r="2813" spans="1:9" x14ac:dyDescent="0.15">
      <c r="A2813" s="9">
        <v>2812</v>
      </c>
      <c r="B2813" s="10" t="s">
        <v>9</v>
      </c>
      <c r="C2813" s="10" t="s">
        <v>299</v>
      </c>
      <c r="D2813" s="10" t="s">
        <v>300</v>
      </c>
      <c r="E2813" s="11" t="str">
        <f>+HYPERLINK("http://trademark.i-assist.jp/data/china/image_1898th/78709644.pdf", "78709644")</f>
        <v>78709644</v>
      </c>
      <c r="F2813" s="10" t="s">
        <v>7775</v>
      </c>
      <c r="G2813" s="10" t="s">
        <v>7776</v>
      </c>
      <c r="H2813" s="10" t="s">
        <v>7777</v>
      </c>
      <c r="I2813" s="10" t="s">
        <v>1374</v>
      </c>
    </row>
    <row r="2814" spans="1:9" x14ac:dyDescent="0.15">
      <c r="A2814" s="9">
        <v>2813</v>
      </c>
      <c r="B2814" s="10" t="s">
        <v>9</v>
      </c>
      <c r="C2814" s="10" t="s">
        <v>299</v>
      </c>
      <c r="D2814" s="10" t="s">
        <v>300</v>
      </c>
      <c r="E2814" s="11" t="str">
        <f>+HYPERLINK("http://trademark.i-assist.jp/data/china/image_1898th/78709724.pdf", "78709724")</f>
        <v>78709724</v>
      </c>
      <c r="F2814" s="10" t="s">
        <v>7778</v>
      </c>
      <c r="G2814" s="10" t="s">
        <v>7779</v>
      </c>
      <c r="H2814" s="10" t="s">
        <v>7780</v>
      </c>
      <c r="I2814" s="10" t="s">
        <v>1374</v>
      </c>
    </row>
    <row r="2815" spans="1:9" x14ac:dyDescent="0.15">
      <c r="A2815" s="9">
        <v>2814</v>
      </c>
      <c r="B2815" s="10" t="s">
        <v>9</v>
      </c>
      <c r="C2815" s="10" t="s">
        <v>299</v>
      </c>
      <c r="D2815" s="10" t="s">
        <v>300</v>
      </c>
      <c r="E2815" s="11" t="str">
        <f>+HYPERLINK("http://trademark.i-assist.jp/data/china/image_1898th/78709822.pdf", "78709822")</f>
        <v>78709822</v>
      </c>
      <c r="F2815" s="10" t="s">
        <v>7781</v>
      </c>
      <c r="G2815" s="10" t="s">
        <v>7782</v>
      </c>
      <c r="H2815" s="10" t="s">
        <v>7783</v>
      </c>
      <c r="I2815" s="10" t="s">
        <v>1374</v>
      </c>
    </row>
    <row r="2816" spans="1:9" x14ac:dyDescent="0.15">
      <c r="A2816" s="9">
        <v>2815</v>
      </c>
      <c r="B2816" s="10" t="s">
        <v>9</v>
      </c>
      <c r="C2816" s="10" t="s">
        <v>299</v>
      </c>
      <c r="D2816" s="10" t="s">
        <v>300</v>
      </c>
      <c r="E2816" s="11" t="str">
        <f>+HYPERLINK("http://trademark.i-assist.jp/data/china/image_1898th/78709943.pdf", "78709943")</f>
        <v>78709943</v>
      </c>
      <c r="F2816" s="10" t="s">
        <v>7784</v>
      </c>
      <c r="G2816" s="10" t="s">
        <v>7785</v>
      </c>
      <c r="H2816" s="10" t="s">
        <v>7786</v>
      </c>
      <c r="I2816" s="10" t="s">
        <v>1374</v>
      </c>
    </row>
    <row r="2817" spans="1:9" x14ac:dyDescent="0.15">
      <c r="A2817" s="9">
        <v>2816</v>
      </c>
      <c r="B2817" s="10" t="s">
        <v>9</v>
      </c>
      <c r="C2817" s="10" t="s">
        <v>299</v>
      </c>
      <c r="D2817" s="10" t="s">
        <v>300</v>
      </c>
      <c r="E2817" s="11" t="str">
        <f>+HYPERLINK("http://trademark.i-assist.jp/data/china/image_1898th/78709945.pdf", "78709945")</f>
        <v>78709945</v>
      </c>
      <c r="F2817" s="10" t="s">
        <v>7787</v>
      </c>
      <c r="G2817" s="10" t="s">
        <v>7788</v>
      </c>
      <c r="H2817" s="10" t="s">
        <v>7789</v>
      </c>
      <c r="I2817" s="10" t="s">
        <v>1374</v>
      </c>
    </row>
    <row r="2818" spans="1:9" x14ac:dyDescent="0.15">
      <c r="A2818" s="9">
        <v>2817</v>
      </c>
      <c r="B2818" s="10" t="s">
        <v>9</v>
      </c>
      <c r="C2818" s="10" t="s">
        <v>299</v>
      </c>
      <c r="D2818" s="10" t="s">
        <v>300</v>
      </c>
      <c r="E2818" s="11" t="str">
        <f>+HYPERLINK("http://trademark.i-assist.jp/data/china/image_1898th/78709986.pdf", "78709986")</f>
        <v>78709986</v>
      </c>
      <c r="F2818" s="10" t="s">
        <v>7790</v>
      </c>
      <c r="G2818" s="10" t="s">
        <v>7791</v>
      </c>
      <c r="H2818" s="10" t="s">
        <v>7792</v>
      </c>
      <c r="I2818" s="10" t="s">
        <v>1374</v>
      </c>
    </row>
    <row r="2819" spans="1:9" x14ac:dyDescent="0.15">
      <c r="A2819" s="9">
        <v>2818</v>
      </c>
      <c r="B2819" s="10" t="s">
        <v>9</v>
      </c>
      <c r="C2819" s="10" t="s">
        <v>299</v>
      </c>
      <c r="D2819" s="10" t="s">
        <v>300</v>
      </c>
      <c r="E2819" s="11" t="str">
        <f>+HYPERLINK("http://trademark.i-assist.jp/data/china/image_1898th/78709987.pdf", "78709987")</f>
        <v>78709987</v>
      </c>
      <c r="F2819" s="10" t="s">
        <v>7793</v>
      </c>
      <c r="G2819" s="10" t="s">
        <v>7794</v>
      </c>
      <c r="H2819" s="10" t="s">
        <v>7795</v>
      </c>
      <c r="I2819" s="10" t="s">
        <v>1374</v>
      </c>
    </row>
    <row r="2820" spans="1:9" x14ac:dyDescent="0.15">
      <c r="A2820" s="9">
        <v>2819</v>
      </c>
      <c r="B2820" s="10" t="s">
        <v>9</v>
      </c>
      <c r="C2820" s="10" t="s">
        <v>299</v>
      </c>
      <c r="D2820" s="10" t="s">
        <v>300</v>
      </c>
      <c r="E2820" s="11" t="str">
        <f>+HYPERLINK("http://trademark.i-assist.jp/data/china/image_1898th/78710143.pdf", "78710143")</f>
        <v>78710143</v>
      </c>
      <c r="F2820" s="10" t="s">
        <v>7742</v>
      </c>
      <c r="G2820" s="10" t="s">
        <v>13</v>
      </c>
      <c r="H2820" s="10" t="s">
        <v>7796</v>
      </c>
      <c r="I2820" s="10" t="s">
        <v>1374</v>
      </c>
    </row>
    <row r="2821" spans="1:9" x14ac:dyDescent="0.15">
      <c r="A2821" s="9">
        <v>2820</v>
      </c>
      <c r="B2821" s="10" t="s">
        <v>9</v>
      </c>
      <c r="C2821" s="10" t="s">
        <v>299</v>
      </c>
      <c r="D2821" s="10" t="s">
        <v>300</v>
      </c>
      <c r="E2821" s="11" t="str">
        <f>+HYPERLINK("http://trademark.i-assist.jp/data/china/image_1898th/78710159.pdf", "78710159")</f>
        <v>78710159</v>
      </c>
      <c r="F2821" s="10" t="s">
        <v>7797</v>
      </c>
      <c r="G2821" s="10" t="s">
        <v>7447</v>
      </c>
      <c r="H2821" s="10" t="s">
        <v>7798</v>
      </c>
      <c r="I2821" s="10" t="s">
        <v>1374</v>
      </c>
    </row>
    <row r="2822" spans="1:9" x14ac:dyDescent="0.15">
      <c r="A2822" s="9">
        <v>2821</v>
      </c>
      <c r="B2822" s="10" t="s">
        <v>9</v>
      </c>
      <c r="C2822" s="10" t="s">
        <v>299</v>
      </c>
      <c r="D2822" s="10" t="s">
        <v>300</v>
      </c>
      <c r="E2822" s="11" t="str">
        <f>+HYPERLINK("http://trademark.i-assist.jp/data/china/image_1898th/78710259.pdf", "78710259")</f>
        <v>78710259</v>
      </c>
      <c r="F2822" s="10" t="s">
        <v>7799</v>
      </c>
      <c r="G2822" s="10" t="s">
        <v>7800</v>
      </c>
      <c r="H2822" s="10" t="s">
        <v>7801</v>
      </c>
      <c r="I2822" s="10" t="s">
        <v>1374</v>
      </c>
    </row>
    <row r="2823" spans="1:9" x14ac:dyDescent="0.15">
      <c r="A2823" s="9">
        <v>2822</v>
      </c>
      <c r="B2823" s="10" t="s">
        <v>9</v>
      </c>
      <c r="C2823" s="10" t="s">
        <v>299</v>
      </c>
      <c r="D2823" s="10" t="s">
        <v>300</v>
      </c>
      <c r="E2823" s="11" t="str">
        <f>+HYPERLINK("http://trademark.i-assist.jp/data/china/image_1898th/78710417.pdf", "78710417")</f>
        <v>78710417</v>
      </c>
      <c r="F2823" s="10" t="s">
        <v>7802</v>
      </c>
      <c r="G2823" s="10" t="s">
        <v>7803</v>
      </c>
      <c r="H2823" s="10" t="s">
        <v>7804</v>
      </c>
      <c r="I2823" s="10" t="s">
        <v>1374</v>
      </c>
    </row>
    <row r="2824" spans="1:9" x14ac:dyDescent="0.15">
      <c r="A2824" s="9">
        <v>2823</v>
      </c>
      <c r="B2824" s="10" t="s">
        <v>9</v>
      </c>
      <c r="C2824" s="10" t="s">
        <v>299</v>
      </c>
      <c r="D2824" s="10" t="s">
        <v>300</v>
      </c>
      <c r="E2824" s="11" t="str">
        <f>+HYPERLINK("http://trademark.i-assist.jp/data/china/image_1898th/78710597.pdf", "78710597")</f>
        <v>78710597</v>
      </c>
      <c r="F2824" s="10" t="s">
        <v>7805</v>
      </c>
      <c r="G2824" s="10" t="s">
        <v>7806</v>
      </c>
      <c r="H2824" s="10" t="s">
        <v>7807</v>
      </c>
      <c r="I2824" s="10" t="s">
        <v>1374</v>
      </c>
    </row>
    <row r="2825" spans="1:9" x14ac:dyDescent="0.15">
      <c r="A2825" s="9">
        <v>2824</v>
      </c>
      <c r="B2825" s="10" t="s">
        <v>9</v>
      </c>
      <c r="C2825" s="10" t="s">
        <v>299</v>
      </c>
      <c r="D2825" s="10" t="s">
        <v>300</v>
      </c>
      <c r="E2825" s="11" t="str">
        <f>+HYPERLINK("http://trademark.i-assist.jp/data/china/image_1898th/78710844.pdf", "78710844")</f>
        <v>78710844</v>
      </c>
      <c r="F2825" s="10" t="s">
        <v>1371</v>
      </c>
      <c r="G2825" s="10" t="s">
        <v>1372</v>
      </c>
      <c r="H2825" s="10" t="s">
        <v>1373</v>
      </c>
      <c r="I2825" s="10" t="s">
        <v>1374</v>
      </c>
    </row>
    <row r="2826" spans="1:9" x14ac:dyDescent="0.15">
      <c r="A2826" s="9">
        <v>2825</v>
      </c>
      <c r="B2826" s="10" t="s">
        <v>9</v>
      </c>
      <c r="C2826" s="10" t="s">
        <v>299</v>
      </c>
      <c r="D2826" s="10" t="s">
        <v>300</v>
      </c>
      <c r="E2826" s="11" t="str">
        <f>+HYPERLINK("http://trademark.i-assist.jp/data/china/image_1898th/78710918.pdf", "78710918")</f>
        <v>78710918</v>
      </c>
      <c r="F2826" s="10" t="s">
        <v>1375</v>
      </c>
      <c r="G2826" s="10" t="s">
        <v>1376</v>
      </c>
      <c r="H2826" s="10" t="s">
        <v>1377</v>
      </c>
      <c r="I2826" s="10" t="s">
        <v>1374</v>
      </c>
    </row>
    <row r="2827" spans="1:9" x14ac:dyDescent="0.15">
      <c r="A2827" s="9">
        <v>2826</v>
      </c>
      <c r="B2827" s="10" t="s">
        <v>9</v>
      </c>
      <c r="C2827" s="10" t="s">
        <v>299</v>
      </c>
      <c r="D2827" s="10" t="s">
        <v>300</v>
      </c>
      <c r="E2827" s="11" t="str">
        <f>+HYPERLINK("http://trademark.i-assist.jp/data/china/image_1898th/78711012.pdf", "78711012")</f>
        <v>78711012</v>
      </c>
      <c r="F2827" s="10" t="s">
        <v>1378</v>
      </c>
      <c r="G2827" s="10" t="s">
        <v>1379</v>
      </c>
      <c r="H2827" s="10" t="s">
        <v>1380</v>
      </c>
      <c r="I2827" s="10" t="s">
        <v>1374</v>
      </c>
    </row>
    <row r="2828" spans="1:9" x14ac:dyDescent="0.15">
      <c r="A2828" s="9">
        <v>2827</v>
      </c>
      <c r="B2828" s="10" t="s">
        <v>9</v>
      </c>
      <c r="C2828" s="10" t="s">
        <v>299</v>
      </c>
      <c r="D2828" s="10" t="s">
        <v>300</v>
      </c>
      <c r="E2828" s="11" t="str">
        <f>+HYPERLINK("http://trademark.i-assist.jp/data/china/image_1898th/78711184.pdf", "78711184")</f>
        <v>78711184</v>
      </c>
      <c r="F2828" s="10" t="s">
        <v>1381</v>
      </c>
      <c r="G2828" s="10" t="s">
        <v>1382</v>
      </c>
      <c r="H2828" s="10" t="s">
        <v>1383</v>
      </c>
      <c r="I2828" s="10" t="s">
        <v>1374</v>
      </c>
    </row>
    <row r="2829" spans="1:9" x14ac:dyDescent="0.15">
      <c r="A2829" s="9">
        <v>2828</v>
      </c>
      <c r="B2829" s="10" t="s">
        <v>9</v>
      </c>
      <c r="C2829" s="10" t="s">
        <v>299</v>
      </c>
      <c r="D2829" s="10" t="s">
        <v>300</v>
      </c>
      <c r="E2829" s="11" t="str">
        <f>+HYPERLINK("http://trademark.i-assist.jp/data/china/image_1898th/78711321.pdf", "78711321")</f>
        <v>78711321</v>
      </c>
      <c r="F2829" s="10" t="s">
        <v>1384</v>
      </c>
      <c r="G2829" s="10" t="s">
        <v>1385</v>
      </c>
      <c r="H2829" s="10" t="s">
        <v>1386</v>
      </c>
      <c r="I2829" s="10" t="s">
        <v>1374</v>
      </c>
    </row>
    <row r="2830" spans="1:9" x14ac:dyDescent="0.15">
      <c r="A2830" s="9">
        <v>2829</v>
      </c>
      <c r="B2830" s="10" t="s">
        <v>9</v>
      </c>
      <c r="C2830" s="10" t="s">
        <v>299</v>
      </c>
      <c r="D2830" s="10" t="s">
        <v>300</v>
      </c>
      <c r="E2830" s="11" t="str">
        <f>+HYPERLINK("http://trademark.i-assist.jp/data/china/image_1898th/78711397.pdf", "78711397")</f>
        <v>78711397</v>
      </c>
      <c r="F2830" s="10" t="s">
        <v>1387</v>
      </c>
      <c r="G2830" s="10" t="s">
        <v>218</v>
      </c>
      <c r="H2830" s="10" t="s">
        <v>1388</v>
      </c>
      <c r="I2830" s="10" t="s">
        <v>1374</v>
      </c>
    </row>
    <row r="2831" spans="1:9" x14ac:dyDescent="0.15">
      <c r="A2831" s="9">
        <v>2830</v>
      </c>
      <c r="B2831" s="10" t="s">
        <v>9</v>
      </c>
      <c r="C2831" s="10" t="s">
        <v>299</v>
      </c>
      <c r="D2831" s="10" t="s">
        <v>300</v>
      </c>
      <c r="E2831" s="11" t="str">
        <f>+HYPERLINK("http://trademark.i-assist.jp/data/china/image_1898th/78711866.pdf", "78711866")</f>
        <v>78711866</v>
      </c>
      <c r="F2831" s="10" t="s">
        <v>1389</v>
      </c>
      <c r="G2831" s="10" t="s">
        <v>1390</v>
      </c>
      <c r="H2831" s="10" t="s">
        <v>1391</v>
      </c>
      <c r="I2831" s="10" t="s">
        <v>1374</v>
      </c>
    </row>
    <row r="2832" spans="1:9" x14ac:dyDescent="0.15">
      <c r="A2832" s="9">
        <v>2831</v>
      </c>
      <c r="B2832" s="10" t="s">
        <v>9</v>
      </c>
      <c r="C2832" s="10" t="s">
        <v>299</v>
      </c>
      <c r="D2832" s="10" t="s">
        <v>300</v>
      </c>
      <c r="E2832" s="11" t="str">
        <f>+HYPERLINK("http://trademark.i-assist.jp/data/china/image_1898th/78711867.pdf", "78711867")</f>
        <v>78711867</v>
      </c>
      <c r="F2832" s="10" t="s">
        <v>1392</v>
      </c>
      <c r="G2832" s="10" t="s">
        <v>1393</v>
      </c>
      <c r="H2832" s="10" t="s">
        <v>1394</v>
      </c>
      <c r="I2832" s="10" t="s">
        <v>1374</v>
      </c>
    </row>
    <row r="2833" spans="1:9" x14ac:dyDescent="0.15">
      <c r="A2833" s="9">
        <v>2832</v>
      </c>
      <c r="B2833" s="10" t="s">
        <v>9</v>
      </c>
      <c r="C2833" s="10" t="s">
        <v>299</v>
      </c>
      <c r="D2833" s="10" t="s">
        <v>300</v>
      </c>
      <c r="E2833" s="11" t="str">
        <f>+HYPERLINK("http://trademark.i-assist.jp/data/china/image_1898th/78711956.pdf", "78711956")</f>
        <v>78711956</v>
      </c>
      <c r="F2833" s="10" t="s">
        <v>1395</v>
      </c>
      <c r="G2833" s="10" t="s">
        <v>1396</v>
      </c>
      <c r="H2833" s="10" t="s">
        <v>1397</v>
      </c>
      <c r="I2833" s="10" t="s">
        <v>1374</v>
      </c>
    </row>
    <row r="2834" spans="1:9" x14ac:dyDescent="0.15">
      <c r="A2834" s="9">
        <v>2833</v>
      </c>
      <c r="B2834" s="10" t="s">
        <v>9</v>
      </c>
      <c r="C2834" s="10" t="s">
        <v>299</v>
      </c>
      <c r="D2834" s="10" t="s">
        <v>300</v>
      </c>
      <c r="E2834" s="11" t="str">
        <f>+HYPERLINK("http://trademark.i-assist.jp/data/china/image_1898th/78712038.pdf", "78712038")</f>
        <v>78712038</v>
      </c>
      <c r="F2834" s="10" t="s">
        <v>1398</v>
      </c>
      <c r="G2834" s="10" t="s">
        <v>1399</v>
      </c>
      <c r="H2834" s="10" t="s">
        <v>1400</v>
      </c>
      <c r="I2834" s="10" t="s">
        <v>1374</v>
      </c>
    </row>
    <row r="2835" spans="1:9" x14ac:dyDescent="0.15">
      <c r="A2835" s="9">
        <v>2834</v>
      </c>
      <c r="B2835" s="10" t="s">
        <v>9</v>
      </c>
      <c r="C2835" s="10" t="s">
        <v>299</v>
      </c>
      <c r="D2835" s="10" t="s">
        <v>300</v>
      </c>
      <c r="E2835" s="11" t="str">
        <f>+HYPERLINK("http://trademark.i-assist.jp/data/china/image_1898th/78712041.pdf", "78712041")</f>
        <v>78712041</v>
      </c>
      <c r="F2835" s="10" t="s">
        <v>1401</v>
      </c>
      <c r="G2835" s="10" t="s">
        <v>1402</v>
      </c>
      <c r="H2835" s="10" t="s">
        <v>1403</v>
      </c>
      <c r="I2835" s="10" t="s">
        <v>1374</v>
      </c>
    </row>
    <row r="2836" spans="1:9" x14ac:dyDescent="0.15">
      <c r="A2836" s="9">
        <v>2835</v>
      </c>
      <c r="B2836" s="10" t="s">
        <v>9</v>
      </c>
      <c r="C2836" s="10" t="s">
        <v>299</v>
      </c>
      <c r="D2836" s="10" t="s">
        <v>300</v>
      </c>
      <c r="E2836" s="11" t="str">
        <f>+HYPERLINK("http://trademark.i-assist.jp/data/china/image_1898th/78712091.pdf", "78712091")</f>
        <v>78712091</v>
      </c>
      <c r="F2836" s="10" t="s">
        <v>1404</v>
      </c>
      <c r="G2836" s="10" t="s">
        <v>1405</v>
      </c>
      <c r="H2836" s="10" t="s">
        <v>1406</v>
      </c>
      <c r="I2836" s="10" t="s">
        <v>1374</v>
      </c>
    </row>
    <row r="2837" spans="1:9" x14ac:dyDescent="0.15">
      <c r="A2837" s="9">
        <v>2836</v>
      </c>
      <c r="B2837" s="10" t="s">
        <v>9</v>
      </c>
      <c r="C2837" s="10" t="s">
        <v>299</v>
      </c>
      <c r="D2837" s="10" t="s">
        <v>300</v>
      </c>
      <c r="E2837" s="11" t="str">
        <f>+HYPERLINK("http://trademark.i-assist.jp/data/china/image_1898th/78712341.pdf", "78712341")</f>
        <v>78712341</v>
      </c>
      <c r="F2837" s="10" t="s">
        <v>1407</v>
      </c>
      <c r="G2837" s="10" t="s">
        <v>1408</v>
      </c>
      <c r="H2837" s="10" t="s">
        <v>1409</v>
      </c>
      <c r="I2837" s="10" t="s">
        <v>1374</v>
      </c>
    </row>
    <row r="2838" spans="1:9" x14ac:dyDescent="0.15">
      <c r="A2838" s="9">
        <v>2837</v>
      </c>
      <c r="B2838" s="10" t="s">
        <v>9</v>
      </c>
      <c r="C2838" s="10" t="s">
        <v>299</v>
      </c>
      <c r="D2838" s="10" t="s">
        <v>300</v>
      </c>
      <c r="E2838" s="11" t="str">
        <f>+HYPERLINK("http://trademark.i-assist.jp/data/china/image_1898th/78712347.pdf", "78712347")</f>
        <v>78712347</v>
      </c>
      <c r="F2838" s="10" t="s">
        <v>1410</v>
      </c>
      <c r="G2838" s="10" t="s">
        <v>1411</v>
      </c>
      <c r="H2838" s="10" t="s">
        <v>1412</v>
      </c>
      <c r="I2838" s="10" t="s">
        <v>1374</v>
      </c>
    </row>
    <row r="2839" spans="1:9" x14ac:dyDescent="0.15">
      <c r="A2839" s="9">
        <v>2838</v>
      </c>
      <c r="B2839" s="10" t="s">
        <v>9</v>
      </c>
      <c r="C2839" s="10" t="s">
        <v>299</v>
      </c>
      <c r="D2839" s="10" t="s">
        <v>300</v>
      </c>
      <c r="E2839" s="11" t="str">
        <f>+HYPERLINK("http://trademark.i-assist.jp/data/china/image_1898th/78712418.pdf", "78712418")</f>
        <v>78712418</v>
      </c>
      <c r="F2839" s="10" t="s">
        <v>1413</v>
      </c>
      <c r="G2839" s="10" t="s">
        <v>1414</v>
      </c>
      <c r="H2839" s="10" t="s">
        <v>1415</v>
      </c>
      <c r="I2839" s="10" t="s">
        <v>1374</v>
      </c>
    </row>
    <row r="2840" spans="1:9" x14ac:dyDescent="0.15">
      <c r="A2840" s="9">
        <v>2839</v>
      </c>
      <c r="B2840" s="10" t="s">
        <v>9</v>
      </c>
      <c r="C2840" s="10" t="s">
        <v>299</v>
      </c>
      <c r="D2840" s="10" t="s">
        <v>300</v>
      </c>
      <c r="E2840" s="11" t="str">
        <f>+HYPERLINK("http://trademark.i-assist.jp/data/china/image_1898th/78712541.pdf", "78712541")</f>
        <v>78712541</v>
      </c>
      <c r="F2840" s="10" t="s">
        <v>7808</v>
      </c>
      <c r="G2840" s="10" t="s">
        <v>7809</v>
      </c>
      <c r="H2840" s="10" t="s">
        <v>7810</v>
      </c>
      <c r="I2840" s="10" t="s">
        <v>1374</v>
      </c>
    </row>
    <row r="2841" spans="1:9" x14ac:dyDescent="0.15">
      <c r="A2841" s="9">
        <v>2840</v>
      </c>
      <c r="B2841" s="10" t="s">
        <v>9</v>
      </c>
      <c r="C2841" s="10" t="s">
        <v>299</v>
      </c>
      <c r="D2841" s="10" t="s">
        <v>300</v>
      </c>
      <c r="E2841" s="11" t="str">
        <f>+HYPERLINK("http://trademark.i-assist.jp/data/china/image_1898th/78712941.pdf", "78712941")</f>
        <v>78712941</v>
      </c>
      <c r="F2841" s="10" t="s">
        <v>7811</v>
      </c>
      <c r="G2841" s="10" t="s">
        <v>7812</v>
      </c>
      <c r="H2841" s="10" t="s">
        <v>7813</v>
      </c>
      <c r="I2841" s="10" t="s">
        <v>1374</v>
      </c>
    </row>
    <row r="2842" spans="1:9" x14ac:dyDescent="0.15">
      <c r="A2842" s="9">
        <v>2841</v>
      </c>
      <c r="B2842" s="10" t="s">
        <v>9</v>
      </c>
      <c r="C2842" s="10" t="s">
        <v>299</v>
      </c>
      <c r="D2842" s="10" t="s">
        <v>300</v>
      </c>
      <c r="E2842" s="11" t="str">
        <f>+HYPERLINK("http://trademark.i-assist.jp/data/china/image_1898th/78713346.pdf", "78713346")</f>
        <v>78713346</v>
      </c>
      <c r="F2842" s="10" t="s">
        <v>7814</v>
      </c>
      <c r="G2842" s="10" t="s">
        <v>7815</v>
      </c>
      <c r="H2842" s="10" t="s">
        <v>7816</v>
      </c>
      <c r="I2842" s="10" t="s">
        <v>1374</v>
      </c>
    </row>
    <row r="2843" spans="1:9" x14ac:dyDescent="0.15">
      <c r="A2843" s="9">
        <v>2842</v>
      </c>
      <c r="B2843" s="10" t="s">
        <v>9</v>
      </c>
      <c r="C2843" s="10" t="s">
        <v>299</v>
      </c>
      <c r="D2843" s="10" t="s">
        <v>300</v>
      </c>
      <c r="E2843" s="11" t="str">
        <f>+HYPERLINK("http://trademark.i-assist.jp/data/china/image_1898th/78713350.pdf", "78713350")</f>
        <v>78713350</v>
      </c>
      <c r="F2843" s="10" t="s">
        <v>7817</v>
      </c>
      <c r="G2843" s="10" t="s">
        <v>7815</v>
      </c>
      <c r="H2843" s="10" t="s">
        <v>7818</v>
      </c>
      <c r="I2843" s="10" t="s">
        <v>1374</v>
      </c>
    </row>
    <row r="2844" spans="1:9" x14ac:dyDescent="0.15">
      <c r="A2844" s="9">
        <v>2843</v>
      </c>
      <c r="B2844" s="10" t="s">
        <v>9</v>
      </c>
      <c r="C2844" s="10" t="s">
        <v>299</v>
      </c>
      <c r="D2844" s="10" t="s">
        <v>300</v>
      </c>
      <c r="E2844" s="11" t="str">
        <f>+HYPERLINK("http://trademark.i-assist.jp/data/china/image_1898th/78713363.pdf", "78713363")</f>
        <v>78713363</v>
      </c>
      <c r="F2844" s="10" t="s">
        <v>7819</v>
      </c>
      <c r="G2844" s="10" t="s">
        <v>7820</v>
      </c>
      <c r="H2844" s="10" t="s">
        <v>7821</v>
      </c>
      <c r="I2844" s="10" t="s">
        <v>1374</v>
      </c>
    </row>
    <row r="2845" spans="1:9" x14ac:dyDescent="0.15">
      <c r="A2845" s="9">
        <v>2844</v>
      </c>
      <c r="B2845" s="10" t="s">
        <v>9</v>
      </c>
      <c r="C2845" s="10" t="s">
        <v>299</v>
      </c>
      <c r="D2845" s="10" t="s">
        <v>300</v>
      </c>
      <c r="E2845" s="11" t="str">
        <f>+HYPERLINK("http://trademark.i-assist.jp/data/china/image_1898th/78713403.pdf", "78713403")</f>
        <v>78713403</v>
      </c>
      <c r="F2845" s="10" t="s">
        <v>7822</v>
      </c>
      <c r="G2845" s="10" t="s">
        <v>287</v>
      </c>
      <c r="H2845" s="10" t="s">
        <v>7823</v>
      </c>
      <c r="I2845" s="10" t="s">
        <v>1374</v>
      </c>
    </row>
    <row r="2846" spans="1:9" x14ac:dyDescent="0.15">
      <c r="A2846" s="9">
        <v>2845</v>
      </c>
      <c r="B2846" s="10" t="s">
        <v>9</v>
      </c>
      <c r="C2846" s="10" t="s">
        <v>299</v>
      </c>
      <c r="D2846" s="10" t="s">
        <v>300</v>
      </c>
      <c r="E2846" s="11" t="str">
        <f>+HYPERLINK("http://trademark.i-assist.jp/data/china/image_1898th/78713443.pdf", "78713443")</f>
        <v>78713443</v>
      </c>
      <c r="F2846" s="10" t="s">
        <v>7824</v>
      </c>
      <c r="G2846" s="10" t="s">
        <v>1414</v>
      </c>
      <c r="H2846" s="10" t="s">
        <v>7825</v>
      </c>
      <c r="I2846" s="10" t="s">
        <v>1374</v>
      </c>
    </row>
    <row r="2847" spans="1:9" x14ac:dyDescent="0.15">
      <c r="A2847" s="9">
        <v>2846</v>
      </c>
      <c r="B2847" s="10" t="s">
        <v>9</v>
      </c>
      <c r="C2847" s="10" t="s">
        <v>299</v>
      </c>
      <c r="D2847" s="10" t="s">
        <v>300</v>
      </c>
      <c r="E2847" s="11" t="str">
        <f>+HYPERLINK("http://trademark.i-assist.jp/data/china/image_1898th/78713575.pdf", "78713575")</f>
        <v>78713575</v>
      </c>
      <c r="F2847" s="10" t="s">
        <v>7826</v>
      </c>
      <c r="G2847" s="10" t="s">
        <v>7827</v>
      </c>
      <c r="H2847" s="10" t="s">
        <v>7828</v>
      </c>
      <c r="I2847" s="10" t="s">
        <v>1374</v>
      </c>
    </row>
    <row r="2848" spans="1:9" x14ac:dyDescent="0.15">
      <c r="A2848" s="9">
        <v>2847</v>
      </c>
      <c r="B2848" s="10" t="s">
        <v>9</v>
      </c>
      <c r="C2848" s="10" t="s">
        <v>299</v>
      </c>
      <c r="D2848" s="10" t="s">
        <v>300</v>
      </c>
      <c r="E2848" s="11" t="str">
        <f>+HYPERLINK("http://trademark.i-assist.jp/data/china/image_1898th/78713637.pdf", "78713637")</f>
        <v>78713637</v>
      </c>
      <c r="F2848" s="10" t="s">
        <v>7829</v>
      </c>
      <c r="G2848" s="10" t="s">
        <v>7830</v>
      </c>
      <c r="H2848" s="10" t="s">
        <v>7831</v>
      </c>
      <c r="I2848" s="10" t="s">
        <v>1374</v>
      </c>
    </row>
    <row r="2849" spans="1:9" x14ac:dyDescent="0.15">
      <c r="A2849" s="9">
        <v>2848</v>
      </c>
      <c r="B2849" s="10" t="s">
        <v>9</v>
      </c>
      <c r="C2849" s="10" t="s">
        <v>299</v>
      </c>
      <c r="D2849" s="10" t="s">
        <v>300</v>
      </c>
      <c r="E2849" s="11" t="str">
        <f>+HYPERLINK("http://trademark.i-assist.jp/data/china/image_1898th/78713771.pdf", "78713771")</f>
        <v>78713771</v>
      </c>
      <c r="F2849" s="10" t="s">
        <v>7832</v>
      </c>
      <c r="G2849" s="10" t="s">
        <v>1399</v>
      </c>
      <c r="H2849" s="10" t="s">
        <v>7833</v>
      </c>
      <c r="I2849" s="10" t="s">
        <v>1374</v>
      </c>
    </row>
    <row r="2850" spans="1:9" x14ac:dyDescent="0.15">
      <c r="A2850" s="9">
        <v>2849</v>
      </c>
      <c r="B2850" s="10" t="s">
        <v>9</v>
      </c>
      <c r="C2850" s="10" t="s">
        <v>299</v>
      </c>
      <c r="D2850" s="10" t="s">
        <v>300</v>
      </c>
      <c r="E2850" s="11" t="str">
        <f>+HYPERLINK("http://trademark.i-assist.jp/data/china/image_1898th/78713782.pdf", "78713782")</f>
        <v>78713782</v>
      </c>
      <c r="F2850" s="10" t="s">
        <v>7834</v>
      </c>
      <c r="G2850" s="10" t="s">
        <v>6408</v>
      </c>
      <c r="H2850" s="10" t="s">
        <v>7835</v>
      </c>
      <c r="I2850" s="10" t="s">
        <v>1374</v>
      </c>
    </row>
    <row r="2851" spans="1:9" x14ac:dyDescent="0.15">
      <c r="A2851" s="9">
        <v>2850</v>
      </c>
      <c r="B2851" s="10" t="s">
        <v>9</v>
      </c>
      <c r="C2851" s="10" t="s">
        <v>299</v>
      </c>
      <c r="D2851" s="10" t="s">
        <v>300</v>
      </c>
      <c r="E2851" s="11" t="str">
        <f>+HYPERLINK("http://trademark.i-assist.jp/data/china/image_1898th/78713861.pdf", "78713861")</f>
        <v>78713861</v>
      </c>
      <c r="F2851" s="10" t="s">
        <v>7836</v>
      </c>
      <c r="G2851" s="10" t="s">
        <v>7668</v>
      </c>
      <c r="H2851" s="10" t="s">
        <v>7837</v>
      </c>
      <c r="I2851" s="10" t="s">
        <v>1374</v>
      </c>
    </row>
    <row r="2852" spans="1:9" x14ac:dyDescent="0.15">
      <c r="A2852" s="9">
        <v>2851</v>
      </c>
      <c r="B2852" s="10" t="s">
        <v>9</v>
      </c>
      <c r="C2852" s="10" t="s">
        <v>299</v>
      </c>
      <c r="D2852" s="10" t="s">
        <v>300</v>
      </c>
      <c r="E2852" s="11" t="str">
        <f>+HYPERLINK("http://trademark.i-assist.jp/data/china/image_1898th/78713910.pdf", "78713910")</f>
        <v>78713910</v>
      </c>
      <c r="F2852" s="10" t="s">
        <v>7838</v>
      </c>
      <c r="G2852" s="10" t="s">
        <v>7839</v>
      </c>
      <c r="H2852" s="10" t="s">
        <v>7840</v>
      </c>
      <c r="I2852" s="10" t="s">
        <v>1374</v>
      </c>
    </row>
    <row r="2853" spans="1:9" x14ac:dyDescent="0.15">
      <c r="A2853" s="9">
        <v>2852</v>
      </c>
      <c r="B2853" s="10" t="s">
        <v>9</v>
      </c>
      <c r="C2853" s="10" t="s">
        <v>299</v>
      </c>
      <c r="D2853" s="10" t="s">
        <v>300</v>
      </c>
      <c r="E2853" s="11" t="str">
        <f>+HYPERLINK("http://trademark.i-assist.jp/data/china/image_1898th/78713933.pdf", "78713933")</f>
        <v>78713933</v>
      </c>
      <c r="F2853" s="10" t="s">
        <v>7841</v>
      </c>
      <c r="G2853" s="10" t="s">
        <v>7325</v>
      </c>
      <c r="H2853" s="10" t="s">
        <v>7842</v>
      </c>
      <c r="I2853" s="10" t="s">
        <v>1374</v>
      </c>
    </row>
    <row r="2854" spans="1:9" x14ac:dyDescent="0.15">
      <c r="A2854" s="9">
        <v>2853</v>
      </c>
      <c r="B2854" s="10" t="s">
        <v>9</v>
      </c>
      <c r="C2854" s="10" t="s">
        <v>299</v>
      </c>
      <c r="D2854" s="10" t="s">
        <v>300</v>
      </c>
      <c r="E2854" s="11" t="str">
        <f>+HYPERLINK("http://trademark.i-assist.jp/data/china/image_1898th/78713951.pdf", "78713951")</f>
        <v>78713951</v>
      </c>
      <c r="F2854" s="10" t="s">
        <v>7843</v>
      </c>
      <c r="G2854" s="10" t="s">
        <v>7844</v>
      </c>
      <c r="H2854" s="10" t="s">
        <v>7845</v>
      </c>
      <c r="I2854" s="10" t="s">
        <v>1374</v>
      </c>
    </row>
    <row r="2855" spans="1:9" x14ac:dyDescent="0.15">
      <c r="A2855" s="9">
        <v>2854</v>
      </c>
      <c r="B2855" s="10" t="s">
        <v>9</v>
      </c>
      <c r="C2855" s="10" t="s">
        <v>299</v>
      </c>
      <c r="D2855" s="10" t="s">
        <v>300</v>
      </c>
      <c r="E2855" s="11" t="str">
        <f>+HYPERLINK("http://trademark.i-assist.jp/data/china/image_1898th/78714044.pdf", "78714044")</f>
        <v>78714044</v>
      </c>
      <c r="F2855" s="10" t="s">
        <v>7887</v>
      </c>
      <c r="G2855" s="10" t="s">
        <v>7888</v>
      </c>
      <c r="H2855" s="10" t="s">
        <v>7889</v>
      </c>
      <c r="I2855" s="10" t="s">
        <v>1374</v>
      </c>
    </row>
    <row r="2856" spans="1:9" x14ac:dyDescent="0.15">
      <c r="A2856" s="9">
        <v>2855</v>
      </c>
      <c r="B2856" s="10" t="s">
        <v>9</v>
      </c>
      <c r="C2856" s="10" t="s">
        <v>299</v>
      </c>
      <c r="D2856" s="10" t="s">
        <v>300</v>
      </c>
      <c r="E2856" s="11" t="str">
        <f>+HYPERLINK("http://trademark.i-assist.jp/data/china/image_1898th/78714106.pdf", "78714106")</f>
        <v>78714106</v>
      </c>
      <c r="F2856" s="10" t="s">
        <v>7890</v>
      </c>
      <c r="G2856" s="10" t="s">
        <v>7891</v>
      </c>
      <c r="H2856" s="10" t="s">
        <v>7892</v>
      </c>
      <c r="I2856" s="10" t="s">
        <v>1374</v>
      </c>
    </row>
    <row r="2857" spans="1:9" x14ac:dyDescent="0.15">
      <c r="A2857" s="9">
        <v>2856</v>
      </c>
      <c r="B2857" s="10" t="s">
        <v>9</v>
      </c>
      <c r="C2857" s="10" t="s">
        <v>299</v>
      </c>
      <c r="D2857" s="10" t="s">
        <v>300</v>
      </c>
      <c r="E2857" s="11" t="str">
        <f>+HYPERLINK("http://trademark.i-assist.jp/data/china/image_1898th/78714125.pdf", "78714125")</f>
        <v>78714125</v>
      </c>
      <c r="F2857" s="10" t="s">
        <v>7501</v>
      </c>
      <c r="G2857" s="10" t="s">
        <v>7502</v>
      </c>
      <c r="H2857" s="10" t="s">
        <v>7893</v>
      </c>
      <c r="I2857" s="10" t="s">
        <v>1374</v>
      </c>
    </row>
    <row r="2858" spans="1:9" x14ac:dyDescent="0.15">
      <c r="A2858" s="9">
        <v>2857</v>
      </c>
      <c r="B2858" s="10" t="s">
        <v>9</v>
      </c>
      <c r="C2858" s="10" t="s">
        <v>299</v>
      </c>
      <c r="D2858" s="10" t="s">
        <v>300</v>
      </c>
      <c r="E2858" s="11" t="str">
        <f>+HYPERLINK("http://trademark.i-assist.jp/data/china/image_1898th/78714296.pdf", "78714296")</f>
        <v>78714296</v>
      </c>
      <c r="F2858" s="10" t="s">
        <v>7617</v>
      </c>
      <c r="G2858" s="10" t="s">
        <v>7618</v>
      </c>
      <c r="H2858" s="10" t="s">
        <v>7894</v>
      </c>
      <c r="I2858" s="10" t="s">
        <v>1374</v>
      </c>
    </row>
    <row r="2859" spans="1:9" x14ac:dyDescent="0.15">
      <c r="A2859" s="9">
        <v>2858</v>
      </c>
      <c r="B2859" s="10" t="s">
        <v>9</v>
      </c>
      <c r="C2859" s="10" t="s">
        <v>299</v>
      </c>
      <c r="D2859" s="10" t="s">
        <v>300</v>
      </c>
      <c r="E2859" s="11" t="str">
        <f>+HYPERLINK("http://trademark.i-assist.jp/data/china/image_1898th/78714496.pdf", "78714496")</f>
        <v>78714496</v>
      </c>
      <c r="F2859" s="10" t="s">
        <v>7895</v>
      </c>
      <c r="G2859" s="10" t="s">
        <v>7896</v>
      </c>
      <c r="H2859" s="10" t="s">
        <v>7897</v>
      </c>
      <c r="I2859" s="10" t="s">
        <v>1374</v>
      </c>
    </row>
    <row r="2860" spans="1:9" x14ac:dyDescent="0.15">
      <c r="A2860" s="9">
        <v>2859</v>
      </c>
      <c r="B2860" s="10" t="s">
        <v>9</v>
      </c>
      <c r="C2860" s="10" t="s">
        <v>299</v>
      </c>
      <c r="D2860" s="10" t="s">
        <v>300</v>
      </c>
      <c r="E2860" s="11" t="str">
        <f>+HYPERLINK("http://trademark.i-assist.jp/data/china/image_1898th/78714903.pdf", "78714903")</f>
        <v>78714903</v>
      </c>
      <c r="F2860" s="10" t="s">
        <v>7898</v>
      </c>
      <c r="G2860" s="10" t="s">
        <v>7899</v>
      </c>
      <c r="H2860" s="10" t="s">
        <v>7900</v>
      </c>
      <c r="I2860" s="10" t="s">
        <v>1374</v>
      </c>
    </row>
    <row r="2861" spans="1:9" x14ac:dyDescent="0.15">
      <c r="A2861" s="9">
        <v>2860</v>
      </c>
      <c r="B2861" s="10" t="s">
        <v>9</v>
      </c>
      <c r="C2861" s="10" t="s">
        <v>299</v>
      </c>
      <c r="D2861" s="10" t="s">
        <v>300</v>
      </c>
      <c r="E2861" s="11" t="str">
        <f>+HYPERLINK("http://trademark.i-assist.jp/data/china/image_1898th/78715011.pdf", "78715011")</f>
        <v>78715011</v>
      </c>
      <c r="F2861" s="10" t="s">
        <v>7901</v>
      </c>
      <c r="G2861" s="10" t="s">
        <v>208</v>
      </c>
      <c r="H2861" s="10" t="s">
        <v>7902</v>
      </c>
      <c r="I2861" s="10" t="s">
        <v>1374</v>
      </c>
    </row>
    <row r="2862" spans="1:9" x14ac:dyDescent="0.15">
      <c r="A2862" s="9">
        <v>2861</v>
      </c>
      <c r="B2862" s="10" t="s">
        <v>9</v>
      </c>
      <c r="C2862" s="10" t="s">
        <v>299</v>
      </c>
      <c r="D2862" s="10" t="s">
        <v>300</v>
      </c>
      <c r="E2862" s="11" t="str">
        <f>+HYPERLINK("http://trademark.i-assist.jp/data/china/image_1898th/78715048.pdf", "78715048")</f>
        <v>78715048</v>
      </c>
      <c r="F2862" s="10" t="s">
        <v>7903</v>
      </c>
      <c r="G2862" s="10" t="s">
        <v>7904</v>
      </c>
      <c r="H2862" s="10" t="s">
        <v>7905</v>
      </c>
      <c r="I2862" s="10" t="s">
        <v>1374</v>
      </c>
    </row>
    <row r="2863" spans="1:9" x14ac:dyDescent="0.15">
      <c r="A2863" s="9">
        <v>2862</v>
      </c>
      <c r="B2863" s="10" t="s">
        <v>9</v>
      </c>
      <c r="C2863" s="10" t="s">
        <v>299</v>
      </c>
      <c r="D2863" s="10" t="s">
        <v>300</v>
      </c>
      <c r="E2863" s="11" t="str">
        <f>+HYPERLINK("http://trademark.i-assist.jp/data/china/image_1898th/78715060.pdf", "78715060")</f>
        <v>78715060</v>
      </c>
      <c r="F2863" s="10" t="s">
        <v>7906</v>
      </c>
      <c r="G2863" s="10" t="s">
        <v>7907</v>
      </c>
      <c r="H2863" s="10" t="s">
        <v>7908</v>
      </c>
      <c r="I2863" s="10" t="s">
        <v>1374</v>
      </c>
    </row>
    <row r="2864" spans="1:9" x14ac:dyDescent="0.15">
      <c r="A2864" s="9">
        <v>2863</v>
      </c>
      <c r="B2864" s="10" t="s">
        <v>9</v>
      </c>
      <c r="C2864" s="10" t="s">
        <v>299</v>
      </c>
      <c r="D2864" s="10" t="s">
        <v>300</v>
      </c>
      <c r="E2864" s="11" t="str">
        <f>+HYPERLINK("http://trademark.i-assist.jp/data/china/image_1898th/78715074.pdf", "78715074")</f>
        <v>78715074</v>
      </c>
      <c r="F2864" s="10" t="s">
        <v>7909</v>
      </c>
      <c r="G2864" s="10" t="s">
        <v>1399</v>
      </c>
      <c r="H2864" s="10" t="s">
        <v>7910</v>
      </c>
      <c r="I2864" s="10" t="s">
        <v>1374</v>
      </c>
    </row>
    <row r="2865" spans="1:9" x14ac:dyDescent="0.15">
      <c r="A2865" s="9">
        <v>2864</v>
      </c>
      <c r="B2865" s="10" t="s">
        <v>9</v>
      </c>
      <c r="C2865" s="10" t="s">
        <v>299</v>
      </c>
      <c r="D2865" s="10" t="s">
        <v>300</v>
      </c>
      <c r="E2865" s="11" t="str">
        <f>+HYPERLINK("http://trademark.i-assist.jp/data/china/image_1898th/78715096.pdf", "78715096")</f>
        <v>78715096</v>
      </c>
      <c r="F2865" s="10" t="s">
        <v>7911</v>
      </c>
      <c r="G2865" s="10" t="s">
        <v>1399</v>
      </c>
      <c r="H2865" s="10" t="s">
        <v>7912</v>
      </c>
      <c r="I2865" s="10" t="s">
        <v>1374</v>
      </c>
    </row>
    <row r="2866" spans="1:9" x14ac:dyDescent="0.15">
      <c r="A2866" s="9">
        <v>2865</v>
      </c>
      <c r="B2866" s="10" t="s">
        <v>9</v>
      </c>
      <c r="C2866" s="10" t="s">
        <v>299</v>
      </c>
      <c r="D2866" s="10" t="s">
        <v>300</v>
      </c>
      <c r="E2866" s="11" t="str">
        <f>+HYPERLINK("http://trademark.i-assist.jp/data/china/image_1898th/78715195.pdf", "78715195")</f>
        <v>78715195</v>
      </c>
      <c r="F2866" s="10" t="s">
        <v>7913</v>
      </c>
      <c r="G2866" s="10" t="s">
        <v>7914</v>
      </c>
      <c r="H2866" s="10" t="s">
        <v>7915</v>
      </c>
      <c r="I2866" s="10" t="s">
        <v>1374</v>
      </c>
    </row>
    <row r="2867" spans="1:9" x14ac:dyDescent="0.15">
      <c r="A2867" s="9">
        <v>2866</v>
      </c>
      <c r="B2867" s="10" t="s">
        <v>9</v>
      </c>
      <c r="C2867" s="10" t="s">
        <v>299</v>
      </c>
      <c r="D2867" s="10" t="s">
        <v>300</v>
      </c>
      <c r="E2867" s="11" t="str">
        <f>+HYPERLINK("http://trademark.i-assist.jp/data/china/image_1898th/78715285.pdf", "78715285")</f>
        <v>78715285</v>
      </c>
      <c r="F2867" s="10" t="s">
        <v>7916</v>
      </c>
      <c r="G2867" s="10" t="s">
        <v>7917</v>
      </c>
      <c r="H2867" s="10" t="s">
        <v>7918</v>
      </c>
      <c r="I2867" s="10" t="s">
        <v>1374</v>
      </c>
    </row>
    <row r="2868" spans="1:9" x14ac:dyDescent="0.15">
      <c r="A2868" s="9">
        <v>2867</v>
      </c>
      <c r="B2868" s="10" t="s">
        <v>9</v>
      </c>
      <c r="C2868" s="10" t="s">
        <v>299</v>
      </c>
      <c r="D2868" s="10" t="s">
        <v>300</v>
      </c>
      <c r="E2868" s="11" t="str">
        <f>+HYPERLINK("http://trademark.i-assist.jp/data/china/image_1898th/78715325.pdf", "78715325")</f>
        <v>78715325</v>
      </c>
      <c r="F2868" s="10" t="s">
        <v>7919</v>
      </c>
      <c r="G2868" s="10" t="s">
        <v>7920</v>
      </c>
      <c r="H2868" s="10" t="s">
        <v>7921</v>
      </c>
      <c r="I2868" s="10" t="s">
        <v>1374</v>
      </c>
    </row>
    <row r="2869" spans="1:9" x14ac:dyDescent="0.15">
      <c r="A2869" s="9">
        <v>2868</v>
      </c>
      <c r="B2869" s="10" t="s">
        <v>9</v>
      </c>
      <c r="C2869" s="10" t="s">
        <v>299</v>
      </c>
      <c r="D2869" s="10" t="s">
        <v>300</v>
      </c>
      <c r="E2869" s="11" t="str">
        <f>+HYPERLINK("http://trademark.i-assist.jp/data/china/image_1898th/78715604.pdf", "78715604")</f>
        <v>78715604</v>
      </c>
      <c r="F2869" s="10" t="s">
        <v>7922</v>
      </c>
      <c r="G2869" s="10" t="s">
        <v>7747</v>
      </c>
      <c r="H2869" s="10" t="s">
        <v>7923</v>
      </c>
      <c r="I2869" s="10" t="s">
        <v>1374</v>
      </c>
    </row>
    <row r="2870" spans="1:9" x14ac:dyDescent="0.15">
      <c r="A2870" s="9">
        <v>2869</v>
      </c>
      <c r="B2870" s="10" t="s">
        <v>9</v>
      </c>
      <c r="C2870" s="10" t="s">
        <v>299</v>
      </c>
      <c r="D2870" s="10" t="s">
        <v>300</v>
      </c>
      <c r="E2870" s="11" t="str">
        <f>+HYPERLINK("http://trademark.i-assist.jp/data/china/image_1898th/78715670.pdf", "78715670")</f>
        <v>78715670</v>
      </c>
      <c r="F2870" s="10" t="s">
        <v>7924</v>
      </c>
      <c r="G2870" s="10" t="s">
        <v>5994</v>
      </c>
      <c r="H2870" s="10" t="s">
        <v>7925</v>
      </c>
      <c r="I2870" s="10" t="s">
        <v>1374</v>
      </c>
    </row>
    <row r="2871" spans="1:9" x14ac:dyDescent="0.15">
      <c r="A2871" s="9">
        <v>2870</v>
      </c>
      <c r="B2871" s="10" t="s">
        <v>9</v>
      </c>
      <c r="C2871" s="10" t="s">
        <v>299</v>
      </c>
      <c r="D2871" s="10" t="s">
        <v>300</v>
      </c>
      <c r="E2871" s="11" t="str">
        <f>+HYPERLINK("http://trademark.i-assist.jp/data/china/image_1898th/78715773.pdf", "78715773")</f>
        <v>78715773</v>
      </c>
      <c r="F2871" s="10" t="s">
        <v>7926</v>
      </c>
      <c r="G2871" s="10" t="s">
        <v>7927</v>
      </c>
      <c r="H2871" s="10" t="s">
        <v>7928</v>
      </c>
      <c r="I2871" s="10" t="s">
        <v>1374</v>
      </c>
    </row>
    <row r="2872" spans="1:9" x14ac:dyDescent="0.15">
      <c r="A2872" s="9">
        <v>2871</v>
      </c>
      <c r="B2872" s="10" t="s">
        <v>9</v>
      </c>
      <c r="C2872" s="10" t="s">
        <v>299</v>
      </c>
      <c r="D2872" s="10" t="s">
        <v>300</v>
      </c>
      <c r="E2872" s="11" t="str">
        <f>+HYPERLINK("http://trademark.i-assist.jp/data/china/image_1898th/78715829.pdf", "78715829")</f>
        <v>78715829</v>
      </c>
      <c r="F2872" s="10" t="s">
        <v>7929</v>
      </c>
      <c r="G2872" s="10" t="s">
        <v>7930</v>
      </c>
      <c r="H2872" s="10" t="s">
        <v>7931</v>
      </c>
      <c r="I2872" s="10" t="s">
        <v>1374</v>
      </c>
    </row>
    <row r="2873" spans="1:9" x14ac:dyDescent="0.15">
      <c r="A2873" s="9">
        <v>2872</v>
      </c>
      <c r="B2873" s="10" t="s">
        <v>9</v>
      </c>
      <c r="C2873" s="10" t="s">
        <v>299</v>
      </c>
      <c r="D2873" s="10" t="s">
        <v>300</v>
      </c>
      <c r="E2873" s="11" t="str">
        <f>+HYPERLINK("http://trademark.i-assist.jp/data/china/image_1898th/78715853.pdf", "78715853")</f>
        <v>78715853</v>
      </c>
      <c r="F2873" s="10" t="s">
        <v>7932</v>
      </c>
      <c r="G2873" s="10" t="s">
        <v>7502</v>
      </c>
      <c r="H2873" s="10" t="s">
        <v>7933</v>
      </c>
      <c r="I2873" s="10" t="s">
        <v>1374</v>
      </c>
    </row>
    <row r="2874" spans="1:9" x14ac:dyDescent="0.15">
      <c r="A2874" s="9">
        <v>2873</v>
      </c>
      <c r="B2874" s="10" t="s">
        <v>9</v>
      </c>
      <c r="C2874" s="10" t="s">
        <v>299</v>
      </c>
      <c r="D2874" s="10" t="s">
        <v>300</v>
      </c>
      <c r="E2874" s="11" t="str">
        <f>+HYPERLINK("http://trademark.i-assist.jp/data/china/image_1898th/78716086.pdf", "78716086")</f>
        <v>78716086</v>
      </c>
      <c r="F2874" s="10" t="s">
        <v>7934</v>
      </c>
      <c r="G2874" s="10" t="s">
        <v>2085</v>
      </c>
      <c r="H2874" s="10" t="s">
        <v>7935</v>
      </c>
      <c r="I2874" s="10" t="s">
        <v>1374</v>
      </c>
    </row>
    <row r="2875" spans="1:9" x14ac:dyDescent="0.15">
      <c r="A2875" s="9">
        <v>2874</v>
      </c>
      <c r="B2875" s="10" t="s">
        <v>9</v>
      </c>
      <c r="C2875" s="10" t="s">
        <v>299</v>
      </c>
      <c r="D2875" s="10" t="s">
        <v>300</v>
      </c>
      <c r="E2875" s="11" t="str">
        <f>+HYPERLINK("http://trademark.i-assist.jp/data/china/image_1898th/78716128.pdf", "78716128")</f>
        <v>78716128</v>
      </c>
      <c r="F2875" s="10" t="s">
        <v>7936</v>
      </c>
      <c r="G2875" s="10" t="s">
        <v>7937</v>
      </c>
      <c r="H2875" s="10" t="s">
        <v>7938</v>
      </c>
      <c r="I2875" s="10" t="s">
        <v>1374</v>
      </c>
    </row>
    <row r="2876" spans="1:9" x14ac:dyDescent="0.15">
      <c r="A2876" s="9">
        <v>2875</v>
      </c>
      <c r="B2876" s="10" t="s">
        <v>9</v>
      </c>
      <c r="C2876" s="10" t="s">
        <v>299</v>
      </c>
      <c r="D2876" s="10" t="s">
        <v>300</v>
      </c>
      <c r="E2876" s="11" t="str">
        <f>+HYPERLINK("http://trademark.i-assist.jp/data/china/image_1898th/78716369.pdf", "78716369")</f>
        <v>78716369</v>
      </c>
      <c r="F2876" s="10" t="s">
        <v>7939</v>
      </c>
      <c r="G2876" s="10" t="s">
        <v>7940</v>
      </c>
      <c r="H2876" s="10" t="s">
        <v>7941</v>
      </c>
      <c r="I2876" s="10" t="s">
        <v>1374</v>
      </c>
    </row>
    <row r="2877" spans="1:9" x14ac:dyDescent="0.15">
      <c r="A2877" s="9">
        <v>2876</v>
      </c>
      <c r="B2877" s="10" t="s">
        <v>9</v>
      </c>
      <c r="C2877" s="10" t="s">
        <v>299</v>
      </c>
      <c r="D2877" s="10" t="s">
        <v>300</v>
      </c>
      <c r="E2877" s="11" t="str">
        <f>+HYPERLINK("http://trademark.i-assist.jp/data/china/image_1898th/78716405.pdf", "78716405")</f>
        <v>78716405</v>
      </c>
      <c r="F2877" s="10" t="s">
        <v>7942</v>
      </c>
      <c r="G2877" s="10" t="s">
        <v>7943</v>
      </c>
      <c r="H2877" s="10" t="s">
        <v>7944</v>
      </c>
      <c r="I2877" s="10" t="s">
        <v>1374</v>
      </c>
    </row>
    <row r="2878" spans="1:9" x14ac:dyDescent="0.15">
      <c r="A2878" s="9">
        <v>2877</v>
      </c>
      <c r="B2878" s="10" t="s">
        <v>9</v>
      </c>
      <c r="C2878" s="10" t="s">
        <v>299</v>
      </c>
      <c r="D2878" s="10" t="s">
        <v>300</v>
      </c>
      <c r="E2878" s="11" t="str">
        <f>+HYPERLINK("http://trademark.i-assist.jp/data/china/image_1898th/78716479.pdf", "78716479")</f>
        <v>78716479</v>
      </c>
      <c r="F2878" s="10" t="s">
        <v>7945</v>
      </c>
      <c r="G2878" s="10" t="s">
        <v>7493</v>
      </c>
      <c r="H2878" s="10" t="s">
        <v>7946</v>
      </c>
      <c r="I2878" s="10" t="s">
        <v>1374</v>
      </c>
    </row>
    <row r="2879" spans="1:9" x14ac:dyDescent="0.15">
      <c r="A2879" s="9">
        <v>2878</v>
      </c>
      <c r="B2879" s="10" t="s">
        <v>9</v>
      </c>
      <c r="C2879" s="10" t="s">
        <v>299</v>
      </c>
      <c r="D2879" s="10" t="s">
        <v>300</v>
      </c>
      <c r="E2879" s="11" t="str">
        <f>+HYPERLINK("http://trademark.i-assist.jp/data/china/image_1898th/78716655.pdf", "78716655")</f>
        <v>78716655</v>
      </c>
      <c r="F2879" s="10" t="s">
        <v>7947</v>
      </c>
      <c r="G2879" s="10" t="s">
        <v>218</v>
      </c>
      <c r="H2879" s="10" t="s">
        <v>7948</v>
      </c>
      <c r="I2879" s="10" t="s">
        <v>1374</v>
      </c>
    </row>
    <row r="2880" spans="1:9" x14ac:dyDescent="0.15">
      <c r="A2880" s="9">
        <v>2879</v>
      </c>
      <c r="B2880" s="10" t="s">
        <v>9</v>
      </c>
      <c r="C2880" s="10" t="s">
        <v>299</v>
      </c>
      <c r="D2880" s="10" t="s">
        <v>300</v>
      </c>
      <c r="E2880" s="11" t="str">
        <f>+HYPERLINK("http://trademark.i-assist.jp/data/china/image_1898th/78716692.pdf", "78716692")</f>
        <v>78716692</v>
      </c>
      <c r="F2880" s="10" t="s">
        <v>7949</v>
      </c>
      <c r="G2880" s="10" t="s">
        <v>7950</v>
      </c>
      <c r="H2880" s="10" t="s">
        <v>7951</v>
      </c>
      <c r="I2880" s="10" t="s">
        <v>1374</v>
      </c>
    </row>
    <row r="2881" spans="1:9" x14ac:dyDescent="0.15">
      <c r="A2881" s="9">
        <v>2880</v>
      </c>
      <c r="B2881" s="10" t="s">
        <v>9</v>
      </c>
      <c r="C2881" s="10" t="s">
        <v>299</v>
      </c>
      <c r="D2881" s="10" t="s">
        <v>300</v>
      </c>
      <c r="E2881" s="11" t="str">
        <f>+HYPERLINK("http://trademark.i-assist.jp/data/china/image_1898th/78716732.pdf", "78716732")</f>
        <v>78716732</v>
      </c>
      <c r="F2881" s="10" t="s">
        <v>7952</v>
      </c>
      <c r="G2881" s="10" t="s">
        <v>1399</v>
      </c>
      <c r="H2881" s="10" t="s">
        <v>7953</v>
      </c>
      <c r="I2881" s="10" t="s">
        <v>1374</v>
      </c>
    </row>
    <row r="2882" spans="1:9" x14ac:dyDescent="0.15">
      <c r="A2882" s="9">
        <v>2881</v>
      </c>
      <c r="B2882" s="10" t="s">
        <v>9</v>
      </c>
      <c r="C2882" s="10" t="s">
        <v>299</v>
      </c>
      <c r="D2882" s="10" t="s">
        <v>300</v>
      </c>
      <c r="E2882" s="11" t="str">
        <f>+HYPERLINK("http://trademark.i-assist.jp/data/china/image_1898th/78716819.pdf", "78716819")</f>
        <v>78716819</v>
      </c>
      <c r="F2882" s="10" t="s">
        <v>7954</v>
      </c>
      <c r="G2882" s="10" t="s">
        <v>7955</v>
      </c>
      <c r="H2882" s="10" t="s">
        <v>7956</v>
      </c>
      <c r="I2882" s="10" t="s">
        <v>7957</v>
      </c>
    </row>
    <row r="2883" spans="1:9" x14ac:dyDescent="0.15">
      <c r="A2883" s="9">
        <v>2882</v>
      </c>
      <c r="B2883" s="10" t="s">
        <v>9</v>
      </c>
      <c r="C2883" s="10" t="s">
        <v>299</v>
      </c>
      <c r="D2883" s="10" t="s">
        <v>300</v>
      </c>
      <c r="E2883" s="11" t="str">
        <f>+HYPERLINK("http://trademark.i-assist.jp/data/china/image_1898th/78716836.pdf", "78716836")</f>
        <v>78716836</v>
      </c>
      <c r="F2883" s="10" t="s">
        <v>7958</v>
      </c>
      <c r="G2883" s="10" t="s">
        <v>7959</v>
      </c>
      <c r="H2883" s="10" t="s">
        <v>7960</v>
      </c>
      <c r="I2883" s="10" t="s">
        <v>7957</v>
      </c>
    </row>
    <row r="2884" spans="1:9" x14ac:dyDescent="0.15">
      <c r="A2884" s="9">
        <v>2883</v>
      </c>
      <c r="B2884" s="10" t="s">
        <v>9</v>
      </c>
      <c r="C2884" s="10" t="s">
        <v>299</v>
      </c>
      <c r="D2884" s="10" t="s">
        <v>300</v>
      </c>
      <c r="E2884" s="11" t="str">
        <f>+HYPERLINK("http://trademark.i-assist.jp/data/china/image_1898th/78716899.pdf", "78716899")</f>
        <v>78716899</v>
      </c>
      <c r="F2884" s="10" t="s">
        <v>7961</v>
      </c>
      <c r="G2884" s="10" t="s">
        <v>7962</v>
      </c>
      <c r="H2884" s="10" t="s">
        <v>7963</v>
      </c>
      <c r="I2884" s="10" t="s">
        <v>7957</v>
      </c>
    </row>
    <row r="2885" spans="1:9" x14ac:dyDescent="0.15">
      <c r="A2885" s="9">
        <v>2884</v>
      </c>
      <c r="B2885" s="10" t="s">
        <v>9</v>
      </c>
      <c r="C2885" s="10" t="s">
        <v>299</v>
      </c>
      <c r="D2885" s="10" t="s">
        <v>300</v>
      </c>
      <c r="E2885" s="11" t="str">
        <f>+HYPERLINK("http://trademark.i-assist.jp/data/china/image_1898th/78717112.pdf", "78717112")</f>
        <v>78717112</v>
      </c>
      <c r="F2885" s="10" t="s">
        <v>7964</v>
      </c>
      <c r="G2885" s="10" t="s">
        <v>7965</v>
      </c>
      <c r="H2885" s="10" t="s">
        <v>7966</v>
      </c>
      <c r="I2885" s="10" t="s">
        <v>7957</v>
      </c>
    </row>
    <row r="2886" spans="1:9" x14ac:dyDescent="0.15">
      <c r="A2886" s="9">
        <v>2885</v>
      </c>
      <c r="B2886" s="10" t="s">
        <v>9</v>
      </c>
      <c r="C2886" s="10" t="s">
        <v>299</v>
      </c>
      <c r="D2886" s="10" t="s">
        <v>300</v>
      </c>
      <c r="E2886" s="11" t="str">
        <f>+HYPERLINK("http://trademark.i-assist.jp/data/china/image_1898th/78717164.pdf", "78717164")</f>
        <v>78717164</v>
      </c>
      <c r="F2886" s="10" t="s">
        <v>7967</v>
      </c>
      <c r="G2886" s="10" t="s">
        <v>7968</v>
      </c>
      <c r="H2886" s="10" t="s">
        <v>7969</v>
      </c>
      <c r="I2886" s="10" t="s">
        <v>7957</v>
      </c>
    </row>
    <row r="2887" spans="1:9" x14ac:dyDescent="0.15">
      <c r="A2887" s="9">
        <v>2886</v>
      </c>
      <c r="B2887" s="10" t="s">
        <v>9</v>
      </c>
      <c r="C2887" s="10" t="s">
        <v>299</v>
      </c>
      <c r="D2887" s="10" t="s">
        <v>300</v>
      </c>
      <c r="E2887" s="11" t="str">
        <f>+HYPERLINK("http://trademark.i-assist.jp/data/china/image_1898th/78717487.pdf", "78717487")</f>
        <v>78717487</v>
      </c>
      <c r="F2887" s="10" t="s">
        <v>7970</v>
      </c>
      <c r="G2887" s="10" t="s">
        <v>47</v>
      </c>
      <c r="H2887" s="10" t="s">
        <v>7971</v>
      </c>
      <c r="I2887" s="10" t="s">
        <v>7957</v>
      </c>
    </row>
    <row r="2888" spans="1:9" x14ac:dyDescent="0.15">
      <c r="A2888" s="9">
        <v>2887</v>
      </c>
      <c r="B2888" s="10" t="s">
        <v>9</v>
      </c>
      <c r="C2888" s="10" t="s">
        <v>299</v>
      </c>
      <c r="D2888" s="10" t="s">
        <v>300</v>
      </c>
      <c r="E2888" s="11" t="str">
        <f>+HYPERLINK("http://trademark.i-assist.jp/data/china/image_1898th/78717500.pdf", "78717500")</f>
        <v>78717500</v>
      </c>
      <c r="F2888" s="10" t="s">
        <v>7972</v>
      </c>
      <c r="G2888" s="10" t="s">
        <v>7973</v>
      </c>
      <c r="H2888" s="10" t="s">
        <v>7974</v>
      </c>
      <c r="I2888" s="10" t="s">
        <v>7957</v>
      </c>
    </row>
    <row r="2889" spans="1:9" x14ac:dyDescent="0.15">
      <c r="A2889" s="9">
        <v>2888</v>
      </c>
      <c r="B2889" s="10" t="s">
        <v>9</v>
      </c>
      <c r="C2889" s="10" t="s">
        <v>299</v>
      </c>
      <c r="D2889" s="10" t="s">
        <v>300</v>
      </c>
      <c r="E2889" s="11" t="str">
        <f>+HYPERLINK("http://trademark.i-assist.jp/data/china/image_1898th/78717692.pdf", "78717692")</f>
        <v>78717692</v>
      </c>
      <c r="F2889" s="10" t="s">
        <v>7975</v>
      </c>
      <c r="G2889" s="10" t="s">
        <v>7976</v>
      </c>
      <c r="H2889" s="10" t="s">
        <v>7977</v>
      </c>
      <c r="I2889" s="10" t="s">
        <v>7957</v>
      </c>
    </row>
    <row r="2890" spans="1:9" x14ac:dyDescent="0.15">
      <c r="A2890" s="9">
        <v>2889</v>
      </c>
      <c r="B2890" s="10" t="s">
        <v>9</v>
      </c>
      <c r="C2890" s="10" t="s">
        <v>299</v>
      </c>
      <c r="D2890" s="10" t="s">
        <v>300</v>
      </c>
      <c r="E2890" s="11" t="str">
        <f>+HYPERLINK("http://trademark.i-assist.jp/data/china/image_1898th/78717749.pdf", "78717749")</f>
        <v>78717749</v>
      </c>
      <c r="F2890" s="10" t="s">
        <v>7978</v>
      </c>
      <c r="G2890" s="10" t="s">
        <v>7979</v>
      </c>
      <c r="H2890" s="10" t="s">
        <v>7980</v>
      </c>
      <c r="I2890" s="10" t="s">
        <v>7957</v>
      </c>
    </row>
    <row r="2891" spans="1:9" x14ac:dyDescent="0.15">
      <c r="A2891" s="9">
        <v>2890</v>
      </c>
      <c r="B2891" s="10" t="s">
        <v>9</v>
      </c>
      <c r="C2891" s="10" t="s">
        <v>299</v>
      </c>
      <c r="D2891" s="10" t="s">
        <v>300</v>
      </c>
      <c r="E2891" s="11" t="str">
        <f>+HYPERLINK("http://trademark.i-assist.jp/data/china/image_1898th/78718056.pdf", "78718056")</f>
        <v>78718056</v>
      </c>
      <c r="F2891" s="10" t="s">
        <v>7981</v>
      </c>
      <c r="G2891" s="10" t="s">
        <v>3915</v>
      </c>
      <c r="H2891" s="10" t="s">
        <v>7982</v>
      </c>
      <c r="I2891" s="10" t="s">
        <v>7957</v>
      </c>
    </row>
    <row r="2892" spans="1:9" x14ac:dyDescent="0.15">
      <c r="A2892" s="9">
        <v>2891</v>
      </c>
      <c r="B2892" s="10" t="s">
        <v>9</v>
      </c>
      <c r="C2892" s="10" t="s">
        <v>299</v>
      </c>
      <c r="D2892" s="10" t="s">
        <v>300</v>
      </c>
      <c r="E2892" s="11" t="str">
        <f>+HYPERLINK("http://trademark.i-assist.jp/data/china/image_1898th/78718642.pdf", "78718642")</f>
        <v>78718642</v>
      </c>
      <c r="F2892" s="10" t="s">
        <v>7983</v>
      </c>
      <c r="G2892" s="10" t="s">
        <v>7984</v>
      </c>
      <c r="H2892" s="10" t="s">
        <v>7985</v>
      </c>
      <c r="I2892" s="10" t="s">
        <v>7957</v>
      </c>
    </row>
    <row r="2893" spans="1:9" x14ac:dyDescent="0.15">
      <c r="A2893" s="9">
        <v>2892</v>
      </c>
      <c r="B2893" s="10" t="s">
        <v>9</v>
      </c>
      <c r="C2893" s="10" t="s">
        <v>299</v>
      </c>
      <c r="D2893" s="10" t="s">
        <v>300</v>
      </c>
      <c r="E2893" s="11" t="str">
        <f>+HYPERLINK("http://trademark.i-assist.jp/data/china/image_1898th/78718674.pdf", "78718674")</f>
        <v>78718674</v>
      </c>
      <c r="F2893" s="10" t="s">
        <v>7986</v>
      </c>
      <c r="G2893" s="10" t="s">
        <v>7987</v>
      </c>
      <c r="H2893" s="10" t="s">
        <v>7988</v>
      </c>
      <c r="I2893" s="10" t="s">
        <v>7957</v>
      </c>
    </row>
    <row r="2894" spans="1:9" x14ac:dyDescent="0.15">
      <c r="A2894" s="9">
        <v>2893</v>
      </c>
      <c r="B2894" s="10" t="s">
        <v>9</v>
      </c>
      <c r="C2894" s="10" t="s">
        <v>299</v>
      </c>
      <c r="D2894" s="10" t="s">
        <v>300</v>
      </c>
      <c r="E2894" s="11" t="str">
        <f>+HYPERLINK("http://trademark.i-assist.jp/data/china/image_1898th/78718691.pdf", "78718691")</f>
        <v>78718691</v>
      </c>
      <c r="F2894" s="10" t="s">
        <v>7989</v>
      </c>
      <c r="G2894" s="10" t="s">
        <v>7987</v>
      </c>
      <c r="H2894" s="10" t="s">
        <v>7990</v>
      </c>
      <c r="I2894" s="10" t="s">
        <v>7957</v>
      </c>
    </row>
    <row r="2895" spans="1:9" x14ac:dyDescent="0.15">
      <c r="A2895" s="9">
        <v>2894</v>
      </c>
      <c r="B2895" s="10" t="s">
        <v>9</v>
      </c>
      <c r="C2895" s="10" t="s">
        <v>299</v>
      </c>
      <c r="D2895" s="10" t="s">
        <v>300</v>
      </c>
      <c r="E2895" s="11" t="str">
        <f>+HYPERLINK("http://trademark.i-assist.jp/data/china/image_1898th/78718712.pdf", "78718712")</f>
        <v>78718712</v>
      </c>
      <c r="F2895" s="10" t="s">
        <v>7991</v>
      </c>
      <c r="G2895" s="10" t="s">
        <v>7992</v>
      </c>
      <c r="H2895" s="10" t="s">
        <v>7993</v>
      </c>
      <c r="I2895" s="10" t="s">
        <v>7957</v>
      </c>
    </row>
    <row r="2896" spans="1:9" x14ac:dyDescent="0.15">
      <c r="A2896" s="9">
        <v>2895</v>
      </c>
      <c r="B2896" s="10" t="s">
        <v>9</v>
      </c>
      <c r="C2896" s="10" t="s">
        <v>299</v>
      </c>
      <c r="D2896" s="10" t="s">
        <v>300</v>
      </c>
      <c r="E2896" s="11" t="str">
        <f>+HYPERLINK("http://trademark.i-assist.jp/data/china/image_1898th/78718786.pdf", "78718786")</f>
        <v>78718786</v>
      </c>
      <c r="F2896" s="10" t="s">
        <v>7994</v>
      </c>
      <c r="G2896" s="10" t="s">
        <v>5027</v>
      </c>
      <c r="H2896" s="10" t="s">
        <v>7995</v>
      </c>
      <c r="I2896" s="10" t="s">
        <v>7957</v>
      </c>
    </row>
    <row r="2897" spans="1:9" x14ac:dyDescent="0.15">
      <c r="A2897" s="9">
        <v>2896</v>
      </c>
      <c r="B2897" s="10" t="s">
        <v>9</v>
      </c>
      <c r="C2897" s="10" t="s">
        <v>299</v>
      </c>
      <c r="D2897" s="10" t="s">
        <v>300</v>
      </c>
      <c r="E2897" s="11" t="str">
        <f>+HYPERLINK("http://trademark.i-assist.jp/data/china/image_1898th/78718830.pdf", "78718830")</f>
        <v>78718830</v>
      </c>
      <c r="F2897" s="10" t="s">
        <v>7996</v>
      </c>
      <c r="G2897" s="10" t="s">
        <v>7997</v>
      </c>
      <c r="H2897" s="10" t="s">
        <v>7998</v>
      </c>
      <c r="I2897" s="10" t="s">
        <v>7957</v>
      </c>
    </row>
    <row r="2898" spans="1:9" x14ac:dyDescent="0.15">
      <c r="A2898" s="9">
        <v>2897</v>
      </c>
      <c r="B2898" s="10" t="s">
        <v>9</v>
      </c>
      <c r="C2898" s="10" t="s">
        <v>299</v>
      </c>
      <c r="D2898" s="10" t="s">
        <v>300</v>
      </c>
      <c r="E2898" s="11" t="str">
        <f>+HYPERLINK("http://trademark.i-assist.jp/data/china/image_1898th/78718995.pdf", "78718995")</f>
        <v>78718995</v>
      </c>
      <c r="F2898" s="10" t="s">
        <v>7999</v>
      </c>
      <c r="G2898" s="10" t="s">
        <v>8000</v>
      </c>
      <c r="H2898" s="10" t="s">
        <v>8001</v>
      </c>
      <c r="I2898" s="10" t="s">
        <v>7957</v>
      </c>
    </row>
    <row r="2899" spans="1:9" x14ac:dyDescent="0.15">
      <c r="A2899" s="9">
        <v>2898</v>
      </c>
      <c r="B2899" s="10" t="s">
        <v>9</v>
      </c>
      <c r="C2899" s="10" t="s">
        <v>299</v>
      </c>
      <c r="D2899" s="10" t="s">
        <v>300</v>
      </c>
      <c r="E2899" s="11" t="str">
        <f>+HYPERLINK("http://trademark.i-assist.jp/data/china/image_1898th/78719147.pdf", "78719147")</f>
        <v>78719147</v>
      </c>
      <c r="F2899" s="10" t="s">
        <v>8002</v>
      </c>
      <c r="G2899" s="10" t="s">
        <v>8003</v>
      </c>
      <c r="H2899" s="10" t="s">
        <v>8004</v>
      </c>
      <c r="I2899" s="10" t="s">
        <v>7957</v>
      </c>
    </row>
    <row r="2900" spans="1:9" x14ac:dyDescent="0.15">
      <c r="A2900" s="9">
        <v>2899</v>
      </c>
      <c r="B2900" s="10" t="s">
        <v>9</v>
      </c>
      <c r="C2900" s="10" t="s">
        <v>299</v>
      </c>
      <c r="D2900" s="10" t="s">
        <v>300</v>
      </c>
      <c r="E2900" s="11" t="str">
        <f>+HYPERLINK("http://trademark.i-assist.jp/data/china/image_1898th/78719308.pdf", "78719308")</f>
        <v>78719308</v>
      </c>
      <c r="F2900" s="10" t="s">
        <v>8005</v>
      </c>
      <c r="G2900" s="10" t="s">
        <v>8006</v>
      </c>
      <c r="H2900" s="10" t="s">
        <v>8007</v>
      </c>
      <c r="I2900" s="10" t="s">
        <v>7957</v>
      </c>
    </row>
    <row r="2901" spans="1:9" x14ac:dyDescent="0.15">
      <c r="A2901" s="9">
        <v>2900</v>
      </c>
      <c r="B2901" s="10" t="s">
        <v>9</v>
      </c>
      <c r="C2901" s="10" t="s">
        <v>299</v>
      </c>
      <c r="D2901" s="10" t="s">
        <v>300</v>
      </c>
      <c r="E2901" s="11" t="str">
        <f>+HYPERLINK("http://trademark.i-assist.jp/data/china/image_1898th/78719324.pdf", "78719324")</f>
        <v>78719324</v>
      </c>
      <c r="F2901" s="10" t="s">
        <v>8008</v>
      </c>
      <c r="G2901" s="10" t="s">
        <v>3883</v>
      </c>
      <c r="H2901" s="10" t="s">
        <v>8009</v>
      </c>
      <c r="I2901" s="10" t="s">
        <v>7957</v>
      </c>
    </row>
    <row r="2902" spans="1:9" x14ac:dyDescent="0.15">
      <c r="A2902" s="9">
        <v>2901</v>
      </c>
      <c r="B2902" s="10" t="s">
        <v>9</v>
      </c>
      <c r="C2902" s="10" t="s">
        <v>299</v>
      </c>
      <c r="D2902" s="10" t="s">
        <v>300</v>
      </c>
      <c r="E2902" s="11" t="str">
        <f>+HYPERLINK("http://trademark.i-assist.jp/data/china/image_1898th/78719384.pdf", "78719384")</f>
        <v>78719384</v>
      </c>
      <c r="F2902" s="10" t="s">
        <v>8010</v>
      </c>
      <c r="G2902" s="10" t="s">
        <v>8011</v>
      </c>
      <c r="H2902" s="10" t="s">
        <v>8012</v>
      </c>
      <c r="I2902" s="10" t="s">
        <v>7957</v>
      </c>
    </row>
    <row r="2903" spans="1:9" x14ac:dyDescent="0.15">
      <c r="A2903" s="9">
        <v>2902</v>
      </c>
      <c r="B2903" s="10" t="s">
        <v>9</v>
      </c>
      <c r="C2903" s="10" t="s">
        <v>299</v>
      </c>
      <c r="D2903" s="10" t="s">
        <v>300</v>
      </c>
      <c r="E2903" s="11" t="str">
        <f>+HYPERLINK("http://trademark.i-assist.jp/data/china/image_1898th/78719447.pdf", "78719447")</f>
        <v>78719447</v>
      </c>
      <c r="F2903" s="10" t="s">
        <v>8013</v>
      </c>
      <c r="G2903" s="10" t="s">
        <v>8014</v>
      </c>
      <c r="H2903" s="10" t="s">
        <v>8015</v>
      </c>
      <c r="I2903" s="10" t="s">
        <v>7957</v>
      </c>
    </row>
    <row r="2904" spans="1:9" x14ac:dyDescent="0.15">
      <c r="A2904" s="9">
        <v>2903</v>
      </c>
      <c r="B2904" s="10" t="s">
        <v>9</v>
      </c>
      <c r="C2904" s="10" t="s">
        <v>299</v>
      </c>
      <c r="D2904" s="10" t="s">
        <v>300</v>
      </c>
      <c r="E2904" s="11" t="str">
        <f>+HYPERLINK("http://trademark.i-assist.jp/data/china/image_1898th/78719553.pdf", "78719553")</f>
        <v>78719553</v>
      </c>
      <c r="F2904" s="10" t="s">
        <v>8016</v>
      </c>
      <c r="G2904" s="10" t="s">
        <v>8017</v>
      </c>
      <c r="H2904" s="10" t="s">
        <v>8018</v>
      </c>
      <c r="I2904" s="10" t="s">
        <v>7957</v>
      </c>
    </row>
    <row r="2905" spans="1:9" x14ac:dyDescent="0.15">
      <c r="A2905" s="9">
        <v>2904</v>
      </c>
      <c r="B2905" s="10" t="s">
        <v>9</v>
      </c>
      <c r="C2905" s="10" t="s">
        <v>299</v>
      </c>
      <c r="D2905" s="10" t="s">
        <v>300</v>
      </c>
      <c r="E2905" s="11" t="str">
        <f>+HYPERLINK("http://trademark.i-assist.jp/data/china/image_1898th/78719561.pdf", "78719561")</f>
        <v>78719561</v>
      </c>
      <c r="F2905" s="10" t="s">
        <v>8019</v>
      </c>
      <c r="G2905" s="10" t="s">
        <v>165</v>
      </c>
      <c r="H2905" s="10" t="s">
        <v>8020</v>
      </c>
      <c r="I2905" s="10" t="s">
        <v>7957</v>
      </c>
    </row>
    <row r="2906" spans="1:9" x14ac:dyDescent="0.15">
      <c r="A2906" s="9">
        <v>2905</v>
      </c>
      <c r="B2906" s="10" t="s">
        <v>9</v>
      </c>
      <c r="C2906" s="10" t="s">
        <v>299</v>
      </c>
      <c r="D2906" s="10" t="s">
        <v>300</v>
      </c>
      <c r="E2906" s="11" t="str">
        <f>+HYPERLINK("http://trademark.i-assist.jp/data/china/image_1898th/78719738.pdf", "78719738")</f>
        <v>78719738</v>
      </c>
      <c r="F2906" s="10" t="s">
        <v>8021</v>
      </c>
      <c r="G2906" s="10" t="s">
        <v>8022</v>
      </c>
      <c r="H2906" s="10" t="s">
        <v>8023</v>
      </c>
      <c r="I2906" s="10" t="s">
        <v>7957</v>
      </c>
    </row>
    <row r="2907" spans="1:9" x14ac:dyDescent="0.15">
      <c r="A2907" s="9">
        <v>2906</v>
      </c>
      <c r="B2907" s="10" t="s">
        <v>9</v>
      </c>
      <c r="C2907" s="10" t="s">
        <v>299</v>
      </c>
      <c r="D2907" s="10" t="s">
        <v>300</v>
      </c>
      <c r="E2907" s="11" t="str">
        <f>+HYPERLINK("http://trademark.i-assist.jp/data/china/image_1898th/78720270.pdf", "78720270")</f>
        <v>78720270</v>
      </c>
      <c r="F2907" s="10" t="s">
        <v>8024</v>
      </c>
      <c r="G2907" s="10" t="s">
        <v>8025</v>
      </c>
      <c r="H2907" s="10" t="s">
        <v>8026</v>
      </c>
      <c r="I2907" s="10" t="s">
        <v>7957</v>
      </c>
    </row>
    <row r="2908" spans="1:9" x14ac:dyDescent="0.15">
      <c r="A2908" s="9">
        <v>2907</v>
      </c>
      <c r="B2908" s="10" t="s">
        <v>9</v>
      </c>
      <c r="C2908" s="10" t="s">
        <v>299</v>
      </c>
      <c r="D2908" s="10" t="s">
        <v>300</v>
      </c>
      <c r="E2908" s="11" t="str">
        <f>+HYPERLINK("http://trademark.i-assist.jp/data/china/image_1898th/78720577.pdf", "78720577")</f>
        <v>78720577</v>
      </c>
      <c r="F2908" s="10" t="s">
        <v>8027</v>
      </c>
      <c r="G2908" s="10" t="s">
        <v>8028</v>
      </c>
      <c r="H2908" s="10" t="s">
        <v>8029</v>
      </c>
      <c r="I2908" s="10" t="s">
        <v>7957</v>
      </c>
    </row>
    <row r="2909" spans="1:9" x14ac:dyDescent="0.15">
      <c r="A2909" s="9">
        <v>2908</v>
      </c>
      <c r="B2909" s="10" t="s">
        <v>9</v>
      </c>
      <c r="C2909" s="10" t="s">
        <v>299</v>
      </c>
      <c r="D2909" s="10" t="s">
        <v>300</v>
      </c>
      <c r="E2909" s="11" t="str">
        <f>+HYPERLINK("http://trademark.i-assist.jp/data/china/image_1898th/78720708.pdf", "78720708")</f>
        <v>78720708</v>
      </c>
      <c r="F2909" s="10" t="s">
        <v>8030</v>
      </c>
      <c r="G2909" s="10" t="s">
        <v>8031</v>
      </c>
      <c r="H2909" s="10" t="s">
        <v>8032</v>
      </c>
      <c r="I2909" s="10" t="s">
        <v>7957</v>
      </c>
    </row>
    <row r="2910" spans="1:9" x14ac:dyDescent="0.15">
      <c r="A2910" s="9">
        <v>2909</v>
      </c>
      <c r="B2910" s="10" t="s">
        <v>9</v>
      </c>
      <c r="C2910" s="10" t="s">
        <v>299</v>
      </c>
      <c r="D2910" s="10" t="s">
        <v>300</v>
      </c>
      <c r="E2910" s="11" t="str">
        <f>+HYPERLINK("http://trademark.i-assist.jp/data/china/image_1898th/78721070.pdf", "78721070")</f>
        <v>78721070</v>
      </c>
      <c r="F2910" s="10" t="s">
        <v>8033</v>
      </c>
      <c r="G2910" s="10" t="s">
        <v>8034</v>
      </c>
      <c r="H2910" s="10" t="s">
        <v>8035</v>
      </c>
      <c r="I2910" s="10" t="s">
        <v>7957</v>
      </c>
    </row>
    <row r="2911" spans="1:9" x14ac:dyDescent="0.15">
      <c r="A2911" s="9">
        <v>2910</v>
      </c>
      <c r="B2911" s="10" t="s">
        <v>9</v>
      </c>
      <c r="C2911" s="10" t="s">
        <v>299</v>
      </c>
      <c r="D2911" s="10" t="s">
        <v>300</v>
      </c>
      <c r="E2911" s="11" t="str">
        <f>+HYPERLINK("http://trademark.i-assist.jp/data/china/image_1898th/78721289.pdf", "78721289")</f>
        <v>78721289</v>
      </c>
      <c r="F2911" s="10" t="s">
        <v>8036</v>
      </c>
      <c r="G2911" s="10" t="s">
        <v>5027</v>
      </c>
      <c r="H2911" s="10" t="s">
        <v>8037</v>
      </c>
      <c r="I2911" s="10" t="s">
        <v>7957</v>
      </c>
    </row>
    <row r="2912" spans="1:9" x14ac:dyDescent="0.15">
      <c r="A2912" s="9">
        <v>2911</v>
      </c>
      <c r="B2912" s="10" t="s">
        <v>9</v>
      </c>
      <c r="C2912" s="10" t="s">
        <v>299</v>
      </c>
      <c r="D2912" s="10" t="s">
        <v>300</v>
      </c>
      <c r="E2912" s="11" t="str">
        <f>+HYPERLINK("http://trademark.i-assist.jp/data/china/image_1898th/78721307.pdf", "78721307")</f>
        <v>78721307</v>
      </c>
      <c r="F2912" s="10" t="s">
        <v>8038</v>
      </c>
      <c r="G2912" s="10" t="s">
        <v>5027</v>
      </c>
      <c r="H2912" s="10" t="s">
        <v>8039</v>
      </c>
      <c r="I2912" s="10" t="s">
        <v>7957</v>
      </c>
    </row>
    <row r="2913" spans="1:9" x14ac:dyDescent="0.15">
      <c r="A2913" s="9">
        <v>2912</v>
      </c>
      <c r="B2913" s="10" t="s">
        <v>9</v>
      </c>
      <c r="C2913" s="10" t="s">
        <v>299</v>
      </c>
      <c r="D2913" s="10" t="s">
        <v>300</v>
      </c>
      <c r="E2913" s="11" t="str">
        <f>+HYPERLINK("http://trademark.i-assist.jp/data/china/image_1898th/78721327.pdf", "78721327")</f>
        <v>78721327</v>
      </c>
      <c r="F2913" s="10" t="s">
        <v>8040</v>
      </c>
      <c r="G2913" s="10" t="s">
        <v>5027</v>
      </c>
      <c r="H2913" s="10" t="s">
        <v>8041</v>
      </c>
      <c r="I2913" s="10" t="s">
        <v>7957</v>
      </c>
    </row>
    <row r="2914" spans="1:9" x14ac:dyDescent="0.15">
      <c r="A2914" s="9">
        <v>2913</v>
      </c>
      <c r="B2914" s="10" t="s">
        <v>9</v>
      </c>
      <c r="C2914" s="10" t="s">
        <v>299</v>
      </c>
      <c r="D2914" s="10" t="s">
        <v>300</v>
      </c>
      <c r="E2914" s="11" t="str">
        <f>+HYPERLINK("http://trademark.i-assist.jp/data/china/image_1898th/78721572.pdf", "78721572")</f>
        <v>78721572</v>
      </c>
      <c r="F2914" s="10" t="s">
        <v>8042</v>
      </c>
      <c r="G2914" s="10" t="s">
        <v>8000</v>
      </c>
      <c r="H2914" s="10" t="s">
        <v>8043</v>
      </c>
      <c r="I2914" s="10" t="s">
        <v>7957</v>
      </c>
    </row>
    <row r="2915" spans="1:9" x14ac:dyDescent="0.15">
      <c r="A2915" s="9">
        <v>2914</v>
      </c>
      <c r="B2915" s="10" t="s">
        <v>9</v>
      </c>
      <c r="C2915" s="10" t="s">
        <v>299</v>
      </c>
      <c r="D2915" s="10" t="s">
        <v>300</v>
      </c>
      <c r="E2915" s="11" t="str">
        <f>+HYPERLINK("http://trademark.i-assist.jp/data/china/image_1898th/78721853.pdf", "78721853")</f>
        <v>78721853</v>
      </c>
      <c r="F2915" s="10" t="s">
        <v>8044</v>
      </c>
      <c r="G2915" s="10" t="s">
        <v>8045</v>
      </c>
      <c r="H2915" s="10" t="s">
        <v>8046</v>
      </c>
      <c r="I2915" s="10" t="s">
        <v>7957</v>
      </c>
    </row>
    <row r="2916" spans="1:9" x14ac:dyDescent="0.15">
      <c r="A2916" s="9">
        <v>2915</v>
      </c>
      <c r="B2916" s="10" t="s">
        <v>9</v>
      </c>
      <c r="C2916" s="10" t="s">
        <v>299</v>
      </c>
      <c r="D2916" s="10" t="s">
        <v>300</v>
      </c>
      <c r="E2916" s="11" t="str">
        <f>+HYPERLINK("http://trademark.i-assist.jp/data/china/image_1898th/78721919.pdf", "78721919")</f>
        <v>78721919</v>
      </c>
      <c r="F2916" s="10" t="s">
        <v>8047</v>
      </c>
      <c r="G2916" s="10" t="s">
        <v>216</v>
      </c>
      <c r="H2916" s="10" t="s">
        <v>8048</v>
      </c>
      <c r="I2916" s="10" t="s">
        <v>7957</v>
      </c>
    </row>
    <row r="2917" spans="1:9" x14ac:dyDescent="0.15">
      <c r="A2917" s="9">
        <v>2916</v>
      </c>
      <c r="B2917" s="10" t="s">
        <v>9</v>
      </c>
      <c r="C2917" s="10" t="s">
        <v>299</v>
      </c>
      <c r="D2917" s="10" t="s">
        <v>300</v>
      </c>
      <c r="E2917" s="11" t="str">
        <f>+HYPERLINK("http://trademark.i-assist.jp/data/china/image_1898th/78722118.pdf", "78722118")</f>
        <v>78722118</v>
      </c>
      <c r="F2917" s="10" t="s">
        <v>8049</v>
      </c>
      <c r="G2917" s="10" t="s">
        <v>8050</v>
      </c>
      <c r="H2917" s="10" t="s">
        <v>8051</v>
      </c>
      <c r="I2917" s="10" t="s">
        <v>7957</v>
      </c>
    </row>
    <row r="2918" spans="1:9" x14ac:dyDescent="0.15">
      <c r="A2918" s="9">
        <v>2917</v>
      </c>
      <c r="B2918" s="10" t="s">
        <v>9</v>
      </c>
      <c r="C2918" s="10" t="s">
        <v>299</v>
      </c>
      <c r="D2918" s="10" t="s">
        <v>300</v>
      </c>
      <c r="E2918" s="11" t="str">
        <f>+HYPERLINK("http://trademark.i-assist.jp/data/china/image_1898th/78722552.pdf", "78722552")</f>
        <v>78722552</v>
      </c>
      <c r="F2918" s="10" t="s">
        <v>8052</v>
      </c>
      <c r="G2918" s="10" t="s">
        <v>8053</v>
      </c>
      <c r="H2918" s="10" t="s">
        <v>8054</v>
      </c>
      <c r="I2918" s="10" t="s">
        <v>7957</v>
      </c>
    </row>
    <row r="2919" spans="1:9" x14ac:dyDescent="0.15">
      <c r="A2919" s="9">
        <v>2918</v>
      </c>
      <c r="B2919" s="10" t="s">
        <v>9</v>
      </c>
      <c r="C2919" s="10" t="s">
        <v>299</v>
      </c>
      <c r="D2919" s="10" t="s">
        <v>300</v>
      </c>
      <c r="E2919" s="11" t="str">
        <f>+HYPERLINK("http://trademark.i-assist.jp/data/china/image_1898th/78722574.pdf", "78722574")</f>
        <v>78722574</v>
      </c>
      <c r="F2919" s="10" t="s">
        <v>8055</v>
      </c>
      <c r="G2919" s="10" t="s">
        <v>8056</v>
      </c>
      <c r="H2919" s="10" t="s">
        <v>8057</v>
      </c>
      <c r="I2919" s="10" t="s">
        <v>7957</v>
      </c>
    </row>
    <row r="2920" spans="1:9" x14ac:dyDescent="0.15">
      <c r="A2920" s="9">
        <v>2919</v>
      </c>
      <c r="B2920" s="10" t="s">
        <v>9</v>
      </c>
      <c r="C2920" s="10" t="s">
        <v>299</v>
      </c>
      <c r="D2920" s="10" t="s">
        <v>300</v>
      </c>
      <c r="E2920" s="11" t="str">
        <f>+HYPERLINK("http://trademark.i-assist.jp/data/china/image_1898th/78722697.pdf", "78722697")</f>
        <v>78722697</v>
      </c>
      <c r="F2920" s="10" t="s">
        <v>8058</v>
      </c>
      <c r="G2920" s="10" t="s">
        <v>8059</v>
      </c>
      <c r="H2920" s="10" t="s">
        <v>8060</v>
      </c>
      <c r="I2920" s="10" t="s">
        <v>7957</v>
      </c>
    </row>
    <row r="2921" spans="1:9" x14ac:dyDescent="0.15">
      <c r="A2921" s="9">
        <v>2920</v>
      </c>
      <c r="B2921" s="10" t="s">
        <v>9</v>
      </c>
      <c r="C2921" s="10" t="s">
        <v>299</v>
      </c>
      <c r="D2921" s="10" t="s">
        <v>300</v>
      </c>
      <c r="E2921" s="11" t="str">
        <f>+HYPERLINK("http://trademark.i-assist.jp/data/china/image_1898th/78722718.pdf", "78722718")</f>
        <v>78722718</v>
      </c>
      <c r="F2921" s="10" t="s">
        <v>8061</v>
      </c>
      <c r="G2921" s="10" t="s">
        <v>8062</v>
      </c>
      <c r="H2921" s="10" t="s">
        <v>8063</v>
      </c>
      <c r="I2921" s="10" t="s">
        <v>7957</v>
      </c>
    </row>
    <row r="2922" spans="1:9" x14ac:dyDescent="0.15">
      <c r="A2922" s="9">
        <v>2921</v>
      </c>
      <c r="B2922" s="10" t="s">
        <v>9</v>
      </c>
      <c r="C2922" s="10" t="s">
        <v>299</v>
      </c>
      <c r="D2922" s="10" t="s">
        <v>300</v>
      </c>
      <c r="E2922" s="11" t="str">
        <f>+HYPERLINK("http://trademark.i-assist.jp/data/china/image_1898th/78722722.pdf", "78722722")</f>
        <v>78722722</v>
      </c>
      <c r="F2922" s="10" t="s">
        <v>8064</v>
      </c>
      <c r="G2922" s="10" t="s">
        <v>8065</v>
      </c>
      <c r="H2922" s="10" t="s">
        <v>8066</v>
      </c>
      <c r="I2922" s="10" t="s">
        <v>7957</v>
      </c>
    </row>
    <row r="2923" spans="1:9" x14ac:dyDescent="0.15">
      <c r="A2923" s="9">
        <v>2922</v>
      </c>
      <c r="B2923" s="10" t="s">
        <v>9</v>
      </c>
      <c r="C2923" s="10" t="s">
        <v>299</v>
      </c>
      <c r="D2923" s="10" t="s">
        <v>300</v>
      </c>
      <c r="E2923" s="11" t="str">
        <f>+HYPERLINK("http://trademark.i-assist.jp/data/china/image_1898th/78722836.pdf", "78722836")</f>
        <v>78722836</v>
      </c>
      <c r="F2923" s="10" t="s">
        <v>8067</v>
      </c>
      <c r="G2923" s="10" t="s">
        <v>8068</v>
      </c>
      <c r="H2923" s="10" t="s">
        <v>8069</v>
      </c>
      <c r="I2923" s="10" t="s">
        <v>7957</v>
      </c>
    </row>
    <row r="2924" spans="1:9" x14ac:dyDescent="0.15">
      <c r="A2924" s="9">
        <v>2923</v>
      </c>
      <c r="B2924" s="10" t="s">
        <v>9</v>
      </c>
      <c r="C2924" s="10" t="s">
        <v>299</v>
      </c>
      <c r="D2924" s="10" t="s">
        <v>300</v>
      </c>
      <c r="E2924" s="11" t="str">
        <f>+HYPERLINK("http://trademark.i-assist.jp/data/china/image_1898th/78722921.pdf", "78722921")</f>
        <v>78722921</v>
      </c>
      <c r="F2924" s="10" t="s">
        <v>8070</v>
      </c>
      <c r="G2924" s="10" t="s">
        <v>8071</v>
      </c>
      <c r="H2924" s="10" t="s">
        <v>8072</v>
      </c>
      <c r="I2924" s="10" t="s">
        <v>7957</v>
      </c>
    </row>
    <row r="2925" spans="1:9" x14ac:dyDescent="0.15">
      <c r="A2925" s="9">
        <v>2924</v>
      </c>
      <c r="B2925" s="10" t="s">
        <v>9</v>
      </c>
      <c r="C2925" s="10" t="s">
        <v>299</v>
      </c>
      <c r="D2925" s="10" t="s">
        <v>300</v>
      </c>
      <c r="E2925" s="11" t="str">
        <f>+HYPERLINK("http://trademark.i-assist.jp/data/china/image_1898th/78722923.pdf", "78722923")</f>
        <v>78722923</v>
      </c>
      <c r="F2925" s="10" t="s">
        <v>8073</v>
      </c>
      <c r="G2925" s="10" t="s">
        <v>190</v>
      </c>
      <c r="H2925" s="10" t="s">
        <v>8074</v>
      </c>
      <c r="I2925" s="10" t="s">
        <v>7957</v>
      </c>
    </row>
    <row r="2926" spans="1:9" x14ac:dyDescent="0.15">
      <c r="A2926" s="9">
        <v>2925</v>
      </c>
      <c r="B2926" s="10" t="s">
        <v>9</v>
      </c>
      <c r="C2926" s="10" t="s">
        <v>299</v>
      </c>
      <c r="D2926" s="10" t="s">
        <v>300</v>
      </c>
      <c r="E2926" s="11" t="str">
        <f>+HYPERLINK("http://trademark.i-assist.jp/data/china/image_1898th/78723072.pdf", "78723072")</f>
        <v>78723072</v>
      </c>
      <c r="F2926" s="10" t="s">
        <v>8075</v>
      </c>
      <c r="G2926" s="10" t="s">
        <v>8076</v>
      </c>
      <c r="H2926" s="10" t="s">
        <v>8077</v>
      </c>
      <c r="I2926" s="10" t="s">
        <v>7957</v>
      </c>
    </row>
    <row r="2927" spans="1:9" x14ac:dyDescent="0.15">
      <c r="A2927" s="9">
        <v>2926</v>
      </c>
      <c r="B2927" s="10" t="s">
        <v>9</v>
      </c>
      <c r="C2927" s="10" t="s">
        <v>299</v>
      </c>
      <c r="D2927" s="10" t="s">
        <v>300</v>
      </c>
      <c r="E2927" s="11" t="str">
        <f>+HYPERLINK("http://trademark.i-assist.jp/data/china/image_1898th/78723080.pdf", "78723080")</f>
        <v>78723080</v>
      </c>
      <c r="F2927" s="10" t="s">
        <v>8078</v>
      </c>
      <c r="G2927" s="10" t="s">
        <v>176</v>
      </c>
      <c r="H2927" s="10" t="s">
        <v>8079</v>
      </c>
      <c r="I2927" s="10" t="s">
        <v>7957</v>
      </c>
    </row>
    <row r="2928" spans="1:9" x14ac:dyDescent="0.15">
      <c r="A2928" s="9">
        <v>2927</v>
      </c>
      <c r="B2928" s="10" t="s">
        <v>9</v>
      </c>
      <c r="C2928" s="10" t="s">
        <v>299</v>
      </c>
      <c r="D2928" s="10" t="s">
        <v>300</v>
      </c>
      <c r="E2928" s="11" t="str">
        <f>+HYPERLINK("http://trademark.i-assist.jp/data/china/image_1898th/78723103.pdf", "78723103")</f>
        <v>78723103</v>
      </c>
      <c r="F2928" s="10" t="s">
        <v>8080</v>
      </c>
      <c r="G2928" s="10" t="s">
        <v>8081</v>
      </c>
      <c r="H2928" s="10" t="s">
        <v>8082</v>
      </c>
      <c r="I2928" s="10" t="s">
        <v>7957</v>
      </c>
    </row>
    <row r="2929" spans="1:9" x14ac:dyDescent="0.15">
      <c r="A2929" s="9">
        <v>2928</v>
      </c>
      <c r="B2929" s="10" t="s">
        <v>9</v>
      </c>
      <c r="C2929" s="10" t="s">
        <v>299</v>
      </c>
      <c r="D2929" s="10" t="s">
        <v>300</v>
      </c>
      <c r="E2929" s="11" t="str">
        <f>+HYPERLINK("http://trademark.i-assist.jp/data/china/image_1898th/78723190.pdf", "78723190")</f>
        <v>78723190</v>
      </c>
      <c r="F2929" s="10" t="s">
        <v>8083</v>
      </c>
      <c r="G2929" s="10" t="s">
        <v>8084</v>
      </c>
      <c r="H2929" s="10" t="s">
        <v>8085</v>
      </c>
      <c r="I2929" s="10" t="s">
        <v>7957</v>
      </c>
    </row>
    <row r="2930" spans="1:9" x14ac:dyDescent="0.15">
      <c r="A2930" s="9">
        <v>2929</v>
      </c>
      <c r="B2930" s="10" t="s">
        <v>9</v>
      </c>
      <c r="C2930" s="10" t="s">
        <v>299</v>
      </c>
      <c r="D2930" s="10" t="s">
        <v>300</v>
      </c>
      <c r="E2930" s="11" t="str">
        <f>+HYPERLINK("http://trademark.i-assist.jp/data/china/image_1898th/78723253.pdf", "78723253")</f>
        <v>78723253</v>
      </c>
      <c r="F2930" s="10" t="s">
        <v>8086</v>
      </c>
      <c r="G2930" s="10" t="s">
        <v>8087</v>
      </c>
      <c r="H2930" s="10" t="s">
        <v>8088</v>
      </c>
      <c r="I2930" s="10" t="s">
        <v>7957</v>
      </c>
    </row>
    <row r="2931" spans="1:9" x14ac:dyDescent="0.15">
      <c r="A2931" s="9">
        <v>2930</v>
      </c>
      <c r="B2931" s="10" t="s">
        <v>9</v>
      </c>
      <c r="C2931" s="10" t="s">
        <v>299</v>
      </c>
      <c r="D2931" s="10" t="s">
        <v>300</v>
      </c>
      <c r="E2931" s="11" t="str">
        <f>+HYPERLINK("http://trademark.i-assist.jp/data/china/image_1898th/78723998.pdf", "78723998")</f>
        <v>78723998</v>
      </c>
      <c r="F2931" s="10" t="s">
        <v>8089</v>
      </c>
      <c r="G2931" s="10" t="s">
        <v>8090</v>
      </c>
      <c r="H2931" s="10" t="s">
        <v>8091</v>
      </c>
      <c r="I2931" s="10" t="s">
        <v>7957</v>
      </c>
    </row>
    <row r="2932" spans="1:9" x14ac:dyDescent="0.15">
      <c r="A2932" s="9">
        <v>2931</v>
      </c>
      <c r="B2932" s="10" t="s">
        <v>9</v>
      </c>
      <c r="C2932" s="10" t="s">
        <v>299</v>
      </c>
      <c r="D2932" s="10" t="s">
        <v>300</v>
      </c>
      <c r="E2932" s="11" t="str">
        <f>+HYPERLINK("http://trademark.i-assist.jp/data/china/image_1898th/78724183.pdf", "78724183")</f>
        <v>78724183</v>
      </c>
      <c r="F2932" s="10" t="s">
        <v>8092</v>
      </c>
      <c r="G2932" s="10" t="s">
        <v>8093</v>
      </c>
      <c r="H2932" s="10" t="s">
        <v>8094</v>
      </c>
      <c r="I2932" s="10" t="s">
        <v>7957</v>
      </c>
    </row>
    <row r="2933" spans="1:9" x14ac:dyDescent="0.15">
      <c r="A2933" s="9">
        <v>2932</v>
      </c>
      <c r="B2933" s="10" t="s">
        <v>9</v>
      </c>
      <c r="C2933" s="10" t="s">
        <v>299</v>
      </c>
      <c r="D2933" s="10" t="s">
        <v>300</v>
      </c>
      <c r="E2933" s="11" t="str">
        <f>+HYPERLINK("http://trademark.i-assist.jp/data/china/image_1898th/78724207.pdf", "78724207")</f>
        <v>78724207</v>
      </c>
      <c r="F2933" s="10" t="s">
        <v>8095</v>
      </c>
      <c r="G2933" s="10" t="s">
        <v>8096</v>
      </c>
      <c r="H2933" s="10" t="s">
        <v>8097</v>
      </c>
      <c r="I2933" s="10" t="s">
        <v>7957</v>
      </c>
    </row>
    <row r="2934" spans="1:9" x14ac:dyDescent="0.15">
      <c r="A2934" s="9">
        <v>2933</v>
      </c>
      <c r="B2934" s="10" t="s">
        <v>9</v>
      </c>
      <c r="C2934" s="10" t="s">
        <v>299</v>
      </c>
      <c r="D2934" s="10" t="s">
        <v>300</v>
      </c>
      <c r="E2934" s="11" t="str">
        <f>+HYPERLINK("http://trademark.i-assist.jp/data/china/image_1898th/78724243.pdf", "78724243")</f>
        <v>78724243</v>
      </c>
      <c r="F2934" s="10" t="s">
        <v>8098</v>
      </c>
      <c r="G2934" s="10" t="s">
        <v>8099</v>
      </c>
      <c r="H2934" s="10" t="s">
        <v>8100</v>
      </c>
      <c r="I2934" s="10" t="s">
        <v>7957</v>
      </c>
    </row>
    <row r="2935" spans="1:9" x14ac:dyDescent="0.15">
      <c r="A2935" s="9">
        <v>2934</v>
      </c>
      <c r="B2935" s="10" t="s">
        <v>9</v>
      </c>
      <c r="C2935" s="10" t="s">
        <v>299</v>
      </c>
      <c r="D2935" s="10" t="s">
        <v>300</v>
      </c>
      <c r="E2935" s="11" t="str">
        <f>+HYPERLINK("http://trademark.i-assist.jp/data/china/image_1898th/78724375.pdf", "78724375")</f>
        <v>78724375</v>
      </c>
      <c r="F2935" s="10" t="s">
        <v>8101</v>
      </c>
      <c r="G2935" s="10" t="s">
        <v>8102</v>
      </c>
      <c r="H2935" s="10" t="s">
        <v>8103</v>
      </c>
      <c r="I2935" s="10" t="s">
        <v>7957</v>
      </c>
    </row>
    <row r="2936" spans="1:9" x14ac:dyDescent="0.15">
      <c r="A2936" s="9">
        <v>2935</v>
      </c>
      <c r="B2936" s="10" t="s">
        <v>9</v>
      </c>
      <c r="C2936" s="10" t="s">
        <v>299</v>
      </c>
      <c r="D2936" s="10" t="s">
        <v>300</v>
      </c>
      <c r="E2936" s="11" t="str">
        <f>+HYPERLINK("http://trademark.i-assist.jp/data/china/image_1898th/78724626.pdf", "78724626")</f>
        <v>78724626</v>
      </c>
      <c r="F2936" s="10" t="s">
        <v>8104</v>
      </c>
      <c r="G2936" s="10" t="s">
        <v>8105</v>
      </c>
      <c r="H2936" s="10" t="s">
        <v>8106</v>
      </c>
      <c r="I2936" s="10" t="s">
        <v>7957</v>
      </c>
    </row>
    <row r="2937" spans="1:9" x14ac:dyDescent="0.15">
      <c r="A2937" s="9">
        <v>2936</v>
      </c>
      <c r="B2937" s="10" t="s">
        <v>9</v>
      </c>
      <c r="C2937" s="10" t="s">
        <v>299</v>
      </c>
      <c r="D2937" s="10" t="s">
        <v>300</v>
      </c>
      <c r="E2937" s="11" t="str">
        <f>+HYPERLINK("http://trademark.i-assist.jp/data/china/image_1898th/78724720.pdf", "78724720")</f>
        <v>78724720</v>
      </c>
      <c r="F2937" s="10" t="s">
        <v>8107</v>
      </c>
      <c r="G2937" s="10" t="s">
        <v>229</v>
      </c>
      <c r="H2937" s="10" t="s">
        <v>8108</v>
      </c>
      <c r="I2937" s="10" t="s">
        <v>7957</v>
      </c>
    </row>
    <row r="2938" spans="1:9" x14ac:dyDescent="0.15">
      <c r="A2938" s="9">
        <v>2937</v>
      </c>
      <c r="B2938" s="10" t="s">
        <v>9</v>
      </c>
      <c r="C2938" s="10" t="s">
        <v>299</v>
      </c>
      <c r="D2938" s="10" t="s">
        <v>300</v>
      </c>
      <c r="E2938" s="11" t="str">
        <f>+HYPERLINK("http://trademark.i-assist.jp/data/china/image_1898th/78725006.pdf", "78725006")</f>
        <v>78725006</v>
      </c>
      <c r="F2938" s="10" t="s">
        <v>8109</v>
      </c>
      <c r="G2938" s="10" t="s">
        <v>8110</v>
      </c>
      <c r="H2938" s="10" t="s">
        <v>8111</v>
      </c>
      <c r="I2938" s="10" t="s">
        <v>7957</v>
      </c>
    </row>
    <row r="2939" spans="1:9" x14ac:dyDescent="0.15">
      <c r="A2939" s="9">
        <v>2938</v>
      </c>
      <c r="B2939" s="10" t="s">
        <v>9</v>
      </c>
      <c r="C2939" s="10" t="s">
        <v>299</v>
      </c>
      <c r="D2939" s="10" t="s">
        <v>300</v>
      </c>
      <c r="E2939" s="11" t="str">
        <f>+HYPERLINK("http://trademark.i-assist.jp/data/china/image_1898th/78725345.pdf", "78725345")</f>
        <v>78725345</v>
      </c>
      <c r="F2939" s="10" t="s">
        <v>8112</v>
      </c>
      <c r="G2939" s="10" t="s">
        <v>8113</v>
      </c>
      <c r="H2939" s="10" t="s">
        <v>8114</v>
      </c>
      <c r="I2939" s="10" t="s">
        <v>7957</v>
      </c>
    </row>
    <row r="2940" spans="1:9" x14ac:dyDescent="0.15">
      <c r="A2940" s="9">
        <v>2939</v>
      </c>
      <c r="B2940" s="10" t="s">
        <v>9</v>
      </c>
      <c r="C2940" s="10" t="s">
        <v>299</v>
      </c>
      <c r="D2940" s="10" t="s">
        <v>300</v>
      </c>
      <c r="E2940" s="11" t="str">
        <f>+HYPERLINK("http://trademark.i-assist.jp/data/china/image_1898th/78725455.pdf", "78725455")</f>
        <v>78725455</v>
      </c>
      <c r="F2940" s="10" t="s">
        <v>8115</v>
      </c>
      <c r="G2940" s="10" t="s">
        <v>8116</v>
      </c>
      <c r="H2940" s="10" t="s">
        <v>8117</v>
      </c>
      <c r="I2940" s="10" t="s">
        <v>7957</v>
      </c>
    </row>
    <row r="2941" spans="1:9" x14ac:dyDescent="0.15">
      <c r="A2941" s="9">
        <v>2940</v>
      </c>
      <c r="B2941" s="10" t="s">
        <v>9</v>
      </c>
      <c r="C2941" s="10" t="s">
        <v>299</v>
      </c>
      <c r="D2941" s="10" t="s">
        <v>300</v>
      </c>
      <c r="E2941" s="11" t="str">
        <f>+HYPERLINK("http://trademark.i-assist.jp/data/china/image_1898th/78725648.pdf", "78725648")</f>
        <v>78725648</v>
      </c>
      <c r="F2941" s="10" t="s">
        <v>8118</v>
      </c>
      <c r="G2941" s="10" t="s">
        <v>8119</v>
      </c>
      <c r="H2941" s="10" t="s">
        <v>8120</v>
      </c>
      <c r="I2941" s="10" t="s">
        <v>7957</v>
      </c>
    </row>
    <row r="2942" spans="1:9" x14ac:dyDescent="0.15">
      <c r="A2942" s="9">
        <v>2941</v>
      </c>
      <c r="B2942" s="10" t="s">
        <v>9</v>
      </c>
      <c r="C2942" s="10" t="s">
        <v>299</v>
      </c>
      <c r="D2942" s="10" t="s">
        <v>300</v>
      </c>
      <c r="E2942" s="11" t="str">
        <f>+HYPERLINK("http://trademark.i-assist.jp/data/china/image_1898th/78725765.pdf", "78725765")</f>
        <v>78725765</v>
      </c>
      <c r="F2942" s="10" t="s">
        <v>8121</v>
      </c>
      <c r="G2942" s="10" t="s">
        <v>132</v>
      </c>
      <c r="H2942" s="10" t="s">
        <v>8122</v>
      </c>
      <c r="I2942" s="10" t="s">
        <v>7957</v>
      </c>
    </row>
    <row r="2943" spans="1:9" x14ac:dyDescent="0.15">
      <c r="A2943" s="9">
        <v>2942</v>
      </c>
      <c r="B2943" s="10" t="s">
        <v>9</v>
      </c>
      <c r="C2943" s="10" t="s">
        <v>299</v>
      </c>
      <c r="D2943" s="10" t="s">
        <v>300</v>
      </c>
      <c r="E2943" s="11" t="str">
        <f>+HYPERLINK("http://trademark.i-assist.jp/data/china/image_1898th/78725813.pdf", "78725813")</f>
        <v>78725813</v>
      </c>
      <c r="F2943" s="10" t="s">
        <v>8123</v>
      </c>
      <c r="G2943" s="10" t="s">
        <v>8000</v>
      </c>
      <c r="H2943" s="10" t="s">
        <v>8124</v>
      </c>
      <c r="I2943" s="10" t="s">
        <v>7957</v>
      </c>
    </row>
    <row r="2944" spans="1:9" x14ac:dyDescent="0.15">
      <c r="A2944" s="9">
        <v>2943</v>
      </c>
      <c r="B2944" s="10" t="s">
        <v>9</v>
      </c>
      <c r="C2944" s="10" t="s">
        <v>299</v>
      </c>
      <c r="D2944" s="10" t="s">
        <v>300</v>
      </c>
      <c r="E2944" s="11" t="str">
        <f>+HYPERLINK("http://trademark.i-assist.jp/data/china/image_1898th/78725846.pdf", "78725846")</f>
        <v>78725846</v>
      </c>
      <c r="F2944" s="10" t="s">
        <v>8125</v>
      </c>
      <c r="G2944" s="10" t="s">
        <v>5600</v>
      </c>
      <c r="H2944" s="10" t="s">
        <v>8126</v>
      </c>
      <c r="I2944" s="10" t="s">
        <v>7957</v>
      </c>
    </row>
    <row r="2945" spans="1:9" x14ac:dyDescent="0.15">
      <c r="A2945" s="9">
        <v>2944</v>
      </c>
      <c r="B2945" s="10" t="s">
        <v>9</v>
      </c>
      <c r="C2945" s="10" t="s">
        <v>299</v>
      </c>
      <c r="D2945" s="10" t="s">
        <v>300</v>
      </c>
      <c r="E2945" s="11" t="str">
        <f>+HYPERLINK("http://trademark.i-assist.jp/data/china/image_1898th/78725956.pdf", "78725956")</f>
        <v>78725956</v>
      </c>
      <c r="F2945" s="10" t="s">
        <v>8127</v>
      </c>
      <c r="G2945" s="10" t="s">
        <v>8128</v>
      </c>
      <c r="H2945" s="10" t="s">
        <v>8129</v>
      </c>
      <c r="I2945" s="10" t="s">
        <v>7957</v>
      </c>
    </row>
    <row r="2946" spans="1:9" x14ac:dyDescent="0.15">
      <c r="A2946" s="9">
        <v>2945</v>
      </c>
      <c r="B2946" s="10" t="s">
        <v>9</v>
      </c>
      <c r="C2946" s="10" t="s">
        <v>299</v>
      </c>
      <c r="D2946" s="10" t="s">
        <v>300</v>
      </c>
      <c r="E2946" s="11" t="str">
        <f>+HYPERLINK("http://trademark.i-assist.jp/data/china/image_1898th/78726151.pdf", "78726151")</f>
        <v>78726151</v>
      </c>
      <c r="F2946" s="10" t="s">
        <v>8130</v>
      </c>
      <c r="G2946" s="10" t="s">
        <v>7984</v>
      </c>
      <c r="H2946" s="10" t="s">
        <v>8131</v>
      </c>
      <c r="I2946" s="10" t="s">
        <v>7957</v>
      </c>
    </row>
    <row r="2947" spans="1:9" x14ac:dyDescent="0.15">
      <c r="A2947" s="9">
        <v>2946</v>
      </c>
      <c r="B2947" s="10" t="s">
        <v>9</v>
      </c>
      <c r="C2947" s="10" t="s">
        <v>299</v>
      </c>
      <c r="D2947" s="10" t="s">
        <v>300</v>
      </c>
      <c r="E2947" s="11" t="str">
        <f>+HYPERLINK("http://trademark.i-assist.jp/data/china/image_1898th/78726535.pdf", "78726535")</f>
        <v>78726535</v>
      </c>
      <c r="F2947" s="10" t="s">
        <v>8132</v>
      </c>
      <c r="G2947" s="10" t="s">
        <v>8133</v>
      </c>
      <c r="H2947" s="10" t="s">
        <v>8134</v>
      </c>
      <c r="I2947" s="10" t="s">
        <v>7957</v>
      </c>
    </row>
    <row r="2948" spans="1:9" x14ac:dyDescent="0.15">
      <c r="A2948" s="9">
        <v>2947</v>
      </c>
      <c r="B2948" s="10" t="s">
        <v>9</v>
      </c>
      <c r="C2948" s="10" t="s">
        <v>299</v>
      </c>
      <c r="D2948" s="10" t="s">
        <v>300</v>
      </c>
      <c r="E2948" s="11" t="str">
        <f>+HYPERLINK("http://trademark.i-assist.jp/data/china/image_1898th/78726900.pdf", "78726900")</f>
        <v>78726900</v>
      </c>
      <c r="F2948" s="10" t="s">
        <v>8135</v>
      </c>
      <c r="G2948" s="10" t="s">
        <v>8000</v>
      </c>
      <c r="H2948" s="10" t="s">
        <v>8136</v>
      </c>
      <c r="I2948" s="10" t="s">
        <v>7957</v>
      </c>
    </row>
    <row r="2949" spans="1:9" x14ac:dyDescent="0.15">
      <c r="A2949" s="9">
        <v>2948</v>
      </c>
      <c r="B2949" s="10" t="s">
        <v>9</v>
      </c>
      <c r="C2949" s="10" t="s">
        <v>299</v>
      </c>
      <c r="D2949" s="10" t="s">
        <v>300</v>
      </c>
      <c r="E2949" s="11" t="str">
        <f>+HYPERLINK("http://trademark.i-assist.jp/data/china/image_1898th/78727056.pdf", "78727056")</f>
        <v>78727056</v>
      </c>
      <c r="F2949" s="10" t="s">
        <v>8137</v>
      </c>
      <c r="G2949" s="10" t="s">
        <v>8133</v>
      </c>
      <c r="H2949" s="10" t="s">
        <v>8138</v>
      </c>
      <c r="I2949" s="10" t="s">
        <v>7957</v>
      </c>
    </row>
    <row r="2950" spans="1:9" x14ac:dyDescent="0.15">
      <c r="A2950" s="9">
        <v>2949</v>
      </c>
      <c r="B2950" s="10" t="s">
        <v>9</v>
      </c>
      <c r="C2950" s="10" t="s">
        <v>299</v>
      </c>
      <c r="D2950" s="10" t="s">
        <v>300</v>
      </c>
      <c r="E2950" s="11" t="str">
        <f>+HYPERLINK("http://trademark.i-assist.jp/data/china/image_1898th/78727088.pdf", "78727088")</f>
        <v>78727088</v>
      </c>
      <c r="F2950" s="10" t="s">
        <v>8139</v>
      </c>
      <c r="G2950" s="10" t="s">
        <v>8140</v>
      </c>
      <c r="H2950" s="10" t="s">
        <v>8141</v>
      </c>
      <c r="I2950" s="10" t="s">
        <v>7957</v>
      </c>
    </row>
    <row r="2951" spans="1:9" x14ac:dyDescent="0.15">
      <c r="A2951" s="9">
        <v>2950</v>
      </c>
      <c r="B2951" s="10" t="s">
        <v>9</v>
      </c>
      <c r="C2951" s="10" t="s">
        <v>299</v>
      </c>
      <c r="D2951" s="10" t="s">
        <v>300</v>
      </c>
      <c r="E2951" s="11" t="str">
        <f>+HYPERLINK("http://trademark.i-assist.jp/data/china/image_1898th/78727378.pdf", "78727378")</f>
        <v>78727378</v>
      </c>
      <c r="F2951" s="10" t="s">
        <v>8142</v>
      </c>
      <c r="G2951" s="10" t="s">
        <v>8143</v>
      </c>
      <c r="H2951" s="10" t="s">
        <v>8144</v>
      </c>
      <c r="I2951" s="10" t="s">
        <v>7957</v>
      </c>
    </row>
    <row r="2952" spans="1:9" x14ac:dyDescent="0.15">
      <c r="A2952" s="9">
        <v>2951</v>
      </c>
      <c r="B2952" s="10" t="s">
        <v>9</v>
      </c>
      <c r="C2952" s="10" t="s">
        <v>299</v>
      </c>
      <c r="D2952" s="10" t="s">
        <v>300</v>
      </c>
      <c r="E2952" s="11" t="str">
        <f>+HYPERLINK("http://trademark.i-assist.jp/data/china/image_1898th/78727553.pdf", "78727553")</f>
        <v>78727553</v>
      </c>
      <c r="F2952" s="10" t="s">
        <v>8145</v>
      </c>
      <c r="G2952" s="10" t="s">
        <v>8146</v>
      </c>
      <c r="H2952" s="10" t="s">
        <v>8147</v>
      </c>
      <c r="I2952" s="10" t="s">
        <v>7957</v>
      </c>
    </row>
    <row r="2953" spans="1:9" x14ac:dyDescent="0.15">
      <c r="A2953" s="9">
        <v>2952</v>
      </c>
      <c r="B2953" s="10" t="s">
        <v>9</v>
      </c>
      <c r="C2953" s="10" t="s">
        <v>299</v>
      </c>
      <c r="D2953" s="10" t="s">
        <v>300</v>
      </c>
      <c r="E2953" s="11" t="str">
        <f>+HYPERLINK("http://trademark.i-assist.jp/data/china/image_1898th/78727677.pdf", "78727677")</f>
        <v>78727677</v>
      </c>
      <c r="F2953" s="10" t="s">
        <v>8148</v>
      </c>
      <c r="G2953" s="10" t="s">
        <v>8149</v>
      </c>
      <c r="H2953" s="10" t="s">
        <v>8150</v>
      </c>
      <c r="I2953" s="10" t="s">
        <v>7957</v>
      </c>
    </row>
    <row r="2954" spans="1:9" x14ac:dyDescent="0.15">
      <c r="A2954" s="9">
        <v>2953</v>
      </c>
      <c r="B2954" s="10" t="s">
        <v>9</v>
      </c>
      <c r="C2954" s="10" t="s">
        <v>299</v>
      </c>
      <c r="D2954" s="10" t="s">
        <v>300</v>
      </c>
      <c r="E2954" s="11" t="str">
        <f>+HYPERLINK("http://trademark.i-assist.jp/data/china/image_1898th/78727904.pdf", "78727904")</f>
        <v>78727904</v>
      </c>
      <c r="F2954" s="10" t="s">
        <v>8151</v>
      </c>
      <c r="G2954" s="10" t="s">
        <v>8152</v>
      </c>
      <c r="H2954" s="10" t="s">
        <v>8153</v>
      </c>
      <c r="I2954" s="10" t="s">
        <v>7957</v>
      </c>
    </row>
    <row r="2955" spans="1:9" x14ac:dyDescent="0.15">
      <c r="A2955" s="9">
        <v>2954</v>
      </c>
      <c r="B2955" s="10" t="s">
        <v>9</v>
      </c>
      <c r="C2955" s="10" t="s">
        <v>299</v>
      </c>
      <c r="D2955" s="10" t="s">
        <v>300</v>
      </c>
      <c r="E2955" s="11" t="str">
        <f>+HYPERLINK("http://trademark.i-assist.jp/data/china/image_1898th/78728301.pdf", "78728301")</f>
        <v>78728301</v>
      </c>
      <c r="F2955" s="10" t="s">
        <v>8154</v>
      </c>
      <c r="G2955" s="10" t="s">
        <v>41</v>
      </c>
      <c r="H2955" s="10" t="s">
        <v>8155</v>
      </c>
      <c r="I2955" s="10" t="s">
        <v>7957</v>
      </c>
    </row>
    <row r="2956" spans="1:9" x14ac:dyDescent="0.15">
      <c r="A2956" s="9">
        <v>2955</v>
      </c>
      <c r="B2956" s="10" t="s">
        <v>9</v>
      </c>
      <c r="C2956" s="10" t="s">
        <v>299</v>
      </c>
      <c r="D2956" s="10" t="s">
        <v>300</v>
      </c>
      <c r="E2956" s="11" t="str">
        <f>+HYPERLINK("http://trademark.i-assist.jp/data/china/image_1898th/78728365.pdf", "78728365")</f>
        <v>78728365</v>
      </c>
      <c r="F2956" s="10" t="s">
        <v>8156</v>
      </c>
      <c r="G2956" s="10" t="s">
        <v>8157</v>
      </c>
      <c r="H2956" s="10" t="s">
        <v>8158</v>
      </c>
      <c r="I2956" s="10" t="s">
        <v>7957</v>
      </c>
    </row>
    <row r="2957" spans="1:9" x14ac:dyDescent="0.15">
      <c r="A2957" s="9">
        <v>2956</v>
      </c>
      <c r="B2957" s="10" t="s">
        <v>9</v>
      </c>
      <c r="C2957" s="10" t="s">
        <v>299</v>
      </c>
      <c r="D2957" s="10" t="s">
        <v>300</v>
      </c>
      <c r="E2957" s="11" t="str">
        <f>+HYPERLINK("http://trademark.i-assist.jp/data/china/image_1898th/78728407.pdf", "78728407")</f>
        <v>78728407</v>
      </c>
      <c r="F2957" s="10" t="s">
        <v>8159</v>
      </c>
      <c r="G2957" s="10" t="s">
        <v>8160</v>
      </c>
      <c r="H2957" s="10" t="s">
        <v>8161</v>
      </c>
      <c r="I2957" s="10" t="s">
        <v>7957</v>
      </c>
    </row>
    <row r="2958" spans="1:9" x14ac:dyDescent="0.15">
      <c r="A2958" s="9">
        <v>2957</v>
      </c>
      <c r="B2958" s="10" t="s">
        <v>9</v>
      </c>
      <c r="C2958" s="10" t="s">
        <v>299</v>
      </c>
      <c r="D2958" s="10" t="s">
        <v>300</v>
      </c>
      <c r="E2958" s="11" t="str">
        <f>+HYPERLINK("http://trademark.i-assist.jp/data/china/image_1898th/78728853.pdf", "78728853")</f>
        <v>78728853</v>
      </c>
      <c r="F2958" s="10" t="s">
        <v>8162</v>
      </c>
      <c r="G2958" s="10" t="s">
        <v>189</v>
      </c>
      <c r="H2958" s="10" t="s">
        <v>8163</v>
      </c>
      <c r="I2958" s="10" t="s">
        <v>7957</v>
      </c>
    </row>
    <row r="2959" spans="1:9" x14ac:dyDescent="0.15">
      <c r="A2959" s="9">
        <v>2958</v>
      </c>
      <c r="B2959" s="10" t="s">
        <v>9</v>
      </c>
      <c r="C2959" s="10" t="s">
        <v>299</v>
      </c>
      <c r="D2959" s="10" t="s">
        <v>300</v>
      </c>
      <c r="E2959" s="11" t="str">
        <f>+HYPERLINK("http://trademark.i-assist.jp/data/china/image_1898th/78728897.pdf", "78728897")</f>
        <v>78728897</v>
      </c>
      <c r="F2959" s="10" t="s">
        <v>8164</v>
      </c>
      <c r="G2959" s="10" t="s">
        <v>8000</v>
      </c>
      <c r="H2959" s="10" t="s">
        <v>8165</v>
      </c>
      <c r="I2959" s="10" t="s">
        <v>7957</v>
      </c>
    </row>
    <row r="2960" spans="1:9" x14ac:dyDescent="0.15">
      <c r="A2960" s="9">
        <v>2959</v>
      </c>
      <c r="B2960" s="10" t="s">
        <v>9</v>
      </c>
      <c r="C2960" s="10" t="s">
        <v>299</v>
      </c>
      <c r="D2960" s="10" t="s">
        <v>300</v>
      </c>
      <c r="E2960" s="11" t="str">
        <f>+HYPERLINK("http://trademark.i-assist.jp/data/china/image_1898th/78728902.pdf", "78728902")</f>
        <v>78728902</v>
      </c>
      <c r="F2960" s="10" t="s">
        <v>8166</v>
      </c>
      <c r="G2960" s="10" t="s">
        <v>8000</v>
      </c>
      <c r="H2960" s="10" t="s">
        <v>8167</v>
      </c>
      <c r="I2960" s="10" t="s">
        <v>7957</v>
      </c>
    </row>
    <row r="2961" spans="1:9" x14ac:dyDescent="0.15">
      <c r="A2961" s="9">
        <v>2960</v>
      </c>
      <c r="B2961" s="10" t="s">
        <v>9</v>
      </c>
      <c r="C2961" s="10" t="s">
        <v>299</v>
      </c>
      <c r="D2961" s="10" t="s">
        <v>300</v>
      </c>
      <c r="E2961" s="11" t="str">
        <f>+HYPERLINK("http://trademark.i-assist.jp/data/china/image_1898th/78729130.pdf", "78729130")</f>
        <v>78729130</v>
      </c>
      <c r="F2961" s="10" t="s">
        <v>8168</v>
      </c>
      <c r="G2961" s="10" t="s">
        <v>8169</v>
      </c>
      <c r="H2961" s="10" t="s">
        <v>8170</v>
      </c>
      <c r="I2961" s="10" t="s">
        <v>7957</v>
      </c>
    </row>
    <row r="2962" spans="1:9" x14ac:dyDescent="0.15">
      <c r="A2962" s="9">
        <v>2961</v>
      </c>
      <c r="B2962" s="10" t="s">
        <v>9</v>
      </c>
      <c r="C2962" s="10" t="s">
        <v>299</v>
      </c>
      <c r="D2962" s="10" t="s">
        <v>300</v>
      </c>
      <c r="E2962" s="11" t="str">
        <f>+HYPERLINK("http://trademark.i-assist.jp/data/china/image_1898th/78729182.pdf", "78729182")</f>
        <v>78729182</v>
      </c>
      <c r="F2962" s="10" t="s">
        <v>8171</v>
      </c>
      <c r="G2962" s="10" t="s">
        <v>8172</v>
      </c>
      <c r="H2962" s="10" t="s">
        <v>8173</v>
      </c>
      <c r="I2962" s="10" t="s">
        <v>7957</v>
      </c>
    </row>
    <row r="2963" spans="1:9" x14ac:dyDescent="0.15">
      <c r="A2963" s="9">
        <v>2962</v>
      </c>
      <c r="B2963" s="10" t="s">
        <v>9</v>
      </c>
      <c r="C2963" s="10" t="s">
        <v>299</v>
      </c>
      <c r="D2963" s="10" t="s">
        <v>300</v>
      </c>
      <c r="E2963" s="11" t="str">
        <f>+HYPERLINK("http://trademark.i-assist.jp/data/china/image_1898th/78729212.pdf", "78729212")</f>
        <v>78729212</v>
      </c>
      <c r="F2963" s="10" t="s">
        <v>8174</v>
      </c>
      <c r="G2963" s="10" t="s">
        <v>8175</v>
      </c>
      <c r="H2963" s="10" t="s">
        <v>8176</v>
      </c>
      <c r="I2963" s="10" t="s">
        <v>7957</v>
      </c>
    </row>
    <row r="2964" spans="1:9" x14ac:dyDescent="0.15">
      <c r="A2964" s="9">
        <v>2963</v>
      </c>
      <c r="B2964" s="10" t="s">
        <v>9</v>
      </c>
      <c r="C2964" s="10" t="s">
        <v>299</v>
      </c>
      <c r="D2964" s="10" t="s">
        <v>300</v>
      </c>
      <c r="E2964" s="11" t="str">
        <f>+HYPERLINK("http://trademark.i-assist.jp/data/china/image_1898th/78729380.pdf", "78729380")</f>
        <v>78729380</v>
      </c>
      <c r="F2964" s="10" t="s">
        <v>8177</v>
      </c>
      <c r="G2964" s="10" t="s">
        <v>8178</v>
      </c>
      <c r="H2964" s="10" t="s">
        <v>8179</v>
      </c>
      <c r="I2964" s="10" t="s">
        <v>7957</v>
      </c>
    </row>
    <row r="2965" spans="1:9" x14ac:dyDescent="0.15">
      <c r="A2965" s="9">
        <v>2964</v>
      </c>
      <c r="B2965" s="10" t="s">
        <v>9</v>
      </c>
      <c r="C2965" s="10" t="s">
        <v>299</v>
      </c>
      <c r="D2965" s="10" t="s">
        <v>300</v>
      </c>
      <c r="E2965" s="11" t="str">
        <f>+HYPERLINK("http://trademark.i-assist.jp/data/china/image_1898th/78729504.pdf", "78729504")</f>
        <v>78729504</v>
      </c>
      <c r="F2965" s="10" t="s">
        <v>19</v>
      </c>
      <c r="G2965" s="10" t="s">
        <v>8180</v>
      </c>
      <c r="H2965" s="10" t="s">
        <v>8181</v>
      </c>
      <c r="I2965" s="10" t="s">
        <v>7957</v>
      </c>
    </row>
    <row r="2966" spans="1:9" x14ac:dyDescent="0.15">
      <c r="A2966" s="9">
        <v>2965</v>
      </c>
      <c r="B2966" s="10" t="s">
        <v>9</v>
      </c>
      <c r="C2966" s="10" t="s">
        <v>299</v>
      </c>
      <c r="D2966" s="10" t="s">
        <v>300</v>
      </c>
      <c r="E2966" s="11" t="str">
        <f>+HYPERLINK("http://trademark.i-assist.jp/data/china/image_1898th/78729822.pdf", "78729822")</f>
        <v>78729822</v>
      </c>
      <c r="F2966" s="10" t="s">
        <v>8182</v>
      </c>
      <c r="G2966" s="10" t="s">
        <v>8183</v>
      </c>
      <c r="H2966" s="10" t="s">
        <v>8184</v>
      </c>
      <c r="I2966" s="10" t="s">
        <v>7957</v>
      </c>
    </row>
    <row r="2967" spans="1:9" x14ac:dyDescent="0.15">
      <c r="A2967" s="9">
        <v>2966</v>
      </c>
      <c r="B2967" s="10" t="s">
        <v>9</v>
      </c>
      <c r="C2967" s="10" t="s">
        <v>299</v>
      </c>
      <c r="D2967" s="10" t="s">
        <v>300</v>
      </c>
      <c r="E2967" s="11" t="str">
        <f>+HYPERLINK("http://trademark.i-assist.jp/data/china/image_1898th/78729898.pdf", "78729898")</f>
        <v>78729898</v>
      </c>
      <c r="F2967" s="10" t="s">
        <v>8185</v>
      </c>
      <c r="G2967" s="10" t="s">
        <v>8050</v>
      </c>
      <c r="H2967" s="10" t="s">
        <v>8186</v>
      </c>
      <c r="I2967" s="10" t="s">
        <v>7957</v>
      </c>
    </row>
    <row r="2968" spans="1:9" x14ac:dyDescent="0.15">
      <c r="A2968" s="9">
        <v>2967</v>
      </c>
      <c r="B2968" s="10" t="s">
        <v>9</v>
      </c>
      <c r="C2968" s="10" t="s">
        <v>299</v>
      </c>
      <c r="D2968" s="10" t="s">
        <v>300</v>
      </c>
      <c r="E2968" s="11" t="str">
        <f>+HYPERLINK("http://trademark.i-assist.jp/data/china/image_1898th/78730089.pdf", "78730089")</f>
        <v>78730089</v>
      </c>
      <c r="F2968" s="10" t="s">
        <v>19</v>
      </c>
      <c r="G2968" s="10" t="s">
        <v>8187</v>
      </c>
      <c r="H2968" s="10" t="s">
        <v>8188</v>
      </c>
      <c r="I2968" s="10" t="s">
        <v>7957</v>
      </c>
    </row>
    <row r="2969" spans="1:9" x14ac:dyDescent="0.15">
      <c r="A2969" s="9">
        <v>2968</v>
      </c>
      <c r="B2969" s="10" t="s">
        <v>9</v>
      </c>
      <c r="C2969" s="10" t="s">
        <v>299</v>
      </c>
      <c r="D2969" s="10" t="s">
        <v>300</v>
      </c>
      <c r="E2969" s="11" t="str">
        <f>+HYPERLINK("http://trademark.i-assist.jp/data/china/image_1898th/78730164.pdf", "78730164")</f>
        <v>78730164</v>
      </c>
      <c r="F2969" s="10" t="s">
        <v>8189</v>
      </c>
      <c r="G2969" s="10" t="s">
        <v>8190</v>
      </c>
      <c r="H2969" s="10" t="s">
        <v>8191</v>
      </c>
      <c r="I2969" s="10" t="s">
        <v>7957</v>
      </c>
    </row>
    <row r="2970" spans="1:9" x14ac:dyDescent="0.15">
      <c r="A2970" s="9">
        <v>2969</v>
      </c>
      <c r="B2970" s="10" t="s">
        <v>9</v>
      </c>
      <c r="C2970" s="10" t="s">
        <v>299</v>
      </c>
      <c r="D2970" s="10" t="s">
        <v>300</v>
      </c>
      <c r="E2970" s="11" t="str">
        <f>+HYPERLINK("http://trademark.i-assist.jp/data/china/image_1898th/78730784.pdf", "78730784")</f>
        <v>78730784</v>
      </c>
      <c r="F2970" s="10" t="s">
        <v>8192</v>
      </c>
      <c r="G2970" s="10" t="s">
        <v>8193</v>
      </c>
      <c r="H2970" s="10" t="s">
        <v>8194</v>
      </c>
      <c r="I2970" s="10" t="s">
        <v>7957</v>
      </c>
    </row>
    <row r="2971" spans="1:9" x14ac:dyDescent="0.15">
      <c r="A2971" s="9">
        <v>2970</v>
      </c>
      <c r="B2971" s="10" t="s">
        <v>9</v>
      </c>
      <c r="C2971" s="10" t="s">
        <v>299</v>
      </c>
      <c r="D2971" s="10" t="s">
        <v>300</v>
      </c>
      <c r="E2971" s="11" t="str">
        <f>+HYPERLINK("http://trademark.i-assist.jp/data/china/image_1898th/78731109.pdf", "78731109")</f>
        <v>78731109</v>
      </c>
      <c r="F2971" s="10" t="s">
        <v>8195</v>
      </c>
      <c r="G2971" s="10" t="s">
        <v>8196</v>
      </c>
      <c r="H2971" s="10" t="s">
        <v>8197</v>
      </c>
      <c r="I2971" s="10" t="s">
        <v>7957</v>
      </c>
    </row>
    <row r="2972" spans="1:9" x14ac:dyDescent="0.15">
      <c r="A2972" s="9">
        <v>2971</v>
      </c>
      <c r="B2972" s="10" t="s">
        <v>9</v>
      </c>
      <c r="C2972" s="10" t="s">
        <v>299</v>
      </c>
      <c r="D2972" s="10" t="s">
        <v>300</v>
      </c>
      <c r="E2972" s="11" t="str">
        <f>+HYPERLINK("http://trademark.i-assist.jp/data/china/image_1898th/78731250.pdf", "78731250")</f>
        <v>78731250</v>
      </c>
      <c r="F2972" s="10" t="s">
        <v>8198</v>
      </c>
      <c r="G2972" s="10" t="s">
        <v>8199</v>
      </c>
      <c r="H2972" s="10" t="s">
        <v>8200</v>
      </c>
      <c r="I2972" s="10" t="s">
        <v>7957</v>
      </c>
    </row>
    <row r="2973" spans="1:9" x14ac:dyDescent="0.15">
      <c r="A2973" s="9">
        <v>2972</v>
      </c>
      <c r="B2973" s="10" t="s">
        <v>9</v>
      </c>
      <c r="C2973" s="10" t="s">
        <v>299</v>
      </c>
      <c r="D2973" s="10" t="s">
        <v>300</v>
      </c>
      <c r="E2973" s="11" t="str">
        <f>+HYPERLINK("http://trademark.i-assist.jp/data/china/image_1898th/78731441.pdf", "78731441")</f>
        <v>78731441</v>
      </c>
      <c r="F2973" s="10" t="s">
        <v>8201</v>
      </c>
      <c r="G2973" s="10" t="s">
        <v>8202</v>
      </c>
      <c r="H2973" s="10" t="s">
        <v>8203</v>
      </c>
      <c r="I2973" s="10" t="s">
        <v>7957</v>
      </c>
    </row>
    <row r="2974" spans="1:9" x14ac:dyDescent="0.15">
      <c r="A2974" s="9">
        <v>2973</v>
      </c>
      <c r="B2974" s="10" t="s">
        <v>9</v>
      </c>
      <c r="C2974" s="10" t="s">
        <v>299</v>
      </c>
      <c r="D2974" s="10" t="s">
        <v>300</v>
      </c>
      <c r="E2974" s="11" t="str">
        <f>+HYPERLINK("http://trademark.i-assist.jp/data/china/image_1898th/78731445.pdf", "78731445")</f>
        <v>78731445</v>
      </c>
      <c r="F2974" s="10" t="s">
        <v>8204</v>
      </c>
      <c r="G2974" s="10" t="s">
        <v>8205</v>
      </c>
      <c r="H2974" s="10" t="s">
        <v>8206</v>
      </c>
      <c r="I2974" s="10" t="s">
        <v>7957</v>
      </c>
    </row>
    <row r="2975" spans="1:9" x14ac:dyDescent="0.15">
      <c r="A2975" s="9">
        <v>2974</v>
      </c>
      <c r="B2975" s="10" t="s">
        <v>9</v>
      </c>
      <c r="C2975" s="10" t="s">
        <v>299</v>
      </c>
      <c r="D2975" s="10" t="s">
        <v>300</v>
      </c>
      <c r="E2975" s="11" t="str">
        <f>+HYPERLINK("http://trademark.i-assist.jp/data/china/image_1898th/78731564.pdf", "78731564")</f>
        <v>78731564</v>
      </c>
      <c r="F2975" s="10" t="s">
        <v>8207</v>
      </c>
      <c r="G2975" s="10" t="s">
        <v>8208</v>
      </c>
      <c r="H2975" s="10" t="s">
        <v>8209</v>
      </c>
      <c r="I2975" s="10" t="s">
        <v>7957</v>
      </c>
    </row>
    <row r="2976" spans="1:9" x14ac:dyDescent="0.15">
      <c r="A2976" s="9">
        <v>2975</v>
      </c>
      <c r="B2976" s="10" t="s">
        <v>9</v>
      </c>
      <c r="C2976" s="10" t="s">
        <v>299</v>
      </c>
      <c r="D2976" s="10" t="s">
        <v>300</v>
      </c>
      <c r="E2976" s="11" t="str">
        <f>+HYPERLINK("http://trademark.i-assist.jp/data/china/image_1898th/78731857.pdf", "78731857")</f>
        <v>78731857</v>
      </c>
      <c r="F2976" s="10" t="s">
        <v>8210</v>
      </c>
      <c r="G2976" s="10" t="s">
        <v>8211</v>
      </c>
      <c r="H2976" s="10" t="s">
        <v>8212</v>
      </c>
      <c r="I2976" s="10" t="s">
        <v>7957</v>
      </c>
    </row>
    <row r="2977" spans="1:9" x14ac:dyDescent="0.15">
      <c r="A2977" s="9">
        <v>2976</v>
      </c>
      <c r="B2977" s="10" t="s">
        <v>9</v>
      </c>
      <c r="C2977" s="10" t="s">
        <v>299</v>
      </c>
      <c r="D2977" s="10" t="s">
        <v>300</v>
      </c>
      <c r="E2977" s="11" t="str">
        <f>+HYPERLINK("http://trademark.i-assist.jp/data/china/image_1898th/78732240.pdf", "78732240")</f>
        <v>78732240</v>
      </c>
      <c r="F2977" s="10" t="s">
        <v>8213</v>
      </c>
      <c r="G2977" s="10" t="s">
        <v>8214</v>
      </c>
      <c r="H2977" s="10" t="s">
        <v>8215</v>
      </c>
      <c r="I2977" s="10" t="s">
        <v>7957</v>
      </c>
    </row>
    <row r="2978" spans="1:9" x14ac:dyDescent="0.15">
      <c r="A2978" s="9">
        <v>2977</v>
      </c>
      <c r="B2978" s="10" t="s">
        <v>9</v>
      </c>
      <c r="C2978" s="10" t="s">
        <v>299</v>
      </c>
      <c r="D2978" s="10" t="s">
        <v>300</v>
      </c>
      <c r="E2978" s="11" t="str">
        <f>+HYPERLINK("http://trademark.i-assist.jp/data/china/image_1898th/78732490.pdf", "78732490")</f>
        <v>78732490</v>
      </c>
      <c r="F2978" s="10" t="s">
        <v>8216</v>
      </c>
      <c r="G2978" s="10" t="s">
        <v>8217</v>
      </c>
      <c r="H2978" s="10" t="s">
        <v>8218</v>
      </c>
      <c r="I2978" s="10" t="s">
        <v>7957</v>
      </c>
    </row>
    <row r="2979" spans="1:9" x14ac:dyDescent="0.15">
      <c r="A2979" s="9">
        <v>2978</v>
      </c>
      <c r="B2979" s="10" t="s">
        <v>9</v>
      </c>
      <c r="C2979" s="10" t="s">
        <v>299</v>
      </c>
      <c r="D2979" s="10" t="s">
        <v>300</v>
      </c>
      <c r="E2979" s="11" t="str">
        <f>+HYPERLINK("http://trademark.i-assist.jp/data/china/image_1898th/78732540.pdf", "78732540")</f>
        <v>78732540</v>
      </c>
      <c r="F2979" s="10" t="s">
        <v>19</v>
      </c>
      <c r="G2979" s="10" t="s">
        <v>8219</v>
      </c>
      <c r="H2979" s="10" t="s">
        <v>8220</v>
      </c>
      <c r="I2979" s="10" t="s">
        <v>7957</v>
      </c>
    </row>
    <row r="2980" spans="1:9" x14ac:dyDescent="0.15">
      <c r="A2980" s="9">
        <v>2979</v>
      </c>
      <c r="B2980" s="10" t="s">
        <v>9</v>
      </c>
      <c r="C2980" s="10" t="s">
        <v>299</v>
      </c>
      <c r="D2980" s="10" t="s">
        <v>300</v>
      </c>
      <c r="E2980" s="11" t="str">
        <f>+HYPERLINK("http://trademark.i-assist.jp/data/china/image_1898th/78732624.pdf", "78732624")</f>
        <v>78732624</v>
      </c>
      <c r="F2980" s="10" t="s">
        <v>8221</v>
      </c>
      <c r="G2980" s="10" t="s">
        <v>63</v>
      </c>
      <c r="H2980" s="10" t="s">
        <v>8222</v>
      </c>
      <c r="I2980" s="10" t="s">
        <v>7957</v>
      </c>
    </row>
    <row r="2981" spans="1:9" x14ac:dyDescent="0.15">
      <c r="A2981" s="9">
        <v>2980</v>
      </c>
      <c r="B2981" s="10" t="s">
        <v>9</v>
      </c>
      <c r="C2981" s="10" t="s">
        <v>299</v>
      </c>
      <c r="D2981" s="10" t="s">
        <v>300</v>
      </c>
      <c r="E2981" s="11" t="str">
        <f>+HYPERLINK("http://trademark.i-assist.jp/data/china/image_1898th/78732636.pdf", "78732636")</f>
        <v>78732636</v>
      </c>
      <c r="F2981" s="10" t="s">
        <v>8223</v>
      </c>
      <c r="G2981" s="10" t="s">
        <v>8224</v>
      </c>
      <c r="H2981" s="10" t="s">
        <v>8225</v>
      </c>
      <c r="I2981" s="10" t="s">
        <v>7957</v>
      </c>
    </row>
    <row r="2982" spans="1:9" x14ac:dyDescent="0.15">
      <c r="A2982" s="9">
        <v>2981</v>
      </c>
      <c r="B2982" s="10" t="s">
        <v>9</v>
      </c>
      <c r="C2982" s="10" t="s">
        <v>299</v>
      </c>
      <c r="D2982" s="10" t="s">
        <v>300</v>
      </c>
      <c r="E2982" s="11" t="str">
        <f>+HYPERLINK("http://trademark.i-assist.jp/data/china/image_1898th/78732994.pdf", "78732994")</f>
        <v>78732994</v>
      </c>
      <c r="F2982" s="10" t="s">
        <v>8226</v>
      </c>
      <c r="G2982" s="10" t="s">
        <v>8227</v>
      </c>
      <c r="H2982" s="10" t="s">
        <v>8228</v>
      </c>
      <c r="I2982" s="10" t="s">
        <v>7957</v>
      </c>
    </row>
    <row r="2983" spans="1:9" x14ac:dyDescent="0.15">
      <c r="A2983" s="9">
        <v>2982</v>
      </c>
      <c r="B2983" s="10" t="s">
        <v>9</v>
      </c>
      <c r="C2983" s="10" t="s">
        <v>299</v>
      </c>
      <c r="D2983" s="10" t="s">
        <v>300</v>
      </c>
      <c r="E2983" s="11" t="str">
        <f>+HYPERLINK("http://trademark.i-assist.jp/data/china/image_1898th/78733032.pdf", "78733032")</f>
        <v>78733032</v>
      </c>
      <c r="F2983" s="10" t="s">
        <v>8229</v>
      </c>
      <c r="G2983" s="10" t="s">
        <v>8000</v>
      </c>
      <c r="H2983" s="10" t="s">
        <v>8230</v>
      </c>
      <c r="I2983" s="10" t="s">
        <v>7957</v>
      </c>
    </row>
    <row r="2984" spans="1:9" x14ac:dyDescent="0.15">
      <c r="A2984" s="9">
        <v>2983</v>
      </c>
      <c r="B2984" s="10" t="s">
        <v>9</v>
      </c>
      <c r="C2984" s="10" t="s">
        <v>299</v>
      </c>
      <c r="D2984" s="10" t="s">
        <v>300</v>
      </c>
      <c r="E2984" s="11" t="str">
        <f>+HYPERLINK("http://trademark.i-assist.jp/data/china/image_1898th/78733213.pdf", "78733213")</f>
        <v>78733213</v>
      </c>
      <c r="F2984" s="10" t="s">
        <v>8231</v>
      </c>
      <c r="G2984" s="10" t="s">
        <v>174</v>
      </c>
      <c r="H2984" s="10" t="s">
        <v>8232</v>
      </c>
      <c r="I2984" s="10" t="s">
        <v>7957</v>
      </c>
    </row>
    <row r="2985" spans="1:9" x14ac:dyDescent="0.15">
      <c r="A2985" s="9">
        <v>2984</v>
      </c>
      <c r="B2985" s="10" t="s">
        <v>9</v>
      </c>
      <c r="C2985" s="10" t="s">
        <v>299</v>
      </c>
      <c r="D2985" s="10" t="s">
        <v>300</v>
      </c>
      <c r="E2985" s="11" t="str">
        <f>+HYPERLINK("http://trademark.i-assist.jp/data/china/image_1898th/78733433.pdf", "78733433")</f>
        <v>78733433</v>
      </c>
      <c r="F2985" s="10" t="s">
        <v>8233</v>
      </c>
      <c r="G2985" s="10" t="s">
        <v>8234</v>
      </c>
      <c r="H2985" s="10" t="s">
        <v>8235</v>
      </c>
      <c r="I2985" s="10" t="s">
        <v>7957</v>
      </c>
    </row>
    <row r="2986" spans="1:9" x14ac:dyDescent="0.15">
      <c r="A2986" s="9">
        <v>2985</v>
      </c>
      <c r="B2986" s="10" t="s">
        <v>9</v>
      </c>
      <c r="C2986" s="10" t="s">
        <v>299</v>
      </c>
      <c r="D2986" s="10" t="s">
        <v>300</v>
      </c>
      <c r="E2986" s="11" t="str">
        <f>+HYPERLINK("http://trademark.i-assist.jp/data/china/image_1898th/78733470.pdf", "78733470")</f>
        <v>78733470</v>
      </c>
      <c r="F2986" s="10" t="s">
        <v>8236</v>
      </c>
      <c r="G2986" s="10" t="s">
        <v>8237</v>
      </c>
      <c r="H2986" s="10" t="s">
        <v>8238</v>
      </c>
      <c r="I2986" s="10" t="s">
        <v>7957</v>
      </c>
    </row>
    <row r="2987" spans="1:9" x14ac:dyDescent="0.15">
      <c r="A2987" s="9">
        <v>2986</v>
      </c>
      <c r="B2987" s="10" t="s">
        <v>9</v>
      </c>
      <c r="C2987" s="10" t="s">
        <v>299</v>
      </c>
      <c r="D2987" s="10" t="s">
        <v>300</v>
      </c>
      <c r="E2987" s="11" t="str">
        <f>+HYPERLINK("http://trademark.i-assist.jp/data/china/image_1898th/78733925.pdf", "78733925")</f>
        <v>78733925</v>
      </c>
      <c r="F2987" s="10" t="s">
        <v>8239</v>
      </c>
      <c r="G2987" s="10" t="s">
        <v>8240</v>
      </c>
      <c r="H2987" s="10" t="s">
        <v>8241</v>
      </c>
      <c r="I2987" s="10" t="s">
        <v>7957</v>
      </c>
    </row>
    <row r="2988" spans="1:9" x14ac:dyDescent="0.15">
      <c r="A2988" s="9">
        <v>2987</v>
      </c>
      <c r="B2988" s="10" t="s">
        <v>9</v>
      </c>
      <c r="C2988" s="10" t="s">
        <v>299</v>
      </c>
      <c r="D2988" s="10" t="s">
        <v>300</v>
      </c>
      <c r="E2988" s="11" t="str">
        <f>+HYPERLINK("http://trademark.i-assist.jp/data/china/image_1898th/78734113.pdf", "78734113")</f>
        <v>78734113</v>
      </c>
      <c r="F2988" s="10" t="s">
        <v>8242</v>
      </c>
      <c r="G2988" s="10" t="s">
        <v>8243</v>
      </c>
      <c r="H2988" s="10" t="s">
        <v>8244</v>
      </c>
      <c r="I2988" s="10" t="s">
        <v>7957</v>
      </c>
    </row>
    <row r="2989" spans="1:9" x14ac:dyDescent="0.15">
      <c r="A2989" s="9">
        <v>2988</v>
      </c>
      <c r="B2989" s="10" t="s">
        <v>9</v>
      </c>
      <c r="C2989" s="10" t="s">
        <v>299</v>
      </c>
      <c r="D2989" s="10" t="s">
        <v>300</v>
      </c>
      <c r="E2989" s="11" t="str">
        <f>+HYPERLINK("http://trademark.i-assist.jp/data/china/image_1898th/78734117.pdf", "78734117")</f>
        <v>78734117</v>
      </c>
      <c r="F2989" s="10" t="s">
        <v>8245</v>
      </c>
      <c r="G2989" s="10" t="s">
        <v>8246</v>
      </c>
      <c r="H2989" s="10" t="s">
        <v>8247</v>
      </c>
      <c r="I2989" s="10" t="s">
        <v>7957</v>
      </c>
    </row>
    <row r="2990" spans="1:9" x14ac:dyDescent="0.15">
      <c r="A2990" s="9">
        <v>2989</v>
      </c>
      <c r="B2990" s="10" t="s">
        <v>9</v>
      </c>
      <c r="C2990" s="10" t="s">
        <v>299</v>
      </c>
      <c r="D2990" s="10" t="s">
        <v>300</v>
      </c>
      <c r="E2990" s="11" t="str">
        <f>+HYPERLINK("http://trademark.i-assist.jp/data/china/image_1898th/78734258.pdf", "78734258")</f>
        <v>78734258</v>
      </c>
      <c r="F2990" s="10" t="s">
        <v>8248</v>
      </c>
      <c r="G2990" s="10" t="s">
        <v>5663</v>
      </c>
      <c r="H2990" s="10" t="s">
        <v>8249</v>
      </c>
      <c r="I2990" s="10" t="s">
        <v>7957</v>
      </c>
    </row>
    <row r="2991" spans="1:9" x14ac:dyDescent="0.15">
      <c r="A2991" s="9">
        <v>2990</v>
      </c>
      <c r="B2991" s="10" t="s">
        <v>9</v>
      </c>
      <c r="C2991" s="10" t="s">
        <v>299</v>
      </c>
      <c r="D2991" s="10" t="s">
        <v>300</v>
      </c>
      <c r="E2991" s="11" t="str">
        <f>+HYPERLINK("http://trademark.i-assist.jp/data/china/image_1898th/78734659.pdf", "78734659")</f>
        <v>78734659</v>
      </c>
      <c r="F2991" s="10" t="s">
        <v>8250</v>
      </c>
      <c r="G2991" s="10" t="s">
        <v>8251</v>
      </c>
      <c r="H2991" s="10" t="s">
        <v>8252</v>
      </c>
      <c r="I2991" s="10" t="s">
        <v>7957</v>
      </c>
    </row>
    <row r="2992" spans="1:9" x14ac:dyDescent="0.15">
      <c r="A2992" s="9">
        <v>2991</v>
      </c>
      <c r="B2992" s="10" t="s">
        <v>9</v>
      </c>
      <c r="C2992" s="10" t="s">
        <v>299</v>
      </c>
      <c r="D2992" s="10" t="s">
        <v>300</v>
      </c>
      <c r="E2992" s="11" t="str">
        <f>+HYPERLINK("http://trademark.i-assist.jp/data/china/image_1898th/78734669.pdf", "78734669")</f>
        <v>78734669</v>
      </c>
      <c r="F2992" s="10" t="s">
        <v>8253</v>
      </c>
      <c r="G2992" s="10" t="s">
        <v>8254</v>
      </c>
      <c r="H2992" s="10" t="s">
        <v>8255</v>
      </c>
      <c r="I2992" s="10" t="s">
        <v>7957</v>
      </c>
    </row>
    <row r="2993" spans="1:9" x14ac:dyDescent="0.15">
      <c r="A2993" s="9">
        <v>2992</v>
      </c>
      <c r="B2993" s="10" t="s">
        <v>9</v>
      </c>
      <c r="C2993" s="10" t="s">
        <v>299</v>
      </c>
      <c r="D2993" s="10" t="s">
        <v>300</v>
      </c>
      <c r="E2993" s="11" t="str">
        <f>+HYPERLINK("http://trademark.i-assist.jp/data/china/image_1898th/78734679.pdf", "78734679")</f>
        <v>78734679</v>
      </c>
      <c r="F2993" s="10" t="s">
        <v>8256</v>
      </c>
      <c r="G2993" s="10" t="s">
        <v>8257</v>
      </c>
      <c r="H2993" s="10" t="s">
        <v>8258</v>
      </c>
      <c r="I2993" s="10" t="s">
        <v>7957</v>
      </c>
    </row>
    <row r="2994" spans="1:9" x14ac:dyDescent="0.15">
      <c r="A2994" s="9">
        <v>2993</v>
      </c>
      <c r="B2994" s="10" t="s">
        <v>9</v>
      </c>
      <c r="C2994" s="10" t="s">
        <v>299</v>
      </c>
      <c r="D2994" s="10" t="s">
        <v>300</v>
      </c>
      <c r="E2994" s="11" t="str">
        <f>+HYPERLINK("http://trademark.i-assist.jp/data/china/image_1898th/78735190.pdf", "78735190")</f>
        <v>78735190</v>
      </c>
      <c r="F2994" s="10" t="s">
        <v>8259</v>
      </c>
      <c r="G2994" s="10" t="s">
        <v>8260</v>
      </c>
      <c r="H2994" s="10" t="s">
        <v>8261</v>
      </c>
      <c r="I2994" s="10" t="s">
        <v>7957</v>
      </c>
    </row>
    <row r="2995" spans="1:9" x14ac:dyDescent="0.15">
      <c r="A2995" s="9">
        <v>2994</v>
      </c>
      <c r="B2995" s="10" t="s">
        <v>9</v>
      </c>
      <c r="C2995" s="10" t="s">
        <v>299</v>
      </c>
      <c r="D2995" s="10" t="s">
        <v>300</v>
      </c>
      <c r="E2995" s="11" t="str">
        <f>+HYPERLINK("http://trademark.i-assist.jp/data/china/image_1898th/78735371.pdf", "78735371")</f>
        <v>78735371</v>
      </c>
      <c r="F2995" s="10" t="s">
        <v>8262</v>
      </c>
      <c r="G2995" s="10" t="s">
        <v>8263</v>
      </c>
      <c r="H2995" s="10" t="s">
        <v>8264</v>
      </c>
      <c r="I2995" s="10" t="s">
        <v>7957</v>
      </c>
    </row>
    <row r="2996" spans="1:9" x14ac:dyDescent="0.15">
      <c r="A2996" s="9">
        <v>2995</v>
      </c>
      <c r="B2996" s="10" t="s">
        <v>9</v>
      </c>
      <c r="C2996" s="10" t="s">
        <v>299</v>
      </c>
      <c r="D2996" s="10" t="s">
        <v>300</v>
      </c>
      <c r="E2996" s="11" t="str">
        <f>+HYPERLINK("http://trademark.i-assist.jp/data/china/image_1898th/78735384.pdf", "78735384")</f>
        <v>78735384</v>
      </c>
      <c r="F2996" s="10" t="s">
        <v>8265</v>
      </c>
      <c r="G2996" s="10" t="s">
        <v>8266</v>
      </c>
      <c r="H2996" s="10" t="s">
        <v>43</v>
      </c>
      <c r="I2996" s="10" t="s">
        <v>7957</v>
      </c>
    </row>
    <row r="2997" spans="1:9" x14ac:dyDescent="0.15">
      <c r="A2997" s="9">
        <v>2996</v>
      </c>
      <c r="B2997" s="10" t="s">
        <v>9</v>
      </c>
      <c r="C2997" s="10" t="s">
        <v>299</v>
      </c>
      <c r="D2997" s="10" t="s">
        <v>300</v>
      </c>
      <c r="E2997" s="11" t="str">
        <f>+HYPERLINK("http://trademark.i-assist.jp/data/china/image_1898th/78735412.pdf", "78735412")</f>
        <v>78735412</v>
      </c>
      <c r="F2997" s="10" t="s">
        <v>8267</v>
      </c>
      <c r="G2997" s="10" t="s">
        <v>8000</v>
      </c>
      <c r="H2997" s="10" t="s">
        <v>8268</v>
      </c>
      <c r="I2997" s="10" t="s">
        <v>7957</v>
      </c>
    </row>
    <row r="2998" spans="1:9" x14ac:dyDescent="0.15">
      <c r="A2998" s="9">
        <v>2997</v>
      </c>
      <c r="B2998" s="10" t="s">
        <v>9</v>
      </c>
      <c r="C2998" s="10" t="s">
        <v>299</v>
      </c>
      <c r="D2998" s="10" t="s">
        <v>300</v>
      </c>
      <c r="E2998" s="11" t="str">
        <f>+HYPERLINK("http://trademark.i-assist.jp/data/china/image_1898th/78735612.pdf", "78735612")</f>
        <v>78735612</v>
      </c>
      <c r="F2998" s="10" t="s">
        <v>8269</v>
      </c>
      <c r="G2998" s="10" t="s">
        <v>8270</v>
      </c>
      <c r="H2998" s="10" t="s">
        <v>8271</v>
      </c>
      <c r="I2998" s="10" t="s">
        <v>7957</v>
      </c>
    </row>
    <row r="2999" spans="1:9" x14ac:dyDescent="0.15">
      <c r="A2999" s="9">
        <v>2998</v>
      </c>
      <c r="B2999" s="10" t="s">
        <v>9</v>
      </c>
      <c r="C2999" s="10" t="s">
        <v>299</v>
      </c>
      <c r="D2999" s="10" t="s">
        <v>300</v>
      </c>
      <c r="E2999" s="11" t="str">
        <f>+HYPERLINK("http://trademark.i-assist.jp/data/china/image_1898th/78735795.pdf", "78735795")</f>
        <v>78735795</v>
      </c>
      <c r="F2999" s="10" t="s">
        <v>8272</v>
      </c>
      <c r="G2999" s="10" t="s">
        <v>8273</v>
      </c>
      <c r="H2999" s="10" t="s">
        <v>8274</v>
      </c>
      <c r="I2999" s="10" t="s">
        <v>7957</v>
      </c>
    </row>
    <row r="3000" spans="1:9" x14ac:dyDescent="0.15">
      <c r="A3000" s="9">
        <v>2999</v>
      </c>
      <c r="B3000" s="10" t="s">
        <v>9</v>
      </c>
      <c r="C3000" s="10" t="s">
        <v>299</v>
      </c>
      <c r="D3000" s="10" t="s">
        <v>300</v>
      </c>
      <c r="E3000" s="11" t="str">
        <f>+HYPERLINK("http://trademark.i-assist.jp/data/china/image_1898th/78735820.pdf", "78735820")</f>
        <v>78735820</v>
      </c>
      <c r="F3000" s="10" t="s">
        <v>8275</v>
      </c>
      <c r="G3000" s="10" t="s">
        <v>8276</v>
      </c>
      <c r="H3000" s="10" t="s">
        <v>8277</v>
      </c>
      <c r="I3000" s="10" t="s">
        <v>7957</v>
      </c>
    </row>
    <row r="3001" spans="1:9" x14ac:dyDescent="0.15">
      <c r="A3001" s="9">
        <v>3000</v>
      </c>
      <c r="B3001" s="10" t="s">
        <v>9</v>
      </c>
      <c r="C3001" s="10" t="s">
        <v>299</v>
      </c>
      <c r="D3001" s="10" t="s">
        <v>300</v>
      </c>
      <c r="E3001" s="11" t="str">
        <f>+HYPERLINK("http://trademark.i-assist.jp/data/china/image_1898th/78736077.pdf", "78736077")</f>
        <v>78736077</v>
      </c>
      <c r="F3001" s="10" t="s">
        <v>8278</v>
      </c>
      <c r="G3001" s="10" t="s">
        <v>8279</v>
      </c>
      <c r="H3001" s="10" t="s">
        <v>8280</v>
      </c>
      <c r="I3001" s="10" t="s">
        <v>7957</v>
      </c>
    </row>
    <row r="3002" spans="1:9" x14ac:dyDescent="0.15">
      <c r="A3002" s="9">
        <v>3001</v>
      </c>
      <c r="B3002" s="10" t="s">
        <v>9</v>
      </c>
      <c r="C3002" s="10" t="s">
        <v>299</v>
      </c>
      <c r="D3002" s="10" t="s">
        <v>300</v>
      </c>
      <c r="E3002" s="11" t="str">
        <f>+HYPERLINK("http://trademark.i-assist.jp/data/china/image_1898th/78736112.pdf", "78736112")</f>
        <v>78736112</v>
      </c>
      <c r="F3002" s="10" t="s">
        <v>8281</v>
      </c>
      <c r="G3002" s="10" t="s">
        <v>8282</v>
      </c>
      <c r="H3002" s="10" t="s">
        <v>8283</v>
      </c>
      <c r="I3002" s="10" t="s">
        <v>7957</v>
      </c>
    </row>
    <row r="3003" spans="1:9" x14ac:dyDescent="0.15">
      <c r="A3003" s="9">
        <v>3002</v>
      </c>
      <c r="B3003" s="10" t="s">
        <v>9</v>
      </c>
      <c r="C3003" s="10" t="s">
        <v>299</v>
      </c>
      <c r="D3003" s="10" t="s">
        <v>300</v>
      </c>
      <c r="E3003" s="11" t="str">
        <f>+HYPERLINK("http://trademark.i-assist.jp/data/china/image_1898th/78736477.pdf", "78736477")</f>
        <v>78736477</v>
      </c>
      <c r="F3003" s="10" t="s">
        <v>8284</v>
      </c>
      <c r="G3003" s="10" t="s">
        <v>5027</v>
      </c>
      <c r="H3003" s="10" t="s">
        <v>8285</v>
      </c>
      <c r="I3003" s="10" t="s">
        <v>7957</v>
      </c>
    </row>
    <row r="3004" spans="1:9" x14ac:dyDescent="0.15">
      <c r="A3004" s="9">
        <v>3003</v>
      </c>
      <c r="B3004" s="10" t="s">
        <v>9</v>
      </c>
      <c r="C3004" s="10" t="s">
        <v>299</v>
      </c>
      <c r="D3004" s="10" t="s">
        <v>300</v>
      </c>
      <c r="E3004" s="11" t="str">
        <f>+HYPERLINK("http://trademark.i-assist.jp/data/china/image_1898th/78736702.pdf", "78736702")</f>
        <v>78736702</v>
      </c>
      <c r="F3004" s="10" t="s">
        <v>8286</v>
      </c>
      <c r="G3004" s="10" t="s">
        <v>543</v>
      </c>
      <c r="H3004" s="10" t="s">
        <v>8287</v>
      </c>
      <c r="I3004" s="10" t="s">
        <v>7957</v>
      </c>
    </row>
    <row r="3005" spans="1:9" x14ac:dyDescent="0.15">
      <c r="A3005" s="9">
        <v>3004</v>
      </c>
      <c r="B3005" s="10" t="s">
        <v>9</v>
      </c>
      <c r="C3005" s="10" t="s">
        <v>299</v>
      </c>
      <c r="D3005" s="10" t="s">
        <v>300</v>
      </c>
      <c r="E3005" s="11" t="str">
        <f>+HYPERLINK("http://trademark.i-assist.jp/data/china/image_1898th/78736787.pdf", "78736787")</f>
        <v>78736787</v>
      </c>
      <c r="F3005" s="10" t="s">
        <v>8288</v>
      </c>
      <c r="G3005" s="10" t="s">
        <v>8234</v>
      </c>
      <c r="H3005" s="10" t="s">
        <v>8289</v>
      </c>
      <c r="I3005" s="10" t="s">
        <v>7957</v>
      </c>
    </row>
    <row r="3006" spans="1:9" x14ac:dyDescent="0.15">
      <c r="A3006" s="9">
        <v>3005</v>
      </c>
      <c r="B3006" s="10" t="s">
        <v>9</v>
      </c>
      <c r="C3006" s="10" t="s">
        <v>299</v>
      </c>
      <c r="D3006" s="10" t="s">
        <v>300</v>
      </c>
      <c r="E3006" s="11" t="str">
        <f>+HYPERLINK("http://trademark.i-assist.jp/data/china/image_1898th/78736803.pdf", "78736803")</f>
        <v>78736803</v>
      </c>
      <c r="F3006" s="10" t="s">
        <v>8290</v>
      </c>
      <c r="G3006" s="10" t="s">
        <v>7984</v>
      </c>
      <c r="H3006" s="10" t="s">
        <v>8291</v>
      </c>
      <c r="I3006" s="10" t="s">
        <v>7957</v>
      </c>
    </row>
    <row r="3007" spans="1:9" x14ac:dyDescent="0.15">
      <c r="A3007" s="9">
        <v>3006</v>
      </c>
      <c r="B3007" s="10" t="s">
        <v>9</v>
      </c>
      <c r="C3007" s="10" t="s">
        <v>299</v>
      </c>
      <c r="D3007" s="10" t="s">
        <v>300</v>
      </c>
      <c r="E3007" s="11" t="str">
        <f>+HYPERLINK("http://trademark.i-assist.jp/data/china/image_1898th/78737016.pdf", "78737016")</f>
        <v>78737016</v>
      </c>
      <c r="F3007" s="10" t="s">
        <v>8292</v>
      </c>
      <c r="G3007" s="10" t="s">
        <v>8293</v>
      </c>
      <c r="H3007" s="10" t="s">
        <v>8294</v>
      </c>
      <c r="I3007" s="10" t="s">
        <v>7957</v>
      </c>
    </row>
    <row r="3008" spans="1:9" x14ac:dyDescent="0.15">
      <c r="A3008" s="9">
        <v>3007</v>
      </c>
      <c r="B3008" s="10" t="s">
        <v>9</v>
      </c>
      <c r="C3008" s="10" t="s">
        <v>299</v>
      </c>
      <c r="D3008" s="10" t="s">
        <v>300</v>
      </c>
      <c r="E3008" s="11" t="str">
        <f>+HYPERLINK("http://trademark.i-assist.jp/data/china/image_1898th/78737030.pdf", "78737030")</f>
        <v>78737030</v>
      </c>
      <c r="F3008" s="10" t="s">
        <v>19</v>
      </c>
      <c r="G3008" s="10" t="s">
        <v>8295</v>
      </c>
      <c r="H3008" s="10" t="s">
        <v>8296</v>
      </c>
      <c r="I3008" s="10" t="s">
        <v>7957</v>
      </c>
    </row>
    <row r="3009" spans="1:9" x14ac:dyDescent="0.15">
      <c r="A3009" s="9">
        <v>3008</v>
      </c>
      <c r="B3009" s="10" t="s">
        <v>9</v>
      </c>
      <c r="C3009" s="10" t="s">
        <v>299</v>
      </c>
      <c r="D3009" s="10" t="s">
        <v>300</v>
      </c>
      <c r="E3009" s="11" t="str">
        <f>+HYPERLINK("http://trademark.i-assist.jp/data/china/image_1898th/78737062.pdf", "78737062")</f>
        <v>78737062</v>
      </c>
      <c r="F3009" s="10" t="s">
        <v>8297</v>
      </c>
      <c r="G3009" s="10" t="s">
        <v>8298</v>
      </c>
      <c r="H3009" s="10" t="s">
        <v>8299</v>
      </c>
      <c r="I3009" s="10" t="s">
        <v>7957</v>
      </c>
    </row>
    <row r="3010" spans="1:9" x14ac:dyDescent="0.15">
      <c r="A3010" s="9">
        <v>3009</v>
      </c>
      <c r="B3010" s="10" t="s">
        <v>9</v>
      </c>
      <c r="C3010" s="10" t="s">
        <v>299</v>
      </c>
      <c r="D3010" s="10" t="s">
        <v>300</v>
      </c>
      <c r="E3010" s="11" t="str">
        <f>+HYPERLINK("http://trademark.i-assist.jp/data/china/image_1898th/78737080.pdf", "78737080")</f>
        <v>78737080</v>
      </c>
      <c r="F3010" s="10" t="s">
        <v>8300</v>
      </c>
      <c r="G3010" s="10" t="s">
        <v>8298</v>
      </c>
      <c r="H3010" s="10" t="s">
        <v>8301</v>
      </c>
      <c r="I3010" s="10" t="s">
        <v>7957</v>
      </c>
    </row>
    <row r="3011" spans="1:9" x14ac:dyDescent="0.15">
      <c r="A3011" s="9">
        <v>3010</v>
      </c>
      <c r="B3011" s="10" t="s">
        <v>9</v>
      </c>
      <c r="C3011" s="10" t="s">
        <v>299</v>
      </c>
      <c r="D3011" s="10" t="s">
        <v>300</v>
      </c>
      <c r="E3011" s="11" t="str">
        <f>+HYPERLINK("http://trademark.i-assist.jp/data/china/image_1898th/78737127.pdf", "78737127")</f>
        <v>78737127</v>
      </c>
      <c r="F3011" s="10" t="s">
        <v>8302</v>
      </c>
      <c r="G3011" s="10" t="s">
        <v>8303</v>
      </c>
      <c r="H3011" s="10" t="s">
        <v>8304</v>
      </c>
      <c r="I3011" s="10" t="s">
        <v>7957</v>
      </c>
    </row>
    <row r="3012" spans="1:9" x14ac:dyDescent="0.15">
      <c r="A3012" s="9">
        <v>3011</v>
      </c>
      <c r="B3012" s="10" t="s">
        <v>9</v>
      </c>
      <c r="C3012" s="10" t="s">
        <v>299</v>
      </c>
      <c r="D3012" s="10" t="s">
        <v>300</v>
      </c>
      <c r="E3012" s="11" t="str">
        <f>+HYPERLINK("http://trademark.i-assist.jp/data/china/image_1898th/78737188.pdf", "78737188")</f>
        <v>78737188</v>
      </c>
      <c r="F3012" s="10" t="s">
        <v>8305</v>
      </c>
      <c r="G3012" s="10" t="s">
        <v>8306</v>
      </c>
      <c r="H3012" s="10" t="s">
        <v>8307</v>
      </c>
      <c r="I3012" s="10" t="s">
        <v>7957</v>
      </c>
    </row>
    <row r="3013" spans="1:9" x14ac:dyDescent="0.15">
      <c r="A3013" s="9">
        <v>3012</v>
      </c>
      <c r="B3013" s="10" t="s">
        <v>9</v>
      </c>
      <c r="C3013" s="10" t="s">
        <v>299</v>
      </c>
      <c r="D3013" s="10" t="s">
        <v>300</v>
      </c>
      <c r="E3013" s="11" t="str">
        <f>+HYPERLINK("http://trademark.i-assist.jp/data/china/image_1898th/78737241.pdf", "78737241")</f>
        <v>78737241</v>
      </c>
      <c r="F3013" s="10" t="s">
        <v>8308</v>
      </c>
      <c r="G3013" s="10" t="s">
        <v>8309</v>
      </c>
      <c r="H3013" s="10" t="s">
        <v>8310</v>
      </c>
      <c r="I3013" s="10" t="s">
        <v>7957</v>
      </c>
    </row>
    <row r="3014" spans="1:9" x14ac:dyDescent="0.15">
      <c r="A3014" s="9">
        <v>3013</v>
      </c>
      <c r="B3014" s="10" t="s">
        <v>9</v>
      </c>
      <c r="C3014" s="10" t="s">
        <v>299</v>
      </c>
      <c r="D3014" s="10" t="s">
        <v>300</v>
      </c>
      <c r="E3014" s="11" t="str">
        <f>+HYPERLINK("http://trademark.i-assist.jp/data/china/image_1898th/78737377.pdf", "78737377")</f>
        <v>78737377</v>
      </c>
      <c r="F3014" s="10" t="s">
        <v>8311</v>
      </c>
      <c r="G3014" s="10" t="s">
        <v>8312</v>
      </c>
      <c r="H3014" s="10" t="s">
        <v>8313</v>
      </c>
      <c r="I3014" s="10" t="s">
        <v>7957</v>
      </c>
    </row>
    <row r="3015" spans="1:9" x14ac:dyDescent="0.15">
      <c r="A3015" s="9">
        <v>3014</v>
      </c>
      <c r="B3015" s="10" t="s">
        <v>9</v>
      </c>
      <c r="C3015" s="10" t="s">
        <v>299</v>
      </c>
      <c r="D3015" s="10" t="s">
        <v>300</v>
      </c>
      <c r="E3015" s="11" t="str">
        <f>+HYPERLINK("http://trademark.i-assist.jp/data/china/image_1898th/78737841.pdf", "78737841")</f>
        <v>78737841</v>
      </c>
      <c r="F3015" s="10" t="s">
        <v>8314</v>
      </c>
      <c r="G3015" s="10" t="s">
        <v>8157</v>
      </c>
      <c r="H3015" s="10" t="s">
        <v>8315</v>
      </c>
      <c r="I3015" s="10" t="s">
        <v>7957</v>
      </c>
    </row>
    <row r="3016" spans="1:9" x14ac:dyDescent="0.15">
      <c r="A3016" s="9">
        <v>3015</v>
      </c>
      <c r="B3016" s="10" t="s">
        <v>9</v>
      </c>
      <c r="C3016" s="10" t="s">
        <v>299</v>
      </c>
      <c r="D3016" s="10" t="s">
        <v>300</v>
      </c>
      <c r="E3016" s="11" t="str">
        <f>+HYPERLINK("http://trademark.i-assist.jp/data/china/image_1898th/78738245.pdf", "78738245")</f>
        <v>78738245</v>
      </c>
      <c r="F3016" s="10" t="s">
        <v>8316</v>
      </c>
      <c r="G3016" s="10" t="s">
        <v>8045</v>
      </c>
      <c r="H3016" s="10" t="s">
        <v>8317</v>
      </c>
      <c r="I3016" s="10" t="s">
        <v>7957</v>
      </c>
    </row>
    <row r="3017" spans="1:9" x14ac:dyDescent="0.15">
      <c r="A3017" s="9">
        <v>3016</v>
      </c>
      <c r="B3017" s="10" t="s">
        <v>9</v>
      </c>
      <c r="C3017" s="10" t="s">
        <v>299</v>
      </c>
      <c r="D3017" s="10" t="s">
        <v>300</v>
      </c>
      <c r="E3017" s="11" t="str">
        <f>+HYPERLINK("http://trademark.i-assist.jp/data/china/image_1898th/78738635.pdf", "78738635")</f>
        <v>78738635</v>
      </c>
      <c r="F3017" s="10" t="s">
        <v>8318</v>
      </c>
      <c r="G3017" s="10" t="s">
        <v>8319</v>
      </c>
      <c r="H3017" s="10" t="s">
        <v>8320</v>
      </c>
      <c r="I3017" s="10" t="s">
        <v>7957</v>
      </c>
    </row>
    <row r="3018" spans="1:9" x14ac:dyDescent="0.15">
      <c r="A3018" s="9">
        <v>3017</v>
      </c>
      <c r="B3018" s="10" t="s">
        <v>9</v>
      </c>
      <c r="C3018" s="10" t="s">
        <v>299</v>
      </c>
      <c r="D3018" s="10" t="s">
        <v>300</v>
      </c>
      <c r="E3018" s="11" t="str">
        <f>+HYPERLINK("http://trademark.i-assist.jp/data/china/image_1898th/78738757.pdf", "78738757")</f>
        <v>78738757</v>
      </c>
      <c r="F3018" s="10" t="s">
        <v>19</v>
      </c>
      <c r="G3018" s="10" t="s">
        <v>6513</v>
      </c>
      <c r="H3018" s="10" t="s">
        <v>8321</v>
      </c>
      <c r="I3018" s="10" t="s">
        <v>7957</v>
      </c>
    </row>
    <row r="3019" spans="1:9" x14ac:dyDescent="0.15">
      <c r="A3019" s="9">
        <v>3018</v>
      </c>
      <c r="B3019" s="10" t="s">
        <v>9</v>
      </c>
      <c r="C3019" s="10" t="s">
        <v>299</v>
      </c>
      <c r="D3019" s="10" t="s">
        <v>300</v>
      </c>
      <c r="E3019" s="11" t="str">
        <f>+HYPERLINK("http://trademark.i-assist.jp/data/china/image_1898th/78738770.pdf", "78738770")</f>
        <v>78738770</v>
      </c>
      <c r="F3019" s="10" t="s">
        <v>8322</v>
      </c>
      <c r="G3019" s="10" t="s">
        <v>8323</v>
      </c>
      <c r="H3019" s="10" t="s">
        <v>8324</v>
      </c>
      <c r="I3019" s="10" t="s">
        <v>7957</v>
      </c>
    </row>
    <row r="3020" spans="1:9" x14ac:dyDescent="0.15">
      <c r="A3020" s="9">
        <v>3019</v>
      </c>
      <c r="B3020" s="10" t="s">
        <v>9</v>
      </c>
      <c r="C3020" s="10" t="s">
        <v>299</v>
      </c>
      <c r="D3020" s="10" t="s">
        <v>300</v>
      </c>
      <c r="E3020" s="11" t="str">
        <f>+HYPERLINK("http://trademark.i-assist.jp/data/china/image_1898th/78739097.pdf", "78739097")</f>
        <v>78739097</v>
      </c>
      <c r="F3020" s="10" t="s">
        <v>8325</v>
      </c>
      <c r="G3020" s="10" t="s">
        <v>8326</v>
      </c>
      <c r="H3020" s="10" t="s">
        <v>8327</v>
      </c>
      <c r="I3020" s="10" t="s">
        <v>7957</v>
      </c>
    </row>
    <row r="3021" spans="1:9" x14ac:dyDescent="0.15">
      <c r="A3021" s="9">
        <v>3020</v>
      </c>
      <c r="B3021" s="10" t="s">
        <v>9</v>
      </c>
      <c r="C3021" s="10" t="s">
        <v>299</v>
      </c>
      <c r="D3021" s="10" t="s">
        <v>300</v>
      </c>
      <c r="E3021" s="11" t="str">
        <f>+HYPERLINK("http://trademark.i-assist.jp/data/china/image_1898th/78739134.pdf", "78739134")</f>
        <v>78739134</v>
      </c>
      <c r="F3021" s="10" t="s">
        <v>8328</v>
      </c>
      <c r="G3021" s="10" t="s">
        <v>8329</v>
      </c>
      <c r="H3021" s="10" t="s">
        <v>8330</v>
      </c>
      <c r="I3021" s="10" t="s">
        <v>7957</v>
      </c>
    </row>
    <row r="3022" spans="1:9" x14ac:dyDescent="0.15">
      <c r="A3022" s="9">
        <v>3021</v>
      </c>
      <c r="B3022" s="10" t="s">
        <v>9</v>
      </c>
      <c r="C3022" s="10" t="s">
        <v>299</v>
      </c>
      <c r="D3022" s="10" t="s">
        <v>300</v>
      </c>
      <c r="E3022" s="11" t="str">
        <f>+HYPERLINK("http://trademark.i-assist.jp/data/china/image_1898th/78739184.pdf", "78739184")</f>
        <v>78739184</v>
      </c>
      <c r="F3022" s="10" t="s">
        <v>8331</v>
      </c>
      <c r="G3022" s="10" t="s">
        <v>8332</v>
      </c>
      <c r="H3022" s="10" t="s">
        <v>8333</v>
      </c>
      <c r="I3022" s="10" t="s">
        <v>7957</v>
      </c>
    </row>
    <row r="3023" spans="1:9" x14ac:dyDescent="0.15">
      <c r="A3023" s="9">
        <v>3022</v>
      </c>
      <c r="B3023" s="10" t="s">
        <v>9</v>
      </c>
      <c r="C3023" s="10" t="s">
        <v>299</v>
      </c>
      <c r="D3023" s="10" t="s">
        <v>300</v>
      </c>
      <c r="E3023" s="11" t="str">
        <f>+HYPERLINK("http://trademark.i-assist.jp/data/china/image_1898th/78739231.pdf", "78739231")</f>
        <v>78739231</v>
      </c>
      <c r="F3023" s="10" t="s">
        <v>8334</v>
      </c>
      <c r="G3023" s="10" t="s">
        <v>47</v>
      </c>
      <c r="H3023" s="10" t="s">
        <v>8335</v>
      </c>
      <c r="I3023" s="10" t="s">
        <v>7957</v>
      </c>
    </row>
    <row r="3024" spans="1:9" x14ac:dyDescent="0.15">
      <c r="A3024" s="9">
        <v>3023</v>
      </c>
      <c r="B3024" s="10" t="s">
        <v>9</v>
      </c>
      <c r="C3024" s="10" t="s">
        <v>299</v>
      </c>
      <c r="D3024" s="10" t="s">
        <v>300</v>
      </c>
      <c r="E3024" s="11" t="str">
        <f>+HYPERLINK("http://trademark.i-assist.jp/data/china/image_1898th/78739308.pdf", "78739308")</f>
        <v>78739308</v>
      </c>
      <c r="F3024" s="10" t="s">
        <v>8336</v>
      </c>
      <c r="G3024" s="10" t="s">
        <v>8337</v>
      </c>
      <c r="H3024" s="10" t="s">
        <v>8338</v>
      </c>
      <c r="I3024" s="10" t="s">
        <v>7957</v>
      </c>
    </row>
    <row r="3025" spans="1:9" x14ac:dyDescent="0.15">
      <c r="A3025" s="9">
        <v>3024</v>
      </c>
      <c r="B3025" s="10" t="s">
        <v>9</v>
      </c>
      <c r="C3025" s="10" t="s">
        <v>299</v>
      </c>
      <c r="D3025" s="10" t="s">
        <v>300</v>
      </c>
      <c r="E3025" s="11" t="str">
        <f>+HYPERLINK("http://trademark.i-assist.jp/data/china/image_1898th/78739415.pdf", "78739415")</f>
        <v>78739415</v>
      </c>
      <c r="F3025" s="10" t="s">
        <v>8339</v>
      </c>
      <c r="G3025" s="10" t="s">
        <v>8340</v>
      </c>
      <c r="H3025" s="10" t="s">
        <v>8341</v>
      </c>
      <c r="I3025" s="10" t="s">
        <v>7957</v>
      </c>
    </row>
    <row r="3026" spans="1:9" x14ac:dyDescent="0.15">
      <c r="A3026" s="9">
        <v>3025</v>
      </c>
      <c r="B3026" s="10" t="s">
        <v>9</v>
      </c>
      <c r="C3026" s="10" t="s">
        <v>299</v>
      </c>
      <c r="D3026" s="10" t="s">
        <v>300</v>
      </c>
      <c r="E3026" s="11" t="str">
        <f>+HYPERLINK("http://trademark.i-assist.jp/data/china/image_1898th/78739615.pdf", "78739615")</f>
        <v>78739615</v>
      </c>
      <c r="F3026" s="10" t="s">
        <v>8342</v>
      </c>
      <c r="G3026" s="10" t="s">
        <v>8343</v>
      </c>
      <c r="H3026" s="10" t="s">
        <v>8344</v>
      </c>
      <c r="I3026" s="10" t="s">
        <v>7957</v>
      </c>
    </row>
    <row r="3027" spans="1:9" x14ac:dyDescent="0.15">
      <c r="A3027" s="9">
        <v>3026</v>
      </c>
      <c r="B3027" s="10" t="s">
        <v>9</v>
      </c>
      <c r="C3027" s="10" t="s">
        <v>299</v>
      </c>
      <c r="D3027" s="10" t="s">
        <v>300</v>
      </c>
      <c r="E3027" s="11" t="str">
        <f>+HYPERLINK("http://trademark.i-assist.jp/data/china/image_1898th/78739654.pdf", "78739654")</f>
        <v>78739654</v>
      </c>
      <c r="F3027" s="10" t="s">
        <v>8345</v>
      </c>
      <c r="G3027" s="10" t="s">
        <v>8000</v>
      </c>
      <c r="H3027" s="10" t="s">
        <v>8346</v>
      </c>
      <c r="I3027" s="10" t="s">
        <v>7957</v>
      </c>
    </row>
    <row r="3028" spans="1:9" x14ac:dyDescent="0.15">
      <c r="A3028" s="9">
        <v>3027</v>
      </c>
      <c r="B3028" s="10" t="s">
        <v>9</v>
      </c>
      <c r="C3028" s="10" t="s">
        <v>299</v>
      </c>
      <c r="D3028" s="10" t="s">
        <v>300</v>
      </c>
      <c r="E3028" s="11" t="str">
        <f>+HYPERLINK("http://trademark.i-assist.jp/data/china/image_1898th/78739972.pdf", "78739972")</f>
        <v>78739972</v>
      </c>
      <c r="F3028" s="10" t="s">
        <v>8347</v>
      </c>
      <c r="G3028" s="10" t="s">
        <v>8348</v>
      </c>
      <c r="H3028" s="10" t="s">
        <v>8349</v>
      </c>
      <c r="I3028" s="10" t="s">
        <v>7957</v>
      </c>
    </row>
    <row r="3029" spans="1:9" x14ac:dyDescent="0.15">
      <c r="A3029" s="9">
        <v>3028</v>
      </c>
      <c r="B3029" s="10" t="s">
        <v>9</v>
      </c>
      <c r="C3029" s="10" t="s">
        <v>299</v>
      </c>
      <c r="D3029" s="10" t="s">
        <v>300</v>
      </c>
      <c r="E3029" s="11" t="str">
        <f>+HYPERLINK("http://trademark.i-assist.jp/data/china/image_1898th/78740190.pdf", "78740190")</f>
        <v>78740190</v>
      </c>
      <c r="F3029" s="10" t="s">
        <v>8350</v>
      </c>
      <c r="G3029" s="10" t="s">
        <v>8351</v>
      </c>
      <c r="H3029" s="10" t="s">
        <v>8352</v>
      </c>
      <c r="I3029" s="10" t="s">
        <v>7957</v>
      </c>
    </row>
    <row r="3030" spans="1:9" x14ac:dyDescent="0.15">
      <c r="A3030" s="9">
        <v>3029</v>
      </c>
      <c r="B3030" s="10" t="s">
        <v>9</v>
      </c>
      <c r="C3030" s="10" t="s">
        <v>299</v>
      </c>
      <c r="D3030" s="10" t="s">
        <v>300</v>
      </c>
      <c r="E3030" s="11" t="str">
        <f>+HYPERLINK("http://trademark.i-assist.jp/data/china/image_1898th/78740461.pdf", "78740461")</f>
        <v>78740461</v>
      </c>
      <c r="F3030" s="10" t="s">
        <v>8353</v>
      </c>
      <c r="G3030" s="10" t="s">
        <v>7987</v>
      </c>
      <c r="H3030" s="10" t="s">
        <v>8354</v>
      </c>
      <c r="I3030" s="10" t="s">
        <v>7957</v>
      </c>
    </row>
    <row r="3031" spans="1:9" x14ac:dyDescent="0.15">
      <c r="A3031" s="9">
        <v>3030</v>
      </c>
      <c r="B3031" s="10" t="s">
        <v>9</v>
      </c>
      <c r="C3031" s="10" t="s">
        <v>299</v>
      </c>
      <c r="D3031" s="10" t="s">
        <v>300</v>
      </c>
      <c r="E3031" s="11" t="str">
        <f>+HYPERLINK("http://trademark.i-assist.jp/data/china/image_1898th/78740640.pdf", "78740640")</f>
        <v>78740640</v>
      </c>
      <c r="F3031" s="10" t="s">
        <v>8355</v>
      </c>
      <c r="G3031" s="10" t="s">
        <v>8356</v>
      </c>
      <c r="H3031" s="10" t="s">
        <v>8357</v>
      </c>
      <c r="I3031" s="10" t="s">
        <v>7957</v>
      </c>
    </row>
    <row r="3032" spans="1:9" x14ac:dyDescent="0.15">
      <c r="A3032" s="9">
        <v>3031</v>
      </c>
      <c r="B3032" s="10" t="s">
        <v>9</v>
      </c>
      <c r="C3032" s="10" t="s">
        <v>299</v>
      </c>
      <c r="D3032" s="10" t="s">
        <v>300</v>
      </c>
      <c r="E3032" s="11" t="str">
        <f>+HYPERLINK("http://trademark.i-assist.jp/data/china/image_1898th/78740779.pdf", "78740779")</f>
        <v>78740779</v>
      </c>
      <c r="F3032" s="10" t="s">
        <v>8358</v>
      </c>
      <c r="G3032" s="10" t="s">
        <v>7992</v>
      </c>
      <c r="H3032" s="10" t="s">
        <v>8359</v>
      </c>
      <c r="I3032" s="10" t="s">
        <v>7957</v>
      </c>
    </row>
    <row r="3033" spans="1:9" x14ac:dyDescent="0.15">
      <c r="A3033" s="9">
        <v>3032</v>
      </c>
      <c r="B3033" s="10" t="s">
        <v>9</v>
      </c>
      <c r="C3033" s="10" t="s">
        <v>299</v>
      </c>
      <c r="D3033" s="10" t="s">
        <v>300</v>
      </c>
      <c r="E3033" s="11" t="str">
        <f>+HYPERLINK("http://trademark.i-assist.jp/data/china/image_1898th/78740805.pdf", "78740805")</f>
        <v>78740805</v>
      </c>
      <c r="F3033" s="10" t="s">
        <v>8360</v>
      </c>
      <c r="G3033" s="10" t="s">
        <v>8361</v>
      </c>
      <c r="H3033" s="10" t="s">
        <v>8362</v>
      </c>
      <c r="I3033" s="10" t="s">
        <v>7957</v>
      </c>
    </row>
    <row r="3034" spans="1:9" x14ac:dyDescent="0.15">
      <c r="A3034" s="9">
        <v>3033</v>
      </c>
      <c r="B3034" s="10" t="s">
        <v>9</v>
      </c>
      <c r="C3034" s="10" t="s">
        <v>299</v>
      </c>
      <c r="D3034" s="10" t="s">
        <v>300</v>
      </c>
      <c r="E3034" s="11" t="str">
        <f>+HYPERLINK("http://trademark.i-assist.jp/data/china/image_1898th/78740857.pdf", "78740857")</f>
        <v>78740857</v>
      </c>
      <c r="F3034" s="10" t="s">
        <v>8363</v>
      </c>
      <c r="G3034" s="10" t="s">
        <v>8364</v>
      </c>
      <c r="H3034" s="10" t="s">
        <v>8365</v>
      </c>
      <c r="I3034" s="10" t="s">
        <v>7957</v>
      </c>
    </row>
    <row r="3035" spans="1:9" x14ac:dyDescent="0.15">
      <c r="A3035" s="9">
        <v>3034</v>
      </c>
      <c r="B3035" s="10" t="s">
        <v>9</v>
      </c>
      <c r="C3035" s="10" t="s">
        <v>299</v>
      </c>
      <c r="D3035" s="10" t="s">
        <v>300</v>
      </c>
      <c r="E3035" s="11" t="str">
        <f>+HYPERLINK("http://trademark.i-assist.jp/data/china/image_1898th/78740949.pdf", "78740949")</f>
        <v>78740949</v>
      </c>
      <c r="F3035" s="10" t="s">
        <v>8366</v>
      </c>
      <c r="G3035" s="10" t="s">
        <v>8367</v>
      </c>
      <c r="H3035" s="10" t="s">
        <v>8368</v>
      </c>
      <c r="I3035" s="10" t="s">
        <v>7957</v>
      </c>
    </row>
    <row r="3036" spans="1:9" x14ac:dyDescent="0.15">
      <c r="A3036" s="9">
        <v>3035</v>
      </c>
      <c r="B3036" s="10" t="s">
        <v>9</v>
      </c>
      <c r="C3036" s="10" t="s">
        <v>299</v>
      </c>
      <c r="D3036" s="10" t="s">
        <v>300</v>
      </c>
      <c r="E3036" s="11" t="str">
        <f>+HYPERLINK("http://trademark.i-assist.jp/data/china/image_1898th/78741115.pdf", "78741115")</f>
        <v>78741115</v>
      </c>
      <c r="F3036" s="10" t="s">
        <v>8369</v>
      </c>
      <c r="G3036" s="10" t="s">
        <v>8370</v>
      </c>
      <c r="H3036" s="10" t="s">
        <v>8371</v>
      </c>
      <c r="I3036" s="10" t="s">
        <v>7957</v>
      </c>
    </row>
    <row r="3037" spans="1:9" x14ac:dyDescent="0.15">
      <c r="A3037" s="9">
        <v>3036</v>
      </c>
      <c r="B3037" s="10" t="s">
        <v>9</v>
      </c>
      <c r="C3037" s="10" t="s">
        <v>299</v>
      </c>
      <c r="D3037" s="10" t="s">
        <v>300</v>
      </c>
      <c r="E3037" s="11" t="str">
        <f>+HYPERLINK("http://trademark.i-assist.jp/data/china/image_1898th/78741176.pdf", "78741176")</f>
        <v>78741176</v>
      </c>
      <c r="F3037" s="10" t="s">
        <v>8372</v>
      </c>
      <c r="G3037" s="10" t="s">
        <v>8000</v>
      </c>
      <c r="H3037" s="10" t="s">
        <v>8373</v>
      </c>
      <c r="I3037" s="10" t="s">
        <v>7957</v>
      </c>
    </row>
    <row r="3038" spans="1:9" x14ac:dyDescent="0.15">
      <c r="A3038" s="9">
        <v>3037</v>
      </c>
      <c r="B3038" s="10" t="s">
        <v>9</v>
      </c>
      <c r="C3038" s="10" t="s">
        <v>299</v>
      </c>
      <c r="D3038" s="10" t="s">
        <v>300</v>
      </c>
      <c r="E3038" s="11" t="str">
        <f>+HYPERLINK("http://trademark.i-assist.jp/data/china/image_1898th/78741191.pdf", "78741191")</f>
        <v>78741191</v>
      </c>
      <c r="F3038" s="10" t="s">
        <v>8374</v>
      </c>
      <c r="G3038" s="10" t="s">
        <v>8375</v>
      </c>
      <c r="H3038" s="10" t="s">
        <v>34</v>
      </c>
      <c r="I3038" s="10" t="s">
        <v>7957</v>
      </c>
    </row>
    <row r="3039" spans="1:9" x14ac:dyDescent="0.15">
      <c r="A3039" s="9">
        <v>3038</v>
      </c>
      <c r="B3039" s="10" t="s">
        <v>9</v>
      </c>
      <c r="C3039" s="10" t="s">
        <v>299</v>
      </c>
      <c r="D3039" s="10" t="s">
        <v>300</v>
      </c>
      <c r="E3039" s="11" t="str">
        <f>+HYPERLINK("http://trademark.i-assist.jp/data/china/image_1898th/78741225.pdf", "78741225")</f>
        <v>78741225</v>
      </c>
      <c r="F3039" s="10" t="s">
        <v>8376</v>
      </c>
      <c r="G3039" s="10" t="s">
        <v>8377</v>
      </c>
      <c r="H3039" s="10" t="s">
        <v>8378</v>
      </c>
      <c r="I3039" s="10" t="s">
        <v>7957</v>
      </c>
    </row>
    <row r="3040" spans="1:9" x14ac:dyDescent="0.15">
      <c r="A3040" s="9">
        <v>3039</v>
      </c>
      <c r="B3040" s="10" t="s">
        <v>9</v>
      </c>
      <c r="C3040" s="10" t="s">
        <v>299</v>
      </c>
      <c r="D3040" s="10" t="s">
        <v>300</v>
      </c>
      <c r="E3040" s="11" t="str">
        <f>+HYPERLINK("http://trademark.i-assist.jp/data/china/image_1898th/78741262.pdf", "78741262")</f>
        <v>78741262</v>
      </c>
      <c r="F3040" s="10" t="s">
        <v>8379</v>
      </c>
      <c r="G3040" s="10" t="s">
        <v>8380</v>
      </c>
      <c r="H3040" s="10" t="s">
        <v>8381</v>
      </c>
      <c r="I3040" s="10" t="s">
        <v>7957</v>
      </c>
    </row>
    <row r="3041" spans="1:9" x14ac:dyDescent="0.15">
      <c r="A3041" s="9">
        <v>3040</v>
      </c>
      <c r="B3041" s="10" t="s">
        <v>9</v>
      </c>
      <c r="C3041" s="10" t="s">
        <v>299</v>
      </c>
      <c r="D3041" s="10" t="s">
        <v>300</v>
      </c>
      <c r="E3041" s="11" t="str">
        <f>+HYPERLINK("http://trademark.i-assist.jp/data/china/image_1898th/78741374.pdf", "78741374")</f>
        <v>78741374</v>
      </c>
      <c r="F3041" s="10" t="s">
        <v>8382</v>
      </c>
      <c r="G3041" s="10" t="s">
        <v>8383</v>
      </c>
      <c r="H3041" s="10" t="s">
        <v>8384</v>
      </c>
      <c r="I3041" s="10" t="s">
        <v>7957</v>
      </c>
    </row>
    <row r="3042" spans="1:9" x14ac:dyDescent="0.15">
      <c r="A3042" s="9">
        <v>3041</v>
      </c>
      <c r="B3042" s="10" t="s">
        <v>9</v>
      </c>
      <c r="C3042" s="10" t="s">
        <v>299</v>
      </c>
      <c r="D3042" s="10" t="s">
        <v>300</v>
      </c>
      <c r="E3042" s="11" t="str">
        <f>+HYPERLINK("http://trademark.i-assist.jp/data/china/image_1898th/78741861.pdf", "78741861")</f>
        <v>78741861</v>
      </c>
      <c r="F3042" s="10" t="s">
        <v>8385</v>
      </c>
      <c r="G3042" s="10" t="s">
        <v>8386</v>
      </c>
      <c r="H3042" s="10" t="s">
        <v>8387</v>
      </c>
      <c r="I3042" s="10" t="s">
        <v>7957</v>
      </c>
    </row>
    <row r="3043" spans="1:9" x14ac:dyDescent="0.15">
      <c r="A3043" s="9">
        <v>3042</v>
      </c>
      <c r="B3043" s="10" t="s">
        <v>9</v>
      </c>
      <c r="C3043" s="10" t="s">
        <v>299</v>
      </c>
      <c r="D3043" s="10" t="s">
        <v>300</v>
      </c>
      <c r="E3043" s="11" t="str">
        <f>+HYPERLINK("http://trademark.i-assist.jp/data/china/image_1898th/78742077.pdf", "78742077")</f>
        <v>78742077</v>
      </c>
      <c r="F3043" s="10" t="s">
        <v>8388</v>
      </c>
      <c r="G3043" s="10" t="s">
        <v>8243</v>
      </c>
      <c r="H3043" s="10" t="s">
        <v>8389</v>
      </c>
      <c r="I3043" s="10" t="s">
        <v>7957</v>
      </c>
    </row>
    <row r="3044" spans="1:9" x14ac:dyDescent="0.15">
      <c r="A3044" s="9">
        <v>3043</v>
      </c>
      <c r="B3044" s="10" t="s">
        <v>9</v>
      </c>
      <c r="C3044" s="10" t="s">
        <v>299</v>
      </c>
      <c r="D3044" s="10" t="s">
        <v>300</v>
      </c>
      <c r="E3044" s="11" t="str">
        <f>+HYPERLINK("http://trademark.i-assist.jp/data/china/image_1898th/78742099.pdf", "78742099")</f>
        <v>78742099</v>
      </c>
      <c r="F3044" s="10" t="s">
        <v>8390</v>
      </c>
      <c r="G3044" s="10" t="s">
        <v>8391</v>
      </c>
      <c r="H3044" s="10" t="s">
        <v>8392</v>
      </c>
      <c r="I3044" s="10" t="s">
        <v>7957</v>
      </c>
    </row>
    <row r="3045" spans="1:9" x14ac:dyDescent="0.15">
      <c r="A3045" s="9">
        <v>3044</v>
      </c>
      <c r="B3045" s="10" t="s">
        <v>9</v>
      </c>
      <c r="C3045" s="10" t="s">
        <v>299</v>
      </c>
      <c r="D3045" s="10" t="s">
        <v>300</v>
      </c>
      <c r="E3045" s="11" t="str">
        <f>+HYPERLINK("http://trademark.i-assist.jp/data/china/image_1898th/78742261.pdf", "78742261")</f>
        <v>78742261</v>
      </c>
      <c r="F3045" s="10" t="s">
        <v>8393</v>
      </c>
      <c r="G3045" s="10" t="s">
        <v>8394</v>
      </c>
      <c r="H3045" s="10" t="s">
        <v>8395</v>
      </c>
      <c r="I3045" s="10" t="s">
        <v>7957</v>
      </c>
    </row>
    <row r="3046" spans="1:9" x14ac:dyDescent="0.15">
      <c r="A3046" s="9">
        <v>3045</v>
      </c>
      <c r="B3046" s="10" t="s">
        <v>9</v>
      </c>
      <c r="C3046" s="10" t="s">
        <v>299</v>
      </c>
      <c r="D3046" s="10" t="s">
        <v>300</v>
      </c>
      <c r="E3046" s="11" t="str">
        <f>+HYPERLINK("http://trademark.i-assist.jp/data/china/image_1898th/78742735.pdf", "78742735")</f>
        <v>78742735</v>
      </c>
      <c r="F3046" s="10" t="s">
        <v>8396</v>
      </c>
      <c r="G3046" s="10" t="s">
        <v>8397</v>
      </c>
      <c r="H3046" s="10" t="s">
        <v>8398</v>
      </c>
      <c r="I3046" s="10" t="s">
        <v>7957</v>
      </c>
    </row>
    <row r="3047" spans="1:9" x14ac:dyDescent="0.15">
      <c r="A3047" s="9">
        <v>3046</v>
      </c>
      <c r="B3047" s="10" t="s">
        <v>9</v>
      </c>
      <c r="C3047" s="10" t="s">
        <v>299</v>
      </c>
      <c r="D3047" s="10" t="s">
        <v>300</v>
      </c>
      <c r="E3047" s="11" t="str">
        <f>+HYPERLINK("http://trademark.i-assist.jp/data/china/image_1898th/78742928.pdf", "78742928")</f>
        <v>78742928</v>
      </c>
      <c r="F3047" s="10" t="s">
        <v>8399</v>
      </c>
      <c r="G3047" s="10" t="s">
        <v>8400</v>
      </c>
      <c r="H3047" s="10" t="s">
        <v>8401</v>
      </c>
      <c r="I3047" s="10" t="s">
        <v>7957</v>
      </c>
    </row>
    <row r="3048" spans="1:9" x14ac:dyDescent="0.15">
      <c r="A3048" s="9">
        <v>3047</v>
      </c>
      <c r="B3048" s="10" t="s">
        <v>9</v>
      </c>
      <c r="C3048" s="10" t="s">
        <v>299</v>
      </c>
      <c r="D3048" s="10" t="s">
        <v>300</v>
      </c>
      <c r="E3048" s="11" t="str">
        <f>+HYPERLINK("http://trademark.i-assist.jp/data/china/image_1898th/78743233.pdf", "78743233")</f>
        <v>78743233</v>
      </c>
      <c r="F3048" s="10" t="s">
        <v>8402</v>
      </c>
      <c r="G3048" s="10" t="s">
        <v>5281</v>
      </c>
      <c r="H3048" s="10" t="s">
        <v>8403</v>
      </c>
      <c r="I3048" s="10" t="s">
        <v>7957</v>
      </c>
    </row>
    <row r="3049" spans="1:9" x14ac:dyDescent="0.15">
      <c r="A3049" s="9">
        <v>3048</v>
      </c>
      <c r="B3049" s="10" t="s">
        <v>9</v>
      </c>
      <c r="C3049" s="10" t="s">
        <v>299</v>
      </c>
      <c r="D3049" s="10" t="s">
        <v>300</v>
      </c>
      <c r="E3049" s="11" t="str">
        <f>+HYPERLINK("http://trademark.i-assist.jp/data/china/image_1898th/78743823.pdf", "78743823")</f>
        <v>78743823</v>
      </c>
      <c r="F3049" s="10" t="s">
        <v>19</v>
      </c>
      <c r="G3049" s="10" t="s">
        <v>8404</v>
      </c>
      <c r="H3049" s="10" t="s">
        <v>8405</v>
      </c>
      <c r="I3049" s="10" t="s">
        <v>7957</v>
      </c>
    </row>
    <row r="3050" spans="1:9" x14ac:dyDescent="0.15">
      <c r="A3050" s="9">
        <v>3049</v>
      </c>
      <c r="B3050" s="10" t="s">
        <v>9</v>
      </c>
      <c r="C3050" s="10" t="s">
        <v>299</v>
      </c>
      <c r="D3050" s="10" t="s">
        <v>300</v>
      </c>
      <c r="E3050" s="11" t="str">
        <f>+HYPERLINK("http://trademark.i-assist.jp/data/china/image_1898th/78743839.pdf", "78743839")</f>
        <v>78743839</v>
      </c>
      <c r="F3050" s="10" t="s">
        <v>8406</v>
      </c>
      <c r="G3050" s="10" t="s">
        <v>8407</v>
      </c>
      <c r="H3050" s="10" t="s">
        <v>8408</v>
      </c>
      <c r="I3050" s="10" t="s">
        <v>7957</v>
      </c>
    </row>
    <row r="3051" spans="1:9" x14ac:dyDescent="0.15">
      <c r="A3051" s="9">
        <v>3050</v>
      </c>
      <c r="B3051" s="10" t="s">
        <v>9</v>
      </c>
      <c r="C3051" s="10" t="s">
        <v>299</v>
      </c>
      <c r="D3051" s="10" t="s">
        <v>300</v>
      </c>
      <c r="E3051" s="11" t="str">
        <f>+HYPERLINK("http://trademark.i-assist.jp/data/china/image_1898th/78743881.pdf", "78743881")</f>
        <v>78743881</v>
      </c>
      <c r="F3051" s="10" t="s">
        <v>8409</v>
      </c>
      <c r="G3051" s="10" t="s">
        <v>190</v>
      </c>
      <c r="H3051" s="10" t="s">
        <v>8410</v>
      </c>
      <c r="I3051" s="10" t="s">
        <v>7957</v>
      </c>
    </row>
    <row r="3052" spans="1:9" x14ac:dyDescent="0.15">
      <c r="A3052" s="9">
        <v>3051</v>
      </c>
      <c r="B3052" s="10" t="s">
        <v>9</v>
      </c>
      <c r="C3052" s="10" t="s">
        <v>299</v>
      </c>
      <c r="D3052" s="10" t="s">
        <v>300</v>
      </c>
      <c r="E3052" s="11" t="str">
        <f>+HYPERLINK("http://trademark.i-assist.jp/data/china/image_1898th/78743885.pdf", "78743885")</f>
        <v>78743885</v>
      </c>
      <c r="F3052" s="10" t="s">
        <v>8411</v>
      </c>
      <c r="G3052" s="10" t="s">
        <v>8071</v>
      </c>
      <c r="H3052" s="10" t="s">
        <v>8412</v>
      </c>
      <c r="I3052" s="10" t="s">
        <v>7957</v>
      </c>
    </row>
    <row r="3053" spans="1:9" x14ac:dyDescent="0.15">
      <c r="A3053" s="9">
        <v>3052</v>
      </c>
      <c r="B3053" s="10" t="s">
        <v>9</v>
      </c>
      <c r="C3053" s="10" t="s">
        <v>299</v>
      </c>
      <c r="D3053" s="10" t="s">
        <v>300</v>
      </c>
      <c r="E3053" s="11" t="str">
        <f>+HYPERLINK("http://trademark.i-assist.jp/data/china/image_1898th/78744800.pdf", "78744800")</f>
        <v>78744800</v>
      </c>
      <c r="F3053" s="10" t="s">
        <v>8413</v>
      </c>
      <c r="G3053" s="10" t="s">
        <v>8414</v>
      </c>
      <c r="H3053" s="10" t="s">
        <v>8415</v>
      </c>
      <c r="I3053" s="10" t="s">
        <v>7957</v>
      </c>
    </row>
    <row r="3054" spans="1:9" x14ac:dyDescent="0.15">
      <c r="A3054" s="9">
        <v>3053</v>
      </c>
      <c r="B3054" s="10" t="s">
        <v>9</v>
      </c>
      <c r="C3054" s="10" t="s">
        <v>299</v>
      </c>
      <c r="D3054" s="10" t="s">
        <v>300</v>
      </c>
      <c r="E3054" s="11" t="str">
        <f>+HYPERLINK("http://trademark.i-assist.jp/data/china/image_1898th/78745088.pdf", "78745088")</f>
        <v>78745088</v>
      </c>
      <c r="F3054" s="10" t="s">
        <v>8416</v>
      </c>
      <c r="G3054" s="10" t="s">
        <v>8417</v>
      </c>
      <c r="H3054" s="10" t="s">
        <v>8418</v>
      </c>
      <c r="I3054" s="10" t="s">
        <v>7957</v>
      </c>
    </row>
    <row r="3055" spans="1:9" x14ac:dyDescent="0.15">
      <c r="A3055" s="9">
        <v>3054</v>
      </c>
      <c r="B3055" s="10" t="s">
        <v>9</v>
      </c>
      <c r="C3055" s="10" t="s">
        <v>299</v>
      </c>
      <c r="D3055" s="10" t="s">
        <v>300</v>
      </c>
      <c r="E3055" s="11" t="str">
        <f>+HYPERLINK("http://trademark.i-assist.jp/data/china/image_1898th/78745134.pdf", "78745134")</f>
        <v>78745134</v>
      </c>
      <c r="F3055" s="10" t="s">
        <v>8419</v>
      </c>
      <c r="G3055" s="10" t="s">
        <v>8211</v>
      </c>
      <c r="H3055" s="10" t="s">
        <v>8420</v>
      </c>
      <c r="I3055" s="10" t="s">
        <v>7957</v>
      </c>
    </row>
    <row r="3056" spans="1:9" x14ac:dyDescent="0.15">
      <c r="A3056" s="9">
        <v>3055</v>
      </c>
      <c r="B3056" s="10" t="s">
        <v>9</v>
      </c>
      <c r="C3056" s="10" t="s">
        <v>299</v>
      </c>
      <c r="D3056" s="10" t="s">
        <v>300</v>
      </c>
      <c r="E3056" s="11" t="str">
        <f>+HYPERLINK("http://trademark.i-assist.jp/data/china/image_1898th/78745355.pdf", "78745355")</f>
        <v>78745355</v>
      </c>
      <c r="F3056" s="10" t="s">
        <v>8421</v>
      </c>
      <c r="G3056" s="10" t="s">
        <v>174</v>
      </c>
      <c r="H3056" s="10" t="s">
        <v>8422</v>
      </c>
      <c r="I3056" s="10" t="s">
        <v>7957</v>
      </c>
    </row>
    <row r="3057" spans="1:9" x14ac:dyDescent="0.15">
      <c r="A3057" s="9">
        <v>3056</v>
      </c>
      <c r="B3057" s="10" t="s">
        <v>9</v>
      </c>
      <c r="C3057" s="10" t="s">
        <v>299</v>
      </c>
      <c r="D3057" s="10" t="s">
        <v>300</v>
      </c>
      <c r="E3057" s="11" t="str">
        <f>+HYPERLINK("http://trademark.i-assist.jp/data/china/image_1898th/78745556.pdf", "78745556")</f>
        <v>78745556</v>
      </c>
      <c r="F3057" s="10" t="s">
        <v>8423</v>
      </c>
      <c r="G3057" s="10" t="s">
        <v>8424</v>
      </c>
      <c r="H3057" s="10" t="s">
        <v>8425</v>
      </c>
      <c r="I3057" s="10" t="s">
        <v>7957</v>
      </c>
    </row>
    <row r="3058" spans="1:9" x14ac:dyDescent="0.15">
      <c r="A3058" s="9">
        <v>3057</v>
      </c>
      <c r="B3058" s="10" t="s">
        <v>9</v>
      </c>
      <c r="C3058" s="10" t="s">
        <v>299</v>
      </c>
      <c r="D3058" s="10" t="s">
        <v>300</v>
      </c>
      <c r="E3058" s="11" t="str">
        <f>+HYPERLINK("http://trademark.i-assist.jp/data/china/image_1898th/78745569.pdf", "78745569")</f>
        <v>78745569</v>
      </c>
      <c r="F3058" s="10" t="s">
        <v>8426</v>
      </c>
      <c r="G3058" s="10" t="s">
        <v>8000</v>
      </c>
      <c r="H3058" s="10" t="s">
        <v>8427</v>
      </c>
      <c r="I3058" s="10" t="s">
        <v>7957</v>
      </c>
    </row>
    <row r="3059" spans="1:9" x14ac:dyDescent="0.15">
      <c r="A3059" s="9">
        <v>3058</v>
      </c>
      <c r="B3059" s="10" t="s">
        <v>9</v>
      </c>
      <c r="C3059" s="10" t="s">
        <v>299</v>
      </c>
      <c r="D3059" s="10" t="s">
        <v>300</v>
      </c>
      <c r="E3059" s="11" t="str">
        <f>+HYPERLINK("http://trademark.i-assist.jp/data/china/image_1898th/78745615.pdf", "78745615")</f>
        <v>78745615</v>
      </c>
      <c r="F3059" s="10" t="s">
        <v>8428</v>
      </c>
      <c r="G3059" s="10" t="s">
        <v>8429</v>
      </c>
      <c r="H3059" s="10" t="s">
        <v>8430</v>
      </c>
      <c r="I3059" s="10" t="s">
        <v>7957</v>
      </c>
    </row>
    <row r="3060" spans="1:9" x14ac:dyDescent="0.15">
      <c r="A3060" s="9">
        <v>3059</v>
      </c>
      <c r="B3060" s="10" t="s">
        <v>9</v>
      </c>
      <c r="C3060" s="10" t="s">
        <v>299</v>
      </c>
      <c r="D3060" s="10" t="s">
        <v>300</v>
      </c>
      <c r="E3060" s="11" t="str">
        <f>+HYPERLINK("http://trademark.i-assist.jp/data/china/image_1898th/78745834.pdf", "78745834")</f>
        <v>78745834</v>
      </c>
      <c r="F3060" s="10" t="s">
        <v>8431</v>
      </c>
      <c r="G3060" s="10" t="s">
        <v>8432</v>
      </c>
      <c r="H3060" s="10" t="s">
        <v>8433</v>
      </c>
      <c r="I3060" s="10" t="s">
        <v>7848</v>
      </c>
    </row>
    <row r="3061" spans="1:9" x14ac:dyDescent="0.15">
      <c r="A3061" s="9">
        <v>3060</v>
      </c>
      <c r="B3061" s="10" t="s">
        <v>9</v>
      </c>
      <c r="C3061" s="10" t="s">
        <v>299</v>
      </c>
      <c r="D3061" s="10" t="s">
        <v>300</v>
      </c>
      <c r="E3061" s="11" t="str">
        <f>+HYPERLINK("http://trademark.i-assist.jp/data/china/image_1898th/78746198.pdf", "78746198")</f>
        <v>78746198</v>
      </c>
      <c r="F3061" s="10" t="s">
        <v>8434</v>
      </c>
      <c r="G3061" s="10" t="s">
        <v>8435</v>
      </c>
      <c r="H3061" s="10" t="s">
        <v>8436</v>
      </c>
      <c r="I3061" s="10" t="s">
        <v>7848</v>
      </c>
    </row>
    <row r="3062" spans="1:9" x14ac:dyDescent="0.15">
      <c r="A3062" s="9">
        <v>3061</v>
      </c>
      <c r="B3062" s="10" t="s">
        <v>9</v>
      </c>
      <c r="C3062" s="10" t="s">
        <v>299</v>
      </c>
      <c r="D3062" s="10" t="s">
        <v>300</v>
      </c>
      <c r="E3062" s="11" t="str">
        <f>+HYPERLINK("http://trademark.i-assist.jp/data/china/image_1898th/78746207.pdf", "78746207")</f>
        <v>78746207</v>
      </c>
      <c r="F3062" s="10" t="s">
        <v>8437</v>
      </c>
      <c r="G3062" s="10" t="s">
        <v>5593</v>
      </c>
      <c r="H3062" s="10" t="s">
        <v>8438</v>
      </c>
      <c r="I3062" s="10" t="s">
        <v>7848</v>
      </c>
    </row>
    <row r="3063" spans="1:9" x14ac:dyDescent="0.15">
      <c r="A3063" s="9">
        <v>3062</v>
      </c>
      <c r="B3063" s="10" t="s">
        <v>9</v>
      </c>
      <c r="C3063" s="10" t="s">
        <v>299</v>
      </c>
      <c r="D3063" s="10" t="s">
        <v>300</v>
      </c>
      <c r="E3063" s="11" t="str">
        <f>+HYPERLINK("http://trademark.i-assist.jp/data/china/image_1898th/78746268.pdf", "78746268")</f>
        <v>78746268</v>
      </c>
      <c r="F3063" s="10" t="s">
        <v>8439</v>
      </c>
      <c r="G3063" s="10" t="s">
        <v>8440</v>
      </c>
      <c r="H3063" s="10" t="s">
        <v>8441</v>
      </c>
      <c r="I3063" s="10" t="s">
        <v>7848</v>
      </c>
    </row>
    <row r="3064" spans="1:9" x14ac:dyDescent="0.15">
      <c r="A3064" s="9">
        <v>3063</v>
      </c>
      <c r="B3064" s="10" t="s">
        <v>9</v>
      </c>
      <c r="C3064" s="10" t="s">
        <v>299</v>
      </c>
      <c r="D3064" s="10" t="s">
        <v>300</v>
      </c>
      <c r="E3064" s="11" t="str">
        <f>+HYPERLINK("http://trademark.i-assist.jp/data/china/image_1898th/78746372.pdf", "78746372")</f>
        <v>78746372</v>
      </c>
      <c r="F3064" s="10" t="s">
        <v>8442</v>
      </c>
      <c r="G3064" s="10" t="s">
        <v>8443</v>
      </c>
      <c r="H3064" s="10" t="s">
        <v>8444</v>
      </c>
      <c r="I3064" s="10" t="s">
        <v>7848</v>
      </c>
    </row>
    <row r="3065" spans="1:9" x14ac:dyDescent="0.15">
      <c r="A3065" s="9">
        <v>3064</v>
      </c>
      <c r="B3065" s="10" t="s">
        <v>9</v>
      </c>
      <c r="C3065" s="10" t="s">
        <v>299</v>
      </c>
      <c r="D3065" s="10" t="s">
        <v>300</v>
      </c>
      <c r="E3065" s="11" t="str">
        <f>+HYPERLINK("http://trademark.i-assist.jp/data/china/image_1898th/78746477.pdf", "78746477")</f>
        <v>78746477</v>
      </c>
      <c r="F3065" s="10" t="s">
        <v>8445</v>
      </c>
      <c r="G3065" s="10" t="s">
        <v>135</v>
      </c>
      <c r="H3065" s="10" t="s">
        <v>8446</v>
      </c>
      <c r="I3065" s="10" t="s">
        <v>7848</v>
      </c>
    </row>
    <row r="3066" spans="1:9" x14ac:dyDescent="0.15">
      <c r="A3066" s="9">
        <v>3065</v>
      </c>
      <c r="B3066" s="10" t="s">
        <v>9</v>
      </c>
      <c r="C3066" s="10" t="s">
        <v>299</v>
      </c>
      <c r="D3066" s="10" t="s">
        <v>300</v>
      </c>
      <c r="E3066" s="11" t="str">
        <f>+HYPERLINK("http://trademark.i-assist.jp/data/china/image_1898th/78746548.pdf", "78746548")</f>
        <v>78746548</v>
      </c>
      <c r="F3066" s="10" t="s">
        <v>8447</v>
      </c>
      <c r="G3066" s="10" t="s">
        <v>8448</v>
      </c>
      <c r="H3066" s="10" t="s">
        <v>8449</v>
      </c>
      <c r="I3066" s="10" t="s">
        <v>7848</v>
      </c>
    </row>
    <row r="3067" spans="1:9" x14ac:dyDescent="0.15">
      <c r="A3067" s="9">
        <v>3066</v>
      </c>
      <c r="B3067" s="10" t="s">
        <v>9</v>
      </c>
      <c r="C3067" s="10" t="s">
        <v>299</v>
      </c>
      <c r="D3067" s="10" t="s">
        <v>300</v>
      </c>
      <c r="E3067" s="11" t="str">
        <f>+HYPERLINK("http://trademark.i-assist.jp/data/china/image_1898th/78746950.pdf", "78746950")</f>
        <v>78746950</v>
      </c>
      <c r="F3067" s="10" t="s">
        <v>8450</v>
      </c>
      <c r="G3067" s="10" t="s">
        <v>4923</v>
      </c>
      <c r="H3067" s="10" t="s">
        <v>8451</v>
      </c>
      <c r="I3067" s="10" t="s">
        <v>7848</v>
      </c>
    </row>
    <row r="3068" spans="1:9" x14ac:dyDescent="0.15">
      <c r="A3068" s="9">
        <v>3067</v>
      </c>
      <c r="B3068" s="10" t="s">
        <v>9</v>
      </c>
      <c r="C3068" s="10" t="s">
        <v>299</v>
      </c>
      <c r="D3068" s="10" t="s">
        <v>300</v>
      </c>
      <c r="E3068" s="11" t="str">
        <f>+HYPERLINK("http://trademark.i-assist.jp/data/china/image_1898th/78747003.pdf", "78747003")</f>
        <v>78747003</v>
      </c>
      <c r="F3068" s="10" t="s">
        <v>8452</v>
      </c>
      <c r="G3068" s="10" t="s">
        <v>8453</v>
      </c>
      <c r="H3068" s="10" t="s">
        <v>8454</v>
      </c>
      <c r="I3068" s="10" t="s">
        <v>7848</v>
      </c>
    </row>
    <row r="3069" spans="1:9" x14ac:dyDescent="0.15">
      <c r="A3069" s="9">
        <v>3068</v>
      </c>
      <c r="B3069" s="10" t="s">
        <v>9</v>
      </c>
      <c r="C3069" s="10" t="s">
        <v>299</v>
      </c>
      <c r="D3069" s="10" t="s">
        <v>300</v>
      </c>
      <c r="E3069" s="11" t="str">
        <f>+HYPERLINK("http://trademark.i-assist.jp/data/china/image_1898th/78747051.pdf", "78747051")</f>
        <v>78747051</v>
      </c>
      <c r="F3069" s="10" t="s">
        <v>8455</v>
      </c>
      <c r="G3069" s="10" t="s">
        <v>8456</v>
      </c>
      <c r="H3069" s="10" t="s">
        <v>8457</v>
      </c>
      <c r="I3069" s="10" t="s">
        <v>7848</v>
      </c>
    </row>
    <row r="3070" spans="1:9" x14ac:dyDescent="0.15">
      <c r="A3070" s="9">
        <v>3069</v>
      </c>
      <c r="B3070" s="10" t="s">
        <v>9</v>
      </c>
      <c r="C3070" s="10" t="s">
        <v>299</v>
      </c>
      <c r="D3070" s="10" t="s">
        <v>300</v>
      </c>
      <c r="E3070" s="11" t="str">
        <f>+HYPERLINK("http://trademark.i-assist.jp/data/china/image_1898th/78747324.pdf", "78747324")</f>
        <v>78747324</v>
      </c>
      <c r="F3070" s="10" t="s">
        <v>8458</v>
      </c>
      <c r="G3070" s="10" t="s">
        <v>8456</v>
      </c>
      <c r="H3070" s="10" t="s">
        <v>8459</v>
      </c>
      <c r="I3070" s="10" t="s">
        <v>7848</v>
      </c>
    </row>
    <row r="3071" spans="1:9" x14ac:dyDescent="0.15">
      <c r="A3071" s="9">
        <v>3070</v>
      </c>
      <c r="B3071" s="10" t="s">
        <v>9</v>
      </c>
      <c r="C3071" s="10" t="s">
        <v>299</v>
      </c>
      <c r="D3071" s="10" t="s">
        <v>300</v>
      </c>
      <c r="E3071" s="11" t="str">
        <f>+HYPERLINK("http://trademark.i-assist.jp/data/china/image_1898th/78747497.pdf", "78747497")</f>
        <v>78747497</v>
      </c>
      <c r="F3071" s="10" t="s">
        <v>19</v>
      </c>
      <c r="G3071" s="10" t="s">
        <v>7852</v>
      </c>
      <c r="H3071" s="10" t="s">
        <v>8460</v>
      </c>
      <c r="I3071" s="10" t="s">
        <v>7848</v>
      </c>
    </row>
    <row r="3072" spans="1:9" x14ac:dyDescent="0.15">
      <c r="A3072" s="9">
        <v>3071</v>
      </c>
      <c r="B3072" s="10" t="s">
        <v>9</v>
      </c>
      <c r="C3072" s="10" t="s">
        <v>299</v>
      </c>
      <c r="D3072" s="10" t="s">
        <v>300</v>
      </c>
      <c r="E3072" s="11" t="str">
        <f>+HYPERLINK("http://trademark.i-assist.jp/data/china/image_1898th/78747537.pdf", "78747537")</f>
        <v>78747537</v>
      </c>
      <c r="F3072" s="10" t="s">
        <v>8461</v>
      </c>
      <c r="G3072" s="10" t="s">
        <v>7885</v>
      </c>
      <c r="H3072" s="10" t="s">
        <v>8462</v>
      </c>
      <c r="I3072" s="10" t="s">
        <v>7848</v>
      </c>
    </row>
    <row r="3073" spans="1:9" x14ac:dyDescent="0.15">
      <c r="A3073" s="9">
        <v>3072</v>
      </c>
      <c r="B3073" s="10" t="s">
        <v>9</v>
      </c>
      <c r="C3073" s="10" t="s">
        <v>299</v>
      </c>
      <c r="D3073" s="10" t="s">
        <v>300</v>
      </c>
      <c r="E3073" s="11" t="str">
        <f>+HYPERLINK("http://trademark.i-assist.jp/data/china/image_1898th/78747644.pdf", "78747644")</f>
        <v>78747644</v>
      </c>
      <c r="F3073" s="10" t="s">
        <v>8463</v>
      </c>
      <c r="G3073" s="10" t="s">
        <v>8464</v>
      </c>
      <c r="H3073" s="10" t="s">
        <v>8465</v>
      </c>
      <c r="I3073" s="10" t="s">
        <v>7848</v>
      </c>
    </row>
    <row r="3074" spans="1:9" x14ac:dyDescent="0.15">
      <c r="A3074" s="9">
        <v>3073</v>
      </c>
      <c r="B3074" s="10" t="s">
        <v>9</v>
      </c>
      <c r="C3074" s="10" t="s">
        <v>299</v>
      </c>
      <c r="D3074" s="10" t="s">
        <v>300</v>
      </c>
      <c r="E3074" s="11" t="str">
        <f>+HYPERLINK("http://trademark.i-assist.jp/data/china/image_1898th/78747964.pdf", "78747964")</f>
        <v>78747964</v>
      </c>
      <c r="F3074" s="10" t="s">
        <v>8466</v>
      </c>
      <c r="G3074" s="10" t="s">
        <v>8467</v>
      </c>
      <c r="H3074" s="10" t="s">
        <v>8468</v>
      </c>
      <c r="I3074" s="10" t="s">
        <v>7848</v>
      </c>
    </row>
    <row r="3075" spans="1:9" x14ac:dyDescent="0.15">
      <c r="A3075" s="9">
        <v>3074</v>
      </c>
      <c r="B3075" s="10" t="s">
        <v>9</v>
      </c>
      <c r="C3075" s="10" t="s">
        <v>299</v>
      </c>
      <c r="D3075" s="10" t="s">
        <v>300</v>
      </c>
      <c r="E3075" s="11" t="str">
        <f>+HYPERLINK("http://trademark.i-assist.jp/data/china/image_1898th/78748006.pdf", "78748006")</f>
        <v>78748006</v>
      </c>
      <c r="F3075" s="10" t="s">
        <v>8469</v>
      </c>
      <c r="G3075" s="10" t="s">
        <v>8470</v>
      </c>
      <c r="H3075" s="10" t="s">
        <v>8471</v>
      </c>
      <c r="I3075" s="10" t="s">
        <v>7848</v>
      </c>
    </row>
    <row r="3076" spans="1:9" x14ac:dyDescent="0.15">
      <c r="A3076" s="9">
        <v>3075</v>
      </c>
      <c r="B3076" s="10" t="s">
        <v>9</v>
      </c>
      <c r="C3076" s="10" t="s">
        <v>299</v>
      </c>
      <c r="D3076" s="10" t="s">
        <v>300</v>
      </c>
      <c r="E3076" s="11" t="str">
        <f>+HYPERLINK("http://trademark.i-assist.jp/data/china/image_1898th/78748324.pdf", "78748324")</f>
        <v>78748324</v>
      </c>
      <c r="F3076" s="10" t="s">
        <v>8472</v>
      </c>
      <c r="G3076" s="10" t="s">
        <v>8473</v>
      </c>
      <c r="H3076" s="10" t="s">
        <v>8474</v>
      </c>
      <c r="I3076" s="10" t="s">
        <v>7848</v>
      </c>
    </row>
    <row r="3077" spans="1:9" x14ac:dyDescent="0.15">
      <c r="A3077" s="9">
        <v>3076</v>
      </c>
      <c r="B3077" s="10" t="s">
        <v>9</v>
      </c>
      <c r="C3077" s="10" t="s">
        <v>299</v>
      </c>
      <c r="D3077" s="10" t="s">
        <v>300</v>
      </c>
      <c r="E3077" s="11" t="str">
        <f>+HYPERLINK("http://trademark.i-assist.jp/data/china/image_1898th/78748454.pdf", "78748454")</f>
        <v>78748454</v>
      </c>
      <c r="F3077" s="10" t="s">
        <v>8475</v>
      </c>
      <c r="G3077" s="10" t="s">
        <v>8476</v>
      </c>
      <c r="H3077" s="10" t="s">
        <v>8477</v>
      </c>
      <c r="I3077" s="10" t="s">
        <v>7848</v>
      </c>
    </row>
    <row r="3078" spans="1:9" x14ac:dyDescent="0.15">
      <c r="A3078" s="9">
        <v>3077</v>
      </c>
      <c r="B3078" s="10" t="s">
        <v>9</v>
      </c>
      <c r="C3078" s="10" t="s">
        <v>299</v>
      </c>
      <c r="D3078" s="10" t="s">
        <v>300</v>
      </c>
      <c r="E3078" s="11" t="str">
        <f>+HYPERLINK("http://trademark.i-assist.jp/data/china/image_1898th/78748559.pdf", "78748559")</f>
        <v>78748559</v>
      </c>
      <c r="F3078" s="10" t="s">
        <v>8478</v>
      </c>
      <c r="G3078" s="10" t="s">
        <v>8479</v>
      </c>
      <c r="H3078" s="10" t="s">
        <v>8480</v>
      </c>
      <c r="I3078" s="10" t="s">
        <v>7848</v>
      </c>
    </row>
    <row r="3079" spans="1:9" x14ac:dyDescent="0.15">
      <c r="A3079" s="9">
        <v>3078</v>
      </c>
      <c r="B3079" s="10" t="s">
        <v>9</v>
      </c>
      <c r="C3079" s="10" t="s">
        <v>299</v>
      </c>
      <c r="D3079" s="10" t="s">
        <v>300</v>
      </c>
      <c r="E3079" s="11" t="str">
        <f>+HYPERLINK("http://trademark.i-assist.jp/data/china/image_1898th/78748630.pdf", "78748630")</f>
        <v>78748630</v>
      </c>
      <c r="F3079" s="10" t="s">
        <v>8481</v>
      </c>
      <c r="G3079" s="10" t="s">
        <v>8482</v>
      </c>
      <c r="H3079" s="10" t="s">
        <v>8483</v>
      </c>
      <c r="I3079" s="10" t="s">
        <v>7848</v>
      </c>
    </row>
    <row r="3080" spans="1:9" x14ac:dyDescent="0.15">
      <c r="A3080" s="9">
        <v>3079</v>
      </c>
      <c r="B3080" s="10" t="s">
        <v>9</v>
      </c>
      <c r="C3080" s="10" t="s">
        <v>299</v>
      </c>
      <c r="D3080" s="10" t="s">
        <v>300</v>
      </c>
      <c r="E3080" s="11" t="str">
        <f>+HYPERLINK("http://trademark.i-assist.jp/data/china/image_1898th/78748858.pdf", "78748858")</f>
        <v>78748858</v>
      </c>
      <c r="F3080" s="10" t="s">
        <v>8484</v>
      </c>
      <c r="G3080" s="10" t="s">
        <v>8485</v>
      </c>
      <c r="H3080" s="10" t="s">
        <v>8486</v>
      </c>
      <c r="I3080" s="10" t="s">
        <v>7848</v>
      </c>
    </row>
    <row r="3081" spans="1:9" x14ac:dyDescent="0.15">
      <c r="A3081" s="9">
        <v>3080</v>
      </c>
      <c r="B3081" s="10" t="s">
        <v>9</v>
      </c>
      <c r="C3081" s="10" t="s">
        <v>299</v>
      </c>
      <c r="D3081" s="10" t="s">
        <v>300</v>
      </c>
      <c r="E3081" s="11" t="str">
        <f>+HYPERLINK("http://trademark.i-assist.jp/data/china/image_1898th/78748869.pdf", "78748869")</f>
        <v>78748869</v>
      </c>
      <c r="F3081" s="10" t="s">
        <v>8487</v>
      </c>
      <c r="G3081" s="10" t="s">
        <v>8488</v>
      </c>
      <c r="H3081" s="10" t="s">
        <v>8489</v>
      </c>
      <c r="I3081" s="10" t="s">
        <v>7848</v>
      </c>
    </row>
    <row r="3082" spans="1:9" x14ac:dyDescent="0.15">
      <c r="A3082" s="9">
        <v>3081</v>
      </c>
      <c r="B3082" s="10" t="s">
        <v>9</v>
      </c>
      <c r="C3082" s="10" t="s">
        <v>299</v>
      </c>
      <c r="D3082" s="10" t="s">
        <v>300</v>
      </c>
      <c r="E3082" s="11" t="str">
        <f>+HYPERLINK("http://trademark.i-assist.jp/data/china/image_1898th/78748877.pdf", "78748877")</f>
        <v>78748877</v>
      </c>
      <c r="F3082" s="10" t="s">
        <v>8490</v>
      </c>
      <c r="G3082" s="10" t="s">
        <v>8491</v>
      </c>
      <c r="H3082" s="10" t="s">
        <v>8492</v>
      </c>
      <c r="I3082" s="10" t="s">
        <v>7848</v>
      </c>
    </row>
    <row r="3083" spans="1:9" x14ac:dyDescent="0.15">
      <c r="A3083" s="9">
        <v>3082</v>
      </c>
      <c r="B3083" s="10" t="s">
        <v>9</v>
      </c>
      <c r="C3083" s="10" t="s">
        <v>299</v>
      </c>
      <c r="D3083" s="10" t="s">
        <v>300</v>
      </c>
      <c r="E3083" s="11" t="str">
        <f>+HYPERLINK("http://trademark.i-assist.jp/data/china/image_1898th/78748928.pdf", "78748928")</f>
        <v>78748928</v>
      </c>
      <c r="F3083" s="10" t="s">
        <v>8493</v>
      </c>
      <c r="G3083" s="10" t="s">
        <v>8494</v>
      </c>
      <c r="H3083" s="10" t="s">
        <v>8495</v>
      </c>
      <c r="I3083" s="10" t="s">
        <v>7848</v>
      </c>
    </row>
    <row r="3084" spans="1:9" x14ac:dyDescent="0.15">
      <c r="A3084" s="9">
        <v>3083</v>
      </c>
      <c r="B3084" s="10" t="s">
        <v>9</v>
      </c>
      <c r="C3084" s="10" t="s">
        <v>299</v>
      </c>
      <c r="D3084" s="10" t="s">
        <v>300</v>
      </c>
      <c r="E3084" s="11" t="str">
        <f>+HYPERLINK("http://trademark.i-assist.jp/data/china/image_1898th/78749090.pdf", "78749090")</f>
        <v>78749090</v>
      </c>
      <c r="F3084" s="10" t="s">
        <v>8496</v>
      </c>
      <c r="G3084" s="10" t="s">
        <v>8497</v>
      </c>
      <c r="H3084" s="10" t="s">
        <v>8498</v>
      </c>
      <c r="I3084" s="10" t="s">
        <v>7848</v>
      </c>
    </row>
    <row r="3085" spans="1:9" x14ac:dyDescent="0.15">
      <c r="A3085" s="9">
        <v>3084</v>
      </c>
      <c r="B3085" s="10" t="s">
        <v>9</v>
      </c>
      <c r="C3085" s="10" t="s">
        <v>299</v>
      </c>
      <c r="D3085" s="10" t="s">
        <v>300</v>
      </c>
      <c r="E3085" s="11" t="str">
        <f>+HYPERLINK("http://trademark.i-assist.jp/data/china/image_1898th/78749110.pdf", "78749110")</f>
        <v>78749110</v>
      </c>
      <c r="F3085" s="10" t="s">
        <v>8499</v>
      </c>
      <c r="G3085" s="10" t="s">
        <v>8500</v>
      </c>
      <c r="H3085" s="10" t="s">
        <v>8501</v>
      </c>
      <c r="I3085" s="10" t="s">
        <v>7848</v>
      </c>
    </row>
    <row r="3086" spans="1:9" x14ac:dyDescent="0.15">
      <c r="A3086" s="9">
        <v>3085</v>
      </c>
      <c r="B3086" s="10" t="s">
        <v>9</v>
      </c>
      <c r="C3086" s="10" t="s">
        <v>299</v>
      </c>
      <c r="D3086" s="10" t="s">
        <v>300</v>
      </c>
      <c r="E3086" s="11" t="str">
        <f>+HYPERLINK("http://trademark.i-assist.jp/data/china/image_1898th/78749175.pdf", "78749175")</f>
        <v>78749175</v>
      </c>
      <c r="F3086" s="10" t="s">
        <v>8502</v>
      </c>
      <c r="G3086" s="10" t="s">
        <v>8503</v>
      </c>
      <c r="H3086" s="10" t="s">
        <v>8504</v>
      </c>
      <c r="I3086" s="10" t="s">
        <v>7848</v>
      </c>
    </row>
    <row r="3087" spans="1:9" x14ac:dyDescent="0.15">
      <c r="A3087" s="9">
        <v>3086</v>
      </c>
      <c r="B3087" s="10" t="s">
        <v>9</v>
      </c>
      <c r="C3087" s="10" t="s">
        <v>299</v>
      </c>
      <c r="D3087" s="10" t="s">
        <v>300</v>
      </c>
      <c r="E3087" s="11" t="str">
        <f>+HYPERLINK("http://trademark.i-assist.jp/data/china/image_1898th/78749290.pdf", "78749290")</f>
        <v>78749290</v>
      </c>
      <c r="F3087" s="10" t="s">
        <v>8505</v>
      </c>
      <c r="G3087" s="10" t="s">
        <v>8506</v>
      </c>
      <c r="H3087" s="10" t="s">
        <v>8507</v>
      </c>
      <c r="I3087" s="10" t="s">
        <v>7848</v>
      </c>
    </row>
    <row r="3088" spans="1:9" x14ac:dyDescent="0.15">
      <c r="A3088" s="9">
        <v>3087</v>
      </c>
      <c r="B3088" s="10" t="s">
        <v>9</v>
      </c>
      <c r="C3088" s="10" t="s">
        <v>299</v>
      </c>
      <c r="D3088" s="10" t="s">
        <v>300</v>
      </c>
      <c r="E3088" s="11" t="str">
        <f>+HYPERLINK("http://trademark.i-assist.jp/data/china/image_1898th/78749387.pdf", "78749387")</f>
        <v>78749387</v>
      </c>
      <c r="F3088" s="10" t="s">
        <v>8508</v>
      </c>
      <c r="G3088" s="10" t="s">
        <v>8509</v>
      </c>
      <c r="H3088" s="10" t="s">
        <v>8510</v>
      </c>
      <c r="I3088" s="10" t="s">
        <v>7848</v>
      </c>
    </row>
    <row r="3089" spans="1:9" x14ac:dyDescent="0.15">
      <c r="A3089" s="9">
        <v>3088</v>
      </c>
      <c r="B3089" s="10" t="s">
        <v>9</v>
      </c>
      <c r="C3089" s="10" t="s">
        <v>299</v>
      </c>
      <c r="D3089" s="10" t="s">
        <v>300</v>
      </c>
      <c r="E3089" s="11" t="str">
        <f>+HYPERLINK("http://trademark.i-assist.jp/data/china/image_1898th/78749592.pdf", "78749592")</f>
        <v>78749592</v>
      </c>
      <c r="F3089" s="10" t="s">
        <v>8511</v>
      </c>
      <c r="G3089" s="10" t="s">
        <v>8512</v>
      </c>
      <c r="H3089" s="10" t="s">
        <v>8513</v>
      </c>
      <c r="I3089" s="10" t="s">
        <v>7848</v>
      </c>
    </row>
    <row r="3090" spans="1:9" x14ac:dyDescent="0.15">
      <c r="A3090" s="9">
        <v>3089</v>
      </c>
      <c r="B3090" s="10" t="s">
        <v>9</v>
      </c>
      <c r="C3090" s="10" t="s">
        <v>299</v>
      </c>
      <c r="D3090" s="10" t="s">
        <v>300</v>
      </c>
      <c r="E3090" s="11" t="str">
        <f>+HYPERLINK("http://trademark.i-assist.jp/data/china/image_1898th/78749756.pdf", "78749756")</f>
        <v>78749756</v>
      </c>
      <c r="F3090" s="10" t="s">
        <v>8514</v>
      </c>
      <c r="G3090" s="10" t="s">
        <v>7882</v>
      </c>
      <c r="H3090" s="10" t="s">
        <v>8515</v>
      </c>
      <c r="I3090" s="10" t="s">
        <v>7848</v>
      </c>
    </row>
    <row r="3091" spans="1:9" x14ac:dyDescent="0.15">
      <c r="A3091" s="9">
        <v>3090</v>
      </c>
      <c r="B3091" s="10" t="s">
        <v>9</v>
      </c>
      <c r="C3091" s="10" t="s">
        <v>299</v>
      </c>
      <c r="D3091" s="10" t="s">
        <v>300</v>
      </c>
      <c r="E3091" s="11" t="str">
        <f>+HYPERLINK("http://trademark.i-assist.jp/data/china/image_1898th/78749784.pdf", "78749784")</f>
        <v>78749784</v>
      </c>
      <c r="F3091" s="10" t="s">
        <v>8516</v>
      </c>
      <c r="G3091" s="10" t="s">
        <v>8517</v>
      </c>
      <c r="H3091" s="10" t="s">
        <v>8518</v>
      </c>
      <c r="I3091" s="10" t="s">
        <v>7848</v>
      </c>
    </row>
    <row r="3092" spans="1:9" x14ac:dyDescent="0.15">
      <c r="A3092" s="9">
        <v>3091</v>
      </c>
      <c r="B3092" s="10" t="s">
        <v>9</v>
      </c>
      <c r="C3092" s="10" t="s">
        <v>299</v>
      </c>
      <c r="D3092" s="10" t="s">
        <v>300</v>
      </c>
      <c r="E3092" s="11" t="str">
        <f>+HYPERLINK("http://trademark.i-assist.jp/data/china/image_1898th/78750019.pdf", "78750019")</f>
        <v>78750019</v>
      </c>
      <c r="F3092" s="10" t="s">
        <v>8519</v>
      </c>
      <c r="G3092" s="10" t="s">
        <v>8520</v>
      </c>
      <c r="H3092" s="10" t="s">
        <v>8521</v>
      </c>
      <c r="I3092" s="10" t="s">
        <v>7848</v>
      </c>
    </row>
    <row r="3093" spans="1:9" x14ac:dyDescent="0.15">
      <c r="A3093" s="9">
        <v>3092</v>
      </c>
      <c r="B3093" s="10" t="s">
        <v>9</v>
      </c>
      <c r="C3093" s="10" t="s">
        <v>299</v>
      </c>
      <c r="D3093" s="10" t="s">
        <v>300</v>
      </c>
      <c r="E3093" s="11" t="str">
        <f>+HYPERLINK("http://trademark.i-assist.jp/data/china/image_1898th/78750162.pdf", "78750162")</f>
        <v>78750162</v>
      </c>
      <c r="F3093" s="10" t="s">
        <v>8522</v>
      </c>
      <c r="G3093" s="10" t="s">
        <v>8523</v>
      </c>
      <c r="H3093" s="10" t="s">
        <v>8524</v>
      </c>
      <c r="I3093" s="10" t="s">
        <v>7848</v>
      </c>
    </row>
    <row r="3094" spans="1:9" x14ac:dyDescent="0.15">
      <c r="A3094" s="9">
        <v>3093</v>
      </c>
      <c r="B3094" s="10" t="s">
        <v>9</v>
      </c>
      <c r="C3094" s="10" t="s">
        <v>299</v>
      </c>
      <c r="D3094" s="10" t="s">
        <v>300</v>
      </c>
      <c r="E3094" s="11" t="str">
        <f>+HYPERLINK("http://trademark.i-assist.jp/data/china/image_1898th/78750273.pdf", "78750273")</f>
        <v>78750273</v>
      </c>
      <c r="F3094" s="10" t="s">
        <v>8525</v>
      </c>
      <c r="G3094" s="10" t="s">
        <v>8526</v>
      </c>
      <c r="H3094" s="10" t="s">
        <v>8527</v>
      </c>
      <c r="I3094" s="10" t="s">
        <v>7848</v>
      </c>
    </row>
    <row r="3095" spans="1:9" x14ac:dyDescent="0.15">
      <c r="A3095" s="9">
        <v>3094</v>
      </c>
      <c r="B3095" s="10" t="s">
        <v>9</v>
      </c>
      <c r="C3095" s="10" t="s">
        <v>299</v>
      </c>
      <c r="D3095" s="10" t="s">
        <v>300</v>
      </c>
      <c r="E3095" s="11" t="str">
        <f>+HYPERLINK("http://trademark.i-assist.jp/data/china/image_1898th/78750317.pdf", "78750317")</f>
        <v>78750317</v>
      </c>
      <c r="F3095" s="10" t="s">
        <v>8528</v>
      </c>
      <c r="G3095" s="10" t="s">
        <v>8456</v>
      </c>
      <c r="H3095" s="10" t="s">
        <v>8529</v>
      </c>
      <c r="I3095" s="10" t="s">
        <v>7848</v>
      </c>
    </row>
    <row r="3096" spans="1:9" x14ac:dyDescent="0.15">
      <c r="A3096" s="9">
        <v>3095</v>
      </c>
      <c r="B3096" s="10" t="s">
        <v>9</v>
      </c>
      <c r="C3096" s="10" t="s">
        <v>299</v>
      </c>
      <c r="D3096" s="10" t="s">
        <v>300</v>
      </c>
      <c r="E3096" s="11" t="str">
        <f>+HYPERLINK("http://trademark.i-assist.jp/data/china/image_1898th/78750337.pdf", "78750337")</f>
        <v>78750337</v>
      </c>
      <c r="F3096" s="10" t="s">
        <v>8530</v>
      </c>
      <c r="G3096" s="10" t="s">
        <v>8531</v>
      </c>
      <c r="H3096" s="10" t="s">
        <v>8532</v>
      </c>
      <c r="I3096" s="10" t="s">
        <v>7848</v>
      </c>
    </row>
    <row r="3097" spans="1:9" x14ac:dyDescent="0.15">
      <c r="A3097" s="9">
        <v>3096</v>
      </c>
      <c r="B3097" s="10" t="s">
        <v>9</v>
      </c>
      <c r="C3097" s="10" t="s">
        <v>299</v>
      </c>
      <c r="D3097" s="10" t="s">
        <v>300</v>
      </c>
      <c r="E3097" s="11" t="str">
        <f>+HYPERLINK("http://trademark.i-assist.jp/data/china/image_1898th/78750365.pdf", "78750365")</f>
        <v>78750365</v>
      </c>
      <c r="F3097" s="10" t="s">
        <v>8533</v>
      </c>
      <c r="G3097" s="10" t="s">
        <v>8456</v>
      </c>
      <c r="H3097" s="10" t="s">
        <v>8534</v>
      </c>
      <c r="I3097" s="10" t="s">
        <v>7848</v>
      </c>
    </row>
    <row r="3098" spans="1:9" x14ac:dyDescent="0.15">
      <c r="A3098" s="9">
        <v>3097</v>
      </c>
      <c r="B3098" s="10" t="s">
        <v>9</v>
      </c>
      <c r="C3098" s="10" t="s">
        <v>299</v>
      </c>
      <c r="D3098" s="10" t="s">
        <v>300</v>
      </c>
      <c r="E3098" s="11" t="str">
        <f>+HYPERLINK("http://trademark.i-assist.jp/data/china/image_1898th/78750921.pdf", "78750921")</f>
        <v>78750921</v>
      </c>
      <c r="F3098" s="10" t="s">
        <v>8535</v>
      </c>
      <c r="G3098" s="10" t="s">
        <v>8536</v>
      </c>
      <c r="H3098" s="10" t="s">
        <v>8537</v>
      </c>
      <c r="I3098" s="10" t="s">
        <v>7848</v>
      </c>
    </row>
    <row r="3099" spans="1:9" x14ac:dyDescent="0.15">
      <c r="A3099" s="9">
        <v>3098</v>
      </c>
      <c r="B3099" s="10" t="s">
        <v>9</v>
      </c>
      <c r="C3099" s="10" t="s">
        <v>299</v>
      </c>
      <c r="D3099" s="10" t="s">
        <v>300</v>
      </c>
      <c r="E3099" s="11" t="str">
        <f>+HYPERLINK("http://trademark.i-assist.jp/data/china/image_1898th/78751256.pdf", "78751256")</f>
        <v>78751256</v>
      </c>
      <c r="F3099" s="10" t="s">
        <v>8538</v>
      </c>
      <c r="G3099" s="10" t="s">
        <v>8539</v>
      </c>
      <c r="H3099" s="10" t="s">
        <v>8540</v>
      </c>
      <c r="I3099" s="10" t="s">
        <v>7848</v>
      </c>
    </row>
    <row r="3100" spans="1:9" x14ac:dyDescent="0.15">
      <c r="A3100" s="9">
        <v>3099</v>
      </c>
      <c r="B3100" s="10" t="s">
        <v>9</v>
      </c>
      <c r="C3100" s="10" t="s">
        <v>299</v>
      </c>
      <c r="D3100" s="10" t="s">
        <v>300</v>
      </c>
      <c r="E3100" s="11" t="str">
        <f>+HYPERLINK("http://trademark.i-assist.jp/data/china/image_1898th/78751265.pdf", "78751265")</f>
        <v>78751265</v>
      </c>
      <c r="F3100" s="10" t="s">
        <v>8541</v>
      </c>
      <c r="G3100" s="10" t="s">
        <v>8542</v>
      </c>
      <c r="H3100" s="10" t="s">
        <v>8543</v>
      </c>
      <c r="I3100" s="10" t="s">
        <v>7848</v>
      </c>
    </row>
    <row r="3101" spans="1:9" x14ac:dyDescent="0.15">
      <c r="A3101" s="9">
        <v>3100</v>
      </c>
      <c r="B3101" s="10" t="s">
        <v>9</v>
      </c>
      <c r="C3101" s="10" t="s">
        <v>299</v>
      </c>
      <c r="D3101" s="10" t="s">
        <v>300</v>
      </c>
      <c r="E3101" s="11" t="str">
        <f>+HYPERLINK("http://trademark.i-assist.jp/data/china/image_1898th/78751596.pdf", "78751596")</f>
        <v>78751596</v>
      </c>
      <c r="F3101" s="10" t="s">
        <v>8544</v>
      </c>
      <c r="G3101" s="10" t="s">
        <v>8456</v>
      </c>
      <c r="H3101" s="10" t="s">
        <v>8545</v>
      </c>
      <c r="I3101" s="10" t="s">
        <v>7848</v>
      </c>
    </row>
    <row r="3102" spans="1:9" x14ac:dyDescent="0.15">
      <c r="A3102" s="9">
        <v>3101</v>
      </c>
      <c r="B3102" s="10" t="s">
        <v>9</v>
      </c>
      <c r="C3102" s="10" t="s">
        <v>299</v>
      </c>
      <c r="D3102" s="10" t="s">
        <v>300</v>
      </c>
      <c r="E3102" s="11" t="str">
        <f>+HYPERLINK("http://trademark.i-assist.jp/data/china/image_1898th/78751959.pdf", "78751959")</f>
        <v>78751959</v>
      </c>
      <c r="F3102" s="10" t="s">
        <v>8546</v>
      </c>
      <c r="G3102" s="10" t="s">
        <v>8547</v>
      </c>
      <c r="H3102" s="10" t="s">
        <v>8548</v>
      </c>
      <c r="I3102" s="10" t="s">
        <v>7848</v>
      </c>
    </row>
    <row r="3103" spans="1:9" x14ac:dyDescent="0.15">
      <c r="A3103" s="9">
        <v>3102</v>
      </c>
      <c r="B3103" s="10" t="s">
        <v>9</v>
      </c>
      <c r="C3103" s="10" t="s">
        <v>299</v>
      </c>
      <c r="D3103" s="10" t="s">
        <v>300</v>
      </c>
      <c r="E3103" s="11" t="str">
        <f>+HYPERLINK("http://trademark.i-assist.jp/data/china/image_1898th/78752129.pdf", "78752129")</f>
        <v>78752129</v>
      </c>
      <c r="F3103" s="10" t="s">
        <v>8549</v>
      </c>
      <c r="G3103" s="10" t="s">
        <v>8550</v>
      </c>
      <c r="H3103" s="10" t="s">
        <v>8551</v>
      </c>
      <c r="I3103" s="10" t="s">
        <v>7848</v>
      </c>
    </row>
    <row r="3104" spans="1:9" x14ac:dyDescent="0.15">
      <c r="A3104" s="9">
        <v>3103</v>
      </c>
      <c r="B3104" s="10" t="s">
        <v>9</v>
      </c>
      <c r="C3104" s="10" t="s">
        <v>299</v>
      </c>
      <c r="D3104" s="10" t="s">
        <v>300</v>
      </c>
      <c r="E3104" s="11" t="str">
        <f>+HYPERLINK("http://trademark.i-assist.jp/data/china/image_1898th/78752610.pdf", "78752610")</f>
        <v>78752610</v>
      </c>
      <c r="F3104" s="10" t="s">
        <v>8552</v>
      </c>
      <c r="G3104" s="10" t="s">
        <v>8553</v>
      </c>
      <c r="H3104" s="10" t="s">
        <v>8554</v>
      </c>
      <c r="I3104" s="10" t="s">
        <v>7848</v>
      </c>
    </row>
    <row r="3105" spans="1:9" x14ac:dyDescent="0.15">
      <c r="A3105" s="9">
        <v>3104</v>
      </c>
      <c r="B3105" s="10" t="s">
        <v>9</v>
      </c>
      <c r="C3105" s="10" t="s">
        <v>299</v>
      </c>
      <c r="D3105" s="10" t="s">
        <v>300</v>
      </c>
      <c r="E3105" s="11" t="str">
        <f>+HYPERLINK("http://trademark.i-assist.jp/data/china/image_1898th/78752618.pdf", "78752618")</f>
        <v>78752618</v>
      </c>
      <c r="F3105" s="10" t="s">
        <v>8555</v>
      </c>
      <c r="G3105" s="10" t="s">
        <v>5593</v>
      </c>
      <c r="H3105" s="10" t="s">
        <v>8556</v>
      </c>
      <c r="I3105" s="10" t="s">
        <v>7848</v>
      </c>
    </row>
    <row r="3106" spans="1:9" x14ac:dyDescent="0.15">
      <c r="A3106" s="9">
        <v>3105</v>
      </c>
      <c r="B3106" s="10" t="s">
        <v>9</v>
      </c>
      <c r="C3106" s="10" t="s">
        <v>299</v>
      </c>
      <c r="D3106" s="10" t="s">
        <v>300</v>
      </c>
      <c r="E3106" s="11" t="str">
        <f>+HYPERLINK("http://trademark.i-assist.jp/data/china/image_1898th/78752656.pdf", "78752656")</f>
        <v>78752656</v>
      </c>
      <c r="F3106" s="10" t="s">
        <v>7846</v>
      </c>
      <c r="G3106" s="10" t="s">
        <v>7847</v>
      </c>
      <c r="H3106" s="10" t="s">
        <v>34</v>
      </c>
      <c r="I3106" s="10" t="s">
        <v>7848</v>
      </c>
    </row>
    <row r="3107" spans="1:9" x14ac:dyDescent="0.15">
      <c r="A3107" s="9">
        <v>3106</v>
      </c>
      <c r="B3107" s="10" t="s">
        <v>9</v>
      </c>
      <c r="C3107" s="10" t="s">
        <v>299</v>
      </c>
      <c r="D3107" s="10" t="s">
        <v>300</v>
      </c>
      <c r="E3107" s="11" t="str">
        <f>+HYPERLINK("http://trademark.i-assist.jp/data/china/image_1898th/78752736.pdf", "78752736")</f>
        <v>78752736</v>
      </c>
      <c r="F3107" s="10" t="s">
        <v>7849</v>
      </c>
      <c r="G3107" s="10" t="s">
        <v>7850</v>
      </c>
      <c r="H3107" s="10" t="s">
        <v>7851</v>
      </c>
      <c r="I3107" s="10" t="s">
        <v>7848</v>
      </c>
    </row>
    <row r="3108" spans="1:9" x14ac:dyDescent="0.15">
      <c r="A3108" s="9">
        <v>3107</v>
      </c>
      <c r="B3108" s="10" t="s">
        <v>9</v>
      </c>
      <c r="C3108" s="10" t="s">
        <v>299</v>
      </c>
      <c r="D3108" s="10" t="s">
        <v>300</v>
      </c>
      <c r="E3108" s="11" t="str">
        <f>+HYPERLINK("http://trademark.i-assist.jp/data/china/image_1898th/78753066.pdf", "78753066")</f>
        <v>78753066</v>
      </c>
      <c r="F3108" s="10" t="s">
        <v>19</v>
      </c>
      <c r="G3108" s="10" t="s">
        <v>7852</v>
      </c>
      <c r="H3108" s="10" t="s">
        <v>7853</v>
      </c>
      <c r="I3108" s="10" t="s">
        <v>7848</v>
      </c>
    </row>
    <row r="3109" spans="1:9" x14ac:dyDescent="0.15">
      <c r="A3109" s="9">
        <v>3108</v>
      </c>
      <c r="B3109" s="10" t="s">
        <v>9</v>
      </c>
      <c r="C3109" s="10" t="s">
        <v>299</v>
      </c>
      <c r="D3109" s="10" t="s">
        <v>300</v>
      </c>
      <c r="E3109" s="11" t="str">
        <f>+HYPERLINK("http://trademark.i-assist.jp/data/china/image_1898th/78753141.pdf", "78753141")</f>
        <v>78753141</v>
      </c>
      <c r="F3109" s="10" t="s">
        <v>7854</v>
      </c>
      <c r="G3109" s="10" t="s">
        <v>7855</v>
      </c>
      <c r="H3109" s="10" t="s">
        <v>7856</v>
      </c>
      <c r="I3109" s="10" t="s">
        <v>7848</v>
      </c>
    </row>
    <row r="3110" spans="1:9" x14ac:dyDescent="0.15">
      <c r="A3110" s="9">
        <v>3109</v>
      </c>
      <c r="B3110" s="10" t="s">
        <v>9</v>
      </c>
      <c r="C3110" s="10" t="s">
        <v>299</v>
      </c>
      <c r="D3110" s="10" t="s">
        <v>300</v>
      </c>
      <c r="E3110" s="11" t="str">
        <f>+HYPERLINK("http://trademark.i-assist.jp/data/china/image_1898th/78753283.pdf", "78753283")</f>
        <v>78753283</v>
      </c>
      <c r="F3110" s="10" t="s">
        <v>7857</v>
      </c>
      <c r="G3110" s="10" t="s">
        <v>7858</v>
      </c>
      <c r="H3110" s="10" t="s">
        <v>7859</v>
      </c>
      <c r="I3110" s="10" t="s">
        <v>7848</v>
      </c>
    </row>
    <row r="3111" spans="1:9" x14ac:dyDescent="0.15">
      <c r="A3111" s="9">
        <v>3110</v>
      </c>
      <c r="B3111" s="10" t="s">
        <v>9</v>
      </c>
      <c r="C3111" s="10" t="s">
        <v>299</v>
      </c>
      <c r="D3111" s="10" t="s">
        <v>300</v>
      </c>
      <c r="E3111" s="11" t="str">
        <f>+HYPERLINK("http://trademark.i-assist.jp/data/china/image_1898th/78753438.pdf", "78753438")</f>
        <v>78753438</v>
      </c>
      <c r="F3111" s="10" t="s">
        <v>7860</v>
      </c>
      <c r="G3111" s="10" t="s">
        <v>7861</v>
      </c>
      <c r="H3111" s="10" t="s">
        <v>7862</v>
      </c>
      <c r="I3111" s="10" t="s">
        <v>7848</v>
      </c>
    </row>
    <row r="3112" spans="1:9" x14ac:dyDescent="0.15">
      <c r="A3112" s="9">
        <v>3111</v>
      </c>
      <c r="B3112" s="10" t="s">
        <v>9</v>
      </c>
      <c r="C3112" s="10" t="s">
        <v>299</v>
      </c>
      <c r="D3112" s="10" t="s">
        <v>300</v>
      </c>
      <c r="E3112" s="11" t="str">
        <f>+HYPERLINK("http://trademark.i-assist.jp/data/china/image_1898th/78753563.pdf", "78753563")</f>
        <v>78753563</v>
      </c>
      <c r="F3112" s="10" t="s">
        <v>7863</v>
      </c>
      <c r="G3112" s="10" t="s">
        <v>3192</v>
      </c>
      <c r="H3112" s="10" t="s">
        <v>7864</v>
      </c>
      <c r="I3112" s="10" t="s">
        <v>7848</v>
      </c>
    </row>
    <row r="3113" spans="1:9" x14ac:dyDescent="0.15">
      <c r="A3113" s="9">
        <v>3112</v>
      </c>
      <c r="B3113" s="10" t="s">
        <v>9</v>
      </c>
      <c r="C3113" s="10" t="s">
        <v>299</v>
      </c>
      <c r="D3113" s="10" t="s">
        <v>300</v>
      </c>
      <c r="E3113" s="11" t="str">
        <f>+HYPERLINK("http://trademark.i-assist.jp/data/china/image_1898th/78753574.pdf", "78753574")</f>
        <v>78753574</v>
      </c>
      <c r="F3113" s="10" t="s">
        <v>7865</v>
      </c>
      <c r="G3113" s="10" t="s">
        <v>7866</v>
      </c>
      <c r="H3113" s="10" t="s">
        <v>7867</v>
      </c>
      <c r="I3113" s="10" t="s">
        <v>7848</v>
      </c>
    </row>
    <row r="3114" spans="1:9" x14ac:dyDescent="0.15">
      <c r="A3114" s="9">
        <v>3113</v>
      </c>
      <c r="B3114" s="10" t="s">
        <v>9</v>
      </c>
      <c r="C3114" s="10" t="s">
        <v>299</v>
      </c>
      <c r="D3114" s="10" t="s">
        <v>300</v>
      </c>
      <c r="E3114" s="11" t="str">
        <f>+HYPERLINK("http://trademark.i-assist.jp/data/china/image_1898th/78753916.pdf", "78753916")</f>
        <v>78753916</v>
      </c>
      <c r="F3114" s="10" t="s">
        <v>7868</v>
      </c>
      <c r="G3114" s="10" t="s">
        <v>7869</v>
      </c>
      <c r="H3114" s="10" t="s">
        <v>7870</v>
      </c>
      <c r="I3114" s="10" t="s">
        <v>7848</v>
      </c>
    </row>
    <row r="3115" spans="1:9" x14ac:dyDescent="0.15">
      <c r="A3115" s="9">
        <v>3114</v>
      </c>
      <c r="B3115" s="10" t="s">
        <v>9</v>
      </c>
      <c r="C3115" s="10" t="s">
        <v>299</v>
      </c>
      <c r="D3115" s="10" t="s">
        <v>300</v>
      </c>
      <c r="E3115" s="11" t="str">
        <f>+HYPERLINK("http://trademark.i-assist.jp/data/china/image_1898th/78753951.pdf", "78753951")</f>
        <v>78753951</v>
      </c>
      <c r="F3115" s="10" t="s">
        <v>7871</v>
      </c>
      <c r="G3115" s="10" t="s">
        <v>5593</v>
      </c>
      <c r="H3115" s="10" t="s">
        <v>7872</v>
      </c>
      <c r="I3115" s="10" t="s">
        <v>7848</v>
      </c>
    </row>
    <row r="3116" spans="1:9" x14ac:dyDescent="0.15">
      <c r="A3116" s="9">
        <v>3115</v>
      </c>
      <c r="B3116" s="10" t="s">
        <v>9</v>
      </c>
      <c r="C3116" s="10" t="s">
        <v>299</v>
      </c>
      <c r="D3116" s="10" t="s">
        <v>300</v>
      </c>
      <c r="E3116" s="11" t="str">
        <f>+HYPERLINK("http://trademark.i-assist.jp/data/china/image_1898th/78754058.pdf", "78754058")</f>
        <v>78754058</v>
      </c>
      <c r="F3116" s="10" t="s">
        <v>7873</v>
      </c>
      <c r="G3116" s="10" t="s">
        <v>7874</v>
      </c>
      <c r="H3116" s="10" t="s">
        <v>7875</v>
      </c>
      <c r="I3116" s="10" t="s">
        <v>7848</v>
      </c>
    </row>
    <row r="3117" spans="1:9" x14ac:dyDescent="0.15">
      <c r="A3117" s="9">
        <v>3116</v>
      </c>
      <c r="B3117" s="10" t="s">
        <v>9</v>
      </c>
      <c r="C3117" s="10" t="s">
        <v>299</v>
      </c>
      <c r="D3117" s="10" t="s">
        <v>300</v>
      </c>
      <c r="E3117" s="11" t="str">
        <f>+HYPERLINK("http://trademark.i-assist.jp/data/china/image_1898th/78754172.pdf", "78754172")</f>
        <v>78754172</v>
      </c>
      <c r="F3117" s="10" t="s">
        <v>7876</v>
      </c>
      <c r="G3117" s="10" t="s">
        <v>7877</v>
      </c>
      <c r="H3117" s="10" t="s">
        <v>7878</v>
      </c>
      <c r="I3117" s="10" t="s">
        <v>7848</v>
      </c>
    </row>
    <row r="3118" spans="1:9" x14ac:dyDescent="0.15">
      <c r="A3118" s="9">
        <v>3117</v>
      </c>
      <c r="B3118" s="10" t="s">
        <v>9</v>
      </c>
      <c r="C3118" s="10" t="s">
        <v>299</v>
      </c>
      <c r="D3118" s="10" t="s">
        <v>300</v>
      </c>
      <c r="E3118" s="11" t="str">
        <f>+HYPERLINK("http://trademark.i-assist.jp/data/china/image_1898th/78754518.pdf", "78754518")</f>
        <v>78754518</v>
      </c>
      <c r="F3118" s="10" t="s">
        <v>7879</v>
      </c>
      <c r="G3118" s="10" t="s">
        <v>207</v>
      </c>
      <c r="H3118" s="10" t="s">
        <v>7880</v>
      </c>
      <c r="I3118" s="10" t="s">
        <v>7848</v>
      </c>
    </row>
    <row r="3119" spans="1:9" x14ac:dyDescent="0.15">
      <c r="A3119" s="9">
        <v>3118</v>
      </c>
      <c r="B3119" s="10" t="s">
        <v>9</v>
      </c>
      <c r="C3119" s="10" t="s">
        <v>299</v>
      </c>
      <c r="D3119" s="10" t="s">
        <v>300</v>
      </c>
      <c r="E3119" s="11" t="str">
        <f>+HYPERLINK("http://trademark.i-assist.jp/data/china/image_1898th/78754826.pdf", "78754826")</f>
        <v>78754826</v>
      </c>
      <c r="F3119" s="10" t="s">
        <v>7881</v>
      </c>
      <c r="G3119" s="10" t="s">
        <v>7882</v>
      </c>
      <c r="H3119" s="10" t="s">
        <v>7883</v>
      </c>
      <c r="I3119" s="10" t="s">
        <v>7848</v>
      </c>
    </row>
    <row r="3120" spans="1:9" x14ac:dyDescent="0.15">
      <c r="A3120" s="9">
        <v>3119</v>
      </c>
      <c r="B3120" s="10" t="s">
        <v>9</v>
      </c>
      <c r="C3120" s="10" t="s">
        <v>299</v>
      </c>
      <c r="D3120" s="10" t="s">
        <v>300</v>
      </c>
      <c r="E3120" s="11" t="str">
        <f>+HYPERLINK("http://trademark.i-assist.jp/data/china/image_1898th/78754836.pdf", "78754836")</f>
        <v>78754836</v>
      </c>
      <c r="F3120" s="10" t="s">
        <v>7884</v>
      </c>
      <c r="G3120" s="10" t="s">
        <v>7885</v>
      </c>
      <c r="H3120" s="10" t="s">
        <v>7886</v>
      </c>
      <c r="I3120" s="10" t="s">
        <v>7848</v>
      </c>
    </row>
    <row r="3121" spans="1:9" x14ac:dyDescent="0.15">
      <c r="A3121" s="9">
        <v>3120</v>
      </c>
      <c r="B3121" s="10" t="s">
        <v>9</v>
      </c>
      <c r="C3121" s="10" t="s">
        <v>299</v>
      </c>
      <c r="D3121" s="10" t="s">
        <v>300</v>
      </c>
      <c r="E3121" s="11" t="str">
        <f>+HYPERLINK("http://trademark.i-assist.jp/data/china/image_1898th/78755550.pdf", "78755550")</f>
        <v>78755550</v>
      </c>
      <c r="F3121" s="10" t="s">
        <v>8557</v>
      </c>
      <c r="G3121" s="10" t="s">
        <v>8558</v>
      </c>
      <c r="H3121" s="10" t="s">
        <v>8559</v>
      </c>
      <c r="I3121" s="10" t="s">
        <v>7848</v>
      </c>
    </row>
    <row r="3122" spans="1:9" x14ac:dyDescent="0.15">
      <c r="A3122" s="9">
        <v>3121</v>
      </c>
      <c r="B3122" s="10" t="s">
        <v>9</v>
      </c>
      <c r="C3122" s="10" t="s">
        <v>299</v>
      </c>
      <c r="D3122" s="10" t="s">
        <v>300</v>
      </c>
      <c r="E3122" s="11" t="str">
        <f>+HYPERLINK("http://trademark.i-assist.jp/data/china/image_1898th/78755761.pdf", "78755761")</f>
        <v>78755761</v>
      </c>
      <c r="F3122" s="10" t="s">
        <v>8560</v>
      </c>
      <c r="G3122" s="10" t="s">
        <v>8561</v>
      </c>
      <c r="H3122" s="10" t="s">
        <v>8562</v>
      </c>
      <c r="I3122" s="10" t="s">
        <v>7848</v>
      </c>
    </row>
    <row r="3123" spans="1:9" x14ac:dyDescent="0.15">
      <c r="A3123" s="9">
        <v>3122</v>
      </c>
      <c r="B3123" s="10" t="s">
        <v>9</v>
      </c>
      <c r="C3123" s="10" t="s">
        <v>299</v>
      </c>
      <c r="D3123" s="10" t="s">
        <v>300</v>
      </c>
      <c r="E3123" s="11" t="str">
        <f>+HYPERLINK("http://trademark.i-assist.jp/data/china/image_1898th/78755916.pdf", "78755916")</f>
        <v>78755916</v>
      </c>
      <c r="F3123" s="10" t="s">
        <v>8563</v>
      </c>
      <c r="G3123" s="10" t="s">
        <v>8564</v>
      </c>
      <c r="H3123" s="10" t="s">
        <v>8565</v>
      </c>
      <c r="I3123" s="10" t="s">
        <v>7848</v>
      </c>
    </row>
    <row r="3124" spans="1:9" x14ac:dyDescent="0.15">
      <c r="A3124" s="9">
        <v>3123</v>
      </c>
      <c r="B3124" s="10" t="s">
        <v>9</v>
      </c>
      <c r="C3124" s="10" t="s">
        <v>299</v>
      </c>
      <c r="D3124" s="10" t="s">
        <v>300</v>
      </c>
      <c r="E3124" s="11" t="str">
        <f>+HYPERLINK("http://trademark.i-assist.jp/data/china/image_1898th/78756186.pdf", "78756186")</f>
        <v>78756186</v>
      </c>
      <c r="F3124" s="10" t="s">
        <v>8566</v>
      </c>
      <c r="G3124" s="10" t="s">
        <v>8567</v>
      </c>
      <c r="H3124" s="10" t="s">
        <v>8568</v>
      </c>
      <c r="I3124" s="10" t="s">
        <v>7848</v>
      </c>
    </row>
    <row r="3125" spans="1:9" x14ac:dyDescent="0.15">
      <c r="A3125" s="9">
        <v>3124</v>
      </c>
      <c r="B3125" s="10" t="s">
        <v>9</v>
      </c>
      <c r="C3125" s="10" t="s">
        <v>299</v>
      </c>
      <c r="D3125" s="10" t="s">
        <v>300</v>
      </c>
      <c r="E3125" s="11" t="str">
        <f>+HYPERLINK("http://trademark.i-assist.jp/data/china/image_1898th/78756774.pdf", "78756774")</f>
        <v>78756774</v>
      </c>
      <c r="F3125" s="10" t="s">
        <v>8569</v>
      </c>
      <c r="G3125" s="10" t="s">
        <v>8570</v>
      </c>
      <c r="H3125" s="10" t="s">
        <v>8571</v>
      </c>
      <c r="I3125" s="10" t="s">
        <v>7848</v>
      </c>
    </row>
    <row r="3126" spans="1:9" x14ac:dyDescent="0.15">
      <c r="A3126" s="9">
        <v>3125</v>
      </c>
      <c r="B3126" s="10" t="s">
        <v>9</v>
      </c>
      <c r="C3126" s="10" t="s">
        <v>299</v>
      </c>
      <c r="D3126" s="10" t="s">
        <v>300</v>
      </c>
      <c r="E3126" s="11" t="str">
        <f>+HYPERLINK("http://trademark.i-assist.jp/data/china/image_1898th/78756893.pdf", "78756893")</f>
        <v>78756893</v>
      </c>
      <c r="F3126" s="10" t="s">
        <v>8572</v>
      </c>
      <c r="G3126" s="10" t="s">
        <v>8573</v>
      </c>
      <c r="H3126" s="10" t="s">
        <v>8574</v>
      </c>
      <c r="I3126" s="10" t="s">
        <v>7848</v>
      </c>
    </row>
    <row r="3127" spans="1:9" x14ac:dyDescent="0.15">
      <c r="A3127" s="9">
        <v>3126</v>
      </c>
      <c r="B3127" s="10" t="s">
        <v>9</v>
      </c>
      <c r="C3127" s="10" t="s">
        <v>299</v>
      </c>
      <c r="D3127" s="10" t="s">
        <v>300</v>
      </c>
      <c r="E3127" s="11" t="str">
        <f>+HYPERLINK("http://trademark.i-assist.jp/data/china/image_1898th/78757321.pdf", "78757321")</f>
        <v>78757321</v>
      </c>
      <c r="F3127" s="10" t="s">
        <v>19</v>
      </c>
      <c r="G3127" s="10" t="s">
        <v>7852</v>
      </c>
      <c r="H3127" s="10" t="s">
        <v>8575</v>
      </c>
      <c r="I3127" s="10" t="s">
        <v>7848</v>
      </c>
    </row>
    <row r="3128" spans="1:9" x14ac:dyDescent="0.15">
      <c r="A3128" s="9">
        <v>3127</v>
      </c>
      <c r="B3128" s="10" t="s">
        <v>9</v>
      </c>
      <c r="C3128" s="10" t="s">
        <v>299</v>
      </c>
      <c r="D3128" s="10" t="s">
        <v>300</v>
      </c>
      <c r="E3128" s="11" t="str">
        <f>+HYPERLINK("http://trademark.i-assist.jp/data/china/image_1898th/78757345.pdf", "78757345")</f>
        <v>78757345</v>
      </c>
      <c r="F3128" s="10" t="s">
        <v>8576</v>
      </c>
      <c r="G3128" s="10" t="s">
        <v>8577</v>
      </c>
      <c r="H3128" s="10" t="s">
        <v>8578</v>
      </c>
      <c r="I3128" s="10" t="s">
        <v>7848</v>
      </c>
    </row>
    <row r="3129" spans="1:9" x14ac:dyDescent="0.15">
      <c r="A3129" s="9">
        <v>3128</v>
      </c>
      <c r="B3129" s="10" t="s">
        <v>9</v>
      </c>
      <c r="C3129" s="10" t="s">
        <v>299</v>
      </c>
      <c r="D3129" s="10" t="s">
        <v>300</v>
      </c>
      <c r="E3129" s="11" t="str">
        <f>+HYPERLINK("http://trademark.i-assist.jp/data/china/image_1898th/78757432.pdf", "78757432")</f>
        <v>78757432</v>
      </c>
      <c r="F3129" s="10" t="s">
        <v>8579</v>
      </c>
      <c r="G3129" s="10" t="s">
        <v>8580</v>
      </c>
      <c r="H3129" s="10" t="s">
        <v>8581</v>
      </c>
      <c r="I3129" s="10" t="s">
        <v>7848</v>
      </c>
    </row>
    <row r="3130" spans="1:9" x14ac:dyDescent="0.15">
      <c r="A3130" s="9">
        <v>3129</v>
      </c>
      <c r="B3130" s="10" t="s">
        <v>9</v>
      </c>
      <c r="C3130" s="10" t="s">
        <v>299</v>
      </c>
      <c r="D3130" s="10" t="s">
        <v>300</v>
      </c>
      <c r="E3130" s="11" t="str">
        <f>+HYPERLINK("http://trademark.i-assist.jp/data/china/image_1898th/78757739.pdf", "78757739")</f>
        <v>78757739</v>
      </c>
      <c r="F3130" s="10" t="s">
        <v>8582</v>
      </c>
      <c r="G3130" s="10" t="s">
        <v>8583</v>
      </c>
      <c r="H3130" s="10" t="s">
        <v>8584</v>
      </c>
      <c r="I3130" s="10" t="s">
        <v>7848</v>
      </c>
    </row>
    <row r="3131" spans="1:9" x14ac:dyDescent="0.15">
      <c r="A3131" s="9">
        <v>3130</v>
      </c>
      <c r="B3131" s="10" t="s">
        <v>9</v>
      </c>
      <c r="C3131" s="10" t="s">
        <v>299</v>
      </c>
      <c r="D3131" s="10" t="s">
        <v>300</v>
      </c>
      <c r="E3131" s="11" t="str">
        <f>+HYPERLINK("http://trademark.i-assist.jp/data/china/image_1898th/78757762.pdf", "78757762")</f>
        <v>78757762</v>
      </c>
      <c r="F3131" s="10" t="s">
        <v>8585</v>
      </c>
      <c r="G3131" s="10" t="s">
        <v>8586</v>
      </c>
      <c r="H3131" s="10" t="s">
        <v>8587</v>
      </c>
      <c r="I3131" s="10" t="s">
        <v>7848</v>
      </c>
    </row>
    <row r="3132" spans="1:9" x14ac:dyDescent="0.15">
      <c r="A3132" s="9">
        <v>3131</v>
      </c>
      <c r="B3132" s="10" t="s">
        <v>9</v>
      </c>
      <c r="C3132" s="10" t="s">
        <v>299</v>
      </c>
      <c r="D3132" s="10" t="s">
        <v>300</v>
      </c>
      <c r="E3132" s="11" t="str">
        <f>+HYPERLINK("http://trademark.i-assist.jp/data/china/image_1898th/78757813.pdf", "78757813")</f>
        <v>78757813</v>
      </c>
      <c r="F3132" s="10" t="s">
        <v>8588</v>
      </c>
      <c r="G3132" s="10" t="s">
        <v>8589</v>
      </c>
      <c r="H3132" s="10" t="s">
        <v>8590</v>
      </c>
      <c r="I3132" s="10" t="s">
        <v>7848</v>
      </c>
    </row>
    <row r="3133" spans="1:9" x14ac:dyDescent="0.15">
      <c r="A3133" s="9">
        <v>3132</v>
      </c>
      <c r="B3133" s="10" t="s">
        <v>9</v>
      </c>
      <c r="C3133" s="10" t="s">
        <v>299</v>
      </c>
      <c r="D3133" s="10" t="s">
        <v>300</v>
      </c>
      <c r="E3133" s="11" t="str">
        <f>+HYPERLINK("http://trademark.i-assist.jp/data/china/image_1898th/78758504.pdf", "78758504")</f>
        <v>78758504</v>
      </c>
      <c r="F3133" s="10" t="s">
        <v>8591</v>
      </c>
      <c r="G3133" s="10" t="s">
        <v>8592</v>
      </c>
      <c r="H3133" s="10" t="s">
        <v>8593</v>
      </c>
      <c r="I3133" s="10" t="s">
        <v>7848</v>
      </c>
    </row>
    <row r="3134" spans="1:9" x14ac:dyDescent="0.15">
      <c r="A3134" s="9">
        <v>3133</v>
      </c>
      <c r="B3134" s="10" t="s">
        <v>9</v>
      </c>
      <c r="C3134" s="10" t="s">
        <v>299</v>
      </c>
      <c r="D3134" s="10" t="s">
        <v>300</v>
      </c>
      <c r="E3134" s="11" t="str">
        <f>+HYPERLINK("http://trademark.i-assist.jp/data/china/image_1898th/78758720.pdf", "78758720")</f>
        <v>78758720</v>
      </c>
      <c r="F3134" s="10" t="s">
        <v>8594</v>
      </c>
      <c r="G3134" s="10" t="s">
        <v>8595</v>
      </c>
      <c r="H3134" s="10" t="s">
        <v>8596</v>
      </c>
      <c r="I3134" s="10" t="s">
        <v>7848</v>
      </c>
    </row>
    <row r="3135" spans="1:9" x14ac:dyDescent="0.15">
      <c r="A3135" s="9">
        <v>3134</v>
      </c>
      <c r="B3135" s="10" t="s">
        <v>9</v>
      </c>
      <c r="C3135" s="10" t="s">
        <v>299</v>
      </c>
      <c r="D3135" s="10" t="s">
        <v>300</v>
      </c>
      <c r="E3135" s="11" t="str">
        <f>+HYPERLINK("http://trademark.i-assist.jp/data/china/image_1898th/78759021.pdf", "78759021")</f>
        <v>78759021</v>
      </c>
      <c r="F3135" s="10" t="s">
        <v>8597</v>
      </c>
      <c r="G3135" s="10" t="s">
        <v>8598</v>
      </c>
      <c r="H3135" s="10" t="s">
        <v>8599</v>
      </c>
      <c r="I3135" s="10" t="s">
        <v>7848</v>
      </c>
    </row>
    <row r="3136" spans="1:9" x14ac:dyDescent="0.15">
      <c r="A3136" s="9">
        <v>3135</v>
      </c>
      <c r="B3136" s="10" t="s">
        <v>9</v>
      </c>
      <c r="C3136" s="10" t="s">
        <v>299</v>
      </c>
      <c r="D3136" s="10" t="s">
        <v>300</v>
      </c>
      <c r="E3136" s="11" t="str">
        <f>+HYPERLINK("http://trademark.i-assist.jp/data/china/image_1898th/78759517.pdf", "78759517")</f>
        <v>78759517</v>
      </c>
      <c r="F3136" s="10" t="s">
        <v>8600</v>
      </c>
      <c r="G3136" s="10" t="s">
        <v>8601</v>
      </c>
      <c r="H3136" s="10" t="s">
        <v>8602</v>
      </c>
      <c r="I3136" s="10" t="s">
        <v>7848</v>
      </c>
    </row>
    <row r="3137" spans="1:9" x14ac:dyDescent="0.15">
      <c r="A3137" s="9">
        <v>3136</v>
      </c>
      <c r="B3137" s="10" t="s">
        <v>9</v>
      </c>
      <c r="C3137" s="10" t="s">
        <v>299</v>
      </c>
      <c r="D3137" s="10" t="s">
        <v>300</v>
      </c>
      <c r="E3137" s="11" t="str">
        <f>+HYPERLINK("http://trademark.i-assist.jp/data/china/image_1898th/78759617.pdf", "78759617")</f>
        <v>78759617</v>
      </c>
      <c r="F3137" s="10" t="s">
        <v>8603</v>
      </c>
      <c r="G3137" s="10" t="s">
        <v>8604</v>
      </c>
      <c r="H3137" s="10" t="s">
        <v>8605</v>
      </c>
      <c r="I3137" s="10" t="s">
        <v>7848</v>
      </c>
    </row>
    <row r="3138" spans="1:9" x14ac:dyDescent="0.15">
      <c r="A3138" s="9">
        <v>3137</v>
      </c>
      <c r="B3138" s="10" t="s">
        <v>9</v>
      </c>
      <c r="C3138" s="10" t="s">
        <v>299</v>
      </c>
      <c r="D3138" s="10" t="s">
        <v>300</v>
      </c>
      <c r="E3138" s="11" t="str">
        <f>+HYPERLINK("http://trademark.i-assist.jp/data/china/image_1898th/78759805.pdf", "78759805")</f>
        <v>78759805</v>
      </c>
      <c r="F3138" s="10" t="s">
        <v>8606</v>
      </c>
      <c r="G3138" s="10" t="s">
        <v>8589</v>
      </c>
      <c r="H3138" s="10" t="s">
        <v>8607</v>
      </c>
      <c r="I3138" s="10" t="s">
        <v>7848</v>
      </c>
    </row>
    <row r="3139" spans="1:9" x14ac:dyDescent="0.15">
      <c r="A3139" s="9">
        <v>3138</v>
      </c>
      <c r="B3139" s="10" t="s">
        <v>9</v>
      </c>
      <c r="C3139" s="10" t="s">
        <v>299</v>
      </c>
      <c r="D3139" s="10" t="s">
        <v>300</v>
      </c>
      <c r="E3139" s="11" t="str">
        <f>+HYPERLINK("http://trademark.i-assist.jp/data/china/image_1898th/78759954.pdf", "78759954")</f>
        <v>78759954</v>
      </c>
      <c r="F3139" s="10" t="s">
        <v>8608</v>
      </c>
      <c r="G3139" s="10" t="s">
        <v>8609</v>
      </c>
      <c r="H3139" s="10" t="s">
        <v>8610</v>
      </c>
      <c r="I3139" s="10" t="s">
        <v>7848</v>
      </c>
    </row>
    <row r="3140" spans="1:9" x14ac:dyDescent="0.15">
      <c r="A3140" s="9">
        <v>3139</v>
      </c>
      <c r="B3140" s="10" t="s">
        <v>9</v>
      </c>
      <c r="C3140" s="10" t="s">
        <v>299</v>
      </c>
      <c r="D3140" s="10" t="s">
        <v>300</v>
      </c>
      <c r="E3140" s="11" t="str">
        <f>+HYPERLINK("http://trademark.i-assist.jp/data/china/image_1898th/78760071.pdf", "78760071")</f>
        <v>78760071</v>
      </c>
      <c r="F3140" s="10" t="s">
        <v>8611</v>
      </c>
      <c r="G3140" s="10" t="s">
        <v>8456</v>
      </c>
      <c r="H3140" s="10" t="s">
        <v>8612</v>
      </c>
      <c r="I3140" s="10" t="s">
        <v>7848</v>
      </c>
    </row>
    <row r="3141" spans="1:9" x14ac:dyDescent="0.15">
      <c r="A3141" s="9">
        <v>3140</v>
      </c>
      <c r="B3141" s="10" t="s">
        <v>9</v>
      </c>
      <c r="C3141" s="10" t="s">
        <v>299</v>
      </c>
      <c r="D3141" s="10" t="s">
        <v>300</v>
      </c>
      <c r="E3141" s="11" t="str">
        <f>+HYPERLINK("http://trademark.i-assist.jp/data/china/image_1898th/78760804.pdf", "78760804")</f>
        <v>78760804</v>
      </c>
      <c r="F3141" s="10" t="s">
        <v>8613</v>
      </c>
      <c r="G3141" s="10" t="s">
        <v>8577</v>
      </c>
      <c r="H3141" s="10" t="s">
        <v>8614</v>
      </c>
      <c r="I3141" s="10" t="s">
        <v>7848</v>
      </c>
    </row>
    <row r="3142" spans="1:9" x14ac:dyDescent="0.15">
      <c r="A3142" s="9">
        <v>3141</v>
      </c>
      <c r="B3142" s="10" t="s">
        <v>9</v>
      </c>
      <c r="C3142" s="10" t="s">
        <v>299</v>
      </c>
      <c r="D3142" s="10" t="s">
        <v>300</v>
      </c>
      <c r="E3142" s="11" t="str">
        <f>+HYPERLINK("http://trademark.i-assist.jp/data/china/image_1898th/78760848.pdf", "78760848")</f>
        <v>78760848</v>
      </c>
      <c r="F3142" s="10" t="s">
        <v>8615</v>
      </c>
      <c r="G3142" s="10" t="s">
        <v>8616</v>
      </c>
      <c r="H3142" s="10" t="s">
        <v>8617</v>
      </c>
      <c r="I3142" s="10" t="s">
        <v>7848</v>
      </c>
    </row>
    <row r="3143" spans="1:9" x14ac:dyDescent="0.15">
      <c r="A3143" s="9">
        <v>3142</v>
      </c>
      <c r="B3143" s="10" t="s">
        <v>9</v>
      </c>
      <c r="C3143" s="10" t="s">
        <v>299</v>
      </c>
      <c r="D3143" s="10" t="s">
        <v>300</v>
      </c>
      <c r="E3143" s="11" t="str">
        <f>+HYPERLINK("http://trademark.i-assist.jp/data/china/image_1898th/78760887.pdf", "78760887")</f>
        <v>78760887</v>
      </c>
      <c r="F3143" s="10" t="s">
        <v>8618</v>
      </c>
      <c r="G3143" s="10" t="s">
        <v>8619</v>
      </c>
      <c r="H3143" s="10" t="s">
        <v>8620</v>
      </c>
      <c r="I3143" s="10" t="s">
        <v>7848</v>
      </c>
    </row>
    <row r="3144" spans="1:9" x14ac:dyDescent="0.15">
      <c r="A3144" s="9">
        <v>3143</v>
      </c>
      <c r="B3144" s="10" t="s">
        <v>9</v>
      </c>
      <c r="C3144" s="10" t="s">
        <v>299</v>
      </c>
      <c r="D3144" s="10" t="s">
        <v>300</v>
      </c>
      <c r="E3144" s="11" t="str">
        <f>+HYPERLINK("http://trademark.i-assist.jp/data/china/image_1898th/78761534.pdf", "78761534")</f>
        <v>78761534</v>
      </c>
      <c r="F3144" s="10" t="s">
        <v>8621</v>
      </c>
      <c r="G3144" s="10" t="s">
        <v>8622</v>
      </c>
      <c r="H3144" s="10" t="s">
        <v>8623</v>
      </c>
      <c r="I3144" s="10" t="s">
        <v>7848</v>
      </c>
    </row>
    <row r="3145" spans="1:9" x14ac:dyDescent="0.15">
      <c r="A3145" s="9">
        <v>3144</v>
      </c>
      <c r="B3145" s="10" t="s">
        <v>9</v>
      </c>
      <c r="C3145" s="10" t="s">
        <v>299</v>
      </c>
      <c r="D3145" s="10" t="s">
        <v>300</v>
      </c>
      <c r="E3145" s="11" t="str">
        <f>+HYPERLINK("http://trademark.i-assist.jp/data/china/image_1898th/78761605.pdf", "78761605")</f>
        <v>78761605</v>
      </c>
      <c r="F3145" s="10" t="s">
        <v>8624</v>
      </c>
      <c r="G3145" s="10" t="s">
        <v>5593</v>
      </c>
      <c r="H3145" s="10" t="s">
        <v>8625</v>
      </c>
      <c r="I3145" s="10" t="s">
        <v>7848</v>
      </c>
    </row>
    <row r="3146" spans="1:9" x14ac:dyDescent="0.15">
      <c r="A3146" s="9">
        <v>3145</v>
      </c>
      <c r="B3146" s="10" t="s">
        <v>9</v>
      </c>
      <c r="C3146" s="10" t="s">
        <v>299</v>
      </c>
      <c r="D3146" s="10" t="s">
        <v>300</v>
      </c>
      <c r="E3146" s="11" t="str">
        <f>+HYPERLINK("http://trademark.i-assist.jp/data/china/image_1898th/78761846.pdf", "78761846")</f>
        <v>78761846</v>
      </c>
      <c r="F3146" s="10" t="s">
        <v>8626</v>
      </c>
      <c r="G3146" s="10" t="s">
        <v>8627</v>
      </c>
      <c r="H3146" s="10" t="s">
        <v>8628</v>
      </c>
      <c r="I3146" s="10" t="s">
        <v>7848</v>
      </c>
    </row>
    <row r="3147" spans="1:9" x14ac:dyDescent="0.15">
      <c r="A3147" s="9">
        <v>3146</v>
      </c>
      <c r="B3147" s="10" t="s">
        <v>9</v>
      </c>
      <c r="C3147" s="10" t="s">
        <v>299</v>
      </c>
      <c r="D3147" s="10" t="s">
        <v>300</v>
      </c>
      <c r="E3147" s="11" t="str">
        <f>+HYPERLINK("http://trademark.i-assist.jp/data/china/image_1898th/78761862.pdf", "78761862")</f>
        <v>78761862</v>
      </c>
      <c r="F3147" s="10" t="s">
        <v>8629</v>
      </c>
      <c r="G3147" s="10" t="s">
        <v>8630</v>
      </c>
      <c r="H3147" s="10" t="s">
        <v>8631</v>
      </c>
      <c r="I3147" s="10" t="s">
        <v>7848</v>
      </c>
    </row>
    <row r="3148" spans="1:9" x14ac:dyDescent="0.15">
      <c r="A3148" s="9">
        <v>3147</v>
      </c>
      <c r="B3148" s="10" t="s">
        <v>9</v>
      </c>
      <c r="C3148" s="10" t="s">
        <v>299</v>
      </c>
      <c r="D3148" s="10" t="s">
        <v>300</v>
      </c>
      <c r="E3148" s="11" t="str">
        <f>+HYPERLINK("http://trademark.i-assist.jp/data/china/image_1898th/78761866.pdf", "78761866")</f>
        <v>78761866</v>
      </c>
      <c r="F3148" s="10" t="s">
        <v>8632</v>
      </c>
      <c r="G3148" s="10" t="s">
        <v>8633</v>
      </c>
      <c r="H3148" s="10" t="s">
        <v>8634</v>
      </c>
      <c r="I3148" s="10" t="s">
        <v>7848</v>
      </c>
    </row>
    <row r="3149" spans="1:9" x14ac:dyDescent="0.15">
      <c r="A3149" s="9">
        <v>3148</v>
      </c>
      <c r="B3149" s="10" t="s">
        <v>9</v>
      </c>
      <c r="C3149" s="10" t="s">
        <v>299</v>
      </c>
      <c r="D3149" s="10" t="s">
        <v>300</v>
      </c>
      <c r="E3149" s="11" t="str">
        <f>+HYPERLINK("http://trademark.i-assist.jp/data/china/image_1898th/78761990.pdf", "78761990")</f>
        <v>78761990</v>
      </c>
      <c r="F3149" s="10" t="s">
        <v>8635</v>
      </c>
      <c r="G3149" s="10" t="s">
        <v>3192</v>
      </c>
      <c r="H3149" s="10" t="s">
        <v>8636</v>
      </c>
      <c r="I3149" s="10" t="s">
        <v>7848</v>
      </c>
    </row>
    <row r="3150" spans="1:9" x14ac:dyDescent="0.15">
      <c r="A3150" s="9">
        <v>3149</v>
      </c>
      <c r="B3150" s="10" t="s">
        <v>9</v>
      </c>
      <c r="C3150" s="10" t="s">
        <v>299</v>
      </c>
      <c r="D3150" s="10" t="s">
        <v>300</v>
      </c>
      <c r="E3150" s="11" t="str">
        <f>+HYPERLINK("http://trademark.i-assist.jp/data/china/image_1898th/78762080.pdf", "78762080")</f>
        <v>78762080</v>
      </c>
      <c r="F3150" s="10" t="s">
        <v>8637</v>
      </c>
      <c r="G3150" s="10" t="s">
        <v>8638</v>
      </c>
      <c r="H3150" s="10" t="s">
        <v>8639</v>
      </c>
      <c r="I3150" s="10" t="s">
        <v>7848</v>
      </c>
    </row>
    <row r="3151" spans="1:9" x14ac:dyDescent="0.15">
      <c r="A3151" s="9">
        <v>3150</v>
      </c>
      <c r="B3151" s="10" t="s">
        <v>9</v>
      </c>
      <c r="C3151" s="10" t="s">
        <v>299</v>
      </c>
      <c r="D3151" s="10" t="s">
        <v>300</v>
      </c>
      <c r="E3151" s="11" t="str">
        <f>+HYPERLINK("http://trademark.i-assist.jp/data/china/image_1898th/78762227.pdf", "78762227")</f>
        <v>78762227</v>
      </c>
      <c r="F3151" s="10" t="s">
        <v>8640</v>
      </c>
      <c r="G3151" s="10" t="s">
        <v>4923</v>
      </c>
      <c r="H3151" s="10" t="s">
        <v>8641</v>
      </c>
      <c r="I3151" s="10" t="s">
        <v>7848</v>
      </c>
    </row>
    <row r="3152" spans="1:9" x14ac:dyDescent="0.15">
      <c r="A3152" s="9">
        <v>3151</v>
      </c>
      <c r="B3152" s="10" t="s">
        <v>9</v>
      </c>
      <c r="C3152" s="10" t="s">
        <v>299</v>
      </c>
      <c r="D3152" s="10" t="s">
        <v>300</v>
      </c>
      <c r="E3152" s="11" t="str">
        <f>+HYPERLINK("http://trademark.i-assist.jp/data/china/image_1898th/78762350.pdf", "78762350")</f>
        <v>78762350</v>
      </c>
      <c r="F3152" s="10" t="s">
        <v>8642</v>
      </c>
      <c r="G3152" s="10" t="s">
        <v>8589</v>
      </c>
      <c r="H3152" s="10" t="s">
        <v>8643</v>
      </c>
      <c r="I3152" s="10" t="s">
        <v>7848</v>
      </c>
    </row>
    <row r="3153" spans="1:9" x14ac:dyDescent="0.15">
      <c r="A3153" s="9">
        <v>3152</v>
      </c>
      <c r="B3153" s="10" t="s">
        <v>9</v>
      </c>
      <c r="C3153" s="10" t="s">
        <v>299</v>
      </c>
      <c r="D3153" s="10" t="s">
        <v>300</v>
      </c>
      <c r="E3153" s="11" t="str">
        <f>+HYPERLINK("http://trademark.i-assist.jp/data/china/image_1898th/78762453.pdf", "78762453")</f>
        <v>78762453</v>
      </c>
      <c r="F3153" s="10" t="s">
        <v>8499</v>
      </c>
      <c r="G3153" s="10" t="s">
        <v>8500</v>
      </c>
      <c r="H3153" s="10" t="s">
        <v>8644</v>
      </c>
      <c r="I3153" s="10" t="s">
        <v>7848</v>
      </c>
    </row>
    <row r="3154" spans="1:9" x14ac:dyDescent="0.15">
      <c r="A3154" s="9">
        <v>3153</v>
      </c>
      <c r="B3154" s="10" t="s">
        <v>9</v>
      </c>
      <c r="C3154" s="10" t="s">
        <v>299</v>
      </c>
      <c r="D3154" s="10" t="s">
        <v>300</v>
      </c>
      <c r="E3154" s="11" t="str">
        <f>+HYPERLINK("http://trademark.i-assist.jp/data/china/image_1898th/78762464.pdf", "78762464")</f>
        <v>78762464</v>
      </c>
      <c r="F3154" s="10" t="s">
        <v>19</v>
      </c>
      <c r="G3154" s="10" t="s">
        <v>8645</v>
      </c>
      <c r="H3154" s="10" t="s">
        <v>8646</v>
      </c>
      <c r="I3154" s="10" t="s">
        <v>7848</v>
      </c>
    </row>
    <row r="3155" spans="1:9" x14ac:dyDescent="0.15">
      <c r="A3155" s="9">
        <v>3154</v>
      </c>
      <c r="B3155" s="10" t="s">
        <v>9</v>
      </c>
      <c r="C3155" s="10" t="s">
        <v>299</v>
      </c>
      <c r="D3155" s="10" t="s">
        <v>300</v>
      </c>
      <c r="E3155" s="11" t="str">
        <f>+HYPERLINK("http://trademark.i-assist.jp/data/china/image_1898th/78762621.pdf", "78762621")</f>
        <v>78762621</v>
      </c>
      <c r="F3155" s="10" t="s">
        <v>8647</v>
      </c>
      <c r="G3155" s="10" t="s">
        <v>8648</v>
      </c>
      <c r="H3155" s="10" t="s">
        <v>8649</v>
      </c>
      <c r="I3155" s="10" t="s">
        <v>7848</v>
      </c>
    </row>
    <row r="3156" spans="1:9" x14ac:dyDescent="0.15">
      <c r="A3156" s="9">
        <v>3155</v>
      </c>
      <c r="B3156" s="10" t="s">
        <v>9</v>
      </c>
      <c r="C3156" s="10" t="s">
        <v>299</v>
      </c>
      <c r="D3156" s="10" t="s">
        <v>300</v>
      </c>
      <c r="E3156" s="11" t="str">
        <f>+HYPERLINK("http://trademark.i-assist.jp/data/china/image_1898th/78762690.pdf", "78762690")</f>
        <v>78762690</v>
      </c>
      <c r="F3156" s="10" t="s">
        <v>8650</v>
      </c>
      <c r="G3156" s="10" t="s">
        <v>7882</v>
      </c>
      <c r="H3156" s="10" t="s">
        <v>8651</v>
      </c>
      <c r="I3156" s="10" t="s">
        <v>7848</v>
      </c>
    </row>
    <row r="3157" spans="1:9" x14ac:dyDescent="0.15">
      <c r="A3157" s="9">
        <v>3156</v>
      </c>
      <c r="B3157" s="10" t="s">
        <v>9</v>
      </c>
      <c r="C3157" s="10" t="s">
        <v>299</v>
      </c>
      <c r="D3157" s="10" t="s">
        <v>300</v>
      </c>
      <c r="E3157" s="11" t="str">
        <f>+HYPERLINK("http://trademark.i-assist.jp/data/china/image_1898th/78762827.pdf", "78762827")</f>
        <v>78762827</v>
      </c>
      <c r="F3157" s="10" t="s">
        <v>8652</v>
      </c>
      <c r="G3157" s="10" t="s">
        <v>8653</v>
      </c>
      <c r="H3157" s="10" t="s">
        <v>8654</v>
      </c>
      <c r="I3157" s="10" t="s">
        <v>7848</v>
      </c>
    </row>
    <row r="3158" spans="1:9" x14ac:dyDescent="0.15">
      <c r="A3158" s="9">
        <v>3157</v>
      </c>
      <c r="B3158" s="10" t="s">
        <v>9</v>
      </c>
      <c r="C3158" s="10" t="s">
        <v>299</v>
      </c>
      <c r="D3158" s="10" t="s">
        <v>300</v>
      </c>
      <c r="E3158" s="11" t="str">
        <f>+HYPERLINK("http://trademark.i-assist.jp/data/china/image_1898th/78763000.pdf", "78763000")</f>
        <v>78763000</v>
      </c>
      <c r="F3158" s="10" t="s">
        <v>8655</v>
      </c>
      <c r="G3158" s="10" t="s">
        <v>8656</v>
      </c>
      <c r="H3158" s="10" t="s">
        <v>8657</v>
      </c>
      <c r="I3158" s="10" t="s">
        <v>7848</v>
      </c>
    </row>
    <row r="3159" spans="1:9" x14ac:dyDescent="0.15">
      <c r="A3159" s="9">
        <v>3158</v>
      </c>
      <c r="B3159" s="10" t="s">
        <v>9</v>
      </c>
      <c r="C3159" s="10" t="s">
        <v>299</v>
      </c>
      <c r="D3159" s="10" t="s">
        <v>300</v>
      </c>
      <c r="E3159" s="11" t="str">
        <f>+HYPERLINK("http://trademark.i-assist.jp/data/china/image_1898th/78763014.pdf", "78763014")</f>
        <v>78763014</v>
      </c>
      <c r="F3159" s="10" t="s">
        <v>8658</v>
      </c>
      <c r="G3159" s="10" t="s">
        <v>8659</v>
      </c>
      <c r="H3159" s="10" t="s">
        <v>8660</v>
      </c>
      <c r="I3159" s="10" t="s">
        <v>7848</v>
      </c>
    </row>
    <row r="3160" spans="1:9" x14ac:dyDescent="0.15">
      <c r="A3160" s="9">
        <v>3159</v>
      </c>
      <c r="B3160" s="10" t="s">
        <v>9</v>
      </c>
      <c r="C3160" s="10" t="s">
        <v>299</v>
      </c>
      <c r="D3160" s="10" t="s">
        <v>300</v>
      </c>
      <c r="E3160" s="11" t="str">
        <f>+HYPERLINK("http://trademark.i-assist.jp/data/china/image_1898th/78763349.pdf", "78763349")</f>
        <v>78763349</v>
      </c>
      <c r="F3160" s="10" t="s">
        <v>8661</v>
      </c>
      <c r="G3160" s="10" t="s">
        <v>8662</v>
      </c>
      <c r="H3160" s="10" t="s">
        <v>8663</v>
      </c>
      <c r="I3160" s="10" t="s">
        <v>7848</v>
      </c>
    </row>
    <row r="3161" spans="1:9" x14ac:dyDescent="0.15">
      <c r="A3161" s="9">
        <v>3160</v>
      </c>
      <c r="B3161" s="10" t="s">
        <v>9</v>
      </c>
      <c r="C3161" s="10" t="s">
        <v>299</v>
      </c>
      <c r="D3161" s="10" t="s">
        <v>300</v>
      </c>
      <c r="E3161" s="11" t="str">
        <f>+HYPERLINK("http://trademark.i-assist.jp/data/china/image_1898th/78763513.pdf", "78763513")</f>
        <v>78763513</v>
      </c>
      <c r="F3161" s="10" t="s">
        <v>8664</v>
      </c>
      <c r="G3161" s="10" t="s">
        <v>8456</v>
      </c>
      <c r="H3161" s="10" t="s">
        <v>8665</v>
      </c>
      <c r="I3161" s="10" t="s">
        <v>7848</v>
      </c>
    </row>
    <row r="3162" spans="1:9" x14ac:dyDescent="0.15">
      <c r="A3162" s="9">
        <v>3161</v>
      </c>
      <c r="B3162" s="10" t="s">
        <v>9</v>
      </c>
      <c r="C3162" s="10" t="s">
        <v>299</v>
      </c>
      <c r="D3162" s="10" t="s">
        <v>300</v>
      </c>
      <c r="E3162" s="11" t="str">
        <f>+HYPERLINK("http://trademark.i-assist.jp/data/china/image_1898th/78764391.pdf", "78764391")</f>
        <v>78764391</v>
      </c>
      <c r="F3162" s="10" t="s">
        <v>8666</v>
      </c>
      <c r="G3162" s="10" t="s">
        <v>8667</v>
      </c>
      <c r="H3162" s="10" t="s">
        <v>8668</v>
      </c>
      <c r="I3162" s="10" t="s">
        <v>7848</v>
      </c>
    </row>
    <row r="3163" spans="1:9" x14ac:dyDescent="0.15">
      <c r="A3163" s="9">
        <v>3162</v>
      </c>
      <c r="B3163" s="10" t="s">
        <v>9</v>
      </c>
      <c r="C3163" s="10" t="s">
        <v>299</v>
      </c>
      <c r="D3163" s="10" t="s">
        <v>300</v>
      </c>
      <c r="E3163" s="11" t="str">
        <f>+HYPERLINK("http://trademark.i-assist.jp/data/china/image_1898th/78764481.pdf", "78764481")</f>
        <v>78764481</v>
      </c>
      <c r="F3163" s="10" t="s">
        <v>8669</v>
      </c>
      <c r="G3163" s="10" t="s">
        <v>5593</v>
      </c>
      <c r="H3163" s="10" t="s">
        <v>8670</v>
      </c>
      <c r="I3163" s="10" t="s">
        <v>7848</v>
      </c>
    </row>
    <row r="3164" spans="1:9" x14ac:dyDescent="0.15">
      <c r="A3164" s="9">
        <v>3163</v>
      </c>
      <c r="B3164" s="10" t="s">
        <v>9</v>
      </c>
      <c r="C3164" s="10" t="s">
        <v>299</v>
      </c>
      <c r="D3164" s="10" t="s">
        <v>300</v>
      </c>
      <c r="E3164" s="11" t="str">
        <f>+HYPERLINK("http://trademark.i-assist.jp/data/china/image_1898th/78764786.pdf", "78764786")</f>
        <v>78764786</v>
      </c>
      <c r="F3164" s="10" t="s">
        <v>8671</v>
      </c>
      <c r="G3164" s="10" t="s">
        <v>8598</v>
      </c>
      <c r="H3164" s="10" t="s">
        <v>8672</v>
      </c>
      <c r="I3164" s="10" t="s">
        <v>7848</v>
      </c>
    </row>
    <row r="3165" spans="1:9" x14ac:dyDescent="0.15">
      <c r="A3165" s="9">
        <v>3164</v>
      </c>
      <c r="B3165" s="10" t="s">
        <v>9</v>
      </c>
      <c r="C3165" s="10" t="s">
        <v>299</v>
      </c>
      <c r="D3165" s="10" t="s">
        <v>300</v>
      </c>
      <c r="E3165" s="11" t="str">
        <f>+HYPERLINK("http://trademark.i-assist.jp/data/china/image_1898th/78764835.pdf", "78764835")</f>
        <v>78764835</v>
      </c>
      <c r="F3165" s="10" t="s">
        <v>8673</v>
      </c>
      <c r="G3165" s="10" t="s">
        <v>8674</v>
      </c>
      <c r="H3165" s="10" t="s">
        <v>8675</v>
      </c>
      <c r="I3165" s="10" t="s">
        <v>7848</v>
      </c>
    </row>
    <row r="3166" spans="1:9" x14ac:dyDescent="0.15">
      <c r="A3166" s="9">
        <v>3165</v>
      </c>
      <c r="B3166" s="10" t="s">
        <v>9</v>
      </c>
      <c r="C3166" s="10" t="s">
        <v>299</v>
      </c>
      <c r="D3166" s="10" t="s">
        <v>300</v>
      </c>
      <c r="E3166" s="11" t="str">
        <f>+HYPERLINK("http://trademark.i-assist.jp/data/china/image_1898th/78765127.pdf", "78765127")</f>
        <v>78765127</v>
      </c>
      <c r="F3166" s="10" t="s">
        <v>8676</v>
      </c>
      <c r="G3166" s="10" t="s">
        <v>8677</v>
      </c>
      <c r="H3166" s="10" t="s">
        <v>8678</v>
      </c>
      <c r="I3166" s="10" t="s">
        <v>7848</v>
      </c>
    </row>
    <row r="3167" spans="1:9" x14ac:dyDescent="0.15">
      <c r="A3167" s="9">
        <v>3166</v>
      </c>
      <c r="B3167" s="10" t="s">
        <v>9</v>
      </c>
      <c r="C3167" s="10" t="s">
        <v>299</v>
      </c>
      <c r="D3167" s="10" t="s">
        <v>300</v>
      </c>
      <c r="E3167" s="11" t="str">
        <f>+HYPERLINK("http://trademark.i-assist.jp/data/china/image_1898th/78765294.pdf", "78765294")</f>
        <v>78765294</v>
      </c>
      <c r="F3167" s="10" t="s">
        <v>8679</v>
      </c>
      <c r="G3167" s="10" t="s">
        <v>8680</v>
      </c>
      <c r="H3167" s="10" t="s">
        <v>8681</v>
      </c>
      <c r="I3167" s="10" t="s">
        <v>7848</v>
      </c>
    </row>
    <row r="3168" spans="1:9" x14ac:dyDescent="0.15">
      <c r="A3168" s="9">
        <v>3167</v>
      </c>
      <c r="B3168" s="10" t="s">
        <v>9</v>
      </c>
      <c r="C3168" s="10" t="s">
        <v>299</v>
      </c>
      <c r="D3168" s="10" t="s">
        <v>300</v>
      </c>
      <c r="E3168" s="11" t="str">
        <f>+HYPERLINK("http://trademark.i-assist.jp/data/china/image_1898th/78765551.pdf", "78765551")</f>
        <v>78765551</v>
      </c>
      <c r="F3168" s="10" t="s">
        <v>8682</v>
      </c>
      <c r="G3168" s="10" t="s">
        <v>8683</v>
      </c>
      <c r="H3168" s="10" t="s">
        <v>8684</v>
      </c>
      <c r="I3168" s="10" t="s">
        <v>7848</v>
      </c>
    </row>
    <row r="3169" spans="1:9" x14ac:dyDescent="0.15">
      <c r="A3169" s="9">
        <v>3168</v>
      </c>
      <c r="B3169" s="10" t="s">
        <v>9</v>
      </c>
      <c r="C3169" s="10" t="s">
        <v>299</v>
      </c>
      <c r="D3169" s="10" t="s">
        <v>300</v>
      </c>
      <c r="E3169" s="11" t="str">
        <f>+HYPERLINK("http://trademark.i-assist.jp/data/china/image_1898th/78765785.pdf", "78765785")</f>
        <v>78765785</v>
      </c>
      <c r="F3169" s="10" t="s">
        <v>8685</v>
      </c>
      <c r="G3169" s="10" t="s">
        <v>8589</v>
      </c>
      <c r="H3169" s="10" t="s">
        <v>8686</v>
      </c>
      <c r="I3169" s="10" t="s">
        <v>7848</v>
      </c>
    </row>
    <row r="3170" spans="1:9" x14ac:dyDescent="0.15">
      <c r="A3170" s="9">
        <v>3169</v>
      </c>
      <c r="B3170" s="10" t="s">
        <v>9</v>
      </c>
      <c r="C3170" s="10" t="s">
        <v>299</v>
      </c>
      <c r="D3170" s="10" t="s">
        <v>300</v>
      </c>
      <c r="E3170" s="11" t="str">
        <f>+HYPERLINK("http://trademark.i-assist.jp/data/china/image_1898th/78766049.pdf", "78766049")</f>
        <v>78766049</v>
      </c>
      <c r="F3170" s="10" t="s">
        <v>8687</v>
      </c>
      <c r="G3170" s="10" t="s">
        <v>8688</v>
      </c>
      <c r="H3170" s="10" t="s">
        <v>8689</v>
      </c>
      <c r="I3170" s="10" t="s">
        <v>7848</v>
      </c>
    </row>
    <row r="3171" spans="1:9" x14ac:dyDescent="0.15">
      <c r="A3171" s="9">
        <v>3170</v>
      </c>
      <c r="B3171" s="10" t="s">
        <v>9</v>
      </c>
      <c r="C3171" s="10" t="s">
        <v>299</v>
      </c>
      <c r="D3171" s="10" t="s">
        <v>300</v>
      </c>
      <c r="E3171" s="11" t="str">
        <f>+HYPERLINK("http://trademark.i-assist.jp/data/china/image_1898th/78766567.pdf", "78766567")</f>
        <v>78766567</v>
      </c>
      <c r="F3171" s="10" t="s">
        <v>8690</v>
      </c>
      <c r="G3171" s="10" t="s">
        <v>8595</v>
      </c>
      <c r="H3171" s="10" t="s">
        <v>8691</v>
      </c>
      <c r="I3171" s="10" t="s">
        <v>7848</v>
      </c>
    </row>
    <row r="3172" spans="1:9" x14ac:dyDescent="0.15">
      <c r="A3172" s="9">
        <v>3171</v>
      </c>
      <c r="B3172" s="10" t="s">
        <v>9</v>
      </c>
      <c r="C3172" s="10" t="s">
        <v>299</v>
      </c>
      <c r="D3172" s="10" t="s">
        <v>300</v>
      </c>
      <c r="E3172" s="11" t="str">
        <f>+HYPERLINK("http://trademark.i-assist.jp/data/china/image_1898th/78766658.pdf", "78766658")</f>
        <v>78766658</v>
      </c>
      <c r="F3172" s="10" t="s">
        <v>8692</v>
      </c>
      <c r="G3172" s="10" t="s">
        <v>8693</v>
      </c>
      <c r="H3172" s="10" t="s">
        <v>8694</v>
      </c>
      <c r="I3172" s="10" t="s">
        <v>7848</v>
      </c>
    </row>
    <row r="3173" spans="1:9" x14ac:dyDescent="0.15">
      <c r="A3173" s="9">
        <v>3172</v>
      </c>
      <c r="B3173" s="10" t="s">
        <v>9</v>
      </c>
      <c r="C3173" s="10" t="s">
        <v>299</v>
      </c>
      <c r="D3173" s="10" t="s">
        <v>300</v>
      </c>
      <c r="E3173" s="11" t="str">
        <f>+HYPERLINK("http://trademark.i-assist.jp/data/china/image_1898th/78766899.pdf", "78766899")</f>
        <v>78766899</v>
      </c>
      <c r="F3173" s="10" t="s">
        <v>8695</v>
      </c>
      <c r="G3173" s="10" t="s">
        <v>8696</v>
      </c>
      <c r="H3173" s="10" t="s">
        <v>8697</v>
      </c>
      <c r="I3173" s="10" t="s">
        <v>7848</v>
      </c>
    </row>
    <row r="3174" spans="1:9" x14ac:dyDescent="0.15">
      <c r="A3174" s="9">
        <v>3173</v>
      </c>
      <c r="B3174" s="10" t="s">
        <v>9</v>
      </c>
      <c r="C3174" s="10" t="s">
        <v>299</v>
      </c>
      <c r="D3174" s="10" t="s">
        <v>300</v>
      </c>
      <c r="E3174" s="11" t="str">
        <f>+HYPERLINK("http://trademark.i-assist.jp/data/china/image_1898th/78767149.pdf", "78767149")</f>
        <v>78767149</v>
      </c>
      <c r="F3174" s="10" t="s">
        <v>8698</v>
      </c>
      <c r="G3174" s="10" t="s">
        <v>8699</v>
      </c>
      <c r="H3174" s="10" t="s">
        <v>8700</v>
      </c>
      <c r="I3174" s="10" t="s">
        <v>7848</v>
      </c>
    </row>
    <row r="3175" spans="1:9" x14ac:dyDescent="0.15">
      <c r="A3175" s="9">
        <v>3174</v>
      </c>
      <c r="B3175" s="10" t="s">
        <v>9</v>
      </c>
      <c r="C3175" s="10" t="s">
        <v>299</v>
      </c>
      <c r="D3175" s="10" t="s">
        <v>300</v>
      </c>
      <c r="E3175" s="11" t="str">
        <f>+HYPERLINK("http://trademark.i-assist.jp/data/china/image_1898th/78767301.pdf", "78767301")</f>
        <v>78767301</v>
      </c>
      <c r="F3175" s="10" t="s">
        <v>8701</v>
      </c>
      <c r="G3175" s="10" t="s">
        <v>8702</v>
      </c>
      <c r="H3175" s="10" t="s">
        <v>8703</v>
      </c>
      <c r="I3175" s="10" t="s">
        <v>7848</v>
      </c>
    </row>
    <row r="3176" spans="1:9" x14ac:dyDescent="0.15">
      <c r="A3176" s="9">
        <v>3175</v>
      </c>
      <c r="B3176" s="10" t="s">
        <v>9</v>
      </c>
      <c r="C3176" s="10" t="s">
        <v>299</v>
      </c>
      <c r="D3176" s="10" t="s">
        <v>300</v>
      </c>
      <c r="E3176" s="11" t="str">
        <f>+HYPERLINK("http://trademark.i-assist.jp/data/china/image_1898th/78767548.pdf", "78767548")</f>
        <v>78767548</v>
      </c>
      <c r="F3176" s="10" t="s">
        <v>8704</v>
      </c>
      <c r="G3176" s="10" t="s">
        <v>5593</v>
      </c>
      <c r="H3176" s="10" t="s">
        <v>8705</v>
      </c>
      <c r="I3176" s="10" t="s">
        <v>7848</v>
      </c>
    </row>
    <row r="3177" spans="1:9" x14ac:dyDescent="0.15">
      <c r="A3177" s="9">
        <v>3176</v>
      </c>
      <c r="B3177" s="10" t="s">
        <v>9</v>
      </c>
      <c r="C3177" s="10" t="s">
        <v>299</v>
      </c>
      <c r="D3177" s="10" t="s">
        <v>300</v>
      </c>
      <c r="E3177" s="11" t="str">
        <f>+HYPERLINK("http://trademark.i-assist.jp/data/china/image_1898th/78767848.pdf", "78767848")</f>
        <v>78767848</v>
      </c>
      <c r="F3177" s="10" t="s">
        <v>8706</v>
      </c>
      <c r="G3177" s="10" t="s">
        <v>8707</v>
      </c>
      <c r="H3177" s="10" t="s">
        <v>8708</v>
      </c>
      <c r="I3177" s="10" t="s">
        <v>7848</v>
      </c>
    </row>
    <row r="3178" spans="1:9" x14ac:dyDescent="0.15">
      <c r="A3178" s="9">
        <v>3177</v>
      </c>
      <c r="B3178" s="10" t="s">
        <v>9</v>
      </c>
      <c r="C3178" s="10" t="s">
        <v>299</v>
      </c>
      <c r="D3178" s="10" t="s">
        <v>300</v>
      </c>
      <c r="E3178" s="11" t="str">
        <f>+HYPERLINK("http://trademark.i-assist.jp/data/china/image_1898th/78767938.pdf", "78767938")</f>
        <v>78767938</v>
      </c>
      <c r="F3178" s="10" t="s">
        <v>8709</v>
      </c>
      <c r="G3178" s="10" t="s">
        <v>1033</v>
      </c>
      <c r="H3178" s="10" t="s">
        <v>8710</v>
      </c>
      <c r="I3178" s="10" t="s">
        <v>7848</v>
      </c>
    </row>
    <row r="3179" spans="1:9" x14ac:dyDescent="0.15">
      <c r="A3179" s="9">
        <v>3178</v>
      </c>
      <c r="B3179" s="10" t="s">
        <v>9</v>
      </c>
      <c r="C3179" s="10" t="s">
        <v>299</v>
      </c>
      <c r="D3179" s="10" t="s">
        <v>300</v>
      </c>
      <c r="E3179" s="11" t="str">
        <f>+HYPERLINK("http://trademark.i-assist.jp/data/china/image_1898th/78767979.pdf", "78767979")</f>
        <v>78767979</v>
      </c>
      <c r="F3179" s="10" t="s">
        <v>8711</v>
      </c>
      <c r="G3179" s="10" t="s">
        <v>8712</v>
      </c>
      <c r="H3179" s="10" t="s">
        <v>8713</v>
      </c>
      <c r="I3179" s="10" t="s">
        <v>7848</v>
      </c>
    </row>
    <row r="3180" spans="1:9" x14ac:dyDescent="0.15">
      <c r="A3180" s="9">
        <v>3179</v>
      </c>
      <c r="B3180" s="10" t="s">
        <v>9</v>
      </c>
      <c r="C3180" s="10" t="s">
        <v>299</v>
      </c>
      <c r="D3180" s="10" t="s">
        <v>300</v>
      </c>
      <c r="E3180" s="11" t="str">
        <f>+HYPERLINK("http://trademark.i-assist.jp/data/china/image_1898th/78768302.pdf", "78768302")</f>
        <v>78768302</v>
      </c>
      <c r="F3180" s="10" t="s">
        <v>8714</v>
      </c>
      <c r="G3180" s="10" t="s">
        <v>8715</v>
      </c>
      <c r="H3180" s="10" t="s">
        <v>8716</v>
      </c>
      <c r="I3180" s="10" t="s">
        <v>7848</v>
      </c>
    </row>
    <row r="3181" spans="1:9" x14ac:dyDescent="0.15">
      <c r="A3181" s="9">
        <v>3180</v>
      </c>
      <c r="B3181" s="10" t="s">
        <v>9</v>
      </c>
      <c r="C3181" s="10" t="s">
        <v>299</v>
      </c>
      <c r="D3181" s="10" t="s">
        <v>300</v>
      </c>
      <c r="E3181" s="11" t="str">
        <f>+HYPERLINK("http://trademark.i-assist.jp/data/china/image_1898th/78768617.pdf", "78768617")</f>
        <v>78768617</v>
      </c>
      <c r="F3181" s="10" t="s">
        <v>8717</v>
      </c>
      <c r="G3181" s="10" t="s">
        <v>8718</v>
      </c>
      <c r="H3181" s="10" t="s">
        <v>8719</v>
      </c>
      <c r="I3181" s="10" t="s">
        <v>7848</v>
      </c>
    </row>
    <row r="3182" spans="1:9" x14ac:dyDescent="0.15">
      <c r="A3182" s="9">
        <v>3181</v>
      </c>
      <c r="B3182" s="10" t="s">
        <v>9</v>
      </c>
      <c r="C3182" s="10" t="s">
        <v>299</v>
      </c>
      <c r="D3182" s="10" t="s">
        <v>300</v>
      </c>
      <c r="E3182" s="11" t="str">
        <f>+HYPERLINK("http://trademark.i-assist.jp/data/china/image_1898th/78768801.pdf", "78768801")</f>
        <v>78768801</v>
      </c>
      <c r="F3182" s="10" t="s">
        <v>8434</v>
      </c>
      <c r="G3182" s="10" t="s">
        <v>8435</v>
      </c>
      <c r="H3182" s="10" t="s">
        <v>8720</v>
      </c>
      <c r="I3182" s="10" t="s">
        <v>7848</v>
      </c>
    </row>
    <row r="3183" spans="1:9" x14ac:dyDescent="0.15">
      <c r="A3183" s="9">
        <v>3182</v>
      </c>
      <c r="B3183" s="10" t="s">
        <v>9</v>
      </c>
      <c r="C3183" s="10" t="s">
        <v>299</v>
      </c>
      <c r="D3183" s="10" t="s">
        <v>300</v>
      </c>
      <c r="E3183" s="11" t="str">
        <f>+HYPERLINK("http://trademark.i-assist.jp/data/china/image_1898th/78768906.pdf", "78768906")</f>
        <v>78768906</v>
      </c>
      <c r="F3183" s="10" t="s">
        <v>8721</v>
      </c>
      <c r="G3183" s="10" t="s">
        <v>8577</v>
      </c>
      <c r="H3183" s="10" t="s">
        <v>8722</v>
      </c>
      <c r="I3183" s="10" t="s">
        <v>7848</v>
      </c>
    </row>
    <row r="3184" spans="1:9" x14ac:dyDescent="0.15">
      <c r="A3184" s="9">
        <v>3183</v>
      </c>
      <c r="B3184" s="10" t="s">
        <v>9</v>
      </c>
      <c r="C3184" s="10" t="s">
        <v>299</v>
      </c>
      <c r="D3184" s="10" t="s">
        <v>300</v>
      </c>
      <c r="E3184" s="11" t="str">
        <f>+HYPERLINK("http://trademark.i-assist.jp/data/china/image_1898th/78769164.pdf", "78769164")</f>
        <v>78769164</v>
      </c>
      <c r="F3184" s="10" t="s">
        <v>8723</v>
      </c>
      <c r="G3184" s="10" t="s">
        <v>4974</v>
      </c>
      <c r="H3184" s="10" t="s">
        <v>8724</v>
      </c>
      <c r="I3184" s="10" t="s">
        <v>7848</v>
      </c>
    </row>
    <row r="3185" spans="1:9" x14ac:dyDescent="0.15">
      <c r="A3185" s="9">
        <v>3184</v>
      </c>
      <c r="B3185" s="10" t="s">
        <v>9</v>
      </c>
      <c r="C3185" s="10" t="s">
        <v>299</v>
      </c>
      <c r="D3185" s="10" t="s">
        <v>300</v>
      </c>
      <c r="E3185" s="11" t="str">
        <f>+HYPERLINK("http://trademark.i-assist.jp/data/china/image_1898th/78769574.pdf", "78769574")</f>
        <v>78769574</v>
      </c>
      <c r="F3185" s="10" t="s">
        <v>8725</v>
      </c>
      <c r="G3185" s="10" t="s">
        <v>8726</v>
      </c>
      <c r="H3185" s="10" t="s">
        <v>8727</v>
      </c>
      <c r="I3185" s="10" t="s">
        <v>7848</v>
      </c>
    </row>
    <row r="3186" spans="1:9" x14ac:dyDescent="0.15">
      <c r="A3186" s="9">
        <v>3185</v>
      </c>
      <c r="B3186" s="10" t="s">
        <v>9</v>
      </c>
      <c r="C3186" s="10" t="s">
        <v>299</v>
      </c>
      <c r="D3186" s="10" t="s">
        <v>300</v>
      </c>
      <c r="E3186" s="11" t="str">
        <f>+HYPERLINK("http://trademark.i-assist.jp/data/china/image_1898th/78769589.pdf", "78769589")</f>
        <v>78769589</v>
      </c>
      <c r="F3186" s="10" t="s">
        <v>8728</v>
      </c>
      <c r="G3186" s="10" t="s">
        <v>5982</v>
      </c>
      <c r="H3186" s="10" t="s">
        <v>8729</v>
      </c>
      <c r="I3186" s="10" t="s">
        <v>7848</v>
      </c>
    </row>
    <row r="3187" spans="1:9" x14ac:dyDescent="0.15">
      <c r="A3187" s="9">
        <v>3186</v>
      </c>
      <c r="B3187" s="10" t="s">
        <v>9</v>
      </c>
      <c r="C3187" s="10" t="s">
        <v>299</v>
      </c>
      <c r="D3187" s="10" t="s">
        <v>300</v>
      </c>
      <c r="E3187" s="11" t="str">
        <f>+HYPERLINK("http://trademark.i-assist.jp/data/china/image_1898th/78769664.pdf", "78769664")</f>
        <v>78769664</v>
      </c>
      <c r="F3187" s="10" t="s">
        <v>8730</v>
      </c>
      <c r="G3187" s="10" t="s">
        <v>8731</v>
      </c>
      <c r="H3187" s="10" t="s">
        <v>8732</v>
      </c>
      <c r="I3187" s="10" t="s">
        <v>7848</v>
      </c>
    </row>
    <row r="3188" spans="1:9" x14ac:dyDescent="0.15">
      <c r="A3188" s="9">
        <v>3187</v>
      </c>
      <c r="B3188" s="10" t="s">
        <v>9</v>
      </c>
      <c r="C3188" s="10" t="s">
        <v>299</v>
      </c>
      <c r="D3188" s="10" t="s">
        <v>300</v>
      </c>
      <c r="E3188" s="11" t="str">
        <f>+HYPERLINK("http://trademark.i-assist.jp/data/china/image_1898th/78770149.pdf", "78770149")</f>
        <v>78770149</v>
      </c>
      <c r="F3188" s="10" t="s">
        <v>8733</v>
      </c>
      <c r="G3188" s="10" t="s">
        <v>8734</v>
      </c>
      <c r="H3188" s="10" t="s">
        <v>8735</v>
      </c>
      <c r="I3188" s="10" t="s">
        <v>7848</v>
      </c>
    </row>
    <row r="3189" spans="1:9" x14ac:dyDescent="0.15">
      <c r="A3189" s="9">
        <v>3188</v>
      </c>
      <c r="B3189" s="10" t="s">
        <v>9</v>
      </c>
      <c r="C3189" s="10" t="s">
        <v>299</v>
      </c>
      <c r="D3189" s="10" t="s">
        <v>300</v>
      </c>
      <c r="E3189" s="11" t="str">
        <f>+HYPERLINK("http://trademark.i-assist.jp/data/china/image_1898th/78770193.pdf", "78770193")</f>
        <v>78770193</v>
      </c>
      <c r="F3189" s="10" t="s">
        <v>8736</v>
      </c>
      <c r="G3189" s="10" t="s">
        <v>8737</v>
      </c>
      <c r="H3189" s="10" t="s">
        <v>8738</v>
      </c>
      <c r="I3189" s="10" t="s">
        <v>7848</v>
      </c>
    </row>
    <row r="3190" spans="1:9" x14ac:dyDescent="0.15">
      <c r="A3190" s="9">
        <v>3189</v>
      </c>
      <c r="B3190" s="10" t="s">
        <v>9</v>
      </c>
      <c r="C3190" s="10" t="s">
        <v>299</v>
      </c>
      <c r="D3190" s="10" t="s">
        <v>300</v>
      </c>
      <c r="E3190" s="11" t="str">
        <f>+HYPERLINK("http://trademark.i-assist.jp/data/china/image_1898th/78770199.pdf", "78770199")</f>
        <v>78770199</v>
      </c>
      <c r="F3190" s="10" t="s">
        <v>8739</v>
      </c>
      <c r="G3190" s="10" t="s">
        <v>8740</v>
      </c>
      <c r="H3190" s="10" t="s">
        <v>8741</v>
      </c>
      <c r="I3190" s="10" t="s">
        <v>7848</v>
      </c>
    </row>
    <row r="3191" spans="1:9" x14ac:dyDescent="0.15">
      <c r="A3191" s="9">
        <v>3190</v>
      </c>
      <c r="B3191" s="10" t="s">
        <v>9</v>
      </c>
      <c r="C3191" s="10" t="s">
        <v>299</v>
      </c>
      <c r="D3191" s="10" t="s">
        <v>300</v>
      </c>
      <c r="E3191" s="11" t="str">
        <f>+HYPERLINK("http://trademark.i-assist.jp/data/china/image_1898th/78770293.pdf", "78770293")</f>
        <v>78770293</v>
      </c>
      <c r="F3191" s="10" t="s">
        <v>8742</v>
      </c>
      <c r="G3191" s="10" t="s">
        <v>207</v>
      </c>
      <c r="H3191" s="10" t="s">
        <v>8743</v>
      </c>
      <c r="I3191" s="10" t="s">
        <v>7848</v>
      </c>
    </row>
    <row r="3192" spans="1:9" x14ac:dyDescent="0.15">
      <c r="A3192" s="9">
        <v>3191</v>
      </c>
      <c r="B3192" s="10" t="s">
        <v>9</v>
      </c>
      <c r="C3192" s="10" t="s">
        <v>299</v>
      </c>
      <c r="D3192" s="10" t="s">
        <v>300</v>
      </c>
      <c r="E3192" s="11" t="str">
        <f>+HYPERLINK("http://trademark.i-assist.jp/data/china/image_1898th/78770458.pdf", "78770458")</f>
        <v>78770458</v>
      </c>
      <c r="F3192" s="10" t="s">
        <v>8744</v>
      </c>
      <c r="G3192" s="10" t="s">
        <v>8745</v>
      </c>
      <c r="H3192" s="10" t="s">
        <v>8746</v>
      </c>
      <c r="I3192" s="10" t="s">
        <v>7848</v>
      </c>
    </row>
    <row r="3193" spans="1:9" x14ac:dyDescent="0.15">
      <c r="A3193" s="9">
        <v>3192</v>
      </c>
      <c r="B3193" s="10" t="s">
        <v>9</v>
      </c>
      <c r="C3193" s="10" t="s">
        <v>299</v>
      </c>
      <c r="D3193" s="10" t="s">
        <v>300</v>
      </c>
      <c r="E3193" s="11" t="str">
        <f>+HYPERLINK("http://trademark.i-assist.jp/data/china/image_1898th/78770648.pdf", "78770648")</f>
        <v>78770648</v>
      </c>
      <c r="F3193" s="10" t="s">
        <v>8747</v>
      </c>
      <c r="G3193" s="10" t="s">
        <v>5982</v>
      </c>
      <c r="H3193" s="10" t="s">
        <v>8748</v>
      </c>
      <c r="I3193" s="10" t="s">
        <v>7848</v>
      </c>
    </row>
    <row r="3194" spans="1:9" x14ac:dyDescent="0.15">
      <c r="A3194" s="9">
        <v>3193</v>
      </c>
      <c r="B3194" s="10" t="s">
        <v>9</v>
      </c>
      <c r="C3194" s="10" t="s">
        <v>299</v>
      </c>
      <c r="D3194" s="10" t="s">
        <v>300</v>
      </c>
      <c r="E3194" s="11" t="str">
        <f>+HYPERLINK("http://trademark.i-assist.jp/data/china/image_1898th/78770879.pdf", "78770879")</f>
        <v>78770879</v>
      </c>
      <c r="F3194" s="10" t="s">
        <v>8749</v>
      </c>
      <c r="G3194" s="10" t="s">
        <v>8750</v>
      </c>
      <c r="H3194" s="10" t="s">
        <v>8751</v>
      </c>
      <c r="I3194" s="10" t="s">
        <v>7848</v>
      </c>
    </row>
    <row r="3195" spans="1:9" x14ac:dyDescent="0.15">
      <c r="A3195" s="9">
        <v>3194</v>
      </c>
      <c r="B3195" s="10" t="s">
        <v>9</v>
      </c>
      <c r="C3195" s="10" t="s">
        <v>299</v>
      </c>
      <c r="D3195" s="10" t="s">
        <v>300</v>
      </c>
      <c r="E3195" s="11" t="str">
        <f>+HYPERLINK("http://trademark.i-assist.jp/data/china/image_1898th/78770885.pdf", "78770885")</f>
        <v>78770885</v>
      </c>
      <c r="F3195" s="10" t="s">
        <v>8752</v>
      </c>
      <c r="G3195" s="10" t="s">
        <v>8506</v>
      </c>
      <c r="H3195" s="10" t="s">
        <v>8753</v>
      </c>
      <c r="I3195" s="10" t="s">
        <v>7848</v>
      </c>
    </row>
    <row r="3196" spans="1:9" x14ac:dyDescent="0.15">
      <c r="A3196" s="9">
        <v>3195</v>
      </c>
      <c r="B3196" s="10" t="s">
        <v>9</v>
      </c>
      <c r="C3196" s="10" t="s">
        <v>299</v>
      </c>
      <c r="D3196" s="10" t="s">
        <v>300</v>
      </c>
      <c r="E3196" s="11" t="str">
        <f>+HYPERLINK("http://trademark.i-assist.jp/data/china/image_1898th/78770920.pdf", "78770920")</f>
        <v>78770920</v>
      </c>
      <c r="F3196" s="10" t="s">
        <v>8754</v>
      </c>
      <c r="G3196" s="10" t="s">
        <v>4974</v>
      </c>
      <c r="H3196" s="10" t="s">
        <v>8755</v>
      </c>
      <c r="I3196" s="10" t="s">
        <v>7848</v>
      </c>
    </row>
    <row r="3197" spans="1:9" x14ac:dyDescent="0.15">
      <c r="A3197" s="9">
        <v>3196</v>
      </c>
      <c r="B3197" s="10" t="s">
        <v>9</v>
      </c>
      <c r="C3197" s="10" t="s">
        <v>299</v>
      </c>
      <c r="D3197" s="10" t="s">
        <v>300</v>
      </c>
      <c r="E3197" s="11" t="str">
        <f>+HYPERLINK("http://trademark.i-assist.jp/data/china/image_1898th/78771097.pdf", "78771097")</f>
        <v>78771097</v>
      </c>
      <c r="F3197" s="10" t="s">
        <v>8756</v>
      </c>
      <c r="G3197" s="10" t="s">
        <v>8757</v>
      </c>
      <c r="H3197" s="10" t="s">
        <v>8758</v>
      </c>
      <c r="I3197" s="10" t="s">
        <v>7848</v>
      </c>
    </row>
    <row r="3198" spans="1:9" x14ac:dyDescent="0.15">
      <c r="A3198" s="9">
        <v>3197</v>
      </c>
      <c r="B3198" s="10" t="s">
        <v>9</v>
      </c>
      <c r="C3198" s="10" t="s">
        <v>299</v>
      </c>
      <c r="D3198" s="10" t="s">
        <v>300</v>
      </c>
      <c r="E3198" s="11" t="str">
        <f>+HYPERLINK("http://trademark.i-assist.jp/data/china/image_1898th/78771255.pdf", "78771255")</f>
        <v>78771255</v>
      </c>
      <c r="F3198" s="10" t="s">
        <v>8759</v>
      </c>
      <c r="G3198" s="10" t="s">
        <v>8760</v>
      </c>
      <c r="H3198" s="10" t="s">
        <v>8761</v>
      </c>
      <c r="I3198" s="10" t="s">
        <v>7848</v>
      </c>
    </row>
    <row r="3199" spans="1:9" x14ac:dyDescent="0.15">
      <c r="A3199" s="9">
        <v>3198</v>
      </c>
      <c r="B3199" s="10" t="s">
        <v>9</v>
      </c>
      <c r="C3199" s="10" t="s">
        <v>299</v>
      </c>
      <c r="D3199" s="10" t="s">
        <v>300</v>
      </c>
      <c r="E3199" s="11" t="str">
        <f>+HYPERLINK("http://trademark.i-assist.jp/data/china/image_1898th/78771741.pdf", "78771741")</f>
        <v>78771741</v>
      </c>
      <c r="F3199" s="10" t="s">
        <v>8762</v>
      </c>
      <c r="G3199" s="10" t="s">
        <v>8763</v>
      </c>
      <c r="H3199" s="10" t="s">
        <v>8764</v>
      </c>
      <c r="I3199" s="10" t="s">
        <v>7848</v>
      </c>
    </row>
    <row r="3200" spans="1:9" x14ac:dyDescent="0.15">
      <c r="A3200" s="9">
        <v>3199</v>
      </c>
      <c r="B3200" s="10" t="s">
        <v>9</v>
      </c>
      <c r="C3200" s="10" t="s">
        <v>299</v>
      </c>
      <c r="D3200" s="10" t="s">
        <v>300</v>
      </c>
      <c r="E3200" s="11" t="str">
        <f>+HYPERLINK("http://trademark.i-assist.jp/data/china/image_1898th/78771836.pdf", "78771836")</f>
        <v>78771836</v>
      </c>
      <c r="F3200" s="10" t="s">
        <v>8765</v>
      </c>
      <c r="G3200" s="10" t="s">
        <v>8766</v>
      </c>
      <c r="H3200" s="10" t="s">
        <v>8767</v>
      </c>
      <c r="I3200" s="10" t="s">
        <v>7848</v>
      </c>
    </row>
    <row r="3201" spans="1:9" x14ac:dyDescent="0.15">
      <c r="A3201" s="9">
        <v>3200</v>
      </c>
      <c r="B3201" s="10" t="s">
        <v>9</v>
      </c>
      <c r="C3201" s="10" t="s">
        <v>299</v>
      </c>
      <c r="D3201" s="10" t="s">
        <v>300</v>
      </c>
      <c r="E3201" s="11" t="str">
        <f>+HYPERLINK("http://trademark.i-assist.jp/data/china/image_1898th/78772580.pdf", "78772580")</f>
        <v>78772580</v>
      </c>
      <c r="F3201" s="10" t="s">
        <v>8768</v>
      </c>
      <c r="G3201" s="10" t="s">
        <v>8656</v>
      </c>
      <c r="H3201" s="10" t="s">
        <v>8769</v>
      </c>
      <c r="I3201" s="10" t="s">
        <v>7848</v>
      </c>
    </row>
    <row r="3202" spans="1:9" x14ac:dyDescent="0.15">
      <c r="A3202" s="9">
        <v>3201</v>
      </c>
      <c r="B3202" s="10" t="s">
        <v>9</v>
      </c>
      <c r="C3202" s="10" t="s">
        <v>299</v>
      </c>
      <c r="D3202" s="10" t="s">
        <v>300</v>
      </c>
      <c r="E3202" s="11" t="str">
        <f>+HYPERLINK("http://trademark.i-assist.jp/data/china/image_1898th/78772592.pdf", "78772592")</f>
        <v>78772592</v>
      </c>
      <c r="F3202" s="10" t="s">
        <v>8770</v>
      </c>
      <c r="G3202" s="10" t="s">
        <v>8771</v>
      </c>
      <c r="H3202" s="10" t="s">
        <v>8772</v>
      </c>
      <c r="I3202" s="10" t="s">
        <v>7848</v>
      </c>
    </row>
    <row r="3203" spans="1:9" x14ac:dyDescent="0.15">
      <c r="A3203" s="9">
        <v>3202</v>
      </c>
      <c r="B3203" s="10" t="s">
        <v>9</v>
      </c>
      <c r="C3203" s="10" t="s">
        <v>299</v>
      </c>
      <c r="D3203" s="10" t="s">
        <v>300</v>
      </c>
      <c r="E3203" s="11" t="str">
        <f>+HYPERLINK("http://trademark.i-assist.jp/data/china/image_1898th/78772602.pdf", "78772602")</f>
        <v>78772602</v>
      </c>
      <c r="F3203" s="10" t="s">
        <v>8773</v>
      </c>
      <c r="G3203" s="10" t="s">
        <v>8774</v>
      </c>
      <c r="H3203" s="10" t="s">
        <v>8775</v>
      </c>
      <c r="I3203" s="10" t="s">
        <v>7848</v>
      </c>
    </row>
    <row r="3204" spans="1:9" x14ac:dyDescent="0.15">
      <c r="A3204" s="9">
        <v>3203</v>
      </c>
      <c r="B3204" s="10" t="s">
        <v>9</v>
      </c>
      <c r="C3204" s="10" t="s">
        <v>299</v>
      </c>
      <c r="D3204" s="10" t="s">
        <v>300</v>
      </c>
      <c r="E3204" s="11" t="str">
        <f>+HYPERLINK("http://trademark.i-assist.jp/data/china/image_1898th/78772669.pdf", "78772669")</f>
        <v>78772669</v>
      </c>
      <c r="F3204" s="10" t="s">
        <v>8776</v>
      </c>
      <c r="G3204" s="10" t="s">
        <v>207</v>
      </c>
      <c r="H3204" s="10" t="s">
        <v>8777</v>
      </c>
      <c r="I3204" s="10" t="s">
        <v>7848</v>
      </c>
    </row>
    <row r="3205" spans="1:9" x14ac:dyDescent="0.15">
      <c r="A3205" s="9">
        <v>3204</v>
      </c>
      <c r="B3205" s="10" t="s">
        <v>9</v>
      </c>
      <c r="C3205" s="10" t="s">
        <v>299</v>
      </c>
      <c r="D3205" s="10" t="s">
        <v>300</v>
      </c>
      <c r="E3205" s="11" t="str">
        <f>+HYPERLINK("http://trademark.i-assist.jp/data/china/image_1898th/78773553.pdf", "78773553")</f>
        <v>78773553</v>
      </c>
      <c r="F3205" s="10" t="s">
        <v>8778</v>
      </c>
      <c r="G3205" s="10" t="s">
        <v>8779</v>
      </c>
      <c r="H3205" s="10" t="s">
        <v>8780</v>
      </c>
      <c r="I3205" s="10" t="s">
        <v>8781</v>
      </c>
    </row>
    <row r="3206" spans="1:9" x14ac:dyDescent="0.15">
      <c r="A3206" s="9">
        <v>3205</v>
      </c>
      <c r="B3206" s="10" t="s">
        <v>9</v>
      </c>
      <c r="C3206" s="10" t="s">
        <v>299</v>
      </c>
      <c r="D3206" s="10" t="s">
        <v>300</v>
      </c>
      <c r="E3206" s="11" t="str">
        <f>+HYPERLINK("http://trademark.i-assist.jp/data/china/image_1898th/78776324.pdf", "78776324")</f>
        <v>78776324</v>
      </c>
      <c r="F3206" s="10" t="s">
        <v>19</v>
      </c>
      <c r="G3206" s="10" t="s">
        <v>8782</v>
      </c>
      <c r="H3206" s="10" t="s">
        <v>8783</v>
      </c>
      <c r="I3206" s="10" t="s">
        <v>8781</v>
      </c>
    </row>
    <row r="3207" spans="1:9" x14ac:dyDescent="0.15">
      <c r="A3207" s="9">
        <v>3206</v>
      </c>
      <c r="B3207" s="10" t="s">
        <v>9</v>
      </c>
      <c r="C3207" s="10" t="s">
        <v>299</v>
      </c>
      <c r="D3207" s="10" t="s">
        <v>300</v>
      </c>
      <c r="E3207" s="11" t="str">
        <f>+HYPERLINK("http://trademark.i-assist.jp/data/china/image_1898th/78777791.pdf", "78777791")</f>
        <v>78777791</v>
      </c>
      <c r="F3207" s="10" t="s">
        <v>8784</v>
      </c>
      <c r="G3207" s="10" t="s">
        <v>8785</v>
      </c>
      <c r="H3207" s="10" t="s">
        <v>8786</v>
      </c>
      <c r="I3207" s="10" t="s">
        <v>8781</v>
      </c>
    </row>
    <row r="3208" spans="1:9" x14ac:dyDescent="0.15">
      <c r="A3208" s="9">
        <v>3207</v>
      </c>
      <c r="B3208" s="10" t="s">
        <v>9</v>
      </c>
      <c r="C3208" s="10" t="s">
        <v>299</v>
      </c>
      <c r="D3208" s="10" t="s">
        <v>300</v>
      </c>
      <c r="E3208" s="11" t="str">
        <f>+HYPERLINK("http://trademark.i-assist.jp/data/china/image_1898th/78778410.pdf", "78778410")</f>
        <v>78778410</v>
      </c>
      <c r="F3208" s="10" t="s">
        <v>8787</v>
      </c>
      <c r="G3208" s="10" t="s">
        <v>8788</v>
      </c>
      <c r="H3208" s="10" t="s">
        <v>8789</v>
      </c>
      <c r="I3208" s="10" t="s">
        <v>8781</v>
      </c>
    </row>
    <row r="3209" spans="1:9" x14ac:dyDescent="0.15">
      <c r="A3209" s="9">
        <v>3208</v>
      </c>
      <c r="B3209" s="10" t="s">
        <v>9</v>
      </c>
      <c r="C3209" s="10" t="s">
        <v>299</v>
      </c>
      <c r="D3209" s="10" t="s">
        <v>300</v>
      </c>
      <c r="E3209" s="11" t="str">
        <f>+HYPERLINK("http://trademark.i-assist.jp/data/china/image_1898th/78781724.pdf", "78781724")</f>
        <v>78781724</v>
      </c>
      <c r="F3209" s="10" t="s">
        <v>8790</v>
      </c>
      <c r="G3209" s="10" t="s">
        <v>8791</v>
      </c>
      <c r="H3209" s="10" t="s">
        <v>8792</v>
      </c>
      <c r="I3209" s="10" t="s">
        <v>8781</v>
      </c>
    </row>
    <row r="3210" spans="1:9" x14ac:dyDescent="0.15">
      <c r="A3210" s="9">
        <v>3209</v>
      </c>
      <c r="B3210" s="10" t="s">
        <v>9</v>
      </c>
      <c r="C3210" s="10" t="s">
        <v>299</v>
      </c>
      <c r="D3210" s="10" t="s">
        <v>300</v>
      </c>
      <c r="E3210" s="11" t="str">
        <f>+HYPERLINK("http://trademark.i-assist.jp/data/china/image_1898th/78789719.pdf", "78789719")</f>
        <v>78789719</v>
      </c>
      <c r="F3210" s="10" t="s">
        <v>8793</v>
      </c>
      <c r="G3210" s="10" t="s">
        <v>8794</v>
      </c>
      <c r="H3210" s="10" t="s">
        <v>8795</v>
      </c>
      <c r="I3210" s="10" t="s">
        <v>8781</v>
      </c>
    </row>
    <row r="3211" spans="1:9" x14ac:dyDescent="0.15">
      <c r="A3211" s="9">
        <v>3210</v>
      </c>
      <c r="B3211" s="10" t="s">
        <v>9</v>
      </c>
      <c r="C3211" s="10" t="s">
        <v>299</v>
      </c>
      <c r="D3211" s="10" t="s">
        <v>300</v>
      </c>
      <c r="E3211" s="11" t="str">
        <f>+HYPERLINK("http://trademark.i-assist.jp/data/china/image_1898th/78790329.pdf", "78790329")</f>
        <v>78790329</v>
      </c>
      <c r="F3211" s="10" t="s">
        <v>8796</v>
      </c>
      <c r="G3211" s="10" t="s">
        <v>359</v>
      </c>
      <c r="H3211" s="10" t="s">
        <v>8797</v>
      </c>
      <c r="I3211" s="10" t="s">
        <v>8781</v>
      </c>
    </row>
    <row r="3212" spans="1:9" x14ac:dyDescent="0.15">
      <c r="A3212" s="9">
        <v>3211</v>
      </c>
      <c r="B3212" s="10" t="s">
        <v>9</v>
      </c>
      <c r="C3212" s="10" t="s">
        <v>299</v>
      </c>
      <c r="D3212" s="10" t="s">
        <v>300</v>
      </c>
      <c r="E3212" s="11" t="str">
        <f>+HYPERLINK("http://trademark.i-assist.jp/data/china/image_1898th/78791075.pdf", "78791075")</f>
        <v>78791075</v>
      </c>
      <c r="F3212" s="10" t="s">
        <v>8798</v>
      </c>
      <c r="G3212" s="10" t="s">
        <v>8799</v>
      </c>
      <c r="H3212" s="10" t="s">
        <v>8800</v>
      </c>
      <c r="I3212" s="10" t="s">
        <v>8781</v>
      </c>
    </row>
    <row r="3213" spans="1:9" x14ac:dyDescent="0.15">
      <c r="A3213" s="9">
        <v>3212</v>
      </c>
      <c r="B3213" s="10" t="s">
        <v>9</v>
      </c>
      <c r="C3213" s="10" t="s">
        <v>299</v>
      </c>
      <c r="D3213" s="10" t="s">
        <v>300</v>
      </c>
      <c r="E3213" s="11" t="str">
        <f>+HYPERLINK("http://trademark.i-assist.jp/data/china/image_1898th/78791863.pdf", "78791863")</f>
        <v>78791863</v>
      </c>
      <c r="F3213" s="10" t="s">
        <v>8796</v>
      </c>
      <c r="G3213" s="10" t="s">
        <v>359</v>
      </c>
      <c r="H3213" s="10" t="s">
        <v>8801</v>
      </c>
      <c r="I3213" s="10" t="s">
        <v>8781</v>
      </c>
    </row>
    <row r="3214" spans="1:9" x14ac:dyDescent="0.15">
      <c r="A3214" s="9">
        <v>3213</v>
      </c>
      <c r="B3214" s="10" t="s">
        <v>9</v>
      </c>
      <c r="C3214" s="10" t="s">
        <v>299</v>
      </c>
      <c r="D3214" s="10" t="s">
        <v>300</v>
      </c>
      <c r="E3214" s="11" t="str">
        <f>+HYPERLINK("http://trademark.i-assist.jp/data/china/image_1898th/78796758.pdf", "78796758")</f>
        <v>78796758</v>
      </c>
      <c r="F3214" s="10" t="s">
        <v>8802</v>
      </c>
      <c r="G3214" s="10" t="s">
        <v>8803</v>
      </c>
      <c r="H3214" s="10" t="s">
        <v>8804</v>
      </c>
      <c r="I3214" s="10" t="s">
        <v>8781</v>
      </c>
    </row>
    <row r="3215" spans="1:9" x14ac:dyDescent="0.15">
      <c r="A3215" s="9">
        <v>3214</v>
      </c>
      <c r="B3215" s="10" t="s">
        <v>9</v>
      </c>
      <c r="C3215" s="10" t="s">
        <v>299</v>
      </c>
      <c r="D3215" s="10" t="s">
        <v>300</v>
      </c>
      <c r="E3215" s="11" t="str">
        <f>+HYPERLINK("http://trademark.i-assist.jp/data/china/image_1898th/78813441.pdf", "78813441")</f>
        <v>78813441</v>
      </c>
      <c r="F3215" s="10" t="s">
        <v>8805</v>
      </c>
      <c r="G3215" s="10" t="s">
        <v>8806</v>
      </c>
      <c r="H3215" s="10" t="s">
        <v>34</v>
      </c>
      <c r="I3215" s="10" t="s">
        <v>8807</v>
      </c>
    </row>
    <row r="3216" spans="1:9" x14ac:dyDescent="0.15">
      <c r="A3216" s="9">
        <v>3215</v>
      </c>
      <c r="B3216" s="10" t="s">
        <v>9</v>
      </c>
      <c r="C3216" s="10" t="s">
        <v>299</v>
      </c>
      <c r="D3216" s="10" t="s">
        <v>300</v>
      </c>
      <c r="E3216" s="11" t="str">
        <f>+HYPERLINK("http://trademark.i-assist.jp/data/china/image_1898th/78815558.pdf", "78815558")</f>
        <v>78815558</v>
      </c>
      <c r="F3216" s="10" t="s">
        <v>8808</v>
      </c>
      <c r="G3216" s="10" t="s">
        <v>8809</v>
      </c>
      <c r="H3216" s="10" t="s">
        <v>8810</v>
      </c>
      <c r="I3216" s="10" t="s">
        <v>8811</v>
      </c>
    </row>
    <row r="3217" spans="1:9" x14ac:dyDescent="0.15">
      <c r="A3217" s="9">
        <v>3216</v>
      </c>
      <c r="B3217" s="10" t="s">
        <v>9</v>
      </c>
      <c r="C3217" s="10" t="s">
        <v>299</v>
      </c>
      <c r="D3217" s="10" t="s">
        <v>300</v>
      </c>
      <c r="E3217" s="11" t="str">
        <f>+HYPERLINK("http://trademark.i-assist.jp/data/china/image_1898th/78825879.pdf", "78825879")</f>
        <v>78825879</v>
      </c>
      <c r="F3217" s="10" t="s">
        <v>8812</v>
      </c>
      <c r="G3217" s="10" t="s">
        <v>8813</v>
      </c>
      <c r="H3217" s="10" t="s">
        <v>8814</v>
      </c>
      <c r="I3217" s="10" t="s">
        <v>8807</v>
      </c>
    </row>
    <row r="3218" spans="1:9" x14ac:dyDescent="0.15">
      <c r="A3218" s="9">
        <v>3217</v>
      </c>
      <c r="B3218" s="10" t="s">
        <v>9</v>
      </c>
      <c r="C3218" s="10" t="s">
        <v>299</v>
      </c>
      <c r="D3218" s="10" t="s">
        <v>300</v>
      </c>
      <c r="E3218" s="11" t="str">
        <f>+HYPERLINK("http://trademark.i-assist.jp/data/china/image_1898th/78834096.pdf", "78834096")</f>
        <v>78834096</v>
      </c>
      <c r="F3218" s="10" t="s">
        <v>8815</v>
      </c>
      <c r="G3218" s="10" t="s">
        <v>8816</v>
      </c>
      <c r="H3218" s="10" t="s">
        <v>8817</v>
      </c>
      <c r="I3218" s="10" t="s">
        <v>8811</v>
      </c>
    </row>
    <row r="3219" spans="1:9" x14ac:dyDescent="0.15">
      <c r="A3219" s="9">
        <v>3218</v>
      </c>
      <c r="B3219" s="10" t="s">
        <v>9</v>
      </c>
      <c r="C3219" s="10" t="s">
        <v>299</v>
      </c>
      <c r="D3219" s="10" t="s">
        <v>300</v>
      </c>
      <c r="E3219" s="11" t="str">
        <f>+HYPERLINK("http://trademark.i-assist.jp/data/china/image_1898th/78839008.pdf", "78839008")</f>
        <v>78839008</v>
      </c>
      <c r="F3219" s="10" t="s">
        <v>8818</v>
      </c>
      <c r="G3219" s="10" t="s">
        <v>8819</v>
      </c>
      <c r="H3219" s="10" t="s">
        <v>8820</v>
      </c>
      <c r="I3219" s="10" t="s">
        <v>8821</v>
      </c>
    </row>
    <row r="3220" spans="1:9" x14ac:dyDescent="0.15">
      <c r="A3220" s="9">
        <v>3219</v>
      </c>
      <c r="B3220" s="10" t="s">
        <v>9</v>
      </c>
      <c r="C3220" s="10" t="s">
        <v>299</v>
      </c>
      <c r="D3220" s="10" t="s">
        <v>300</v>
      </c>
      <c r="E3220" s="11" t="str">
        <f>+HYPERLINK("http://trademark.i-assist.jp/data/china/image_1898th/78841601.pdf", "78841601")</f>
        <v>78841601</v>
      </c>
      <c r="F3220" s="10" t="s">
        <v>8822</v>
      </c>
      <c r="G3220" s="10" t="s">
        <v>8823</v>
      </c>
      <c r="H3220" s="10" t="s">
        <v>8824</v>
      </c>
      <c r="I3220" s="10" t="s">
        <v>8821</v>
      </c>
    </row>
    <row r="3221" spans="1:9" x14ac:dyDescent="0.15">
      <c r="A3221" s="9">
        <v>3220</v>
      </c>
      <c r="B3221" s="10" t="s">
        <v>9</v>
      </c>
      <c r="C3221" s="10" t="s">
        <v>299</v>
      </c>
      <c r="D3221" s="10" t="s">
        <v>300</v>
      </c>
      <c r="E3221" s="11" t="str">
        <f>+HYPERLINK("http://trademark.i-assist.jp/data/china/image_1898th/78843485.pdf", "78843485")</f>
        <v>78843485</v>
      </c>
      <c r="F3221" s="10" t="s">
        <v>19</v>
      </c>
      <c r="G3221" s="10" t="s">
        <v>8825</v>
      </c>
      <c r="H3221" s="10" t="s">
        <v>8826</v>
      </c>
      <c r="I3221" s="10" t="s">
        <v>8821</v>
      </c>
    </row>
    <row r="3222" spans="1:9" x14ac:dyDescent="0.15">
      <c r="A3222" s="9">
        <v>3221</v>
      </c>
      <c r="B3222" s="10" t="s">
        <v>9</v>
      </c>
      <c r="C3222" s="10" t="s">
        <v>299</v>
      </c>
      <c r="D3222" s="10" t="s">
        <v>300</v>
      </c>
      <c r="E3222" s="11" t="str">
        <f>+HYPERLINK("http://trademark.i-assist.jp/data/china/image_1898th/78844318.pdf", "78844318")</f>
        <v>78844318</v>
      </c>
      <c r="F3222" s="10" t="s">
        <v>8827</v>
      </c>
      <c r="G3222" s="10" t="s">
        <v>8828</v>
      </c>
      <c r="H3222" s="10" t="s">
        <v>8829</v>
      </c>
      <c r="I3222" s="10" t="s">
        <v>8821</v>
      </c>
    </row>
    <row r="3223" spans="1:9" x14ac:dyDescent="0.15">
      <c r="A3223" s="9">
        <v>3222</v>
      </c>
      <c r="B3223" s="10" t="s">
        <v>9</v>
      </c>
      <c r="C3223" s="10" t="s">
        <v>299</v>
      </c>
      <c r="D3223" s="10" t="s">
        <v>300</v>
      </c>
      <c r="E3223" s="11" t="str">
        <f>+HYPERLINK("http://trademark.i-assist.jp/data/china/image_1898th/78844572.pdf", "78844572")</f>
        <v>78844572</v>
      </c>
      <c r="F3223" s="10" t="s">
        <v>8830</v>
      </c>
      <c r="G3223" s="10" t="s">
        <v>8831</v>
      </c>
      <c r="H3223" s="10" t="s">
        <v>8832</v>
      </c>
      <c r="I3223" s="10" t="s">
        <v>8821</v>
      </c>
    </row>
    <row r="3224" spans="1:9" x14ac:dyDescent="0.15">
      <c r="A3224" s="9">
        <v>3223</v>
      </c>
      <c r="B3224" s="10" t="s">
        <v>9</v>
      </c>
      <c r="C3224" s="10" t="s">
        <v>299</v>
      </c>
      <c r="D3224" s="10" t="s">
        <v>300</v>
      </c>
      <c r="E3224" s="11" t="str">
        <f>+HYPERLINK("http://trademark.i-assist.jp/data/china/image_1898th/78850481.pdf", "78850481")</f>
        <v>78850481</v>
      </c>
      <c r="F3224" s="10" t="s">
        <v>8833</v>
      </c>
      <c r="G3224" s="10" t="s">
        <v>7039</v>
      </c>
      <c r="H3224" s="10" t="s">
        <v>8834</v>
      </c>
      <c r="I3224" s="10" t="s">
        <v>8821</v>
      </c>
    </row>
    <row r="3225" spans="1:9" x14ac:dyDescent="0.15">
      <c r="A3225" s="9">
        <v>3224</v>
      </c>
      <c r="B3225" s="10" t="s">
        <v>9</v>
      </c>
      <c r="C3225" s="10" t="s">
        <v>299</v>
      </c>
      <c r="D3225" s="10" t="s">
        <v>300</v>
      </c>
      <c r="E3225" s="11" t="str">
        <f>+HYPERLINK("http://trademark.i-assist.jp/data/china/image_1898th/78850555.pdf", "78850555")</f>
        <v>78850555</v>
      </c>
      <c r="F3225" s="10" t="s">
        <v>8835</v>
      </c>
      <c r="G3225" s="10" t="s">
        <v>8836</v>
      </c>
      <c r="H3225" s="10" t="s">
        <v>8837</v>
      </c>
      <c r="I3225" s="10" t="s">
        <v>8821</v>
      </c>
    </row>
    <row r="3226" spans="1:9" x14ac:dyDescent="0.15">
      <c r="A3226" s="9">
        <v>3225</v>
      </c>
      <c r="B3226" s="10" t="s">
        <v>9</v>
      </c>
      <c r="C3226" s="10" t="s">
        <v>299</v>
      </c>
      <c r="D3226" s="10" t="s">
        <v>300</v>
      </c>
      <c r="E3226" s="11" t="str">
        <f>+HYPERLINK("http://trademark.i-assist.jp/data/china/image_1898th/78850572.pdf", "78850572")</f>
        <v>78850572</v>
      </c>
      <c r="F3226" s="10" t="s">
        <v>8838</v>
      </c>
      <c r="G3226" s="10" t="s">
        <v>8839</v>
      </c>
      <c r="H3226" s="10" t="s">
        <v>8840</v>
      </c>
      <c r="I3226" s="10" t="s">
        <v>8821</v>
      </c>
    </row>
    <row r="3227" spans="1:9" x14ac:dyDescent="0.15">
      <c r="A3227" s="9">
        <v>3226</v>
      </c>
      <c r="B3227" s="10" t="s">
        <v>9</v>
      </c>
      <c r="C3227" s="10" t="s">
        <v>299</v>
      </c>
      <c r="D3227" s="10" t="s">
        <v>300</v>
      </c>
      <c r="E3227" s="11" t="str">
        <f>+HYPERLINK("http://trademark.i-assist.jp/data/china/image_1898th/78850649.pdf", "78850649")</f>
        <v>78850649</v>
      </c>
      <c r="F3227" s="10" t="s">
        <v>8841</v>
      </c>
      <c r="G3227" s="10" t="s">
        <v>8842</v>
      </c>
      <c r="H3227" s="10" t="s">
        <v>8843</v>
      </c>
      <c r="I3227" s="10" t="s">
        <v>8821</v>
      </c>
    </row>
    <row r="3228" spans="1:9" x14ac:dyDescent="0.15">
      <c r="A3228" s="9">
        <v>3227</v>
      </c>
      <c r="B3228" s="10" t="s">
        <v>9</v>
      </c>
      <c r="C3228" s="10" t="s">
        <v>299</v>
      </c>
      <c r="D3228" s="10" t="s">
        <v>300</v>
      </c>
      <c r="E3228" s="11" t="str">
        <f>+HYPERLINK("http://trademark.i-assist.jp/data/china/image_1898th/78851875.pdf", "78851875")</f>
        <v>78851875</v>
      </c>
      <c r="F3228" s="10" t="s">
        <v>8844</v>
      </c>
      <c r="G3228" s="10" t="s">
        <v>8845</v>
      </c>
      <c r="H3228" s="10" t="s">
        <v>8846</v>
      </c>
      <c r="I3228" s="10" t="s">
        <v>8821</v>
      </c>
    </row>
    <row r="3229" spans="1:9" x14ac:dyDescent="0.15">
      <c r="A3229" s="9">
        <v>3228</v>
      </c>
      <c r="B3229" s="10" t="s">
        <v>9</v>
      </c>
      <c r="C3229" s="10" t="s">
        <v>299</v>
      </c>
      <c r="D3229" s="10" t="s">
        <v>300</v>
      </c>
      <c r="E3229" s="11" t="str">
        <f>+HYPERLINK("http://trademark.i-assist.jp/data/china/image_1898th/78856612.pdf", "78856612")</f>
        <v>78856612</v>
      </c>
      <c r="F3229" s="10" t="s">
        <v>8847</v>
      </c>
      <c r="G3229" s="10" t="s">
        <v>8848</v>
      </c>
      <c r="H3229" s="10" t="s">
        <v>8849</v>
      </c>
      <c r="I3229" s="10" t="s">
        <v>8821</v>
      </c>
    </row>
    <row r="3230" spans="1:9" x14ac:dyDescent="0.15">
      <c r="A3230" s="9">
        <v>3229</v>
      </c>
      <c r="B3230" s="10" t="s">
        <v>9</v>
      </c>
      <c r="C3230" s="10" t="s">
        <v>299</v>
      </c>
      <c r="D3230" s="10" t="s">
        <v>300</v>
      </c>
      <c r="E3230" s="11" t="str">
        <f>+HYPERLINK("http://trademark.i-assist.jp/data/china/image_1898th/78859416.pdf", "78859416")</f>
        <v>78859416</v>
      </c>
      <c r="F3230" s="10" t="s">
        <v>8850</v>
      </c>
      <c r="G3230" s="10" t="s">
        <v>8851</v>
      </c>
      <c r="H3230" s="10" t="s">
        <v>8852</v>
      </c>
      <c r="I3230" s="10" t="s">
        <v>8821</v>
      </c>
    </row>
    <row r="3231" spans="1:9" x14ac:dyDescent="0.15">
      <c r="A3231" s="9">
        <v>3230</v>
      </c>
      <c r="B3231" s="10" t="s">
        <v>9</v>
      </c>
      <c r="C3231" s="10" t="s">
        <v>299</v>
      </c>
      <c r="D3231" s="10" t="s">
        <v>300</v>
      </c>
      <c r="E3231" s="11" t="str">
        <f>+HYPERLINK("http://trademark.i-assist.jp/data/china/image_1898th/78863354.pdf", "78863354")</f>
        <v>78863354</v>
      </c>
      <c r="F3231" s="10" t="s">
        <v>8853</v>
      </c>
      <c r="G3231" s="10" t="s">
        <v>8854</v>
      </c>
      <c r="H3231" s="10" t="s">
        <v>8855</v>
      </c>
      <c r="I3231" s="10" t="s">
        <v>8821</v>
      </c>
    </row>
    <row r="3232" spans="1:9" x14ac:dyDescent="0.15">
      <c r="A3232" s="9">
        <v>3231</v>
      </c>
      <c r="B3232" s="10" t="s">
        <v>9</v>
      </c>
      <c r="C3232" s="10" t="s">
        <v>299</v>
      </c>
      <c r="D3232" s="10" t="s">
        <v>300</v>
      </c>
      <c r="E3232" s="11" t="str">
        <f>+HYPERLINK("http://trademark.i-assist.jp/data/china/image_1898th/78871941.pdf", "78871941")</f>
        <v>78871941</v>
      </c>
      <c r="F3232" s="10" t="s">
        <v>8856</v>
      </c>
      <c r="G3232" s="10" t="s">
        <v>8857</v>
      </c>
      <c r="H3232" s="10" t="s">
        <v>8858</v>
      </c>
      <c r="I3232" s="10" t="s">
        <v>298</v>
      </c>
    </row>
    <row r="3233" spans="1:9" x14ac:dyDescent="0.15">
      <c r="A3233" s="9">
        <v>3232</v>
      </c>
      <c r="B3233" s="10" t="s">
        <v>9</v>
      </c>
      <c r="C3233" s="10" t="s">
        <v>299</v>
      </c>
      <c r="D3233" s="10" t="s">
        <v>300</v>
      </c>
      <c r="E3233" s="11" t="str">
        <f>+HYPERLINK("http://trademark.i-assist.jp/data/china/image_1898th/78875934.pdf", "78875934")</f>
        <v>78875934</v>
      </c>
      <c r="F3233" s="10" t="s">
        <v>8859</v>
      </c>
      <c r="G3233" s="10" t="s">
        <v>8860</v>
      </c>
      <c r="H3233" s="10" t="s">
        <v>8861</v>
      </c>
      <c r="I3233" s="10" t="s">
        <v>298</v>
      </c>
    </row>
    <row r="3234" spans="1:9" x14ac:dyDescent="0.15">
      <c r="A3234" s="9">
        <v>3233</v>
      </c>
      <c r="B3234" s="10" t="s">
        <v>9</v>
      </c>
      <c r="C3234" s="10" t="s">
        <v>299</v>
      </c>
      <c r="D3234" s="10" t="s">
        <v>300</v>
      </c>
      <c r="E3234" s="11" t="str">
        <f>+HYPERLINK("http://trademark.i-assist.jp/data/china/image_1898th/78879903.pdf", "78879903")</f>
        <v>78879903</v>
      </c>
      <c r="F3234" s="10" t="s">
        <v>8862</v>
      </c>
      <c r="G3234" s="10" t="s">
        <v>8863</v>
      </c>
      <c r="H3234" s="10" t="s">
        <v>8864</v>
      </c>
      <c r="I3234" s="10" t="s">
        <v>298</v>
      </c>
    </row>
    <row r="3235" spans="1:9" x14ac:dyDescent="0.15">
      <c r="A3235" s="9">
        <v>3234</v>
      </c>
      <c r="B3235" s="10" t="s">
        <v>9</v>
      </c>
      <c r="C3235" s="10" t="s">
        <v>299</v>
      </c>
      <c r="D3235" s="10" t="s">
        <v>300</v>
      </c>
      <c r="E3235" s="11" t="str">
        <f>+HYPERLINK("http://trademark.i-assist.jp/data/china/image_1898th/78884621.pdf", "78884621")</f>
        <v>78884621</v>
      </c>
      <c r="F3235" s="10" t="s">
        <v>8865</v>
      </c>
      <c r="G3235" s="10" t="s">
        <v>8866</v>
      </c>
      <c r="H3235" s="10" t="s">
        <v>8867</v>
      </c>
      <c r="I3235" s="10" t="s">
        <v>298</v>
      </c>
    </row>
    <row r="3236" spans="1:9" x14ac:dyDescent="0.15">
      <c r="A3236" s="9">
        <v>3235</v>
      </c>
      <c r="B3236" s="10" t="s">
        <v>9</v>
      </c>
      <c r="C3236" s="10" t="s">
        <v>299</v>
      </c>
      <c r="D3236" s="10" t="s">
        <v>300</v>
      </c>
      <c r="E3236" s="11" t="str">
        <f>+HYPERLINK("http://trademark.i-assist.jp/data/china/image_1898th/78884768.pdf", "78884768")</f>
        <v>78884768</v>
      </c>
      <c r="F3236" s="10" t="s">
        <v>8868</v>
      </c>
      <c r="G3236" s="10" t="s">
        <v>8869</v>
      </c>
      <c r="H3236" s="10" t="s">
        <v>8870</v>
      </c>
      <c r="I3236" s="10" t="s">
        <v>298</v>
      </c>
    </row>
    <row r="3237" spans="1:9" x14ac:dyDescent="0.15">
      <c r="A3237" s="9">
        <v>3236</v>
      </c>
      <c r="B3237" s="10" t="s">
        <v>9</v>
      </c>
      <c r="C3237" s="10" t="s">
        <v>299</v>
      </c>
      <c r="D3237" s="10" t="s">
        <v>300</v>
      </c>
      <c r="E3237" s="11" t="str">
        <f>+HYPERLINK("http://trademark.i-assist.jp/data/china/image_1898th/78911367.pdf", "78911367")</f>
        <v>78911367</v>
      </c>
      <c r="F3237" s="10" t="s">
        <v>8871</v>
      </c>
      <c r="G3237" s="10" t="s">
        <v>8872</v>
      </c>
      <c r="H3237" s="10" t="s">
        <v>8873</v>
      </c>
      <c r="I3237" s="10" t="s">
        <v>8874</v>
      </c>
    </row>
    <row r="3238" spans="1:9" x14ac:dyDescent="0.15">
      <c r="A3238" s="9">
        <v>3237</v>
      </c>
      <c r="B3238" s="10" t="s">
        <v>9</v>
      </c>
      <c r="C3238" s="10" t="s">
        <v>299</v>
      </c>
      <c r="D3238" s="10" t="s">
        <v>300</v>
      </c>
      <c r="E3238" s="11" t="str">
        <f>+HYPERLINK("http://trademark.i-assist.jp/data/china/image_1898th/78913017.pdf", "78913017")</f>
        <v>78913017</v>
      </c>
      <c r="F3238" s="10" t="s">
        <v>8875</v>
      </c>
      <c r="G3238" s="10" t="s">
        <v>8876</v>
      </c>
      <c r="H3238" s="10" t="s">
        <v>8877</v>
      </c>
      <c r="I3238" s="10" t="s">
        <v>8874</v>
      </c>
    </row>
    <row r="3239" spans="1:9" x14ac:dyDescent="0.15">
      <c r="A3239" s="9">
        <v>3238</v>
      </c>
      <c r="B3239" s="10" t="s">
        <v>9</v>
      </c>
      <c r="C3239" s="10" t="s">
        <v>299</v>
      </c>
      <c r="D3239" s="10" t="s">
        <v>300</v>
      </c>
      <c r="E3239" s="11" t="str">
        <f>+HYPERLINK("http://trademark.i-assist.jp/data/china/image_1898th/78916747.pdf", "78916747")</f>
        <v>78916747</v>
      </c>
      <c r="F3239" s="10" t="s">
        <v>8878</v>
      </c>
      <c r="G3239" s="10" t="s">
        <v>8876</v>
      </c>
      <c r="H3239" s="10" t="s">
        <v>8879</v>
      </c>
      <c r="I3239" s="10" t="s">
        <v>8874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1898th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2025-02-28T05:50:13Z</dcterms:modified>
</cp:coreProperties>
</file>